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trlProps/ctrlProp11.xml" ContentType="application/vnd.ms-excel.controlproperties+xml"/>
  <Override PartName="/xl/drawings/drawing4.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drawings/drawing5.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date1904="1" codeName="ThisWorkbook"/>
  <mc:AlternateContent xmlns:mc="http://schemas.openxmlformats.org/markup-compatibility/2006">
    <mc:Choice Requires="x15">
      <x15ac:absPath xmlns:x15ac="http://schemas.microsoft.com/office/spreadsheetml/2010/11/ac" url="Z:\Daten OekoWatt\2150 Energiefachstellen Zentralschweiz\2153 EnFK-ZS Homepage\2153 diverse PDFS auf ZS-Homepage\2019\Planungshilfen\"/>
    </mc:Choice>
  </mc:AlternateContent>
  <xr:revisionPtr revIDLastSave="0" documentId="8_{0B02E280-5163-4A74-992F-599DE23C3F72}" xr6:coauthVersionLast="43" xr6:coauthVersionMax="43" xr10:uidLastSave="{00000000-0000-0000-0000-000000000000}"/>
  <bookViews>
    <workbookView xWindow="-108" yWindow="-108" windowWidth="23256" windowHeight="12576" tabRatio="817" xr2:uid="{00000000-000D-0000-FFFF-FFFF00000000}"/>
  </bookViews>
  <sheets>
    <sheet name="Nutzung" sheetId="1" r:id="rId1"/>
    <sheet name="EBF" sheetId="2" r:id="rId2"/>
    <sheet name="Bauteile" sheetId="3" r:id="rId3"/>
    <sheet name="Heizlast" sheetId="20" r:id="rId4"/>
    <sheet name="Komfortlüftung" sheetId="14" r:id="rId5"/>
    <sheet name="Drucken" sheetId="13" r:id="rId6"/>
    <sheet name="U-Wert homogen" sheetId="11" r:id="rId7"/>
    <sheet name="U-Wert inhomogen" sheetId="19" r:id="rId8"/>
    <sheet name="U-Wert Fenster" sheetId="15" r:id="rId9"/>
    <sheet name="Lüftung" sheetId="8" r:id="rId10"/>
    <sheet name="Einträge" sheetId="9" r:id="rId11"/>
    <sheet name="Bilanz" sheetId="10" r:id="rId12"/>
    <sheet name="Daten" sheetId="6" state="hidden" r:id="rId13"/>
    <sheet name="Klima" sheetId="7" state="hidden" r:id="rId14"/>
    <sheet name="Reduktionsfaktoren" sheetId="17" r:id="rId15"/>
    <sheet name="Gebäudekategorien" sheetId="18" r:id="rId16"/>
  </sheets>
  <externalReferences>
    <externalReference r:id="rId17"/>
  </externalReferences>
  <definedNames>
    <definedName name="A" localSheetId="7">[1]Gewinne!$P$30</definedName>
    <definedName name="A">Einträge!$P$29</definedName>
    <definedName name="Auswahl_1" localSheetId="7">[1]Daten!$I$84</definedName>
    <definedName name="Auswahl_1">Daten!$I$82</definedName>
    <definedName name="Auswahl_2" localSheetId="7">[1]Daten!$J$84</definedName>
    <definedName name="Auswahl_2">Daten!$J$82</definedName>
    <definedName name="Auswahl_3" localSheetId="7">[1]Daten!$K$84</definedName>
    <definedName name="Auswahl_3">Daten!$K$82</definedName>
    <definedName name="B" localSheetId="7">[1]Gewinne!$P$43</definedName>
    <definedName name="B">Einträge!$P$42</definedName>
    <definedName name="Bauweise" localSheetId="7">[1]Daten!$C$64</definedName>
    <definedName name="Bauweise">Daten!$C$62</definedName>
    <definedName name="C_1">Einträge!$P$55</definedName>
    <definedName name="CC">[1]Gewinne!$P$56</definedName>
    <definedName name="D" localSheetId="7">[1]Gewinne!$P$69</definedName>
    <definedName name="D">Einträge!$P$68</definedName>
    <definedName name="_xlnm.Print_Area" localSheetId="2">Bauteile!$A$2:$P$1371</definedName>
    <definedName name="_xlnm.Print_Area" localSheetId="11">Bilanz!$A$1:$Q$70</definedName>
    <definedName name="_xlnm.Print_Area" localSheetId="5">Drucken!$A$1:$O$333</definedName>
    <definedName name="_xlnm.Print_Area" localSheetId="1">EBF!$B$2:$K$42</definedName>
    <definedName name="_xlnm.Print_Area" localSheetId="10">Einträge!$A$1:$L$322</definedName>
    <definedName name="_xlnm.Print_Area" localSheetId="4">Komfortlüftung!$A$1:$Q$73</definedName>
    <definedName name="_xlnm.Print_Area" localSheetId="9">Lüftung!$A$1:$J$43</definedName>
    <definedName name="_xlnm.Print_Area" localSheetId="0">Nutzung!$A$2:$K$49</definedName>
    <definedName name="_xlnm.Print_Area" localSheetId="8">'U-Wert Fenster'!$C$1:$AC$325</definedName>
    <definedName name="_xlnm.Print_Area" localSheetId="6">'U-Wert homogen'!$B$1:$H$439</definedName>
    <definedName name="_xlnm.Print_Area" localSheetId="7">'U-Wert inhomogen'!$B$2:$K$109</definedName>
    <definedName name="E" localSheetId="7">[1]Gewinne!$P$82</definedName>
    <definedName name="E">Einträge!$P$81</definedName>
    <definedName name="Einsiedeln">Klima!$B$14:$BX$123</definedName>
    <definedName name="F" localSheetId="7">[1]Gewinne!$P$95</definedName>
    <definedName name="F">Einträge!$P$94</definedName>
    <definedName name="G" localSheetId="7">[1]Gewinne!$P$108</definedName>
    <definedName name="G">Einträge!$P$107</definedName>
    <definedName name="H" localSheetId="7">[1]Gewinne!$P$121</definedName>
    <definedName name="H">Einträge!$P$120</definedName>
    <definedName name="H_01" localSheetId="7">[1]Gewinne!$H$30</definedName>
    <definedName name="H_01">Einträge!$H$29</definedName>
    <definedName name="H_02" localSheetId="7">[1]Gewinne!$H$43</definedName>
    <definedName name="H_02">Einträge!$H$42</definedName>
    <definedName name="H_03" localSheetId="7">[1]Gewinne!$H$56</definedName>
    <definedName name="H_03">Einträge!$H$55</definedName>
    <definedName name="H_04" localSheetId="7">[1]Gewinne!$H$69</definedName>
    <definedName name="H_04">Einträge!$H$68</definedName>
    <definedName name="H_05" localSheetId="7">[1]Gewinne!$H$82</definedName>
    <definedName name="H_05">Einträge!$H$81</definedName>
    <definedName name="H_06" localSheetId="7">[1]Gewinne!$H$95</definedName>
    <definedName name="H_06">Einträge!$H$94</definedName>
    <definedName name="H_07" localSheetId="7">[1]Gewinne!$H$108</definedName>
    <definedName name="H_07">Einträge!$H$107</definedName>
    <definedName name="H_08" localSheetId="7">[1]Gewinne!$H$121</definedName>
    <definedName name="H_08">Einträge!$H$120</definedName>
    <definedName name="H_09" localSheetId="7">[1]Gewinne!$H$134</definedName>
    <definedName name="H_09">Einträge!$H$133</definedName>
    <definedName name="H_10" localSheetId="7">[1]Gewinne!$H$147</definedName>
    <definedName name="H_10">Einträge!$H$146</definedName>
    <definedName name="H_11" localSheetId="7">[1]Gewinne!$H$160</definedName>
    <definedName name="H_11">Einträge!$H$159</definedName>
    <definedName name="H_12" localSheetId="7">[1]Gewinne!$H$173</definedName>
    <definedName name="H_12">Einträge!$H$172</definedName>
    <definedName name="H_13" localSheetId="7">[1]Gewinne!$H$186</definedName>
    <definedName name="H_13">Einträge!$H$185</definedName>
    <definedName name="H_14" localSheetId="7">[1]Gewinne!$H$199</definedName>
    <definedName name="H_14">Einträge!$H$198</definedName>
    <definedName name="H_15" localSheetId="7">[1]Gewinne!$H$212</definedName>
    <definedName name="H_15">Einträge!$H$211</definedName>
    <definedName name="H_16" localSheetId="7">[1]Gewinne!$H$225</definedName>
    <definedName name="H_16">Einträge!$H$224</definedName>
    <definedName name="H_17" localSheetId="7">[1]Gewinne!$H$238</definedName>
    <definedName name="H_17">Einträge!$H$237</definedName>
    <definedName name="H_18" localSheetId="7">[1]Gewinne!$H$251</definedName>
    <definedName name="H_18">Einträge!$H$250</definedName>
    <definedName name="H_19" localSheetId="7">[1]Gewinne!$H$264</definedName>
    <definedName name="H_19">Einträge!$H$263</definedName>
    <definedName name="H_20" localSheetId="7">[1]Gewinne!$H$277</definedName>
    <definedName name="H_20">Einträge!$H$276</definedName>
    <definedName name="H_21" localSheetId="7">[1]Gewinne!$H$291</definedName>
    <definedName name="H_21">Einträge!$H$290</definedName>
    <definedName name="H_22" localSheetId="7">[1]Gewinne!$H$304</definedName>
    <definedName name="H_22">Einträge!$H$303</definedName>
    <definedName name="I" localSheetId="7">[1]Gewinne!$P$134</definedName>
    <definedName name="I">Einträge!$P$133</definedName>
    <definedName name="J" localSheetId="7">[1]Gewinne!$P$147</definedName>
    <definedName name="J">Einträge!$P$146</definedName>
    <definedName name="J_20">Einträge!$H$276</definedName>
    <definedName name="K" localSheetId="7">[1]Gewinne!$P$160</definedName>
    <definedName name="K">Einträge!$P$159</definedName>
    <definedName name="Klimadaten">Nutzung!$D$37</definedName>
    <definedName name="Klimastation" localSheetId="7">[1]Klima!$D$47</definedName>
    <definedName name="Klimastation">Klima!$C$46</definedName>
    <definedName name="L" localSheetId="7">[1]Gewinne!$P$173</definedName>
    <definedName name="L">Einträge!$P$172</definedName>
    <definedName name="M" localSheetId="7">[1]Gewinne!$P$186</definedName>
    <definedName name="M">Einträge!$P$185</definedName>
    <definedName name="N" localSheetId="7">[1]Gewinne!$P$199</definedName>
    <definedName name="N">Einträge!$P$198</definedName>
    <definedName name="Nutzung" localSheetId="7">[1]Daten!$C$62</definedName>
    <definedName name="Nutzung">Daten!$C$60</definedName>
    <definedName name="O" localSheetId="7">[1]Gewinne!$P$212</definedName>
    <definedName name="O">Einträge!$P$211</definedName>
    <definedName name="P" localSheetId="7">[1]Gewinne!$P$225</definedName>
    <definedName name="P">Einträge!$P$224</definedName>
    <definedName name="Q" localSheetId="7">[1]Gewinne!$P$238</definedName>
    <definedName name="Q">Einträge!$P$237</definedName>
    <definedName name="R_1">Einträge!$P$250</definedName>
    <definedName name="Regelung" localSheetId="7">[1]Daten!$C$65</definedName>
    <definedName name="Regelung">Daten!$C$63</definedName>
    <definedName name="RR">[1]Gewinne!$P$251</definedName>
    <definedName name="S_01" localSheetId="7">[1]Gewinne!$L$30</definedName>
    <definedName name="S_01">Einträge!$L$29</definedName>
    <definedName name="S_02" localSheetId="7">[1]Gewinne!$L$43</definedName>
    <definedName name="S_02">Einträge!$L$42</definedName>
    <definedName name="S_03" localSheetId="7">[1]Gewinne!$L$56</definedName>
    <definedName name="S_03">Einträge!$L$55</definedName>
    <definedName name="S_04" localSheetId="7">[1]Gewinne!$L$69</definedName>
    <definedName name="S_04">Einträge!$L$68</definedName>
    <definedName name="S_05" localSheetId="7">[1]Gewinne!$L$82</definedName>
    <definedName name="S_05">Einträge!$L$81</definedName>
    <definedName name="S_06" localSheetId="7">[1]Gewinne!$L$95</definedName>
    <definedName name="S_06">Einträge!$L$94</definedName>
    <definedName name="S_07" localSheetId="7">[1]Gewinne!$L$108</definedName>
    <definedName name="S_07">Einträge!$L$107</definedName>
    <definedName name="S_08" localSheetId="7">[1]Gewinne!$L$121</definedName>
    <definedName name="S_08">Einträge!$L$120</definedName>
    <definedName name="S_09" localSheetId="7">[1]Gewinne!$L$134</definedName>
    <definedName name="S_09">Einträge!$L$133</definedName>
    <definedName name="S_10" localSheetId="7">[1]Gewinne!$L$147</definedName>
    <definedName name="S_10">Einträge!$L$146</definedName>
    <definedName name="S_101" localSheetId="7">[1]Gewinne!$N$30</definedName>
    <definedName name="S_101">Einträge!$N$29</definedName>
    <definedName name="S_102" localSheetId="7">[1]Gewinne!$N$43</definedName>
    <definedName name="S_102">Einträge!$N$42</definedName>
    <definedName name="S_103" localSheetId="7">[1]Gewinne!$N$56</definedName>
    <definedName name="S_103">Einträge!$N$55</definedName>
    <definedName name="S_104" localSheetId="7">[1]Gewinne!$N$69</definedName>
    <definedName name="S_104">Einträge!$N$68</definedName>
    <definedName name="S_105" localSheetId="7">[1]Gewinne!$N$82</definedName>
    <definedName name="S_105">Einträge!$N$81</definedName>
    <definedName name="S_106" localSheetId="7">[1]Gewinne!$N$95</definedName>
    <definedName name="S_106">Einträge!$N$94</definedName>
    <definedName name="S_107" localSheetId="7">[1]Gewinne!$N$108</definedName>
    <definedName name="S_107">Einträge!$N$107</definedName>
    <definedName name="S_108" localSheetId="7">[1]Gewinne!$N$121</definedName>
    <definedName name="S_108">Einträge!$N$120</definedName>
    <definedName name="S_109" localSheetId="7">[1]Gewinne!$N$134</definedName>
    <definedName name="S_109">Einträge!$N$133</definedName>
    <definedName name="S_11" localSheetId="7">[1]Gewinne!$L$160</definedName>
    <definedName name="S_11">Einträge!$L$159</definedName>
    <definedName name="S_110" localSheetId="7">[1]Gewinne!$N$147</definedName>
    <definedName name="S_110">Einträge!$N$146</definedName>
    <definedName name="S_111" localSheetId="7">[1]Gewinne!$N$160</definedName>
    <definedName name="S_111">Einträge!$N$159</definedName>
    <definedName name="S_112" localSheetId="7">[1]Gewinne!$N$173</definedName>
    <definedName name="S_112">Einträge!$N$172</definedName>
    <definedName name="S_113" localSheetId="7">[1]Gewinne!$N$186</definedName>
    <definedName name="S_113">Einträge!$N$185</definedName>
    <definedName name="S_114" localSheetId="7">[1]Gewinne!$N$199</definedName>
    <definedName name="S_114">Einträge!$N$198</definedName>
    <definedName name="S_115" localSheetId="7">[1]Gewinne!$N$212</definedName>
    <definedName name="S_115">Einträge!$N$211</definedName>
    <definedName name="S_116" localSheetId="7">[1]Gewinne!$N$225</definedName>
    <definedName name="S_116">Einträge!$N$224</definedName>
    <definedName name="S_117" localSheetId="7">[1]Gewinne!$N$238</definedName>
    <definedName name="S_117">Einträge!$N$237</definedName>
    <definedName name="S_118" localSheetId="7">[1]Gewinne!$N$251</definedName>
    <definedName name="S_118">Einträge!$N$250</definedName>
    <definedName name="S_119" localSheetId="7">[1]Gewinne!$N$264</definedName>
    <definedName name="S_119">Einträge!$N$263</definedName>
    <definedName name="S_12" localSheetId="7">[1]Gewinne!$L$173</definedName>
    <definedName name="S_12">Einträge!$L$172</definedName>
    <definedName name="S_120" localSheetId="7">[1]Gewinne!$N$277</definedName>
    <definedName name="S_120">Einträge!$N$276</definedName>
    <definedName name="S_121" localSheetId="7">[1]Gewinne!$N$291</definedName>
    <definedName name="S_121">Einträge!$N$290</definedName>
    <definedName name="S_122" localSheetId="7">[1]Gewinne!$N$304</definedName>
    <definedName name="S_122">Einträge!$N$303</definedName>
    <definedName name="S_13" localSheetId="7">[1]Gewinne!$L$186</definedName>
    <definedName name="S_13">Einträge!$L$185</definedName>
    <definedName name="S_14" localSheetId="7">[1]Gewinne!$L$199</definedName>
    <definedName name="S_14">Einträge!$L$198</definedName>
    <definedName name="S_15" localSheetId="7">[1]Gewinne!$L$212</definedName>
    <definedName name="S_15">Einträge!$L$211</definedName>
    <definedName name="S_16" localSheetId="7">[1]Gewinne!$L$225</definedName>
    <definedName name="S_16">Einträge!$L$224</definedName>
    <definedName name="S_17" localSheetId="7">[1]Gewinne!$L$238</definedName>
    <definedName name="S_17">Einträge!$L$237</definedName>
    <definedName name="S_18" localSheetId="7">[1]Gewinne!$L$251</definedName>
    <definedName name="S_18">Einträge!$L$250</definedName>
    <definedName name="S_19" localSheetId="7">[1]Gewinne!$L$264</definedName>
    <definedName name="S_19">Einträge!$L$263</definedName>
    <definedName name="S_20" localSheetId="7">[1]Gewinne!$L$277</definedName>
    <definedName name="S_20">Einträge!$L$276</definedName>
    <definedName name="S_21" localSheetId="7">[1]Gewinne!$L$291</definedName>
    <definedName name="S_21">Einträge!$L$290</definedName>
    <definedName name="S_22" localSheetId="7">[1]Gewinne!$L$304</definedName>
    <definedName name="S_22">Einträge!$L$303</definedName>
    <definedName name="Sonne">Klima!$B$150:$N$157</definedName>
    <definedName name="T" localSheetId="7">[1]Gewinne!$P$264</definedName>
    <definedName name="T">Einträge!$P$263</definedName>
    <definedName name="U" localSheetId="7">[1]Gewinne!$P$277</definedName>
    <definedName name="U">Einträge!$P$276</definedName>
    <definedName name="Ü_01" localSheetId="7">[1]Gewinne!$J$30</definedName>
    <definedName name="Ü_01">Einträge!$J$29</definedName>
    <definedName name="Ü_02" localSheetId="7">[1]Gewinne!$J$43</definedName>
    <definedName name="Ü_02">Einträge!$J$42</definedName>
    <definedName name="Ü_03" localSheetId="7">[1]Gewinne!$J$56</definedName>
    <definedName name="Ü_03">Einträge!$J$55</definedName>
    <definedName name="Ü_04" localSheetId="7">[1]Gewinne!$J$69</definedName>
    <definedName name="Ü_04">Einträge!$J$68</definedName>
    <definedName name="Ü_05" localSheetId="7">[1]Gewinne!$J$82</definedName>
    <definedName name="Ü_05">Einträge!$J$81</definedName>
    <definedName name="Ü_06" localSheetId="7">[1]Gewinne!$J$95</definedName>
    <definedName name="Ü_06">Einträge!$J$94</definedName>
    <definedName name="Ü_07" localSheetId="7">[1]Gewinne!$J$108</definedName>
    <definedName name="Ü_07">Einträge!$J$107</definedName>
    <definedName name="Ü_08" localSheetId="7">[1]Gewinne!$J$121</definedName>
    <definedName name="Ü_08">Einträge!$J$120</definedName>
    <definedName name="Ü_09" localSheetId="7">[1]Gewinne!$J$134</definedName>
    <definedName name="Ü_09">Einträge!$J$133</definedName>
    <definedName name="Ü_10" localSheetId="7">[1]Gewinne!$J$147</definedName>
    <definedName name="Ü_10">Einträge!$J$146</definedName>
    <definedName name="Ü_11" localSheetId="7">[1]Gewinne!$J$160</definedName>
    <definedName name="Ü_11">Einträge!$J$159</definedName>
    <definedName name="Ü_12" localSheetId="7">[1]Gewinne!$J$173</definedName>
    <definedName name="Ü_12">Einträge!$J$172</definedName>
    <definedName name="Ü_13" localSheetId="7">[1]Gewinne!$J$186</definedName>
    <definedName name="Ü_13">Einträge!$J$185</definedName>
    <definedName name="Ü_14" localSheetId="7">[1]Gewinne!$J$199</definedName>
    <definedName name="Ü_14">Einträge!$J$198</definedName>
    <definedName name="Ü_15" localSheetId="7">[1]Gewinne!$J$212</definedName>
    <definedName name="Ü_15">Einträge!$J$211</definedName>
    <definedName name="Ü_16" localSheetId="7">[1]Gewinne!$J$225</definedName>
    <definedName name="Ü_16">Einträge!$J$224</definedName>
    <definedName name="Ü_17" localSheetId="7">[1]Gewinne!$J$238</definedName>
    <definedName name="Ü_17">Einträge!$J$237</definedName>
    <definedName name="Ü_18" localSheetId="7">[1]Gewinne!$J$251</definedName>
    <definedName name="Ü_18">Einträge!$J$250</definedName>
    <definedName name="Ü_19" localSheetId="7">[1]Gewinne!$J$264</definedName>
    <definedName name="Ü_19">Einträge!$J$263</definedName>
    <definedName name="Ü_20" localSheetId="7">[1]Gewinne!$J$277</definedName>
    <definedName name="Ü_20">Einträge!$J$276</definedName>
    <definedName name="Ü_21" localSheetId="7">[1]Gewinne!$J$291</definedName>
    <definedName name="Ü_21">Einträge!$J$290</definedName>
    <definedName name="Ü_22" localSheetId="7">[1]Gewinne!$J$304</definedName>
    <definedName name="Ü_22">Einträge!$J$303</definedName>
    <definedName name="V" localSheetId="7">[1]Gewinne!$E$291</definedName>
    <definedName name="V">Einträge!$E$290</definedName>
    <definedName name="V_01" localSheetId="7">[1]Gewinne!$P$291</definedName>
    <definedName name="V_01">Einträge!$P$290</definedName>
    <definedName name="V_02" localSheetId="7">[1]Gewinne!$P$304</definedName>
    <definedName name="V_02">Einträge!$P$303</definedName>
    <definedName name="W" localSheetId="7">[1]Gewinne!$E$304</definedName>
    <definedName name="W">Einträge!$E$303</definedName>
    <definedName name="WD_mit">'U-Wert inhomogen'!$AN$14</definedName>
    <definedName name="WD_ohne">'U-Wert inhomogen'!$AD$14</definedName>
  </definedNames>
  <calcPr calcId="181029"/>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calcChain.xml><?xml version="1.0" encoding="utf-8"?>
<calcChain xmlns="http://schemas.openxmlformats.org/spreadsheetml/2006/main">
  <c r="H48" i="13" l="1"/>
  <c r="O11" i="3" l="1"/>
  <c r="O24" i="3"/>
  <c r="O37" i="3"/>
  <c r="O50" i="3"/>
  <c r="O63" i="3"/>
  <c r="O76" i="3"/>
  <c r="O89" i="3"/>
  <c r="O102" i="3"/>
  <c r="O115" i="3"/>
  <c r="O128" i="3"/>
  <c r="O145" i="3"/>
  <c r="O158" i="3"/>
  <c r="O171" i="3"/>
  <c r="O184" i="3"/>
  <c r="O197" i="3"/>
  <c r="O210" i="3"/>
  <c r="O223" i="3"/>
  <c r="O236" i="3"/>
  <c r="O249" i="3"/>
  <c r="O262" i="3"/>
  <c r="H280" i="3"/>
  <c r="H294" i="3"/>
  <c r="H308" i="3"/>
  <c r="H322" i="3"/>
  <c r="H336" i="3"/>
  <c r="H350" i="3"/>
  <c r="H364" i="3"/>
  <c r="H378" i="3"/>
  <c r="H392" i="3"/>
  <c r="H406" i="3"/>
  <c r="H420" i="3"/>
  <c r="H434" i="3"/>
  <c r="H448" i="3"/>
  <c r="H462" i="3"/>
  <c r="H476" i="3"/>
  <c r="H490" i="3"/>
  <c r="H504" i="3"/>
  <c r="H518" i="3"/>
  <c r="H532" i="3"/>
  <c r="H546" i="3"/>
  <c r="N563" i="3"/>
  <c r="N576" i="3"/>
  <c r="O593" i="3"/>
  <c r="O606" i="3"/>
  <c r="O619" i="3"/>
  <c r="O632" i="3"/>
  <c r="O645" i="3"/>
  <c r="O658" i="3"/>
  <c r="F39" i="2"/>
  <c r="N675" i="3" s="1"/>
  <c r="G29" i="1"/>
  <c r="H701" i="3" s="1"/>
  <c r="C136" i="7"/>
  <c r="J1275" i="3" s="1"/>
  <c r="N720" i="3"/>
  <c r="N932" i="3"/>
  <c r="N990" i="3"/>
  <c r="N1003" i="3"/>
  <c r="N1016" i="3"/>
  <c r="N1029" i="3"/>
  <c r="N1046" i="3"/>
  <c r="N1059" i="3"/>
  <c r="N1072" i="3"/>
  <c r="N1085" i="3"/>
  <c r="N1098" i="3"/>
  <c r="N1111" i="3"/>
  <c r="N1124" i="3"/>
  <c r="N1137" i="3"/>
  <c r="N1150" i="3"/>
  <c r="N1167" i="3"/>
  <c r="N1180" i="3"/>
  <c r="N1193" i="3"/>
  <c r="N1206" i="3"/>
  <c r="N1219" i="3"/>
  <c r="N1232" i="3"/>
  <c r="N1245" i="3"/>
  <c r="N1258" i="3"/>
  <c r="O1275" i="3"/>
  <c r="I1301" i="3"/>
  <c r="N1318" i="3"/>
  <c r="N1331" i="3"/>
  <c r="N1344" i="3"/>
  <c r="N1357" i="3"/>
  <c r="E27" i="8"/>
  <c r="J31" i="1"/>
  <c r="E15" i="8" s="1"/>
  <c r="C148" i="7"/>
  <c r="E4" i="8"/>
  <c r="F22" i="9"/>
  <c r="C150" i="7"/>
  <c r="D291" i="9"/>
  <c r="E304" i="9"/>
  <c r="J29" i="1"/>
  <c r="F7" i="9" s="1"/>
  <c r="F12" i="9" s="1"/>
  <c r="J30" i="1"/>
  <c r="F8" i="9"/>
  <c r="G31" i="1"/>
  <c r="G32" i="1"/>
  <c r="F19" i="9" s="1"/>
  <c r="G30" i="1"/>
  <c r="F21" i="9"/>
  <c r="T9" i="3"/>
  <c r="D42" i="1"/>
  <c r="J34" i="1"/>
  <c r="G34" i="1"/>
  <c r="O12" i="3"/>
  <c r="O25" i="3"/>
  <c r="O38" i="3"/>
  <c r="O51" i="3"/>
  <c r="O64" i="3"/>
  <c r="O77" i="3"/>
  <c r="O90" i="3"/>
  <c r="O103" i="3"/>
  <c r="O116" i="3"/>
  <c r="O129" i="3"/>
  <c r="O146" i="3"/>
  <c r="O159" i="3"/>
  <c r="O172" i="3"/>
  <c r="O185" i="3"/>
  <c r="O198" i="3"/>
  <c r="O211" i="3"/>
  <c r="O224" i="3"/>
  <c r="O237" i="3"/>
  <c r="O250" i="3"/>
  <c r="O263" i="3"/>
  <c r="H281" i="3"/>
  <c r="H295" i="3"/>
  <c r="H309" i="3"/>
  <c r="H323" i="3"/>
  <c r="H337" i="3"/>
  <c r="N342" i="3" s="1"/>
  <c r="H351" i="3"/>
  <c r="H365" i="3"/>
  <c r="H379" i="3"/>
  <c r="H393" i="3"/>
  <c r="H407" i="3"/>
  <c r="H421" i="3"/>
  <c r="H435" i="3"/>
  <c r="H449" i="3"/>
  <c r="L449" i="3" s="1"/>
  <c r="H463" i="3"/>
  <c r="H477" i="3"/>
  <c r="H491" i="3"/>
  <c r="H505" i="3"/>
  <c r="N510" i="3" s="1"/>
  <c r="H519" i="3"/>
  <c r="H533" i="3"/>
  <c r="H547" i="3"/>
  <c r="N564" i="3"/>
  <c r="Q564" i="3" s="1"/>
  <c r="N577" i="3"/>
  <c r="O594" i="3"/>
  <c r="O607" i="3"/>
  <c r="O620" i="3"/>
  <c r="O633" i="3"/>
  <c r="O646" i="3"/>
  <c r="O659" i="3"/>
  <c r="C137" i="7"/>
  <c r="N991" i="3"/>
  <c r="N1004" i="3"/>
  <c r="N1017" i="3"/>
  <c r="N1030" i="3"/>
  <c r="N1047" i="3"/>
  <c r="N1060" i="3"/>
  <c r="N1073" i="3"/>
  <c r="N1086" i="3"/>
  <c r="N1099" i="3"/>
  <c r="N1112" i="3"/>
  <c r="N1125" i="3"/>
  <c r="N1138" i="3"/>
  <c r="N1151" i="3"/>
  <c r="N1168" i="3"/>
  <c r="N1181" i="3"/>
  <c r="N1194" i="3"/>
  <c r="N1207" i="3"/>
  <c r="N1220" i="3"/>
  <c r="N1233" i="3"/>
  <c r="N1246" i="3"/>
  <c r="N1259" i="3"/>
  <c r="N1319" i="3"/>
  <c r="N1332" i="3"/>
  <c r="N1345" i="3"/>
  <c r="N1358" i="3"/>
  <c r="D150" i="7"/>
  <c r="E305" i="9" s="1"/>
  <c r="D292" i="9"/>
  <c r="O13" i="3"/>
  <c r="O26" i="3"/>
  <c r="O39" i="3"/>
  <c r="O52" i="3"/>
  <c r="O65" i="3"/>
  <c r="O78" i="3"/>
  <c r="O91" i="3"/>
  <c r="O104" i="3"/>
  <c r="O117" i="3"/>
  <c r="O130" i="3"/>
  <c r="O147" i="3"/>
  <c r="O160" i="3"/>
  <c r="O173" i="3"/>
  <c r="O186" i="3"/>
  <c r="O199" i="3"/>
  <c r="O212" i="3"/>
  <c r="O225" i="3"/>
  <c r="O238" i="3"/>
  <c r="O251" i="3"/>
  <c r="O264" i="3"/>
  <c r="H282" i="3"/>
  <c r="H296" i="3"/>
  <c r="H310" i="3"/>
  <c r="H324" i="3"/>
  <c r="H338" i="3"/>
  <c r="H352" i="3"/>
  <c r="H366" i="3"/>
  <c r="H380" i="3"/>
  <c r="H394" i="3"/>
  <c r="H408" i="3"/>
  <c r="H422" i="3"/>
  <c r="H436" i="3"/>
  <c r="H450" i="3"/>
  <c r="H464" i="3"/>
  <c r="H478" i="3"/>
  <c r="H492" i="3"/>
  <c r="H506" i="3"/>
  <c r="H520" i="3"/>
  <c r="H534" i="3"/>
  <c r="H548" i="3"/>
  <c r="N565" i="3"/>
  <c r="N578" i="3"/>
  <c r="O595" i="3"/>
  <c r="O608" i="3"/>
  <c r="O621" i="3"/>
  <c r="O634" i="3"/>
  <c r="O647" i="3"/>
  <c r="O660" i="3"/>
  <c r="C138" i="7"/>
  <c r="I722" i="3" s="1"/>
  <c r="I677" i="3"/>
  <c r="I934" i="3"/>
  <c r="N992" i="3"/>
  <c r="N1005" i="3"/>
  <c r="N1018" i="3"/>
  <c r="N1031" i="3"/>
  <c r="N1048" i="3"/>
  <c r="N1061" i="3"/>
  <c r="N1074" i="3"/>
  <c r="N1087" i="3"/>
  <c r="N1100" i="3"/>
  <c r="N1113" i="3"/>
  <c r="N1126" i="3"/>
  <c r="N1139" i="3"/>
  <c r="N1152" i="3"/>
  <c r="N1169" i="3"/>
  <c r="N1182" i="3"/>
  <c r="N1195" i="3"/>
  <c r="N1208" i="3"/>
  <c r="N1221" i="3"/>
  <c r="N1234" i="3"/>
  <c r="N1247" i="3"/>
  <c r="N1260" i="3"/>
  <c r="N1320" i="3"/>
  <c r="N1333" i="3"/>
  <c r="N1346" i="3"/>
  <c r="N1359" i="3"/>
  <c r="E10" i="8"/>
  <c r="E150" i="7"/>
  <c r="E306" i="9" s="1"/>
  <c r="D293" i="9"/>
  <c r="O14" i="3"/>
  <c r="O27" i="3"/>
  <c r="O40" i="3"/>
  <c r="O53" i="3"/>
  <c r="O66" i="3"/>
  <c r="O79" i="3"/>
  <c r="O92" i="3"/>
  <c r="O105" i="3"/>
  <c r="O118" i="3"/>
  <c r="O131" i="3"/>
  <c r="O148" i="3"/>
  <c r="O161" i="3"/>
  <c r="O174" i="3"/>
  <c r="O187" i="3"/>
  <c r="O200" i="3"/>
  <c r="O213" i="3"/>
  <c r="O226" i="3"/>
  <c r="O239" i="3"/>
  <c r="O252" i="3"/>
  <c r="O265" i="3"/>
  <c r="H283" i="3"/>
  <c r="H297" i="3"/>
  <c r="H311" i="3"/>
  <c r="H325" i="3"/>
  <c r="H339" i="3"/>
  <c r="H353" i="3"/>
  <c r="H367" i="3"/>
  <c r="H381" i="3"/>
  <c r="H395" i="3"/>
  <c r="H409" i="3"/>
  <c r="H423" i="3"/>
  <c r="H437" i="3"/>
  <c r="H451" i="3"/>
  <c r="H465" i="3"/>
  <c r="H479" i="3"/>
  <c r="H493" i="3"/>
  <c r="H507" i="3"/>
  <c r="H521" i="3"/>
  <c r="H535" i="3"/>
  <c r="H549" i="3"/>
  <c r="N566" i="3"/>
  <c r="N579" i="3"/>
  <c r="O596" i="3"/>
  <c r="O609" i="3"/>
  <c r="O622" i="3"/>
  <c r="O635" i="3"/>
  <c r="O648" i="3"/>
  <c r="O661" i="3"/>
  <c r="C139" i="7"/>
  <c r="I678" i="3" s="1"/>
  <c r="I723" i="3"/>
  <c r="I935" i="3"/>
  <c r="N993" i="3"/>
  <c r="N1006" i="3"/>
  <c r="N1019" i="3"/>
  <c r="N1032" i="3"/>
  <c r="N1049" i="3"/>
  <c r="N1062" i="3"/>
  <c r="N1075" i="3"/>
  <c r="N1088" i="3"/>
  <c r="N1101" i="3"/>
  <c r="N1114" i="3"/>
  <c r="N1127" i="3"/>
  <c r="N1140" i="3"/>
  <c r="N1153" i="3"/>
  <c r="N1170" i="3"/>
  <c r="N1183" i="3"/>
  <c r="N1196" i="3"/>
  <c r="N1209" i="3"/>
  <c r="N1222" i="3"/>
  <c r="N1235" i="3"/>
  <c r="N1248" i="3"/>
  <c r="N1261" i="3"/>
  <c r="N1321" i="3"/>
  <c r="N1334" i="3"/>
  <c r="N1347" i="3"/>
  <c r="N1360" i="3"/>
  <c r="E11" i="8"/>
  <c r="I40" i="14" s="1"/>
  <c r="F150" i="7"/>
  <c r="O150" i="7" s="1"/>
  <c r="O15" i="3"/>
  <c r="O28" i="3"/>
  <c r="O41" i="3"/>
  <c r="O54" i="3"/>
  <c r="O67" i="3"/>
  <c r="O80" i="3"/>
  <c r="O93" i="3"/>
  <c r="O106" i="3"/>
  <c r="O119" i="3"/>
  <c r="O132" i="3"/>
  <c r="O149" i="3"/>
  <c r="O162" i="3"/>
  <c r="O175" i="3"/>
  <c r="O188" i="3"/>
  <c r="O201" i="3"/>
  <c r="O214" i="3"/>
  <c r="O227" i="3"/>
  <c r="O240" i="3"/>
  <c r="O253" i="3"/>
  <c r="O266" i="3"/>
  <c r="H284" i="3"/>
  <c r="H298" i="3"/>
  <c r="H312" i="3"/>
  <c r="N314" i="3" s="1"/>
  <c r="H326" i="3"/>
  <c r="H340" i="3"/>
  <c r="H354" i="3"/>
  <c r="H368" i="3"/>
  <c r="N370" i="3" s="1"/>
  <c r="H382" i="3"/>
  <c r="H396" i="3"/>
  <c r="H410" i="3"/>
  <c r="H424" i="3"/>
  <c r="N426" i="3" s="1"/>
  <c r="H438" i="3"/>
  <c r="H452" i="3"/>
  <c r="H466" i="3"/>
  <c r="H480" i="3"/>
  <c r="N482" i="3" s="1"/>
  <c r="H494" i="3"/>
  <c r="H508" i="3"/>
  <c r="H522" i="3"/>
  <c r="H536" i="3"/>
  <c r="N538" i="3" s="1"/>
  <c r="H550" i="3"/>
  <c r="N567" i="3"/>
  <c r="N580" i="3"/>
  <c r="O597" i="3"/>
  <c r="O610" i="3"/>
  <c r="O623" i="3"/>
  <c r="O636" i="3"/>
  <c r="O649" i="3"/>
  <c r="O662" i="3"/>
  <c r="C140" i="7"/>
  <c r="N994" i="3"/>
  <c r="N1007" i="3"/>
  <c r="N1020" i="3"/>
  <c r="N1033" i="3"/>
  <c r="N1050" i="3"/>
  <c r="N1063" i="3"/>
  <c r="N1076" i="3"/>
  <c r="N1089" i="3"/>
  <c r="N1102" i="3"/>
  <c r="N1115" i="3"/>
  <c r="N1128" i="3"/>
  <c r="N1141" i="3"/>
  <c r="N1154" i="3"/>
  <c r="N1171" i="3"/>
  <c r="N1184" i="3"/>
  <c r="N1197" i="3"/>
  <c r="N1210" i="3"/>
  <c r="N1223" i="3"/>
  <c r="N1236" i="3"/>
  <c r="N1249" i="3"/>
  <c r="N1262" i="3"/>
  <c r="N1322" i="3"/>
  <c r="N1335" i="3"/>
  <c r="N1348" i="3"/>
  <c r="N1361" i="3"/>
  <c r="G150" i="7"/>
  <c r="E308" i="9" s="1"/>
  <c r="D295" i="9"/>
  <c r="O16" i="3"/>
  <c r="O29" i="3"/>
  <c r="O42" i="3"/>
  <c r="O55" i="3"/>
  <c r="O68" i="3"/>
  <c r="O81" i="3"/>
  <c r="O94" i="3"/>
  <c r="O107" i="3"/>
  <c r="O120" i="3"/>
  <c r="O133" i="3"/>
  <c r="O150" i="3"/>
  <c r="O163" i="3"/>
  <c r="O176" i="3"/>
  <c r="O189" i="3"/>
  <c r="O202" i="3"/>
  <c r="O215" i="3"/>
  <c r="O228" i="3"/>
  <c r="O241" i="3"/>
  <c r="O254" i="3"/>
  <c r="O267" i="3"/>
  <c r="H285" i="3"/>
  <c r="H299" i="3"/>
  <c r="H313" i="3"/>
  <c r="H327" i="3"/>
  <c r="H341" i="3"/>
  <c r="H355" i="3"/>
  <c r="H369" i="3"/>
  <c r="H383" i="3"/>
  <c r="H397" i="3"/>
  <c r="H411" i="3"/>
  <c r="H425" i="3"/>
  <c r="H439" i="3"/>
  <c r="H453" i="3"/>
  <c r="H467" i="3"/>
  <c r="H481" i="3"/>
  <c r="H495" i="3"/>
  <c r="H509" i="3"/>
  <c r="H523" i="3"/>
  <c r="H537" i="3"/>
  <c r="H551" i="3"/>
  <c r="N568" i="3"/>
  <c r="N581" i="3"/>
  <c r="O598" i="3"/>
  <c r="O611" i="3"/>
  <c r="O624" i="3"/>
  <c r="O637" i="3"/>
  <c r="O650" i="3"/>
  <c r="O663" i="3"/>
  <c r="C141" i="7"/>
  <c r="I680" i="3"/>
  <c r="I937" i="3"/>
  <c r="N995" i="3"/>
  <c r="N1008" i="3"/>
  <c r="N1021" i="3"/>
  <c r="N1034" i="3"/>
  <c r="N1051" i="3"/>
  <c r="N1064" i="3"/>
  <c r="N1077" i="3"/>
  <c r="N1090" i="3"/>
  <c r="N1103" i="3"/>
  <c r="N1116" i="3"/>
  <c r="N1129" i="3"/>
  <c r="N1142" i="3"/>
  <c r="N1155" i="3"/>
  <c r="N1172" i="3"/>
  <c r="N1185" i="3"/>
  <c r="N1198" i="3"/>
  <c r="N1211" i="3"/>
  <c r="N1224" i="3"/>
  <c r="N1237" i="3"/>
  <c r="N1250" i="3"/>
  <c r="N1263" i="3"/>
  <c r="N1323" i="3"/>
  <c r="N1336" i="3"/>
  <c r="N1349" i="3"/>
  <c r="N1362" i="3"/>
  <c r="E13" i="8"/>
  <c r="I42" i="14" s="1"/>
  <c r="H150" i="7"/>
  <c r="D296" i="9" s="1"/>
  <c r="E309" i="9"/>
  <c r="O17" i="3"/>
  <c r="O30" i="3"/>
  <c r="O43" i="3"/>
  <c r="O56" i="3"/>
  <c r="O69" i="3"/>
  <c r="O82" i="3"/>
  <c r="O95" i="3"/>
  <c r="O108" i="3"/>
  <c r="O121" i="3"/>
  <c r="O134" i="3"/>
  <c r="O151" i="3"/>
  <c r="O164" i="3"/>
  <c r="O177" i="3"/>
  <c r="O190" i="3"/>
  <c r="O203" i="3"/>
  <c r="O216" i="3"/>
  <c r="O229" i="3"/>
  <c r="O242" i="3"/>
  <c r="O255" i="3"/>
  <c r="O268" i="3"/>
  <c r="H286" i="3"/>
  <c r="H300" i="3"/>
  <c r="H314" i="3"/>
  <c r="H328" i="3"/>
  <c r="H342" i="3"/>
  <c r="H356" i="3"/>
  <c r="H370" i="3"/>
  <c r="H384" i="3"/>
  <c r="L384" i="3" s="1"/>
  <c r="H398" i="3"/>
  <c r="H412" i="3"/>
  <c r="H426" i="3"/>
  <c r="H440" i="3"/>
  <c r="H454" i="3"/>
  <c r="H468" i="3"/>
  <c r="H482" i="3"/>
  <c r="H496" i="3"/>
  <c r="H510" i="3"/>
  <c r="H524" i="3"/>
  <c r="H538" i="3"/>
  <c r="H552" i="3"/>
  <c r="N569" i="3"/>
  <c r="N582" i="3"/>
  <c r="O599" i="3"/>
  <c r="O612" i="3"/>
  <c r="O625" i="3"/>
  <c r="O638" i="3"/>
  <c r="O651" i="3"/>
  <c r="O664" i="3"/>
  <c r="C142" i="7"/>
  <c r="I938" i="3"/>
  <c r="N996" i="3"/>
  <c r="N1009" i="3"/>
  <c r="N1022" i="3"/>
  <c r="N1035" i="3"/>
  <c r="N1052" i="3"/>
  <c r="N1065" i="3"/>
  <c r="N1078" i="3"/>
  <c r="N1091" i="3"/>
  <c r="N1104" i="3"/>
  <c r="N1117" i="3"/>
  <c r="N1130" i="3"/>
  <c r="N1143" i="3"/>
  <c r="N1156" i="3"/>
  <c r="N1173" i="3"/>
  <c r="N1186" i="3"/>
  <c r="N1199" i="3"/>
  <c r="N1212" i="3"/>
  <c r="N1225" i="3"/>
  <c r="N1238" i="3"/>
  <c r="N1251" i="3"/>
  <c r="N1264" i="3"/>
  <c r="N1324" i="3"/>
  <c r="N1337" i="3"/>
  <c r="N1350" i="3"/>
  <c r="N1363" i="3"/>
  <c r="H8" i="8"/>
  <c r="I150" i="7"/>
  <c r="D297" i="9"/>
  <c r="E310" i="9"/>
  <c r="O18" i="3"/>
  <c r="O31" i="3"/>
  <c r="O44" i="3"/>
  <c r="O57" i="3"/>
  <c r="O70" i="3"/>
  <c r="O83" i="3"/>
  <c r="O96" i="3"/>
  <c r="O109" i="3"/>
  <c r="O122" i="3"/>
  <c r="O135" i="3"/>
  <c r="O152" i="3"/>
  <c r="O165" i="3"/>
  <c r="O178" i="3"/>
  <c r="O191" i="3"/>
  <c r="O204" i="3"/>
  <c r="O217" i="3"/>
  <c r="O230" i="3"/>
  <c r="O243" i="3"/>
  <c r="O256" i="3"/>
  <c r="O269" i="3"/>
  <c r="H287" i="3"/>
  <c r="H301" i="3"/>
  <c r="H315" i="3"/>
  <c r="H329" i="3"/>
  <c r="H343" i="3"/>
  <c r="H357" i="3"/>
  <c r="H371" i="3"/>
  <c r="H385" i="3"/>
  <c r="H399" i="3"/>
  <c r="H413" i="3"/>
  <c r="H427" i="3"/>
  <c r="H441" i="3"/>
  <c r="H455" i="3"/>
  <c r="H469" i="3"/>
  <c r="H483" i="3"/>
  <c r="H497" i="3"/>
  <c r="H511" i="3"/>
  <c r="H525" i="3"/>
  <c r="H539" i="3"/>
  <c r="H553" i="3"/>
  <c r="N570" i="3"/>
  <c r="N583" i="3"/>
  <c r="O600" i="3"/>
  <c r="O613" i="3"/>
  <c r="O626" i="3"/>
  <c r="O639" i="3"/>
  <c r="O652" i="3"/>
  <c r="O665" i="3"/>
  <c r="C143" i="7"/>
  <c r="I682" i="3"/>
  <c r="O708" i="3"/>
  <c r="I727" i="3"/>
  <c r="I939" i="3"/>
  <c r="N997" i="3"/>
  <c r="N1010" i="3"/>
  <c r="N1023" i="3"/>
  <c r="N1036" i="3"/>
  <c r="N1053" i="3"/>
  <c r="N1066" i="3"/>
  <c r="N1079" i="3"/>
  <c r="N1092" i="3"/>
  <c r="N1105" i="3"/>
  <c r="N1118" i="3"/>
  <c r="N1131" i="3"/>
  <c r="N1144" i="3"/>
  <c r="N1157" i="3"/>
  <c r="N1174" i="3"/>
  <c r="N1187" i="3"/>
  <c r="N1200" i="3"/>
  <c r="N1213" i="3"/>
  <c r="N1226" i="3"/>
  <c r="N1239" i="3"/>
  <c r="N1252" i="3"/>
  <c r="N1265" i="3"/>
  <c r="J1282" i="3"/>
  <c r="N1325" i="3"/>
  <c r="N1338" i="3"/>
  <c r="N1351" i="3"/>
  <c r="N1364" i="3"/>
  <c r="H9" i="8"/>
  <c r="J150" i="7"/>
  <c r="D298" i="9"/>
  <c r="E311" i="9"/>
  <c r="O19" i="3"/>
  <c r="O32" i="3"/>
  <c r="O45" i="3"/>
  <c r="O58" i="3"/>
  <c r="O71" i="3"/>
  <c r="O84" i="3"/>
  <c r="O97" i="3"/>
  <c r="O110" i="3"/>
  <c r="O123" i="3"/>
  <c r="O136" i="3"/>
  <c r="O153" i="3"/>
  <c r="O166" i="3"/>
  <c r="O179" i="3"/>
  <c r="O192" i="3"/>
  <c r="O205" i="3"/>
  <c r="O218" i="3"/>
  <c r="O231" i="3"/>
  <c r="O244" i="3"/>
  <c r="O257" i="3"/>
  <c r="O270" i="3"/>
  <c r="H288" i="3"/>
  <c r="H302" i="3"/>
  <c r="H316" i="3"/>
  <c r="H330" i="3"/>
  <c r="H344" i="3"/>
  <c r="H358" i="3"/>
  <c r="H372" i="3"/>
  <c r="H386" i="3"/>
  <c r="H400" i="3"/>
  <c r="H414" i="3"/>
  <c r="H428" i="3"/>
  <c r="H442" i="3"/>
  <c r="H456" i="3"/>
  <c r="H470" i="3"/>
  <c r="H484" i="3"/>
  <c r="H498" i="3"/>
  <c r="H512" i="3"/>
  <c r="H526" i="3"/>
  <c r="H540" i="3"/>
  <c r="H554" i="3"/>
  <c r="N571" i="3"/>
  <c r="N584" i="3"/>
  <c r="O601" i="3"/>
  <c r="O614" i="3"/>
  <c r="O627" i="3"/>
  <c r="O640" i="3"/>
  <c r="O653" i="3"/>
  <c r="O666" i="3"/>
  <c r="C144" i="7"/>
  <c r="I728" i="3" s="1"/>
  <c r="N998" i="3"/>
  <c r="N1011" i="3"/>
  <c r="N1024" i="3"/>
  <c r="N1037" i="3"/>
  <c r="N1054" i="3"/>
  <c r="N1067" i="3"/>
  <c r="N1080" i="3"/>
  <c r="N1093" i="3"/>
  <c r="N1106" i="3"/>
  <c r="N1119" i="3"/>
  <c r="N1132" i="3"/>
  <c r="N1145" i="3"/>
  <c r="N1158" i="3"/>
  <c r="N1175" i="3"/>
  <c r="N1188" i="3"/>
  <c r="N1201" i="3"/>
  <c r="N1214" i="3"/>
  <c r="N1227" i="3"/>
  <c r="N1240" i="3"/>
  <c r="N1253" i="3"/>
  <c r="N1266" i="3"/>
  <c r="J1283" i="3"/>
  <c r="N1326" i="3"/>
  <c r="N1339" i="3"/>
  <c r="N1352" i="3"/>
  <c r="N1365" i="3"/>
  <c r="H10" i="8"/>
  <c r="N39" i="14" s="1"/>
  <c r="K150" i="7"/>
  <c r="E312" i="9" s="1"/>
  <c r="D299" i="9"/>
  <c r="O20" i="3"/>
  <c r="O33" i="3"/>
  <c r="O46" i="3"/>
  <c r="O59" i="3"/>
  <c r="O72" i="3"/>
  <c r="O85" i="3"/>
  <c r="O98" i="3"/>
  <c r="O111" i="3"/>
  <c r="O124" i="3"/>
  <c r="O137" i="3"/>
  <c r="O154" i="3"/>
  <c r="O167" i="3"/>
  <c r="O180" i="3"/>
  <c r="O193" i="3"/>
  <c r="O206" i="3"/>
  <c r="O219" i="3"/>
  <c r="O232" i="3"/>
  <c r="O245" i="3"/>
  <c r="O258" i="3"/>
  <c r="O271" i="3"/>
  <c r="H289" i="3"/>
  <c r="H303" i="3"/>
  <c r="H317" i="3"/>
  <c r="H331" i="3"/>
  <c r="H345" i="3"/>
  <c r="H359" i="3"/>
  <c r="N356" i="3" s="1"/>
  <c r="H373" i="3"/>
  <c r="H387" i="3"/>
  <c r="H401" i="3"/>
  <c r="H415" i="3"/>
  <c r="H429" i="3"/>
  <c r="H443" i="3"/>
  <c r="H457" i="3"/>
  <c r="H471" i="3"/>
  <c r="N468" i="3" s="1"/>
  <c r="H485" i="3"/>
  <c r="H499" i="3"/>
  <c r="H513" i="3"/>
  <c r="H527" i="3"/>
  <c r="L527" i="3" s="1"/>
  <c r="H541" i="3"/>
  <c r="H555" i="3"/>
  <c r="N572" i="3"/>
  <c r="N585" i="3"/>
  <c r="S582" i="3" s="1"/>
  <c r="O602" i="3"/>
  <c r="O615" i="3"/>
  <c r="O628" i="3"/>
  <c r="O641" i="3"/>
  <c r="O654" i="3"/>
  <c r="O667" i="3"/>
  <c r="C145" i="7"/>
  <c r="H11" i="8" s="1"/>
  <c r="N40" i="14" s="1"/>
  <c r="I684" i="3"/>
  <c r="O710" i="3" s="1"/>
  <c r="N999" i="3"/>
  <c r="N1012" i="3"/>
  <c r="N1025" i="3"/>
  <c r="N1038" i="3"/>
  <c r="N1055" i="3"/>
  <c r="N1068" i="3"/>
  <c r="N1081" i="3"/>
  <c r="N1094" i="3"/>
  <c r="N1107" i="3"/>
  <c r="N1120" i="3"/>
  <c r="N1133" i="3"/>
  <c r="N1146" i="3"/>
  <c r="N1159" i="3"/>
  <c r="N1176" i="3"/>
  <c r="N1189" i="3"/>
  <c r="N1202" i="3"/>
  <c r="N1215" i="3"/>
  <c r="N1228" i="3"/>
  <c r="N1241" i="3"/>
  <c r="N1254" i="3"/>
  <c r="N1267" i="3"/>
  <c r="J1284" i="3"/>
  <c r="N1327" i="3"/>
  <c r="N1340" i="3"/>
  <c r="N1353" i="3"/>
  <c r="N1366" i="3"/>
  <c r="L150" i="7"/>
  <c r="M33" i="10"/>
  <c r="O21" i="3"/>
  <c r="O34" i="3"/>
  <c r="O47" i="3"/>
  <c r="O60" i="3"/>
  <c r="O73" i="3"/>
  <c r="O86" i="3"/>
  <c r="O99" i="3"/>
  <c r="O112" i="3"/>
  <c r="O125" i="3"/>
  <c r="O138" i="3"/>
  <c r="O155" i="3"/>
  <c r="O168" i="3"/>
  <c r="O181" i="3"/>
  <c r="O194" i="3"/>
  <c r="O207" i="3"/>
  <c r="O220" i="3"/>
  <c r="O233" i="3"/>
  <c r="O246" i="3"/>
  <c r="O259" i="3"/>
  <c r="O272" i="3"/>
  <c r="H290" i="3"/>
  <c r="H304" i="3"/>
  <c r="H318" i="3"/>
  <c r="L318" i="3" s="1"/>
  <c r="H332" i="3"/>
  <c r="H346" i="3"/>
  <c r="H360" i="3"/>
  <c r="H374" i="3"/>
  <c r="L374" i="3" s="1"/>
  <c r="H388" i="3"/>
  <c r="L388" i="3" s="1"/>
  <c r="H402" i="3"/>
  <c r="H416" i="3"/>
  <c r="H430" i="3"/>
  <c r="L430" i="3" s="1"/>
  <c r="H444" i="3"/>
  <c r="H458" i="3"/>
  <c r="H472" i="3"/>
  <c r="H486" i="3"/>
  <c r="L486" i="3" s="1"/>
  <c r="H500" i="3"/>
  <c r="H514" i="3"/>
  <c r="H528" i="3"/>
  <c r="H542" i="3"/>
  <c r="L542" i="3" s="1"/>
  <c r="H556" i="3"/>
  <c r="N573" i="3"/>
  <c r="N586" i="3"/>
  <c r="O603" i="3"/>
  <c r="O616" i="3"/>
  <c r="O629" i="3"/>
  <c r="O642" i="3"/>
  <c r="O655" i="3"/>
  <c r="O668" i="3"/>
  <c r="C146" i="7"/>
  <c r="N1000" i="3"/>
  <c r="N1013" i="3"/>
  <c r="N1026" i="3"/>
  <c r="N1039" i="3"/>
  <c r="N1056" i="3"/>
  <c r="N1069" i="3"/>
  <c r="N1082" i="3"/>
  <c r="N1095" i="3"/>
  <c r="N1108" i="3"/>
  <c r="N1121" i="3"/>
  <c r="N1134" i="3"/>
  <c r="N1147" i="3"/>
  <c r="N1160" i="3"/>
  <c r="N1177" i="3"/>
  <c r="N1190" i="3"/>
  <c r="N1203" i="3"/>
  <c r="N1216" i="3"/>
  <c r="N1229" i="3"/>
  <c r="N1242" i="3"/>
  <c r="N1255" i="3"/>
  <c r="N1268" i="3"/>
  <c r="N1328" i="3"/>
  <c r="N1341" i="3"/>
  <c r="N1354" i="3"/>
  <c r="N1367" i="3"/>
  <c r="D79" i="9"/>
  <c r="M150" i="7"/>
  <c r="D301" i="9" s="1"/>
  <c r="O22" i="3"/>
  <c r="O35" i="3"/>
  <c r="O48" i="3"/>
  <c r="O61" i="3"/>
  <c r="O74" i="3"/>
  <c r="O87" i="3"/>
  <c r="O100" i="3"/>
  <c r="O113" i="3"/>
  <c r="O126" i="3"/>
  <c r="O139" i="3"/>
  <c r="O156" i="3"/>
  <c r="O169" i="3"/>
  <c r="O182" i="3"/>
  <c r="O195" i="3"/>
  <c r="O208" i="3"/>
  <c r="O221" i="3"/>
  <c r="O234" i="3"/>
  <c r="O247" i="3"/>
  <c r="O260" i="3"/>
  <c r="O273" i="3"/>
  <c r="H291" i="3"/>
  <c r="H305" i="3"/>
  <c r="H319" i="3"/>
  <c r="H333" i="3"/>
  <c r="H347" i="3"/>
  <c r="H361" i="3"/>
  <c r="H375" i="3"/>
  <c r="H389" i="3"/>
  <c r="H403" i="3"/>
  <c r="H417" i="3"/>
  <c r="H431" i="3"/>
  <c r="H445" i="3"/>
  <c r="H459" i="3"/>
  <c r="H473" i="3"/>
  <c r="H487" i="3"/>
  <c r="H501" i="3"/>
  <c r="H515" i="3"/>
  <c r="H529" i="3"/>
  <c r="H543" i="3"/>
  <c r="H557" i="3"/>
  <c r="N574" i="3"/>
  <c r="N587" i="3"/>
  <c r="O604" i="3"/>
  <c r="O617" i="3"/>
  <c r="O630" i="3"/>
  <c r="O643" i="3"/>
  <c r="O656" i="3"/>
  <c r="O669" i="3"/>
  <c r="C147" i="7"/>
  <c r="I686" i="3" s="1"/>
  <c r="I731" i="3"/>
  <c r="I943" i="3"/>
  <c r="N1001" i="3"/>
  <c r="N1014" i="3"/>
  <c r="N1027" i="3"/>
  <c r="N1040" i="3"/>
  <c r="N1057" i="3"/>
  <c r="N1070" i="3"/>
  <c r="N1083" i="3"/>
  <c r="N1096" i="3"/>
  <c r="N1109" i="3"/>
  <c r="N1122" i="3"/>
  <c r="N1135" i="3"/>
  <c r="N1148" i="3"/>
  <c r="N1161" i="3"/>
  <c r="N1178" i="3"/>
  <c r="N1191" i="3"/>
  <c r="N1204" i="3"/>
  <c r="N1217" i="3"/>
  <c r="N1230" i="3"/>
  <c r="N1243" i="3"/>
  <c r="N1256" i="3"/>
  <c r="N1269" i="3"/>
  <c r="J1286" i="3"/>
  <c r="N1329" i="3"/>
  <c r="N1342" i="3"/>
  <c r="N1355" i="3"/>
  <c r="N1368" i="3"/>
  <c r="H13" i="8"/>
  <c r="N150" i="7"/>
  <c r="D302" i="9" s="1"/>
  <c r="E315" i="9"/>
  <c r="F1402" i="3"/>
  <c r="I11" i="10"/>
  <c r="J32" i="1"/>
  <c r="J5" i="10" s="1"/>
  <c r="J33" i="1"/>
  <c r="J6" i="10" s="1"/>
  <c r="D136" i="7"/>
  <c r="J7" i="10"/>
  <c r="J8" i="10" s="1"/>
  <c r="I83" i="6"/>
  <c r="J83" i="6"/>
  <c r="K83" i="6"/>
  <c r="I32" i="13"/>
  <c r="B7" i="20"/>
  <c r="I14" i="20"/>
  <c r="H14" i="20"/>
  <c r="B1" i="11"/>
  <c r="H25" i="20"/>
  <c r="H13" i="20"/>
  <c r="H21" i="20"/>
  <c r="H22" i="20"/>
  <c r="H23" i="20"/>
  <c r="H24" i="20"/>
  <c r="H26" i="20"/>
  <c r="H28" i="20"/>
  <c r="H29" i="20"/>
  <c r="H31" i="20"/>
  <c r="H32" i="20"/>
  <c r="H33" i="20"/>
  <c r="H34" i="20"/>
  <c r="H35" i="20"/>
  <c r="H16" i="20"/>
  <c r="H18" i="20"/>
  <c r="F136" i="7"/>
  <c r="H15" i="20" s="1"/>
  <c r="H44" i="20"/>
  <c r="L9" i="3"/>
  <c r="I9" i="14"/>
  <c r="I32" i="14"/>
  <c r="P29" i="9"/>
  <c r="Z30" i="9"/>
  <c r="AA30" i="9"/>
  <c r="AF30" i="9"/>
  <c r="U29" i="9"/>
  <c r="V29" i="9"/>
  <c r="AC29" i="9"/>
  <c r="AG29" i="9"/>
  <c r="AH29" i="9"/>
  <c r="I39" i="14"/>
  <c r="N37" i="14"/>
  <c r="N38" i="14"/>
  <c r="N42" i="14"/>
  <c r="T592" i="3"/>
  <c r="U657" i="3" s="1"/>
  <c r="H11" i="3"/>
  <c r="N11" i="3"/>
  <c r="L23" i="3"/>
  <c r="G24" i="3" s="1"/>
  <c r="L36" i="3"/>
  <c r="G37" i="3"/>
  <c r="L49" i="3"/>
  <c r="L62" i="3"/>
  <c r="G63" i="3"/>
  <c r="L75" i="3"/>
  <c r="G76" i="3" s="1"/>
  <c r="L88" i="3"/>
  <c r="G89" i="3"/>
  <c r="L101" i="3"/>
  <c r="G102" i="3" s="1"/>
  <c r="L114" i="3"/>
  <c r="G115" i="3" s="1"/>
  <c r="L127" i="3"/>
  <c r="L144" i="3"/>
  <c r="G145" i="3" s="1"/>
  <c r="N145" i="3"/>
  <c r="L157" i="3"/>
  <c r="L170" i="3"/>
  <c r="G171" i="3"/>
  <c r="L183" i="3"/>
  <c r="L196" i="3"/>
  <c r="G197" i="3" s="1"/>
  <c r="L209" i="3"/>
  <c r="G210" i="3"/>
  <c r="L222" i="3"/>
  <c r="L235" i="3"/>
  <c r="G236" i="3"/>
  <c r="L248" i="3"/>
  <c r="G249" i="3" s="1"/>
  <c r="L261" i="3"/>
  <c r="G262" i="3" s="1"/>
  <c r="L278" i="3"/>
  <c r="C280" i="3"/>
  <c r="F280" i="3"/>
  <c r="B284" i="3"/>
  <c r="L292" i="3"/>
  <c r="C294" i="3" s="1"/>
  <c r="L306" i="3"/>
  <c r="L320" i="3"/>
  <c r="C322" i="3"/>
  <c r="L334" i="3"/>
  <c r="L348" i="3"/>
  <c r="L362" i="3"/>
  <c r="C364" i="3"/>
  <c r="L376" i="3"/>
  <c r="C378" i="3" s="1"/>
  <c r="L390" i="3"/>
  <c r="C392" i="3"/>
  <c r="L404" i="3"/>
  <c r="L418" i="3"/>
  <c r="C420" i="3"/>
  <c r="L432" i="3"/>
  <c r="C434" i="3"/>
  <c r="L446" i="3"/>
  <c r="C448" i="3"/>
  <c r="L460" i="3"/>
  <c r="C462" i="3" s="1"/>
  <c r="L474" i="3"/>
  <c r="L488" i="3"/>
  <c r="C490" i="3" s="1"/>
  <c r="L502" i="3"/>
  <c r="C504" i="3" s="1"/>
  <c r="L516" i="3"/>
  <c r="L530" i="3"/>
  <c r="L544" i="3"/>
  <c r="C546" i="3"/>
  <c r="L562" i="3"/>
  <c r="L575" i="3"/>
  <c r="L592" i="3"/>
  <c r="F593" i="3"/>
  <c r="G593" i="3"/>
  <c r="N593" i="3"/>
  <c r="L605" i="3"/>
  <c r="F606" i="3" s="1"/>
  <c r="L618" i="3"/>
  <c r="L631" i="3"/>
  <c r="F632" i="3" s="1"/>
  <c r="L644" i="3"/>
  <c r="F645" i="3"/>
  <c r="L657" i="3"/>
  <c r="F658" i="3" s="1"/>
  <c r="G43" i="6"/>
  <c r="G44" i="6"/>
  <c r="G45" i="6"/>
  <c r="G46" i="6"/>
  <c r="G47" i="6"/>
  <c r="G48" i="6"/>
  <c r="I43" i="6"/>
  <c r="L989" i="3"/>
  <c r="I990" i="3"/>
  <c r="O990" i="3"/>
  <c r="L1002" i="3"/>
  <c r="L1015" i="3"/>
  <c r="H1016" i="3"/>
  <c r="L1028" i="3"/>
  <c r="H1029" i="3" s="1"/>
  <c r="L1045" i="3"/>
  <c r="O1046" i="3"/>
  <c r="L1058" i="3"/>
  <c r="H1059" i="3"/>
  <c r="L1071" i="3"/>
  <c r="L1084" i="3"/>
  <c r="L1097" i="3"/>
  <c r="H1098" i="3" s="1"/>
  <c r="L1110" i="3"/>
  <c r="H1111" i="3" s="1"/>
  <c r="L1123" i="3"/>
  <c r="L1136" i="3"/>
  <c r="L1149" i="3"/>
  <c r="H1150" i="3" s="1"/>
  <c r="L1166" i="3"/>
  <c r="H1167" i="3"/>
  <c r="I1167" i="3"/>
  <c r="O1167" i="3"/>
  <c r="L1179" i="3"/>
  <c r="L1192" i="3"/>
  <c r="L1205" i="3"/>
  <c r="H1206" i="3" s="1"/>
  <c r="L1218" i="3"/>
  <c r="L1231" i="3"/>
  <c r="L1244" i="3"/>
  <c r="L1257" i="3"/>
  <c r="H1258" i="3" s="1"/>
  <c r="L1317" i="3"/>
  <c r="H1318" i="3" s="1"/>
  <c r="I1318" i="3"/>
  <c r="O1318" i="3"/>
  <c r="L1330" i="3"/>
  <c r="L1343" i="3"/>
  <c r="H1344" i="3"/>
  <c r="L1356" i="3"/>
  <c r="K1433" i="3"/>
  <c r="K1434" i="3"/>
  <c r="T23" i="3"/>
  <c r="T36" i="3"/>
  <c r="T49" i="3"/>
  <c r="T62" i="3"/>
  <c r="T75" i="3"/>
  <c r="T88" i="3"/>
  <c r="T101" i="3"/>
  <c r="T114" i="3"/>
  <c r="T127" i="3"/>
  <c r="T144" i="3"/>
  <c r="T157" i="3"/>
  <c r="T170" i="3"/>
  <c r="T183" i="3"/>
  <c r="T196" i="3"/>
  <c r="T209" i="3"/>
  <c r="T222" i="3"/>
  <c r="T235" i="3"/>
  <c r="T248" i="3"/>
  <c r="T261" i="3"/>
  <c r="U261" i="3"/>
  <c r="T544" i="3"/>
  <c r="T530" i="3"/>
  <c r="T516" i="3"/>
  <c r="T502" i="3"/>
  <c r="T488" i="3"/>
  <c r="T474" i="3"/>
  <c r="T460" i="3"/>
  <c r="T446" i="3"/>
  <c r="T432" i="3"/>
  <c r="T418" i="3"/>
  <c r="T404" i="3"/>
  <c r="T390" i="3"/>
  <c r="T376" i="3"/>
  <c r="T362" i="3"/>
  <c r="T348" i="3"/>
  <c r="T334" i="3"/>
  <c r="U575" i="3" s="1"/>
  <c r="T320" i="3"/>
  <c r="T306" i="3"/>
  <c r="T292" i="3"/>
  <c r="T278" i="3"/>
  <c r="T562" i="3"/>
  <c r="T575" i="3"/>
  <c r="T605" i="3"/>
  <c r="T618" i="3"/>
  <c r="T631" i="3"/>
  <c r="T644" i="3"/>
  <c r="T657" i="3"/>
  <c r="T674" i="3"/>
  <c r="T687" i="3"/>
  <c r="T700" i="3"/>
  <c r="U700" i="3"/>
  <c r="T719" i="3"/>
  <c r="T732" i="3"/>
  <c r="T745" i="3"/>
  <c r="T758" i="3"/>
  <c r="T771" i="3"/>
  <c r="T784" i="3"/>
  <c r="T797" i="3"/>
  <c r="T810" i="3"/>
  <c r="T823" i="3"/>
  <c r="T836" i="3"/>
  <c r="T849" i="3"/>
  <c r="T862" i="3"/>
  <c r="T875" i="3"/>
  <c r="T888" i="3"/>
  <c r="T901" i="3"/>
  <c r="T914" i="3"/>
  <c r="T931" i="3"/>
  <c r="T944" i="3"/>
  <c r="T957" i="3"/>
  <c r="T970" i="3"/>
  <c r="U970" i="3"/>
  <c r="T989" i="3"/>
  <c r="T1002" i="3"/>
  <c r="T1015" i="3"/>
  <c r="T1028" i="3"/>
  <c r="T1045" i="3"/>
  <c r="T1058" i="3"/>
  <c r="T1071" i="3"/>
  <c r="T1084" i="3"/>
  <c r="T1097" i="3"/>
  <c r="T1110" i="3"/>
  <c r="T1123" i="3"/>
  <c r="T1136" i="3"/>
  <c r="T1149" i="3"/>
  <c r="T1166" i="3"/>
  <c r="T1179" i="3"/>
  <c r="T1192" i="3"/>
  <c r="T1205" i="3"/>
  <c r="T1218" i="3"/>
  <c r="T1231" i="3"/>
  <c r="T1244" i="3"/>
  <c r="T1257" i="3"/>
  <c r="T1274" i="3"/>
  <c r="U1300" i="3" s="1"/>
  <c r="T1287" i="3"/>
  <c r="T1300" i="3"/>
  <c r="T1317" i="3"/>
  <c r="T1330" i="3"/>
  <c r="T1343" i="3"/>
  <c r="T1356" i="3"/>
  <c r="U1356" i="3"/>
  <c r="H13" i="3"/>
  <c r="H147" i="3"/>
  <c r="F282" i="3"/>
  <c r="G595" i="3"/>
  <c r="I992" i="3"/>
  <c r="I1048" i="3"/>
  <c r="I1169" i="3"/>
  <c r="I1320" i="3"/>
  <c r="H14" i="3"/>
  <c r="H148" i="3"/>
  <c r="F283" i="3"/>
  <c r="G596" i="3"/>
  <c r="I993" i="3"/>
  <c r="I1049" i="3"/>
  <c r="I1170" i="3"/>
  <c r="I1321" i="3"/>
  <c r="H15" i="3"/>
  <c r="I1322" i="3"/>
  <c r="H16" i="3"/>
  <c r="H150" i="3"/>
  <c r="F285" i="3"/>
  <c r="I995" i="3"/>
  <c r="I1051" i="3"/>
  <c r="I1172" i="3"/>
  <c r="H17" i="3"/>
  <c r="H151" i="3"/>
  <c r="F286" i="3"/>
  <c r="I996" i="3"/>
  <c r="I1052" i="3"/>
  <c r="I1173" i="3"/>
  <c r="H18" i="3"/>
  <c r="H152" i="3"/>
  <c r="F287" i="3"/>
  <c r="G600" i="3"/>
  <c r="I997" i="3"/>
  <c r="I1053" i="3"/>
  <c r="I1174" i="3"/>
  <c r="I1325" i="3"/>
  <c r="H19" i="3"/>
  <c r="H153" i="3"/>
  <c r="F288" i="3"/>
  <c r="G601" i="3"/>
  <c r="I998" i="3"/>
  <c r="I1054" i="3"/>
  <c r="I1175" i="3"/>
  <c r="I1326" i="3"/>
  <c r="H20" i="3"/>
  <c r="H154" i="3"/>
  <c r="F289" i="3"/>
  <c r="G602" i="3"/>
  <c r="I999" i="3"/>
  <c r="I1055" i="3"/>
  <c r="I1176" i="3"/>
  <c r="I1327" i="3"/>
  <c r="H21" i="3"/>
  <c r="H155" i="3"/>
  <c r="F290" i="3"/>
  <c r="G603" i="3"/>
  <c r="I1000" i="3"/>
  <c r="I1056" i="3"/>
  <c r="I1177" i="3"/>
  <c r="I1328" i="3"/>
  <c r="H22" i="3"/>
  <c r="H156" i="3"/>
  <c r="F291" i="3"/>
  <c r="G604" i="3"/>
  <c r="I1001" i="3"/>
  <c r="I1057" i="3"/>
  <c r="I1178" i="3"/>
  <c r="I1329" i="3"/>
  <c r="F1403" i="3"/>
  <c r="F1405" i="3" s="1"/>
  <c r="I10" i="10" s="1"/>
  <c r="G74" i="13" s="1"/>
  <c r="G50" i="13"/>
  <c r="B50" i="13"/>
  <c r="B42" i="13"/>
  <c r="Z48" i="19"/>
  <c r="D25" i="19"/>
  <c r="AD14" i="19" s="1"/>
  <c r="B53" i="19"/>
  <c r="AJ48" i="19"/>
  <c r="C161" i="7"/>
  <c r="C165" i="7"/>
  <c r="H29" i="9"/>
  <c r="I29" i="9" s="1"/>
  <c r="N29" i="9"/>
  <c r="E29" i="9"/>
  <c r="F29" i="9"/>
  <c r="G29" i="9"/>
  <c r="C153" i="7"/>
  <c r="P42" i="9"/>
  <c r="H42" i="9"/>
  <c r="I42" i="9" s="1"/>
  <c r="K42" i="9"/>
  <c r="U42" i="9"/>
  <c r="V42" i="9"/>
  <c r="X42" i="9"/>
  <c r="Y42" i="9"/>
  <c r="AA42" i="9"/>
  <c r="AD42" i="9"/>
  <c r="AE42" i="9"/>
  <c r="AF42" i="9"/>
  <c r="AI42" i="9"/>
  <c r="N42" i="9"/>
  <c r="E42" i="9"/>
  <c r="F42" i="9"/>
  <c r="G42" i="9"/>
  <c r="C157" i="7"/>
  <c r="P55" i="9"/>
  <c r="Z55" i="9" s="1"/>
  <c r="H55" i="9"/>
  <c r="I55" i="9"/>
  <c r="Y55" i="9"/>
  <c r="AF55" i="9"/>
  <c r="AG55" i="9"/>
  <c r="N55" i="9"/>
  <c r="E55" i="9"/>
  <c r="F55" i="9"/>
  <c r="G55" i="9"/>
  <c r="P68" i="9"/>
  <c r="Y68" i="9" s="1"/>
  <c r="H68" i="9"/>
  <c r="I68" i="9"/>
  <c r="M68" i="9"/>
  <c r="U68" i="9"/>
  <c r="V68" i="9"/>
  <c r="X68" i="9"/>
  <c r="Z68" i="9"/>
  <c r="AB68" i="9"/>
  <c r="AC68" i="9"/>
  <c r="AD68" i="9"/>
  <c r="AF68" i="9"/>
  <c r="AH68" i="9"/>
  <c r="AJ68" i="9"/>
  <c r="N68" i="9"/>
  <c r="E68" i="9"/>
  <c r="F68" i="9"/>
  <c r="G68" i="9"/>
  <c r="P81" i="9"/>
  <c r="H81" i="9"/>
  <c r="I81" i="9" s="1"/>
  <c r="N81" i="9"/>
  <c r="E81" i="9"/>
  <c r="F81" i="9"/>
  <c r="G81" i="9"/>
  <c r="P94" i="9"/>
  <c r="H94" i="9"/>
  <c r="I94" i="9"/>
  <c r="X94" i="9"/>
  <c r="N94" i="9"/>
  <c r="E94" i="9"/>
  <c r="F94" i="9"/>
  <c r="G94" i="9"/>
  <c r="P107" i="9"/>
  <c r="H107" i="9"/>
  <c r="I107" i="9" s="1"/>
  <c r="Z107" i="9"/>
  <c r="AF107" i="9"/>
  <c r="AH107" i="9"/>
  <c r="N107" i="9"/>
  <c r="E107" i="9"/>
  <c r="F107" i="9"/>
  <c r="G107" i="9"/>
  <c r="P120" i="9"/>
  <c r="H120" i="9"/>
  <c r="I120" i="9" s="1"/>
  <c r="M120" i="9"/>
  <c r="U120" i="9"/>
  <c r="V120" i="9"/>
  <c r="Z120" i="9"/>
  <c r="AB120" i="9"/>
  <c r="AC120" i="9"/>
  <c r="AF120" i="9"/>
  <c r="AH120" i="9"/>
  <c r="AJ120" i="9"/>
  <c r="N120" i="9"/>
  <c r="E120" i="9"/>
  <c r="F120" i="9"/>
  <c r="G120" i="9"/>
  <c r="P133" i="9"/>
  <c r="H133" i="9"/>
  <c r="I133" i="9"/>
  <c r="X133" i="9"/>
  <c r="Y133" i="9"/>
  <c r="Z133" i="9"/>
  <c r="AF133" i="9"/>
  <c r="AG133" i="9"/>
  <c r="AH133" i="9"/>
  <c r="N133" i="9"/>
  <c r="E133" i="9"/>
  <c r="F133" i="9"/>
  <c r="G133" i="9"/>
  <c r="P146" i="9"/>
  <c r="H146" i="9"/>
  <c r="I146" i="9"/>
  <c r="U146" i="9"/>
  <c r="V146" i="9"/>
  <c r="X146" i="9"/>
  <c r="AB146" i="9"/>
  <c r="AC146" i="9"/>
  <c r="AD146" i="9"/>
  <c r="AH146" i="9"/>
  <c r="AJ146" i="9"/>
  <c r="N146" i="9"/>
  <c r="E146" i="9"/>
  <c r="F146" i="9"/>
  <c r="G146" i="9"/>
  <c r="P159" i="9"/>
  <c r="H159" i="9"/>
  <c r="I159" i="9"/>
  <c r="Y159" i="9"/>
  <c r="N159" i="9"/>
  <c r="E159" i="9"/>
  <c r="F159" i="9"/>
  <c r="G159" i="9"/>
  <c r="P172" i="9"/>
  <c r="D183" i="9" s="1"/>
  <c r="H172" i="9"/>
  <c r="I172" i="9"/>
  <c r="M172" i="9"/>
  <c r="U172" i="9"/>
  <c r="V172" i="9"/>
  <c r="X172" i="9"/>
  <c r="Z172" i="9"/>
  <c r="AB172" i="9"/>
  <c r="AC172" i="9"/>
  <c r="AD172" i="9"/>
  <c r="AF172" i="9"/>
  <c r="AH172" i="9"/>
  <c r="AJ172" i="9"/>
  <c r="N172" i="9"/>
  <c r="E172" i="9"/>
  <c r="F172" i="9"/>
  <c r="G172" i="9"/>
  <c r="P185" i="9"/>
  <c r="H185" i="9"/>
  <c r="I185" i="9" s="1"/>
  <c r="K185" i="9"/>
  <c r="U185" i="9"/>
  <c r="W185" i="9"/>
  <c r="X185" i="9"/>
  <c r="AA185" i="9"/>
  <c r="AB185" i="9"/>
  <c r="AC185" i="9"/>
  <c r="AF185" i="9"/>
  <c r="AG185" i="9"/>
  <c r="AI185" i="9"/>
  <c r="N185" i="9"/>
  <c r="E185" i="9"/>
  <c r="F185" i="9"/>
  <c r="G185" i="9"/>
  <c r="P198" i="9"/>
  <c r="W198" i="9" s="1"/>
  <c r="H198" i="9"/>
  <c r="I198" i="9"/>
  <c r="N198" i="9"/>
  <c r="E198" i="9"/>
  <c r="F198" i="9"/>
  <c r="G198" i="9"/>
  <c r="P211" i="9"/>
  <c r="H211" i="9"/>
  <c r="I211" i="9" s="1"/>
  <c r="K211" i="9"/>
  <c r="U211" i="9"/>
  <c r="W211" i="9"/>
  <c r="X211" i="9"/>
  <c r="AA211" i="9"/>
  <c r="AB211" i="9"/>
  <c r="AC211" i="9"/>
  <c r="AF211" i="9"/>
  <c r="AG211" i="9"/>
  <c r="AI211" i="9"/>
  <c r="N211" i="9"/>
  <c r="E211" i="9"/>
  <c r="F211" i="9"/>
  <c r="G211" i="9"/>
  <c r="P224" i="9"/>
  <c r="H224" i="9"/>
  <c r="I224" i="9" s="1"/>
  <c r="X224" i="9"/>
  <c r="Y224" i="9"/>
  <c r="Z224" i="9"/>
  <c r="AF224" i="9"/>
  <c r="AG224" i="9"/>
  <c r="AH224" i="9"/>
  <c r="N224" i="9"/>
  <c r="E224" i="9"/>
  <c r="F224" i="9"/>
  <c r="G224" i="9"/>
  <c r="P237" i="9"/>
  <c r="H237" i="9"/>
  <c r="I237" i="9" s="1"/>
  <c r="AC237" i="9"/>
  <c r="AD237" i="9"/>
  <c r="N237" i="9"/>
  <c r="E237" i="9"/>
  <c r="F237" i="9"/>
  <c r="G237" i="9"/>
  <c r="P250" i="9"/>
  <c r="H250" i="9"/>
  <c r="I250" i="9"/>
  <c r="M250" i="9"/>
  <c r="X250" i="9"/>
  <c r="Z250" i="9"/>
  <c r="AD250" i="9"/>
  <c r="AI250" i="9"/>
  <c r="AJ250" i="9"/>
  <c r="N250" i="9"/>
  <c r="E250" i="9"/>
  <c r="F250" i="9"/>
  <c r="G250" i="9"/>
  <c r="P263" i="9"/>
  <c r="H263" i="9"/>
  <c r="I263" i="9"/>
  <c r="N263" i="9"/>
  <c r="E263" i="9"/>
  <c r="F263" i="9"/>
  <c r="G263" i="9"/>
  <c r="P276" i="9"/>
  <c r="H276" i="9"/>
  <c r="I276" i="9"/>
  <c r="N276" i="9"/>
  <c r="E276" i="9"/>
  <c r="F276" i="9"/>
  <c r="G276" i="9"/>
  <c r="N290" i="9"/>
  <c r="E290" i="9"/>
  <c r="Q290" i="9" s="1"/>
  <c r="L290" i="9"/>
  <c r="J290" i="9"/>
  <c r="H290" i="9"/>
  <c r="I290" i="9"/>
  <c r="G290" i="9"/>
  <c r="F290" i="9"/>
  <c r="E303" i="9"/>
  <c r="K303" i="9"/>
  <c r="F303" i="9"/>
  <c r="G303" i="9"/>
  <c r="D161" i="7"/>
  <c r="D165" i="7"/>
  <c r="D153" i="7"/>
  <c r="D155" i="7" s="1"/>
  <c r="D154" i="7" s="1"/>
  <c r="D151" i="7"/>
  <c r="D152" i="7" s="1"/>
  <c r="D157" i="7"/>
  <c r="D159" i="7"/>
  <c r="E161" i="7"/>
  <c r="E165" i="7"/>
  <c r="E153" i="7"/>
  <c r="E155" i="7" s="1"/>
  <c r="E154" i="7" s="1"/>
  <c r="E157" i="7"/>
  <c r="E159" i="7"/>
  <c r="F161" i="7"/>
  <c r="F165" i="7"/>
  <c r="F153" i="7"/>
  <c r="F157" i="7"/>
  <c r="O157" i="7" s="1"/>
  <c r="F155" i="7"/>
  <c r="F154" i="7" s="1"/>
  <c r="G161" i="7"/>
  <c r="G165" i="7"/>
  <c r="G153" i="7"/>
  <c r="G155" i="7" s="1"/>
  <c r="G154" i="7" s="1"/>
  <c r="G151" i="7"/>
  <c r="G157" i="7"/>
  <c r="G166" i="7"/>
  <c r="G152" i="7"/>
  <c r="H161" i="7"/>
  <c r="H165" i="7"/>
  <c r="H153" i="7"/>
  <c r="H155" i="7" s="1"/>
  <c r="H154" i="7" s="1"/>
  <c r="H151" i="7"/>
  <c r="H157" i="7"/>
  <c r="H159" i="7"/>
  <c r="I161" i="7"/>
  <c r="I165" i="7"/>
  <c r="I153" i="7"/>
  <c r="I157" i="7"/>
  <c r="I155" i="7"/>
  <c r="I154" i="7" s="1"/>
  <c r="I159" i="7"/>
  <c r="J161" i="7"/>
  <c r="J165" i="7"/>
  <c r="J153" i="7"/>
  <c r="J157" i="7"/>
  <c r="J155" i="7"/>
  <c r="J154" i="7" s="1"/>
  <c r="K161" i="7"/>
  <c r="K165" i="7"/>
  <c r="K153" i="7"/>
  <c r="K151" i="7"/>
  <c r="K166" i="7" s="1"/>
  <c r="K157" i="7"/>
  <c r="L161" i="7"/>
  <c r="L165" i="7"/>
  <c r="L153" i="7"/>
  <c r="L155" i="7" s="1"/>
  <c r="L154" i="7" s="1"/>
  <c r="L151" i="7"/>
  <c r="L152" i="7" s="1"/>
  <c r="L157" i="7"/>
  <c r="L159" i="7"/>
  <c r="M161" i="7"/>
  <c r="M165" i="7"/>
  <c r="M153" i="7"/>
  <c r="M155" i="7" s="1"/>
  <c r="M154" i="7" s="1"/>
  <c r="M157" i="7"/>
  <c r="M159" i="7"/>
  <c r="N161" i="7"/>
  <c r="N165" i="7"/>
  <c r="N153" i="7"/>
  <c r="N157" i="7"/>
  <c r="N155" i="7"/>
  <c r="N154" i="7" s="1"/>
  <c r="E136" i="7"/>
  <c r="B11" i="8" s="1"/>
  <c r="N34" i="14" s="1"/>
  <c r="E37" i="13"/>
  <c r="E36" i="13"/>
  <c r="C31" i="13"/>
  <c r="K9" i="14"/>
  <c r="AB264" i="9"/>
  <c r="V251" i="9"/>
  <c r="Z251" i="9"/>
  <c r="AA251" i="9"/>
  <c r="AD251" i="9"/>
  <c r="AH251" i="9"/>
  <c r="AI251" i="9"/>
  <c r="V238" i="9"/>
  <c r="AA238" i="9"/>
  <c r="AD238" i="9"/>
  <c r="AI238" i="9"/>
  <c r="U225" i="9"/>
  <c r="V225" i="9"/>
  <c r="W225" i="9"/>
  <c r="X225" i="9"/>
  <c r="Y225" i="9"/>
  <c r="Z225" i="9"/>
  <c r="AA225" i="9"/>
  <c r="AB225" i="9"/>
  <c r="AC225" i="9"/>
  <c r="AD225" i="9"/>
  <c r="AE225" i="9"/>
  <c r="AF225" i="9"/>
  <c r="AG225" i="9"/>
  <c r="AH225" i="9"/>
  <c r="AI225" i="9"/>
  <c r="AJ225" i="9"/>
  <c r="U212" i="9"/>
  <c r="V212" i="9"/>
  <c r="W212" i="9"/>
  <c r="Y212" i="9"/>
  <c r="Z212" i="9"/>
  <c r="AA212" i="9"/>
  <c r="AC212" i="9"/>
  <c r="AD212" i="9"/>
  <c r="AE212" i="9"/>
  <c r="AG212" i="9"/>
  <c r="AH212" i="9"/>
  <c r="AI212" i="9"/>
  <c r="U199" i="9"/>
  <c r="V199" i="9"/>
  <c r="W199" i="9"/>
  <c r="Y199" i="9"/>
  <c r="Z199" i="9"/>
  <c r="AA199" i="9"/>
  <c r="AC199" i="9"/>
  <c r="AD199" i="9"/>
  <c r="AE199" i="9"/>
  <c r="AG199" i="9"/>
  <c r="AH199" i="9"/>
  <c r="AI199" i="9"/>
  <c r="U186" i="9"/>
  <c r="V186" i="9"/>
  <c r="W186" i="9"/>
  <c r="Y186" i="9"/>
  <c r="Z186" i="9"/>
  <c r="AA186" i="9"/>
  <c r="AC186" i="9"/>
  <c r="AD186" i="9"/>
  <c r="AE186" i="9"/>
  <c r="AG186" i="9"/>
  <c r="AH186" i="9"/>
  <c r="AI186" i="9"/>
  <c r="U173" i="9"/>
  <c r="V173" i="9"/>
  <c r="W173" i="9"/>
  <c r="X173" i="9"/>
  <c r="Y173" i="9"/>
  <c r="Z173" i="9"/>
  <c r="AA173" i="9"/>
  <c r="AB173" i="9"/>
  <c r="AC173" i="9"/>
  <c r="AD173" i="9"/>
  <c r="AE173" i="9"/>
  <c r="AF173" i="9"/>
  <c r="AG173" i="9"/>
  <c r="AH173" i="9"/>
  <c r="AI173" i="9"/>
  <c r="AJ173" i="9"/>
  <c r="U160" i="9"/>
  <c r="AC160" i="9"/>
  <c r="U147" i="9"/>
  <c r="V147" i="9"/>
  <c r="W147" i="9"/>
  <c r="X147" i="9"/>
  <c r="Y147" i="9"/>
  <c r="Z147" i="9"/>
  <c r="AA147" i="9"/>
  <c r="AB147" i="9"/>
  <c r="AC147" i="9"/>
  <c r="AD147" i="9"/>
  <c r="AE147" i="9"/>
  <c r="AF147" i="9"/>
  <c r="AG147" i="9"/>
  <c r="AH147" i="9"/>
  <c r="AI147" i="9"/>
  <c r="AJ147" i="9"/>
  <c r="U134" i="9"/>
  <c r="V134" i="9"/>
  <c r="W134" i="9"/>
  <c r="X134" i="9"/>
  <c r="Y134" i="9"/>
  <c r="Z134" i="9"/>
  <c r="AA134" i="9"/>
  <c r="AB134" i="9"/>
  <c r="AC134" i="9"/>
  <c r="AD134" i="9"/>
  <c r="AE134" i="9"/>
  <c r="AF134" i="9"/>
  <c r="AG134" i="9"/>
  <c r="AH134" i="9"/>
  <c r="AI134" i="9"/>
  <c r="AJ134" i="9"/>
  <c r="U121" i="9"/>
  <c r="V121" i="9"/>
  <c r="W121" i="9"/>
  <c r="X121" i="9"/>
  <c r="Y121" i="9"/>
  <c r="Z121" i="9"/>
  <c r="AA121" i="9"/>
  <c r="AB121" i="9"/>
  <c r="AC121" i="9"/>
  <c r="AD121" i="9"/>
  <c r="AE121" i="9"/>
  <c r="AF121" i="9"/>
  <c r="AG121" i="9"/>
  <c r="AH121" i="9"/>
  <c r="AI121" i="9"/>
  <c r="AJ121" i="9"/>
  <c r="U108" i="9"/>
  <c r="V108" i="9"/>
  <c r="X108" i="9"/>
  <c r="Y108" i="9"/>
  <c r="Z108" i="9"/>
  <c r="AB108" i="9"/>
  <c r="AC108" i="9"/>
  <c r="AD108" i="9"/>
  <c r="AF108" i="9"/>
  <c r="AG108" i="9"/>
  <c r="AH108" i="9"/>
  <c r="AJ108" i="9"/>
  <c r="U95" i="9"/>
  <c r="AC95" i="9"/>
  <c r="AC82" i="9"/>
  <c r="U69" i="9"/>
  <c r="V69" i="9"/>
  <c r="W69" i="9"/>
  <c r="X69" i="9"/>
  <c r="Y69" i="9"/>
  <c r="Z69" i="9"/>
  <c r="AA69" i="9"/>
  <c r="AB69" i="9"/>
  <c r="AC69" i="9"/>
  <c r="AD69" i="9"/>
  <c r="AE69" i="9"/>
  <c r="AF69" i="9"/>
  <c r="AG69" i="9"/>
  <c r="AH69" i="9"/>
  <c r="AI69" i="9"/>
  <c r="AJ69" i="9"/>
  <c r="U56" i="9"/>
  <c r="V56" i="9"/>
  <c r="X56" i="9"/>
  <c r="Y56" i="9"/>
  <c r="Z56" i="9"/>
  <c r="AB56" i="9"/>
  <c r="AC56" i="9"/>
  <c r="AD56" i="9"/>
  <c r="AF56" i="9"/>
  <c r="AG56" i="9"/>
  <c r="AH56" i="9"/>
  <c r="AJ56" i="9"/>
  <c r="U43" i="9"/>
  <c r="V43" i="9"/>
  <c r="W43" i="9"/>
  <c r="X43" i="9"/>
  <c r="Y43" i="9"/>
  <c r="Z43" i="9"/>
  <c r="AA43" i="9"/>
  <c r="AB43" i="9"/>
  <c r="AC43" i="9"/>
  <c r="AD43" i="9"/>
  <c r="AE43" i="9"/>
  <c r="AF43" i="9"/>
  <c r="AG43" i="9"/>
  <c r="AH43" i="9"/>
  <c r="AI43" i="9"/>
  <c r="AJ43" i="9"/>
  <c r="H303" i="9"/>
  <c r="J303" i="9"/>
  <c r="L303" i="9"/>
  <c r="N303" i="9"/>
  <c r="B111" i="6"/>
  <c r="Q250" i="9"/>
  <c r="Q237" i="9"/>
  <c r="Q224" i="9"/>
  <c r="Q211" i="9"/>
  <c r="Q198" i="9"/>
  <c r="Q185" i="9"/>
  <c r="Q172" i="9"/>
  <c r="Q146" i="9"/>
  <c r="Q133" i="9"/>
  <c r="Q120" i="9"/>
  <c r="Q107" i="9"/>
  <c r="Q68" i="9"/>
  <c r="Q55" i="9"/>
  <c r="Q42" i="9"/>
  <c r="Q29" i="9"/>
  <c r="L276" i="9"/>
  <c r="L263" i="9"/>
  <c r="L250" i="9"/>
  <c r="L237" i="9"/>
  <c r="L224" i="9"/>
  <c r="L211" i="9"/>
  <c r="L198" i="9"/>
  <c r="L185" i="9"/>
  <c r="L172" i="9"/>
  <c r="L159" i="9"/>
  <c r="L146" i="9"/>
  <c r="L133" i="9"/>
  <c r="L120" i="9"/>
  <c r="L107" i="9"/>
  <c r="L94" i="9"/>
  <c r="L81" i="9"/>
  <c r="L68" i="9"/>
  <c r="L55" i="9"/>
  <c r="L42" i="9"/>
  <c r="L29" i="9"/>
  <c r="J276" i="9"/>
  <c r="J263" i="9"/>
  <c r="J250" i="9"/>
  <c r="J237" i="9"/>
  <c r="J224" i="9"/>
  <c r="J211" i="9"/>
  <c r="J198" i="9"/>
  <c r="J185" i="9"/>
  <c r="J172" i="9"/>
  <c r="J159" i="9"/>
  <c r="J146" i="9"/>
  <c r="J133" i="9"/>
  <c r="J120" i="9"/>
  <c r="J107" i="9"/>
  <c r="J94" i="9"/>
  <c r="J81" i="9"/>
  <c r="J68" i="9"/>
  <c r="J55" i="9"/>
  <c r="J42" i="9"/>
  <c r="J29" i="9"/>
  <c r="D64" i="6"/>
  <c r="H70" i="6" s="1"/>
  <c r="N5" i="13" s="1"/>
  <c r="I4" i="13"/>
  <c r="N49" i="13"/>
  <c r="B48" i="13"/>
  <c r="H47" i="13"/>
  <c r="B47" i="13"/>
  <c r="B41" i="13"/>
  <c r="N1002" i="3"/>
  <c r="L262" i="13" s="1"/>
  <c r="B2" i="19"/>
  <c r="F2" i="19"/>
  <c r="F53" i="19"/>
  <c r="AJ145" i="19"/>
  <c r="Z145" i="19"/>
  <c r="AJ144" i="19"/>
  <c r="Z144" i="19"/>
  <c r="AJ143" i="19"/>
  <c r="Z143" i="19"/>
  <c r="AJ142" i="19"/>
  <c r="Z142" i="19"/>
  <c r="AJ141" i="19"/>
  <c r="Z141" i="19"/>
  <c r="AJ140" i="19"/>
  <c r="Z140" i="19"/>
  <c r="AJ139" i="19"/>
  <c r="Z139" i="19"/>
  <c r="AJ138" i="19"/>
  <c r="Z138" i="19"/>
  <c r="AJ137" i="19"/>
  <c r="Z137" i="19"/>
  <c r="AJ136" i="19"/>
  <c r="Z136" i="19"/>
  <c r="AJ135" i="19"/>
  <c r="Z135" i="19"/>
  <c r="AJ134" i="19"/>
  <c r="Z134" i="19"/>
  <c r="AJ133" i="19"/>
  <c r="Z133" i="19"/>
  <c r="AJ132" i="19"/>
  <c r="Z132" i="19"/>
  <c r="AJ131" i="19"/>
  <c r="Z131" i="19"/>
  <c r="AJ130" i="19"/>
  <c r="Z130" i="19"/>
  <c r="AJ129" i="19"/>
  <c r="Z129" i="19"/>
  <c r="AJ128" i="19"/>
  <c r="Z128" i="19"/>
  <c r="AJ127" i="19"/>
  <c r="Z127" i="19"/>
  <c r="AJ126" i="19"/>
  <c r="Z126" i="19"/>
  <c r="AJ125" i="19"/>
  <c r="Z125" i="19"/>
  <c r="AJ124" i="19"/>
  <c r="Z124" i="19"/>
  <c r="AJ123" i="19"/>
  <c r="Z123" i="19"/>
  <c r="AJ122" i="19"/>
  <c r="Z122" i="19"/>
  <c r="AJ121" i="19"/>
  <c r="Z121" i="19"/>
  <c r="AJ120" i="19"/>
  <c r="Z120" i="19"/>
  <c r="AJ119" i="19"/>
  <c r="Z119" i="19"/>
  <c r="AJ118" i="19"/>
  <c r="Z118" i="19"/>
  <c r="AJ117" i="19"/>
  <c r="Z117" i="19"/>
  <c r="AJ116" i="19"/>
  <c r="Z116" i="19"/>
  <c r="AJ115" i="19"/>
  <c r="Z115" i="19"/>
  <c r="AJ114" i="19"/>
  <c r="Z114" i="19"/>
  <c r="AJ113" i="19"/>
  <c r="Z113" i="19"/>
  <c r="AJ112" i="19"/>
  <c r="Z112" i="19"/>
  <c r="AJ111" i="19"/>
  <c r="Z111" i="19"/>
  <c r="AJ110" i="19"/>
  <c r="Z110" i="19"/>
  <c r="AJ109" i="19"/>
  <c r="Z109" i="19"/>
  <c r="AJ108" i="19"/>
  <c r="Z108" i="19"/>
  <c r="H87" i="19"/>
  <c r="H88" i="19"/>
  <c r="H92" i="19" s="1"/>
  <c r="H90" i="19"/>
  <c r="H91" i="19"/>
  <c r="F74" i="19"/>
  <c r="F75" i="19"/>
  <c r="F77" i="19"/>
  <c r="D79" i="19"/>
  <c r="F82" i="19"/>
  <c r="D78" i="19"/>
  <c r="F78" i="19"/>
  <c r="F80" i="19"/>
  <c r="D76" i="19"/>
  <c r="AN14" i="19"/>
  <c r="AN15" i="19" s="1"/>
  <c r="F76" i="19"/>
  <c r="E76" i="19" s="1"/>
  <c r="D97" i="19" s="1"/>
  <c r="D96" i="19"/>
  <c r="D98" i="19"/>
  <c r="D99" i="19"/>
  <c r="D100" i="19"/>
  <c r="D101" i="19"/>
  <c r="AJ85" i="19"/>
  <c r="Z85" i="19"/>
  <c r="AJ84" i="19"/>
  <c r="Z84" i="19"/>
  <c r="AJ83" i="19"/>
  <c r="Z83" i="19"/>
  <c r="AJ82" i="19"/>
  <c r="Z82" i="19"/>
  <c r="P82" i="19"/>
  <c r="O82" i="19"/>
  <c r="C82" i="19"/>
  <c r="AJ81" i="19"/>
  <c r="Z81" i="19"/>
  <c r="C81" i="19"/>
  <c r="AJ80" i="19"/>
  <c r="Z80" i="19"/>
  <c r="C80" i="19"/>
  <c r="AJ79" i="19"/>
  <c r="Z79" i="19"/>
  <c r="P79" i="19"/>
  <c r="O79" i="19"/>
  <c r="C79" i="19" s="1"/>
  <c r="AJ78" i="19"/>
  <c r="Z78" i="19"/>
  <c r="C78" i="19"/>
  <c r="AJ77" i="19"/>
  <c r="Z77" i="19"/>
  <c r="C77" i="19"/>
  <c r="AJ76" i="19"/>
  <c r="Z76" i="19"/>
  <c r="C76" i="19"/>
  <c r="AJ75" i="19"/>
  <c r="Z75" i="19"/>
  <c r="C75" i="19"/>
  <c r="AJ74" i="19"/>
  <c r="Z74" i="19"/>
  <c r="P74" i="19"/>
  <c r="O74" i="19"/>
  <c r="C74" i="19"/>
  <c r="AJ73" i="19"/>
  <c r="Z73" i="19"/>
  <c r="AJ72" i="19"/>
  <c r="Z72" i="19"/>
  <c r="AJ71" i="19"/>
  <c r="Z71" i="19"/>
  <c r="AJ70" i="19"/>
  <c r="Z70" i="19"/>
  <c r="AJ69" i="19"/>
  <c r="Z69" i="19"/>
  <c r="P69" i="19"/>
  <c r="O69" i="19"/>
  <c r="C69" i="19" s="1"/>
  <c r="AJ68" i="19"/>
  <c r="Z68" i="19"/>
  <c r="P68" i="19"/>
  <c r="O68" i="19"/>
  <c r="C68" i="19" s="1"/>
  <c r="AJ67" i="19"/>
  <c r="Z67" i="19"/>
  <c r="P67" i="19"/>
  <c r="O67" i="19"/>
  <c r="C67" i="19" s="1"/>
  <c r="AJ66" i="19"/>
  <c r="Z66" i="19"/>
  <c r="AJ65" i="19"/>
  <c r="Z65" i="19"/>
  <c r="AJ64" i="19"/>
  <c r="Z64" i="19"/>
  <c r="AJ63" i="19"/>
  <c r="Z63" i="19"/>
  <c r="AJ62" i="19"/>
  <c r="Z62" i="19"/>
  <c r="AJ61" i="19"/>
  <c r="Z61" i="19"/>
  <c r="AJ60" i="19"/>
  <c r="Z60" i="19"/>
  <c r="B60" i="19"/>
  <c r="AJ59" i="19"/>
  <c r="Z59" i="19"/>
  <c r="AJ58" i="19"/>
  <c r="Z58" i="19"/>
  <c r="AJ57" i="19"/>
  <c r="Z57" i="19"/>
  <c r="AJ56" i="19"/>
  <c r="Z56" i="19"/>
  <c r="AJ55" i="19"/>
  <c r="Z55" i="19"/>
  <c r="AJ54" i="19"/>
  <c r="Z54" i="19"/>
  <c r="AJ53" i="19"/>
  <c r="Z53" i="19"/>
  <c r="AJ52" i="19"/>
  <c r="Z52" i="19"/>
  <c r="AJ51" i="19"/>
  <c r="Z51" i="19"/>
  <c r="AJ50" i="19"/>
  <c r="Z50" i="19"/>
  <c r="AJ49" i="19"/>
  <c r="Z49" i="19"/>
  <c r="AJ47" i="19"/>
  <c r="Z47" i="19"/>
  <c r="AJ46" i="19"/>
  <c r="Z46" i="19"/>
  <c r="AJ43" i="19"/>
  <c r="Z43" i="19"/>
  <c r="AJ42" i="19"/>
  <c r="Z42" i="19"/>
  <c r="F23" i="19"/>
  <c r="F24" i="19"/>
  <c r="D33" i="19" s="1"/>
  <c r="D26" i="19"/>
  <c r="F26" i="19"/>
  <c r="F29" i="19"/>
  <c r="F27" i="19"/>
  <c r="D28" i="19"/>
  <c r="F28" i="19"/>
  <c r="H33" i="19"/>
  <c r="H34" i="19"/>
  <c r="H35" i="19"/>
  <c r="H36" i="19"/>
  <c r="H37" i="19"/>
  <c r="AJ41" i="19"/>
  <c r="Z41" i="19"/>
  <c r="AJ40" i="19"/>
  <c r="Z40" i="19"/>
  <c r="AJ39" i="19"/>
  <c r="Z39" i="19"/>
  <c r="AJ38" i="19"/>
  <c r="Z38" i="19"/>
  <c r="AJ37" i="19"/>
  <c r="Z37" i="19"/>
  <c r="AJ36" i="19"/>
  <c r="Z36" i="19"/>
  <c r="AJ35" i="19"/>
  <c r="Z35" i="19"/>
  <c r="AJ34" i="19"/>
  <c r="Z34" i="19"/>
  <c r="AJ33" i="19"/>
  <c r="Z33" i="19"/>
  <c r="AJ32" i="19"/>
  <c r="Z32" i="19"/>
  <c r="AJ31" i="19"/>
  <c r="Z31" i="19"/>
  <c r="AJ30" i="19"/>
  <c r="Z30" i="19"/>
  <c r="AJ29" i="19"/>
  <c r="Z29" i="19"/>
  <c r="P29" i="19"/>
  <c r="O29" i="19"/>
  <c r="C29" i="19" s="1"/>
  <c r="AJ28" i="19"/>
  <c r="Z28" i="19"/>
  <c r="C28" i="19"/>
  <c r="AJ27" i="19"/>
  <c r="Z27" i="19"/>
  <c r="C27" i="19"/>
  <c r="AJ26" i="19"/>
  <c r="Z26" i="19"/>
  <c r="P26" i="19"/>
  <c r="O26" i="19"/>
  <c r="C26" i="19" s="1"/>
  <c r="AJ25" i="19"/>
  <c r="Z25" i="19"/>
  <c r="C25" i="19"/>
  <c r="AJ24" i="19"/>
  <c r="Z24" i="19"/>
  <c r="C24" i="19"/>
  <c r="AJ23" i="19"/>
  <c r="Z23" i="19"/>
  <c r="P23" i="19"/>
  <c r="O23" i="19"/>
  <c r="C23" i="19"/>
  <c r="AJ22" i="19"/>
  <c r="Z22" i="19"/>
  <c r="AJ21" i="19"/>
  <c r="Z21" i="19"/>
  <c r="AJ20" i="19"/>
  <c r="Z20" i="19"/>
  <c r="AJ19" i="19"/>
  <c r="Z19" i="19"/>
  <c r="AJ18" i="19"/>
  <c r="AH18" i="19"/>
  <c r="Z18" i="19"/>
  <c r="X18" i="19"/>
  <c r="P18" i="19"/>
  <c r="O18" i="19"/>
  <c r="C18" i="19" s="1"/>
  <c r="AJ17" i="19"/>
  <c r="AH17" i="19"/>
  <c r="Z17" i="19"/>
  <c r="X17" i="19"/>
  <c r="P17" i="19"/>
  <c r="O17" i="19"/>
  <c r="C17" i="19"/>
  <c r="AJ16" i="19"/>
  <c r="AH16" i="19"/>
  <c r="Z16" i="19"/>
  <c r="X16" i="19"/>
  <c r="P16" i="19"/>
  <c r="O16" i="19"/>
  <c r="C16" i="19"/>
  <c r="AJ15" i="19"/>
  <c r="AH15" i="19"/>
  <c r="Z15" i="19"/>
  <c r="X15" i="19"/>
  <c r="AJ14" i="19"/>
  <c r="Z14" i="19"/>
  <c r="AG11" i="19"/>
  <c r="W11" i="19"/>
  <c r="B9" i="19"/>
  <c r="I259" i="6"/>
  <c r="H259" i="6"/>
  <c r="I260" i="6"/>
  <c r="H260" i="6"/>
  <c r="I261" i="6"/>
  <c r="H261" i="6" s="1"/>
  <c r="I262" i="6"/>
  <c r="H262" i="6"/>
  <c r="I263" i="6"/>
  <c r="H263" i="6"/>
  <c r="I264" i="6"/>
  <c r="H264" i="6"/>
  <c r="I265" i="6"/>
  <c r="H265" i="6" s="1"/>
  <c r="I266" i="6"/>
  <c r="I267" i="6"/>
  <c r="H267" i="6"/>
  <c r="I268" i="6"/>
  <c r="H268" i="6"/>
  <c r="I269" i="6"/>
  <c r="H269" i="6" s="1"/>
  <c r="I270" i="6"/>
  <c r="M270" i="6" s="1"/>
  <c r="H270" i="6"/>
  <c r="I271" i="6"/>
  <c r="H271" i="6"/>
  <c r="I272" i="6"/>
  <c r="H272" i="6"/>
  <c r="I273" i="6"/>
  <c r="H273" i="6" s="1"/>
  <c r="I274" i="6"/>
  <c r="H274" i="6"/>
  <c r="I275" i="6"/>
  <c r="H275" i="6"/>
  <c r="I276" i="6"/>
  <c r="H276" i="6"/>
  <c r="I277" i="6"/>
  <c r="H277" i="6" s="1"/>
  <c r="I278" i="6"/>
  <c r="H278" i="6"/>
  <c r="I279" i="6"/>
  <c r="H279" i="6"/>
  <c r="I280" i="6"/>
  <c r="H280" i="6"/>
  <c r="I281" i="6"/>
  <c r="H281" i="6" s="1"/>
  <c r="I282" i="6"/>
  <c r="H282" i="6" s="1"/>
  <c r="I283" i="6"/>
  <c r="H283" i="6"/>
  <c r="I284" i="6"/>
  <c r="H284" i="6"/>
  <c r="I285" i="6"/>
  <c r="H285" i="6" s="1"/>
  <c r="I286" i="6"/>
  <c r="H286" i="6" s="1"/>
  <c r="I287" i="6"/>
  <c r="H287" i="6"/>
  <c r="I288" i="6"/>
  <c r="H288" i="6"/>
  <c r="I289" i="6"/>
  <c r="H289" i="6" s="1"/>
  <c r="I290" i="6"/>
  <c r="H290" i="6"/>
  <c r="I291" i="6"/>
  <c r="H291" i="6"/>
  <c r="I292" i="6"/>
  <c r="H292" i="6"/>
  <c r="I293" i="6"/>
  <c r="H293" i="6" s="1"/>
  <c r="I294" i="6"/>
  <c r="H294" i="6"/>
  <c r="I295" i="6"/>
  <c r="H295" i="6"/>
  <c r="I296" i="6"/>
  <c r="H296" i="6"/>
  <c r="I297" i="6"/>
  <c r="H297" i="6" s="1"/>
  <c r="I298" i="6"/>
  <c r="I299" i="6"/>
  <c r="H299" i="6"/>
  <c r="I300" i="6"/>
  <c r="H300" i="6"/>
  <c r="I301" i="6"/>
  <c r="H301" i="6" s="1"/>
  <c r="I302" i="6"/>
  <c r="M302" i="6" s="1"/>
  <c r="H302" i="6"/>
  <c r="I303" i="6"/>
  <c r="H303" i="6"/>
  <c r="I304" i="6"/>
  <c r="H304" i="6"/>
  <c r="I305" i="6"/>
  <c r="H305" i="6" s="1"/>
  <c r="I306" i="6"/>
  <c r="H306" i="6"/>
  <c r="I307" i="6"/>
  <c r="H307" i="6"/>
  <c r="I308" i="6"/>
  <c r="H308" i="6"/>
  <c r="I309" i="6"/>
  <c r="H309" i="6" s="1"/>
  <c r="I310" i="6"/>
  <c r="H310" i="6"/>
  <c r="I311" i="6"/>
  <c r="H311" i="6"/>
  <c r="I312" i="6"/>
  <c r="H312" i="6"/>
  <c r="I313" i="6"/>
  <c r="H313" i="6" s="1"/>
  <c r="I314" i="6"/>
  <c r="H314" i="6" s="1"/>
  <c r="I315" i="6"/>
  <c r="H315" i="6"/>
  <c r="I316" i="6"/>
  <c r="H316" i="6"/>
  <c r="I317" i="6"/>
  <c r="H317" i="6" s="1"/>
  <c r="I318" i="6"/>
  <c r="H318" i="6" s="1"/>
  <c r="I319" i="6"/>
  <c r="H319" i="6"/>
  <c r="I320" i="6"/>
  <c r="H320" i="6"/>
  <c r="I321" i="6"/>
  <c r="H321" i="6" s="1"/>
  <c r="I322" i="6"/>
  <c r="H322" i="6"/>
  <c r="I323" i="6"/>
  <c r="H323" i="6"/>
  <c r="I324" i="6"/>
  <c r="H324" i="6"/>
  <c r="I325" i="6"/>
  <c r="H325" i="6" s="1"/>
  <c r="I326" i="6"/>
  <c r="H326" i="6"/>
  <c r="I327" i="6"/>
  <c r="H327" i="6"/>
  <c r="I328" i="6"/>
  <c r="H328" i="6"/>
  <c r="I329" i="6"/>
  <c r="H329" i="6" s="1"/>
  <c r="I330" i="6"/>
  <c r="I331" i="6"/>
  <c r="H331" i="6"/>
  <c r="I332" i="6"/>
  <c r="H332" i="6"/>
  <c r="I333" i="6"/>
  <c r="H333" i="6" s="1"/>
  <c r="I258" i="6"/>
  <c r="M258" i="6" s="1"/>
  <c r="B259" i="6"/>
  <c r="F259" i="6"/>
  <c r="B260" i="6"/>
  <c r="F260" i="6"/>
  <c r="B261" i="6"/>
  <c r="F261" i="6" s="1"/>
  <c r="B262" i="6"/>
  <c r="N262" i="6" s="1"/>
  <c r="F262" i="6"/>
  <c r="B263" i="6"/>
  <c r="F263" i="6"/>
  <c r="B264" i="6"/>
  <c r="F264" i="6"/>
  <c r="B265" i="6"/>
  <c r="F265" i="6" s="1"/>
  <c r="B266" i="6"/>
  <c r="F266" i="6" s="1"/>
  <c r="B267" i="6"/>
  <c r="F267" i="6"/>
  <c r="B268" i="6"/>
  <c r="F268" i="6"/>
  <c r="B269" i="6"/>
  <c r="F269" i="6" s="1"/>
  <c r="B270" i="6"/>
  <c r="N270" i="6" s="1"/>
  <c r="B271" i="6"/>
  <c r="F271" i="6"/>
  <c r="B272" i="6"/>
  <c r="F272" i="6"/>
  <c r="B273" i="6"/>
  <c r="F273" i="6" s="1"/>
  <c r="B274" i="6"/>
  <c r="F274" i="6" s="1"/>
  <c r="B275" i="6"/>
  <c r="F275" i="6"/>
  <c r="B276" i="6"/>
  <c r="F276" i="6"/>
  <c r="B277" i="6"/>
  <c r="F277" i="6" s="1"/>
  <c r="B278" i="6"/>
  <c r="N278" i="6" s="1"/>
  <c r="F278" i="6"/>
  <c r="B279" i="6"/>
  <c r="F279" i="6"/>
  <c r="B280" i="6"/>
  <c r="F280" i="6"/>
  <c r="B281" i="6"/>
  <c r="F281" i="6" s="1"/>
  <c r="B282" i="6"/>
  <c r="F282" i="6"/>
  <c r="B283" i="6"/>
  <c r="F283" i="6"/>
  <c r="B284" i="6"/>
  <c r="F284" i="6"/>
  <c r="B285" i="6"/>
  <c r="F285" i="6" s="1"/>
  <c r="B286" i="6"/>
  <c r="B287" i="6"/>
  <c r="F287" i="6"/>
  <c r="B288" i="6"/>
  <c r="N288" i="6" s="1"/>
  <c r="F288" i="6"/>
  <c r="B289" i="6"/>
  <c r="F289" i="6" s="1"/>
  <c r="B290" i="6"/>
  <c r="F290" i="6"/>
  <c r="B291" i="6"/>
  <c r="F291" i="6"/>
  <c r="B292" i="6"/>
  <c r="F292" i="6"/>
  <c r="B293" i="6"/>
  <c r="F293" i="6" s="1"/>
  <c r="B294" i="6"/>
  <c r="N294" i="6" s="1"/>
  <c r="F294" i="6"/>
  <c r="B295" i="6"/>
  <c r="F295" i="6"/>
  <c r="B296" i="6"/>
  <c r="N296" i="6" s="1"/>
  <c r="F296" i="6"/>
  <c r="B297" i="6"/>
  <c r="F297" i="6" s="1"/>
  <c r="B298" i="6"/>
  <c r="F298" i="6" s="1"/>
  <c r="B299" i="6"/>
  <c r="F299" i="6"/>
  <c r="B300" i="6"/>
  <c r="F300" i="6"/>
  <c r="B301" i="6"/>
  <c r="F301" i="6" s="1"/>
  <c r="B302" i="6"/>
  <c r="N302" i="6" s="1"/>
  <c r="B303" i="6"/>
  <c r="F303" i="6"/>
  <c r="B304" i="6"/>
  <c r="N304" i="6" s="1"/>
  <c r="F304" i="6"/>
  <c r="B305" i="6"/>
  <c r="F305" i="6" s="1"/>
  <c r="B306" i="6"/>
  <c r="F306" i="6" s="1"/>
  <c r="B307" i="6"/>
  <c r="F307" i="6"/>
  <c r="B308" i="6"/>
  <c r="F308" i="6"/>
  <c r="B309" i="6"/>
  <c r="F309" i="6" s="1"/>
  <c r="B310" i="6"/>
  <c r="N310" i="6" s="1"/>
  <c r="F310" i="6"/>
  <c r="B311" i="6"/>
  <c r="F311" i="6"/>
  <c r="B312" i="6"/>
  <c r="N312" i="6" s="1"/>
  <c r="F312" i="6"/>
  <c r="B313" i="6"/>
  <c r="F313" i="6" s="1"/>
  <c r="B314" i="6"/>
  <c r="F314" i="6"/>
  <c r="B315" i="6"/>
  <c r="F315" i="6"/>
  <c r="B316" i="6"/>
  <c r="F316" i="6"/>
  <c r="B317" i="6"/>
  <c r="N317" i="6" s="1"/>
  <c r="B318" i="6"/>
  <c r="B319" i="6"/>
  <c r="F319" i="6"/>
  <c r="B320" i="6"/>
  <c r="N320" i="6" s="1"/>
  <c r="F320" i="6"/>
  <c r="B321" i="6"/>
  <c r="F321" i="6" s="1"/>
  <c r="B322" i="6"/>
  <c r="F322" i="6" s="1"/>
  <c r="B323" i="6"/>
  <c r="F323" i="6"/>
  <c r="B324" i="6"/>
  <c r="F324" i="6"/>
  <c r="B325" i="6"/>
  <c r="N325" i="6" s="1"/>
  <c r="B326" i="6"/>
  <c r="N326" i="6" s="1"/>
  <c r="F326" i="6"/>
  <c r="B327" i="6"/>
  <c r="F327" i="6"/>
  <c r="B328" i="6"/>
  <c r="N328" i="6" s="1"/>
  <c r="F328" i="6"/>
  <c r="B329" i="6"/>
  <c r="F329" i="6" s="1"/>
  <c r="B330" i="6"/>
  <c r="F330" i="6" s="1"/>
  <c r="B331" i="6"/>
  <c r="F331" i="6"/>
  <c r="B332" i="6"/>
  <c r="F332" i="6"/>
  <c r="B333" i="6"/>
  <c r="N333" i="6" s="1"/>
  <c r="B258" i="6"/>
  <c r="N258" i="6" s="1"/>
  <c r="N259" i="6"/>
  <c r="N260" i="6"/>
  <c r="N261" i="6"/>
  <c r="N263" i="6"/>
  <c r="N264" i="6"/>
  <c r="N265" i="6"/>
  <c r="N266" i="6"/>
  <c r="N267" i="6"/>
  <c r="N268" i="6"/>
  <c r="N269" i="6"/>
  <c r="N271" i="6"/>
  <c r="N272" i="6"/>
  <c r="N273" i="6"/>
  <c r="N274" i="6"/>
  <c r="N275" i="6"/>
  <c r="N276" i="6"/>
  <c r="N277" i="6"/>
  <c r="N279" i="6"/>
  <c r="N280" i="6"/>
  <c r="N281" i="6"/>
  <c r="N282" i="6"/>
  <c r="N283" i="6"/>
  <c r="N284" i="6"/>
  <c r="N285" i="6"/>
  <c r="N287" i="6"/>
  <c r="N289" i="6"/>
  <c r="N290" i="6"/>
  <c r="N291" i="6"/>
  <c r="N292" i="6"/>
  <c r="N293" i="6"/>
  <c r="N295" i="6"/>
  <c r="N297" i="6"/>
  <c r="N298" i="6"/>
  <c r="N299" i="6"/>
  <c r="N300" i="6"/>
  <c r="N301" i="6"/>
  <c r="N303" i="6"/>
  <c r="N305" i="6"/>
  <c r="N306" i="6"/>
  <c r="N307" i="6"/>
  <c r="N308" i="6"/>
  <c r="N309" i="6"/>
  <c r="N311" i="6"/>
  <c r="N313" i="6"/>
  <c r="N314" i="6"/>
  <c r="N315" i="6"/>
  <c r="N316" i="6"/>
  <c r="N319" i="6"/>
  <c r="N321" i="6"/>
  <c r="N323" i="6"/>
  <c r="N324" i="6"/>
  <c r="N327" i="6"/>
  <c r="N329" i="6"/>
  <c r="N330" i="6"/>
  <c r="N331" i="6"/>
  <c r="N332" i="6"/>
  <c r="M259" i="6"/>
  <c r="M260" i="6"/>
  <c r="M261" i="6"/>
  <c r="M262" i="6"/>
  <c r="M263" i="6"/>
  <c r="M264" i="6"/>
  <c r="M265" i="6"/>
  <c r="M267" i="6"/>
  <c r="M268" i="6"/>
  <c r="M269" i="6"/>
  <c r="M271" i="6"/>
  <c r="M272" i="6"/>
  <c r="M273" i="6"/>
  <c r="M274" i="6"/>
  <c r="M275" i="6"/>
  <c r="M276" i="6"/>
  <c r="M277" i="6"/>
  <c r="M278" i="6"/>
  <c r="M279" i="6"/>
  <c r="M280" i="6"/>
  <c r="M281" i="6"/>
  <c r="M282" i="6"/>
  <c r="M283" i="6"/>
  <c r="M284" i="6"/>
  <c r="M285" i="6"/>
  <c r="M286" i="6"/>
  <c r="M287" i="6"/>
  <c r="M288" i="6"/>
  <c r="M289" i="6"/>
  <c r="M290" i="6"/>
  <c r="M291" i="6"/>
  <c r="M292" i="6"/>
  <c r="M293" i="6"/>
  <c r="M294" i="6"/>
  <c r="M295" i="6"/>
  <c r="M296" i="6"/>
  <c r="M297" i="6"/>
  <c r="M299" i="6"/>
  <c r="M300" i="6"/>
  <c r="M301" i="6"/>
  <c r="M303" i="6"/>
  <c r="M304" i="6"/>
  <c r="M305" i="6"/>
  <c r="M306" i="6"/>
  <c r="M307" i="6"/>
  <c r="M308" i="6"/>
  <c r="M309" i="6"/>
  <c r="M310" i="6"/>
  <c r="M311" i="6"/>
  <c r="M312" i="6"/>
  <c r="M313" i="6"/>
  <c r="M314" i="6"/>
  <c r="M315" i="6"/>
  <c r="M316" i="6"/>
  <c r="M317" i="6"/>
  <c r="M318" i="6"/>
  <c r="M319" i="6"/>
  <c r="M320" i="6"/>
  <c r="M321" i="6"/>
  <c r="M322" i="6"/>
  <c r="M323" i="6"/>
  <c r="M324" i="6"/>
  <c r="M325" i="6"/>
  <c r="M326" i="6"/>
  <c r="M327" i="6"/>
  <c r="M328" i="6"/>
  <c r="M329" i="6"/>
  <c r="M331" i="6"/>
  <c r="M332" i="6"/>
  <c r="M333" i="6"/>
  <c r="E259" i="6"/>
  <c r="E260" i="6"/>
  <c r="E261" i="6"/>
  <c r="E262" i="6"/>
  <c r="E263" i="6"/>
  <c r="E264" i="6"/>
  <c r="E265" i="6"/>
  <c r="E266" i="6"/>
  <c r="E267" i="6"/>
  <c r="E268" i="6"/>
  <c r="E269" i="6"/>
  <c r="E270" i="6"/>
  <c r="E271" i="6"/>
  <c r="E272" i="6"/>
  <c r="E273" i="6"/>
  <c r="E274" i="6"/>
  <c r="E275" i="6"/>
  <c r="E276" i="6"/>
  <c r="E277" i="6"/>
  <c r="E278" i="6"/>
  <c r="E279" i="6"/>
  <c r="E280" i="6"/>
  <c r="E281" i="6"/>
  <c r="E282" i="6"/>
  <c r="E283" i="6"/>
  <c r="E284" i="6"/>
  <c r="E285" i="6"/>
  <c r="E287" i="6"/>
  <c r="E288" i="6"/>
  <c r="E289" i="6"/>
  <c r="E291" i="6"/>
  <c r="E292" i="6"/>
  <c r="E293" i="6"/>
  <c r="E294" i="6"/>
  <c r="E295" i="6"/>
  <c r="E296" i="6"/>
  <c r="E297" i="6"/>
  <c r="E298" i="6"/>
  <c r="E299" i="6"/>
  <c r="E300" i="6"/>
  <c r="E301" i="6"/>
  <c r="E302" i="6"/>
  <c r="E303" i="6"/>
  <c r="E304" i="6"/>
  <c r="E305" i="6"/>
  <c r="E306" i="6"/>
  <c r="E307" i="6"/>
  <c r="E308" i="6"/>
  <c r="E309" i="6"/>
  <c r="E310" i="6"/>
  <c r="E311" i="6"/>
  <c r="E312" i="6"/>
  <c r="E313" i="6"/>
  <c r="E314" i="6"/>
  <c r="E315" i="6"/>
  <c r="E316" i="6"/>
  <c r="E317" i="6"/>
  <c r="E319" i="6"/>
  <c r="E320" i="6"/>
  <c r="E321" i="6"/>
  <c r="E323" i="6"/>
  <c r="E324" i="6"/>
  <c r="E325" i="6"/>
  <c r="E326" i="6"/>
  <c r="E327" i="6"/>
  <c r="E328" i="6"/>
  <c r="E329" i="6"/>
  <c r="E330" i="6"/>
  <c r="E331" i="6"/>
  <c r="E332" i="6"/>
  <c r="E333" i="6"/>
  <c r="E258" i="6"/>
  <c r="C259" i="6"/>
  <c r="C260" i="6"/>
  <c r="C261" i="6"/>
  <c r="C262" i="6"/>
  <c r="C263" i="6"/>
  <c r="C264" i="6"/>
  <c r="C265" i="6"/>
  <c r="C266" i="6"/>
  <c r="C267" i="6"/>
  <c r="C268" i="6"/>
  <c r="C269" i="6"/>
  <c r="C270" i="6"/>
  <c r="C271" i="6"/>
  <c r="C272" i="6"/>
  <c r="C273" i="6"/>
  <c r="C274" i="6"/>
  <c r="C275" i="6"/>
  <c r="C276" i="6"/>
  <c r="C277" i="6"/>
  <c r="C278" i="6"/>
  <c r="C279" i="6"/>
  <c r="C280" i="6"/>
  <c r="C281" i="6"/>
  <c r="C282" i="6"/>
  <c r="C283" i="6"/>
  <c r="C284" i="6"/>
  <c r="C285" i="6"/>
  <c r="C287" i="6"/>
  <c r="C288" i="6"/>
  <c r="C289" i="6"/>
  <c r="C291" i="6"/>
  <c r="C292" i="6"/>
  <c r="C293" i="6"/>
  <c r="C294" i="6"/>
  <c r="C295" i="6"/>
  <c r="C296" i="6"/>
  <c r="C297" i="6"/>
  <c r="C298" i="6"/>
  <c r="C299" i="6"/>
  <c r="C300" i="6"/>
  <c r="C301" i="6"/>
  <c r="C302" i="6"/>
  <c r="C303" i="6"/>
  <c r="C304" i="6"/>
  <c r="C305" i="6"/>
  <c r="C306" i="6"/>
  <c r="C307" i="6"/>
  <c r="C308" i="6"/>
  <c r="C309" i="6"/>
  <c r="C310" i="6"/>
  <c r="C311" i="6"/>
  <c r="C312" i="6"/>
  <c r="C313" i="6"/>
  <c r="C314" i="6"/>
  <c r="C315" i="6"/>
  <c r="C316" i="6"/>
  <c r="C317" i="6"/>
  <c r="C319" i="6"/>
  <c r="C320" i="6"/>
  <c r="C321" i="6"/>
  <c r="C323" i="6"/>
  <c r="C324" i="6"/>
  <c r="C325" i="6"/>
  <c r="C326" i="6"/>
  <c r="C327" i="6"/>
  <c r="C328" i="6"/>
  <c r="C329" i="6"/>
  <c r="C330" i="6"/>
  <c r="C331" i="6"/>
  <c r="C332" i="6"/>
  <c r="C333" i="6"/>
  <c r="C258" i="6"/>
  <c r="I178" i="6"/>
  <c r="H178" i="6" s="1"/>
  <c r="J178" i="6"/>
  <c r="I179" i="6"/>
  <c r="J179" i="6" s="1"/>
  <c r="I180" i="6"/>
  <c r="I181" i="6"/>
  <c r="I182" i="6"/>
  <c r="J182" i="6"/>
  <c r="I183" i="6"/>
  <c r="J183" i="6" s="1"/>
  <c r="I184" i="6"/>
  <c r="J184" i="6" s="1"/>
  <c r="I185" i="6"/>
  <c r="J185" i="6"/>
  <c r="I186" i="6"/>
  <c r="J186" i="6"/>
  <c r="I187" i="6"/>
  <c r="J187" i="6"/>
  <c r="I188" i="6"/>
  <c r="J188" i="6" s="1"/>
  <c r="I189" i="6"/>
  <c r="J189" i="6"/>
  <c r="I190" i="6"/>
  <c r="I191" i="6"/>
  <c r="J191" i="6"/>
  <c r="I192" i="6"/>
  <c r="J192" i="6" s="1"/>
  <c r="I193" i="6"/>
  <c r="J193" i="6"/>
  <c r="I194" i="6"/>
  <c r="I195" i="6"/>
  <c r="J195" i="6"/>
  <c r="I196" i="6"/>
  <c r="J196" i="6" s="1"/>
  <c r="I197" i="6"/>
  <c r="J197" i="6"/>
  <c r="I198" i="6"/>
  <c r="I199" i="6"/>
  <c r="J199" i="6"/>
  <c r="I200" i="6"/>
  <c r="J200" i="6" s="1"/>
  <c r="I201" i="6"/>
  <c r="J201" i="6"/>
  <c r="I202" i="6"/>
  <c r="I203" i="6"/>
  <c r="J203" i="6"/>
  <c r="I204" i="6"/>
  <c r="J204" i="6" s="1"/>
  <c r="I205" i="6"/>
  <c r="J205" i="6"/>
  <c r="I206" i="6"/>
  <c r="I207" i="6"/>
  <c r="J207" i="6"/>
  <c r="I208" i="6"/>
  <c r="J208" i="6" s="1"/>
  <c r="I209" i="6"/>
  <c r="J209" i="6"/>
  <c r="I210" i="6"/>
  <c r="I211" i="6"/>
  <c r="J211" i="6"/>
  <c r="I212" i="6"/>
  <c r="J212" i="6" s="1"/>
  <c r="I213" i="6"/>
  <c r="J213" i="6"/>
  <c r="I214" i="6"/>
  <c r="I215" i="6"/>
  <c r="J215" i="6"/>
  <c r="I216" i="6"/>
  <c r="J216" i="6" s="1"/>
  <c r="I217" i="6"/>
  <c r="J217" i="6"/>
  <c r="I218" i="6"/>
  <c r="M218" i="6" s="1"/>
  <c r="I219" i="6"/>
  <c r="J219" i="6"/>
  <c r="I220" i="6"/>
  <c r="J220" i="6" s="1"/>
  <c r="I221" i="6"/>
  <c r="J221" i="6"/>
  <c r="I222" i="6"/>
  <c r="I223" i="6"/>
  <c r="J223" i="6"/>
  <c r="I224" i="6"/>
  <c r="J224" i="6" s="1"/>
  <c r="I225" i="6"/>
  <c r="J225" i="6"/>
  <c r="I226" i="6"/>
  <c r="I227" i="6"/>
  <c r="J227" i="6"/>
  <c r="I228" i="6"/>
  <c r="J228" i="6" s="1"/>
  <c r="I229" i="6"/>
  <c r="J229" i="6"/>
  <c r="I230" i="6"/>
  <c r="I231" i="6"/>
  <c r="J231" i="6"/>
  <c r="I232" i="6"/>
  <c r="J232" i="6" s="1"/>
  <c r="I233" i="6"/>
  <c r="J233" i="6"/>
  <c r="I234" i="6"/>
  <c r="I235" i="6"/>
  <c r="J235" i="6"/>
  <c r="I236" i="6"/>
  <c r="J236" i="6" s="1"/>
  <c r="I237" i="6"/>
  <c r="J237" i="6"/>
  <c r="I238" i="6"/>
  <c r="I239" i="6"/>
  <c r="J239" i="6"/>
  <c r="I240" i="6"/>
  <c r="J240" i="6" s="1"/>
  <c r="I241" i="6"/>
  <c r="J241" i="6"/>
  <c r="I242" i="6"/>
  <c r="I243" i="6"/>
  <c r="J243" i="6"/>
  <c r="I244" i="6"/>
  <c r="J244" i="6" s="1"/>
  <c r="I245" i="6"/>
  <c r="J245" i="6"/>
  <c r="I246" i="6"/>
  <c r="I247" i="6"/>
  <c r="J247" i="6"/>
  <c r="I248" i="6"/>
  <c r="J248" i="6" s="1"/>
  <c r="I249" i="6"/>
  <c r="J249" i="6"/>
  <c r="I250" i="6"/>
  <c r="I251" i="6"/>
  <c r="J251" i="6"/>
  <c r="I252" i="6"/>
  <c r="J252" i="6" s="1"/>
  <c r="H179" i="6"/>
  <c r="H182" i="6"/>
  <c r="H183" i="6"/>
  <c r="H184" i="6"/>
  <c r="H186" i="6"/>
  <c r="H187" i="6"/>
  <c r="H188" i="6"/>
  <c r="H189" i="6"/>
  <c r="H191" i="6"/>
  <c r="H192" i="6"/>
  <c r="H193" i="6"/>
  <c r="H195" i="6"/>
  <c r="H196" i="6"/>
  <c r="H197" i="6"/>
  <c r="H199" i="6"/>
  <c r="H200" i="6"/>
  <c r="H201" i="6"/>
  <c r="H203" i="6"/>
  <c r="H204" i="6"/>
  <c r="H205" i="6"/>
  <c r="H207" i="6"/>
  <c r="H208" i="6"/>
  <c r="H209" i="6"/>
  <c r="H211" i="6"/>
  <c r="H212" i="6"/>
  <c r="H213" i="6"/>
  <c r="H215" i="6"/>
  <c r="H216" i="6"/>
  <c r="H217" i="6"/>
  <c r="H219" i="6"/>
  <c r="H220" i="6"/>
  <c r="H221" i="6"/>
  <c r="H223" i="6"/>
  <c r="H224" i="6"/>
  <c r="H225" i="6"/>
  <c r="H227" i="6"/>
  <c r="H228" i="6"/>
  <c r="H229" i="6"/>
  <c r="H231" i="6"/>
  <c r="H232" i="6"/>
  <c r="H233" i="6"/>
  <c r="H235" i="6"/>
  <c r="H236" i="6"/>
  <c r="H237" i="6"/>
  <c r="H239" i="6"/>
  <c r="H240" i="6"/>
  <c r="H241" i="6"/>
  <c r="H243" i="6"/>
  <c r="H244" i="6"/>
  <c r="H245" i="6"/>
  <c r="H247" i="6"/>
  <c r="H248" i="6"/>
  <c r="H249" i="6"/>
  <c r="H251" i="6"/>
  <c r="H252" i="6"/>
  <c r="B178" i="6"/>
  <c r="F178" i="6"/>
  <c r="B179" i="6"/>
  <c r="F179" i="6" s="1"/>
  <c r="B180" i="6"/>
  <c r="F180" i="6" s="1"/>
  <c r="B181" i="6"/>
  <c r="F181" i="6" s="1"/>
  <c r="B182" i="6"/>
  <c r="F182" i="6"/>
  <c r="B183" i="6"/>
  <c r="N183" i="6" s="1"/>
  <c r="B184" i="6"/>
  <c r="F184" i="6" s="1"/>
  <c r="B185" i="6"/>
  <c r="F185" i="6"/>
  <c r="B186" i="6"/>
  <c r="F186" i="6"/>
  <c r="B187" i="6"/>
  <c r="F187" i="6" s="1"/>
  <c r="B188" i="6"/>
  <c r="F188" i="6" s="1"/>
  <c r="B189" i="6"/>
  <c r="F189" i="6" s="1"/>
  <c r="B190" i="6"/>
  <c r="F190" i="6"/>
  <c r="B191" i="6"/>
  <c r="N191" i="6" s="1"/>
  <c r="B192" i="6"/>
  <c r="F192" i="6" s="1"/>
  <c r="B193" i="6"/>
  <c r="F193" i="6"/>
  <c r="B194" i="6"/>
  <c r="F194" i="6"/>
  <c r="B195" i="6"/>
  <c r="F195" i="6" s="1"/>
  <c r="B196" i="6"/>
  <c r="F196" i="6" s="1"/>
  <c r="B197" i="6"/>
  <c r="F197" i="6" s="1"/>
  <c r="B198" i="6"/>
  <c r="F198" i="6"/>
  <c r="B199" i="6"/>
  <c r="N199" i="6" s="1"/>
  <c r="B200" i="6"/>
  <c r="F200" i="6" s="1"/>
  <c r="B201" i="6"/>
  <c r="F201" i="6"/>
  <c r="B202" i="6"/>
  <c r="F202" i="6"/>
  <c r="B203" i="6"/>
  <c r="F203" i="6" s="1"/>
  <c r="B204" i="6"/>
  <c r="F204" i="6" s="1"/>
  <c r="B205" i="6"/>
  <c r="F205" i="6" s="1"/>
  <c r="B206" i="6"/>
  <c r="F206" i="6"/>
  <c r="B207" i="6"/>
  <c r="N207" i="6" s="1"/>
  <c r="B208" i="6"/>
  <c r="F208" i="6" s="1"/>
  <c r="B209" i="6"/>
  <c r="F209" i="6"/>
  <c r="B210" i="6"/>
  <c r="F210" i="6" s="1"/>
  <c r="B211" i="6"/>
  <c r="F211" i="6" s="1"/>
  <c r="B212" i="6"/>
  <c r="F212" i="6" s="1"/>
  <c r="B213" i="6"/>
  <c r="F213" i="6"/>
  <c r="B214" i="6"/>
  <c r="F214" i="6" s="1"/>
  <c r="B215" i="6"/>
  <c r="N215" i="6" s="1"/>
  <c r="B216" i="6"/>
  <c r="F216" i="6" s="1"/>
  <c r="B217" i="6"/>
  <c r="F217" i="6" s="1"/>
  <c r="B218" i="6"/>
  <c r="F218" i="6" s="1"/>
  <c r="B219" i="6"/>
  <c r="F219" i="6" s="1"/>
  <c r="B220" i="6"/>
  <c r="F220" i="6" s="1"/>
  <c r="B221" i="6"/>
  <c r="B222" i="6"/>
  <c r="F222" i="6" s="1"/>
  <c r="B223" i="6"/>
  <c r="N223" i="6" s="1"/>
  <c r="B224" i="6"/>
  <c r="F224" i="6" s="1"/>
  <c r="B225" i="6"/>
  <c r="F225" i="6"/>
  <c r="B226" i="6"/>
  <c r="F226" i="6" s="1"/>
  <c r="B227" i="6"/>
  <c r="F227" i="6" s="1"/>
  <c r="B228" i="6"/>
  <c r="F228" i="6" s="1"/>
  <c r="B229" i="6"/>
  <c r="F229" i="6"/>
  <c r="B230" i="6"/>
  <c r="F230" i="6" s="1"/>
  <c r="B231" i="6"/>
  <c r="N231" i="6" s="1"/>
  <c r="B232" i="6"/>
  <c r="F232" i="6" s="1"/>
  <c r="B233" i="6"/>
  <c r="F233" i="6" s="1"/>
  <c r="B234" i="6"/>
  <c r="F234" i="6" s="1"/>
  <c r="B235" i="6"/>
  <c r="F235" i="6" s="1"/>
  <c r="B236" i="6"/>
  <c r="F236" i="6" s="1"/>
  <c r="B237" i="6"/>
  <c r="F237" i="6"/>
  <c r="B238" i="6"/>
  <c r="F238" i="6" s="1"/>
  <c r="B239" i="6"/>
  <c r="N239" i="6" s="1"/>
  <c r="B240" i="6"/>
  <c r="F240" i="6" s="1"/>
  <c r="B241" i="6"/>
  <c r="F241" i="6"/>
  <c r="B242" i="6"/>
  <c r="F242" i="6" s="1"/>
  <c r="B243" i="6"/>
  <c r="F243" i="6" s="1"/>
  <c r="B244" i="6"/>
  <c r="F244" i="6" s="1"/>
  <c r="B245" i="6"/>
  <c r="F245" i="6"/>
  <c r="B246" i="6"/>
  <c r="F246" i="6" s="1"/>
  <c r="B247" i="6"/>
  <c r="N247" i="6" s="1"/>
  <c r="B248" i="6"/>
  <c r="F248" i="6" s="1"/>
  <c r="B249" i="6"/>
  <c r="F249" i="6" s="1"/>
  <c r="B250" i="6"/>
  <c r="F250" i="6" s="1"/>
  <c r="B251" i="6"/>
  <c r="F251" i="6" s="1"/>
  <c r="B252" i="6"/>
  <c r="F252" i="6" s="1"/>
  <c r="E178" i="6"/>
  <c r="E179" i="6"/>
  <c r="E180" i="6"/>
  <c r="E182" i="6"/>
  <c r="E183" i="6"/>
  <c r="E184" i="6"/>
  <c r="E186" i="6"/>
  <c r="E187" i="6"/>
  <c r="E188" i="6"/>
  <c r="E190" i="6"/>
  <c r="E191" i="6"/>
  <c r="E192" i="6"/>
  <c r="E194" i="6"/>
  <c r="E195" i="6"/>
  <c r="E196" i="6"/>
  <c r="E198" i="6"/>
  <c r="E199" i="6"/>
  <c r="E200" i="6"/>
  <c r="E202" i="6"/>
  <c r="E203" i="6"/>
  <c r="E204" i="6"/>
  <c r="E206" i="6"/>
  <c r="E207" i="6"/>
  <c r="E208" i="6"/>
  <c r="E210" i="6"/>
  <c r="E211" i="6"/>
  <c r="E212" i="6"/>
  <c r="E214" i="6"/>
  <c r="E215" i="6"/>
  <c r="E216" i="6"/>
  <c r="E218" i="6"/>
  <c r="E219" i="6"/>
  <c r="E220" i="6"/>
  <c r="E222" i="6"/>
  <c r="E223" i="6"/>
  <c r="E224" i="6"/>
  <c r="E226" i="6"/>
  <c r="E227" i="6"/>
  <c r="E228" i="6"/>
  <c r="E230" i="6"/>
  <c r="E231" i="6"/>
  <c r="E232" i="6"/>
  <c r="E234" i="6"/>
  <c r="E235" i="6"/>
  <c r="E236" i="6"/>
  <c r="E238" i="6"/>
  <c r="E240" i="6"/>
  <c r="E242" i="6"/>
  <c r="E243" i="6"/>
  <c r="E244" i="6"/>
  <c r="E246" i="6"/>
  <c r="E248" i="6"/>
  <c r="E250" i="6"/>
  <c r="E251" i="6"/>
  <c r="E252" i="6"/>
  <c r="C178" i="6"/>
  <c r="C179" i="6"/>
  <c r="C180" i="6"/>
  <c r="C182" i="6"/>
  <c r="C183" i="6"/>
  <c r="C184" i="6"/>
  <c r="C186" i="6"/>
  <c r="C187" i="6"/>
  <c r="C188" i="6"/>
  <c r="C190" i="6"/>
  <c r="C191" i="6"/>
  <c r="C192" i="6"/>
  <c r="C194" i="6"/>
  <c r="C195" i="6"/>
  <c r="C196" i="6"/>
  <c r="C198" i="6"/>
  <c r="C199" i="6"/>
  <c r="C200" i="6"/>
  <c r="C202" i="6"/>
  <c r="C203" i="6"/>
  <c r="C204" i="6"/>
  <c r="C206" i="6"/>
  <c r="C207" i="6"/>
  <c r="C208" i="6"/>
  <c r="C210" i="6"/>
  <c r="C211" i="6"/>
  <c r="C212" i="6"/>
  <c r="C214" i="6"/>
  <c r="C215" i="6"/>
  <c r="C216" i="6"/>
  <c r="C218" i="6"/>
  <c r="C219" i="6"/>
  <c r="C220" i="6"/>
  <c r="C222" i="6"/>
  <c r="C223" i="6"/>
  <c r="C224" i="6"/>
  <c r="C226" i="6"/>
  <c r="C227" i="6"/>
  <c r="C228" i="6"/>
  <c r="C230" i="6"/>
  <c r="C231" i="6"/>
  <c r="C232" i="6"/>
  <c r="C234" i="6"/>
  <c r="C235" i="6"/>
  <c r="C236" i="6"/>
  <c r="C238" i="6"/>
  <c r="C239" i="6"/>
  <c r="C240" i="6"/>
  <c r="C242" i="6"/>
  <c r="C243" i="6"/>
  <c r="C244" i="6"/>
  <c r="C247" i="6"/>
  <c r="C248" i="6"/>
  <c r="C250" i="6"/>
  <c r="C251" i="6"/>
  <c r="C252" i="6"/>
  <c r="N178" i="6"/>
  <c r="N180" i="6"/>
  <c r="N182" i="6"/>
  <c r="N184" i="6"/>
  <c r="N186" i="6"/>
  <c r="N188" i="6"/>
  <c r="N189" i="6"/>
  <c r="N190" i="6"/>
  <c r="N192" i="6"/>
  <c r="N194" i="6"/>
  <c r="N196" i="6"/>
  <c r="N198" i="6"/>
  <c r="N200" i="6"/>
  <c r="N202" i="6"/>
  <c r="N204" i="6"/>
  <c r="N205" i="6"/>
  <c r="N206" i="6"/>
  <c r="N208" i="6"/>
  <c r="N210" i="6"/>
  <c r="N212" i="6"/>
  <c r="N213" i="6"/>
  <c r="N214" i="6"/>
  <c r="N216" i="6"/>
  <c r="N218" i="6"/>
  <c r="N220" i="6"/>
  <c r="N222" i="6"/>
  <c r="N224" i="6"/>
  <c r="N226" i="6"/>
  <c r="N228" i="6"/>
  <c r="N229" i="6"/>
  <c r="N230" i="6"/>
  <c r="N232" i="6"/>
  <c r="N234" i="6"/>
  <c r="N236" i="6"/>
  <c r="N237" i="6"/>
  <c r="N238" i="6"/>
  <c r="N240" i="6"/>
  <c r="N242" i="6"/>
  <c r="N244" i="6"/>
  <c r="N246" i="6"/>
  <c r="N248" i="6"/>
  <c r="N250" i="6"/>
  <c r="N252" i="6"/>
  <c r="M178" i="6"/>
  <c r="M179" i="6"/>
  <c r="M182" i="6"/>
  <c r="M183" i="6"/>
  <c r="M184" i="6"/>
  <c r="M185" i="6"/>
  <c r="M186" i="6"/>
  <c r="M187" i="6"/>
  <c r="M188" i="6"/>
  <c r="M189" i="6"/>
  <c r="M191" i="6"/>
  <c r="M192" i="6"/>
  <c r="M193" i="6"/>
  <c r="M194" i="6"/>
  <c r="M195" i="6"/>
  <c r="M196" i="6"/>
  <c r="M197" i="6"/>
  <c r="M199" i="6"/>
  <c r="M200" i="6"/>
  <c r="M201" i="6"/>
  <c r="M203" i="6"/>
  <c r="M204" i="6"/>
  <c r="M205" i="6"/>
  <c r="M207" i="6"/>
  <c r="M208" i="6"/>
  <c r="M209" i="6"/>
  <c r="M210" i="6"/>
  <c r="M211" i="6"/>
  <c r="M212" i="6"/>
  <c r="M213" i="6"/>
  <c r="M215" i="6"/>
  <c r="M216" i="6"/>
  <c r="M217" i="6"/>
  <c r="M219" i="6"/>
  <c r="M220" i="6"/>
  <c r="M221" i="6"/>
  <c r="M223" i="6"/>
  <c r="M224" i="6"/>
  <c r="M225" i="6"/>
  <c r="M226" i="6"/>
  <c r="M227" i="6"/>
  <c r="M228" i="6"/>
  <c r="M229" i="6"/>
  <c r="M231" i="6"/>
  <c r="M232" i="6"/>
  <c r="M233" i="6"/>
  <c r="M235" i="6"/>
  <c r="M236" i="6"/>
  <c r="M237" i="6"/>
  <c r="M239" i="6"/>
  <c r="M240" i="6"/>
  <c r="M241" i="6"/>
  <c r="M242" i="6"/>
  <c r="M243" i="6"/>
  <c r="M244" i="6"/>
  <c r="M245" i="6"/>
  <c r="M247" i="6"/>
  <c r="M248" i="6"/>
  <c r="M249" i="6"/>
  <c r="M251" i="6"/>
  <c r="M252" i="6"/>
  <c r="L178" i="6"/>
  <c r="L179" i="6"/>
  <c r="L182" i="6"/>
  <c r="L183" i="6"/>
  <c r="L184" i="6"/>
  <c r="L186" i="6"/>
  <c r="L187" i="6"/>
  <c r="L188" i="6"/>
  <c r="L189" i="6"/>
  <c r="L190" i="6"/>
  <c r="L191" i="6"/>
  <c r="L192" i="6"/>
  <c r="L193" i="6"/>
  <c r="L195" i="6"/>
  <c r="L196" i="6"/>
  <c r="L197" i="6"/>
  <c r="L198" i="6"/>
  <c r="L199" i="6"/>
  <c r="L200" i="6"/>
  <c r="L201" i="6"/>
  <c r="L203" i="6"/>
  <c r="L204" i="6"/>
  <c r="L205" i="6"/>
  <c r="L206" i="6"/>
  <c r="L207" i="6"/>
  <c r="L208" i="6"/>
  <c r="L209" i="6"/>
  <c r="L211" i="6"/>
  <c r="L212" i="6"/>
  <c r="L213" i="6"/>
  <c r="L214" i="6"/>
  <c r="L215" i="6"/>
  <c r="L216" i="6"/>
  <c r="L217" i="6"/>
  <c r="L219" i="6"/>
  <c r="L220" i="6"/>
  <c r="L221" i="6"/>
  <c r="L222" i="6"/>
  <c r="L223" i="6"/>
  <c r="L224" i="6"/>
  <c r="L225" i="6"/>
  <c r="L227" i="6"/>
  <c r="L228" i="6"/>
  <c r="L229" i="6"/>
  <c r="L230" i="6"/>
  <c r="L231" i="6"/>
  <c r="L232" i="6"/>
  <c r="L233" i="6"/>
  <c r="L235" i="6"/>
  <c r="L236" i="6"/>
  <c r="L237" i="6"/>
  <c r="L238" i="6"/>
  <c r="L239" i="6"/>
  <c r="L240" i="6"/>
  <c r="L241" i="6"/>
  <c r="L243" i="6"/>
  <c r="L244" i="6"/>
  <c r="L245" i="6"/>
  <c r="L246" i="6"/>
  <c r="L247" i="6"/>
  <c r="L248" i="6"/>
  <c r="L249" i="6"/>
  <c r="L251" i="6"/>
  <c r="L252" i="6"/>
  <c r="I177" i="6"/>
  <c r="J177" i="6"/>
  <c r="H177" i="6"/>
  <c r="B177" i="6"/>
  <c r="F177" i="6" s="1"/>
  <c r="E177" i="6"/>
  <c r="C177" i="6"/>
  <c r="N177" i="6"/>
  <c r="M177" i="6"/>
  <c r="L177" i="6"/>
  <c r="I102" i="6"/>
  <c r="I103" i="6"/>
  <c r="J103" i="6"/>
  <c r="I104" i="6"/>
  <c r="J104" i="6" s="1"/>
  <c r="I105" i="6"/>
  <c r="J105" i="6"/>
  <c r="I106" i="6"/>
  <c r="I107" i="6"/>
  <c r="J107" i="6"/>
  <c r="I108" i="6"/>
  <c r="J108" i="6" s="1"/>
  <c r="I109" i="6"/>
  <c r="J109" i="6"/>
  <c r="I110" i="6"/>
  <c r="I111" i="6"/>
  <c r="J111" i="6"/>
  <c r="I112" i="6"/>
  <c r="J112" i="6" s="1"/>
  <c r="I113" i="6"/>
  <c r="J113" i="6"/>
  <c r="I114" i="6"/>
  <c r="I115" i="6"/>
  <c r="J115" i="6"/>
  <c r="I116" i="6"/>
  <c r="J116" i="6" s="1"/>
  <c r="I117" i="6"/>
  <c r="J117" i="6"/>
  <c r="I118" i="6"/>
  <c r="I119" i="6"/>
  <c r="J119" i="6"/>
  <c r="I120" i="6"/>
  <c r="J120" i="6" s="1"/>
  <c r="I121" i="6"/>
  <c r="J121" i="6"/>
  <c r="I122" i="6"/>
  <c r="I123" i="6"/>
  <c r="J123" i="6"/>
  <c r="I124" i="6"/>
  <c r="J124" i="6" s="1"/>
  <c r="I125" i="6"/>
  <c r="J125" i="6"/>
  <c r="I126" i="6"/>
  <c r="I127" i="6"/>
  <c r="J127" i="6"/>
  <c r="I128" i="6"/>
  <c r="J128" i="6" s="1"/>
  <c r="I129" i="6"/>
  <c r="J129" i="6"/>
  <c r="I130" i="6"/>
  <c r="I131" i="6"/>
  <c r="J131" i="6"/>
  <c r="I132" i="6"/>
  <c r="J132" i="6" s="1"/>
  <c r="I133" i="6"/>
  <c r="J133" i="6"/>
  <c r="I134" i="6"/>
  <c r="I135" i="6"/>
  <c r="J135" i="6"/>
  <c r="I136" i="6"/>
  <c r="J136" i="6" s="1"/>
  <c r="I137" i="6"/>
  <c r="J137" i="6"/>
  <c r="I138" i="6"/>
  <c r="I139" i="6"/>
  <c r="J139" i="6"/>
  <c r="I140" i="6"/>
  <c r="J140" i="6" s="1"/>
  <c r="I141" i="6"/>
  <c r="J141" i="6"/>
  <c r="I142" i="6"/>
  <c r="I143" i="6"/>
  <c r="J143" i="6"/>
  <c r="I144" i="6"/>
  <c r="J144" i="6" s="1"/>
  <c r="I145" i="6"/>
  <c r="J145" i="6"/>
  <c r="I146" i="6"/>
  <c r="I147" i="6"/>
  <c r="J147" i="6"/>
  <c r="I148" i="6"/>
  <c r="J148" i="6" s="1"/>
  <c r="I149" i="6"/>
  <c r="J149" i="6"/>
  <c r="I150" i="6"/>
  <c r="I151" i="6"/>
  <c r="J151" i="6"/>
  <c r="I152" i="6"/>
  <c r="J152" i="6" s="1"/>
  <c r="I153" i="6"/>
  <c r="J153" i="6"/>
  <c r="I154" i="6"/>
  <c r="I155" i="6"/>
  <c r="J155" i="6"/>
  <c r="I156" i="6"/>
  <c r="J156" i="6" s="1"/>
  <c r="I157" i="6"/>
  <c r="J157" i="6"/>
  <c r="I158" i="6"/>
  <c r="I159" i="6"/>
  <c r="J159" i="6"/>
  <c r="I160" i="6"/>
  <c r="J160" i="6" s="1"/>
  <c r="I161" i="6"/>
  <c r="J161" i="6"/>
  <c r="I162" i="6"/>
  <c r="I163" i="6"/>
  <c r="J163" i="6"/>
  <c r="I164" i="6"/>
  <c r="J164" i="6" s="1"/>
  <c r="I165" i="6"/>
  <c r="J165" i="6"/>
  <c r="I166" i="6"/>
  <c r="I167" i="6"/>
  <c r="J167" i="6"/>
  <c r="I168" i="6"/>
  <c r="J168" i="6" s="1"/>
  <c r="I169" i="6"/>
  <c r="J169" i="6"/>
  <c r="I170" i="6"/>
  <c r="I171" i="6"/>
  <c r="J171" i="6"/>
  <c r="I101" i="6"/>
  <c r="J101" i="6" s="1"/>
  <c r="H103" i="6"/>
  <c r="H104" i="6"/>
  <c r="H105" i="6"/>
  <c r="H107" i="6"/>
  <c r="H108" i="6"/>
  <c r="H109" i="6"/>
  <c r="H111" i="6"/>
  <c r="H112" i="6"/>
  <c r="H113" i="6"/>
  <c r="H115" i="6"/>
  <c r="H116" i="6"/>
  <c r="H117" i="6"/>
  <c r="H119" i="6"/>
  <c r="H120" i="6"/>
  <c r="H121" i="6"/>
  <c r="H123" i="6"/>
  <c r="H124" i="6"/>
  <c r="H125" i="6"/>
  <c r="H127" i="6"/>
  <c r="H128" i="6"/>
  <c r="H129" i="6"/>
  <c r="H131" i="6"/>
  <c r="H132" i="6"/>
  <c r="H133" i="6"/>
  <c r="H135" i="6"/>
  <c r="H136" i="6"/>
  <c r="H137" i="6"/>
  <c r="H139" i="6"/>
  <c r="H140" i="6"/>
  <c r="H141" i="6"/>
  <c r="H143" i="6"/>
  <c r="H144" i="6"/>
  <c r="H145" i="6"/>
  <c r="H147" i="6"/>
  <c r="H148" i="6"/>
  <c r="H149" i="6"/>
  <c r="H151" i="6"/>
  <c r="H152" i="6"/>
  <c r="H153" i="6"/>
  <c r="H155" i="6"/>
  <c r="H156" i="6"/>
  <c r="H157" i="6"/>
  <c r="H159" i="6"/>
  <c r="H160" i="6"/>
  <c r="H161" i="6"/>
  <c r="H163" i="6"/>
  <c r="H164" i="6"/>
  <c r="H165" i="6"/>
  <c r="H167" i="6"/>
  <c r="H168" i="6"/>
  <c r="H169" i="6"/>
  <c r="H171" i="6"/>
  <c r="H101" i="6"/>
  <c r="B102" i="6"/>
  <c r="E102" i="6" s="1"/>
  <c r="B103" i="6"/>
  <c r="C103" i="6" s="1"/>
  <c r="B104" i="6"/>
  <c r="F104" i="6" s="1"/>
  <c r="B105" i="6"/>
  <c r="F105" i="6" s="1"/>
  <c r="B106" i="6"/>
  <c r="F106" i="6" s="1"/>
  <c r="B107" i="6"/>
  <c r="C107" i="6" s="1"/>
  <c r="F107" i="6"/>
  <c r="B108" i="6"/>
  <c r="F108" i="6" s="1"/>
  <c r="B109" i="6"/>
  <c r="E109" i="6" s="1"/>
  <c r="B110" i="6"/>
  <c r="E110" i="6" s="1"/>
  <c r="F111" i="6"/>
  <c r="B112" i="6"/>
  <c r="F112" i="6" s="1"/>
  <c r="B113" i="6"/>
  <c r="F113" i="6"/>
  <c r="B114" i="6"/>
  <c r="B115" i="6"/>
  <c r="F115" i="6"/>
  <c r="B116" i="6"/>
  <c r="B117" i="6"/>
  <c r="F117" i="6"/>
  <c r="B118" i="6"/>
  <c r="E118" i="6" s="1"/>
  <c r="F118" i="6"/>
  <c r="B119" i="6"/>
  <c r="F119" i="6"/>
  <c r="B120" i="6"/>
  <c r="F120" i="6" s="1"/>
  <c r="B121" i="6"/>
  <c r="F121" i="6"/>
  <c r="B122" i="6"/>
  <c r="E122" i="6" s="1"/>
  <c r="B123" i="6"/>
  <c r="F123" i="6"/>
  <c r="B124" i="6"/>
  <c r="B125" i="6"/>
  <c r="F125" i="6"/>
  <c r="B126" i="6"/>
  <c r="E126" i="6" s="1"/>
  <c r="F126" i="6"/>
  <c r="B127" i="6"/>
  <c r="F127" i="6"/>
  <c r="B128" i="6"/>
  <c r="F128" i="6" s="1"/>
  <c r="B129" i="6"/>
  <c r="F129" i="6"/>
  <c r="B130" i="6"/>
  <c r="E130" i="6" s="1"/>
  <c r="B131" i="6"/>
  <c r="F131" i="6"/>
  <c r="B132" i="6"/>
  <c r="B133" i="6"/>
  <c r="F133" i="6"/>
  <c r="B134" i="6"/>
  <c r="E134" i="6" s="1"/>
  <c r="F134" i="6"/>
  <c r="B135" i="6"/>
  <c r="F135" i="6"/>
  <c r="B136" i="6"/>
  <c r="F136" i="6" s="1"/>
  <c r="B137" i="6"/>
  <c r="F137" i="6"/>
  <c r="B138" i="6"/>
  <c r="E138" i="6" s="1"/>
  <c r="B139" i="6"/>
  <c r="F139" i="6"/>
  <c r="B140" i="6"/>
  <c r="C140" i="6" s="1"/>
  <c r="B141" i="6"/>
  <c r="F141" i="6"/>
  <c r="B142" i="6"/>
  <c r="E142" i="6" s="1"/>
  <c r="B143" i="6"/>
  <c r="F143" i="6"/>
  <c r="B144" i="6"/>
  <c r="F144" i="6" s="1"/>
  <c r="B145" i="6"/>
  <c r="F145" i="6"/>
  <c r="B146" i="6"/>
  <c r="E146" i="6" s="1"/>
  <c r="B147" i="6"/>
  <c r="F147" i="6"/>
  <c r="B148" i="6"/>
  <c r="C148" i="6" s="1"/>
  <c r="B149" i="6"/>
  <c r="F149" i="6"/>
  <c r="B150" i="6"/>
  <c r="E150" i="6" s="1"/>
  <c r="F150" i="6"/>
  <c r="B151" i="6"/>
  <c r="F151" i="6"/>
  <c r="B152" i="6"/>
  <c r="F152" i="6" s="1"/>
  <c r="B153" i="6"/>
  <c r="F153" i="6"/>
  <c r="B154" i="6"/>
  <c r="E154" i="6" s="1"/>
  <c r="B155" i="6"/>
  <c r="F155" i="6"/>
  <c r="B156" i="6"/>
  <c r="B157" i="6"/>
  <c r="F157" i="6"/>
  <c r="B158" i="6"/>
  <c r="E158" i="6" s="1"/>
  <c r="F158" i="6"/>
  <c r="B159" i="6"/>
  <c r="F159" i="6"/>
  <c r="B160" i="6"/>
  <c r="F160" i="6" s="1"/>
  <c r="B161" i="6"/>
  <c r="F161" i="6"/>
  <c r="B162" i="6"/>
  <c r="E162" i="6" s="1"/>
  <c r="B163" i="6"/>
  <c r="F163" i="6"/>
  <c r="B164" i="6"/>
  <c r="B165" i="6"/>
  <c r="F165" i="6"/>
  <c r="B166" i="6"/>
  <c r="E166" i="6" s="1"/>
  <c r="F166" i="6"/>
  <c r="B167" i="6"/>
  <c r="F167" i="6"/>
  <c r="B168" i="6"/>
  <c r="F168" i="6" s="1"/>
  <c r="B169" i="6"/>
  <c r="F169" i="6"/>
  <c r="B170" i="6"/>
  <c r="E170" i="6" s="1"/>
  <c r="B171" i="6"/>
  <c r="F171" i="6"/>
  <c r="B101" i="6"/>
  <c r="C101" i="6" s="1"/>
  <c r="E104" i="6"/>
  <c r="E105" i="6"/>
  <c r="E107" i="6"/>
  <c r="E108" i="6"/>
  <c r="E111" i="6"/>
  <c r="E112" i="6"/>
  <c r="E113" i="6"/>
  <c r="E115" i="6"/>
  <c r="E116" i="6"/>
  <c r="E117" i="6"/>
  <c r="E119" i="6"/>
  <c r="E120" i="6"/>
  <c r="E121" i="6"/>
  <c r="E123" i="6"/>
  <c r="E124" i="6"/>
  <c r="E125" i="6"/>
  <c r="E127" i="6"/>
  <c r="E128" i="6"/>
  <c r="E129" i="6"/>
  <c r="E131" i="6"/>
  <c r="E133" i="6"/>
  <c r="E135" i="6"/>
  <c r="E136" i="6"/>
  <c r="E137" i="6"/>
  <c r="E139" i="6"/>
  <c r="E141" i="6"/>
  <c r="E143" i="6"/>
  <c r="E144" i="6"/>
  <c r="E145" i="6"/>
  <c r="E147" i="6"/>
  <c r="E148" i="6"/>
  <c r="E149" i="6"/>
  <c r="E151" i="6"/>
  <c r="E152" i="6"/>
  <c r="E153" i="6"/>
  <c r="E155" i="6"/>
  <c r="E156" i="6"/>
  <c r="E157" i="6"/>
  <c r="E159" i="6"/>
  <c r="E160" i="6"/>
  <c r="E161" i="6"/>
  <c r="E163" i="6"/>
  <c r="E165" i="6"/>
  <c r="E167" i="6"/>
  <c r="E168" i="6"/>
  <c r="E169" i="6"/>
  <c r="E171" i="6"/>
  <c r="C102" i="6"/>
  <c r="C104" i="6"/>
  <c r="C105" i="6"/>
  <c r="C106" i="6"/>
  <c r="C108" i="6"/>
  <c r="C109" i="6"/>
  <c r="C110" i="6"/>
  <c r="C111" i="6"/>
  <c r="C112" i="6"/>
  <c r="C113" i="6"/>
  <c r="C115" i="6"/>
  <c r="C116" i="6"/>
  <c r="C117" i="6"/>
  <c r="C118" i="6"/>
  <c r="C119" i="6"/>
  <c r="C120" i="6"/>
  <c r="C121" i="6"/>
  <c r="C122" i="6"/>
  <c r="C123" i="6"/>
  <c r="C124" i="6"/>
  <c r="C125" i="6"/>
  <c r="C126" i="6"/>
  <c r="C127" i="6"/>
  <c r="C129" i="6"/>
  <c r="C130" i="6"/>
  <c r="C131" i="6"/>
  <c r="C133" i="6"/>
  <c r="C134" i="6"/>
  <c r="C135" i="6"/>
  <c r="C136" i="6"/>
  <c r="C137" i="6"/>
  <c r="C138" i="6"/>
  <c r="C139" i="6"/>
  <c r="C141" i="6"/>
  <c r="C142" i="6"/>
  <c r="C143" i="6"/>
  <c r="C144" i="6"/>
  <c r="C145" i="6"/>
  <c r="C147" i="6"/>
  <c r="C149" i="6"/>
  <c r="C150" i="6"/>
  <c r="C151" i="6"/>
  <c r="C152" i="6"/>
  <c r="C153" i="6"/>
  <c r="C154" i="6"/>
  <c r="C155" i="6"/>
  <c r="C156" i="6"/>
  <c r="C157" i="6"/>
  <c r="C158" i="6"/>
  <c r="C159" i="6"/>
  <c r="C161" i="6"/>
  <c r="C162" i="6"/>
  <c r="C163" i="6"/>
  <c r="C165" i="6"/>
  <c r="C166" i="6"/>
  <c r="C167" i="6"/>
  <c r="C168" i="6"/>
  <c r="C169" i="6"/>
  <c r="C170" i="6"/>
  <c r="C171" i="6"/>
  <c r="N102" i="6"/>
  <c r="N103" i="6"/>
  <c r="N104" i="6"/>
  <c r="N105" i="6"/>
  <c r="N106" i="6"/>
  <c r="N107" i="6"/>
  <c r="N108" i="6"/>
  <c r="N109" i="6"/>
  <c r="N110" i="6"/>
  <c r="N111" i="6"/>
  <c r="N112" i="6"/>
  <c r="N113" i="6"/>
  <c r="N115" i="6"/>
  <c r="N117" i="6"/>
  <c r="N118" i="6"/>
  <c r="N119" i="6"/>
  <c r="N120" i="6"/>
  <c r="N121" i="6"/>
  <c r="N122" i="6"/>
  <c r="N123" i="6"/>
  <c r="N125" i="6"/>
  <c r="N126" i="6"/>
  <c r="N127" i="6"/>
  <c r="N128" i="6"/>
  <c r="N129" i="6"/>
  <c r="N130" i="6"/>
  <c r="N131" i="6"/>
  <c r="N133" i="6"/>
  <c r="N134" i="6"/>
  <c r="N135" i="6"/>
  <c r="N136" i="6"/>
  <c r="N137" i="6"/>
  <c r="N138" i="6"/>
  <c r="N139" i="6"/>
  <c r="N141" i="6"/>
  <c r="N143" i="6"/>
  <c r="N144" i="6"/>
  <c r="N145" i="6"/>
  <c r="N146" i="6"/>
  <c r="N147" i="6"/>
  <c r="N149" i="6"/>
  <c r="N150" i="6"/>
  <c r="N151" i="6"/>
  <c r="N152" i="6"/>
  <c r="N153" i="6"/>
  <c r="N154" i="6"/>
  <c r="N155" i="6"/>
  <c r="N157" i="6"/>
  <c r="N158" i="6"/>
  <c r="N159" i="6"/>
  <c r="N161" i="6"/>
  <c r="N162" i="6"/>
  <c r="N163" i="6"/>
  <c r="N165" i="6"/>
  <c r="N166" i="6"/>
  <c r="N167" i="6"/>
  <c r="N168" i="6"/>
  <c r="N169" i="6"/>
  <c r="N170" i="6"/>
  <c r="N171" i="6"/>
  <c r="M103" i="6"/>
  <c r="M104" i="6"/>
  <c r="M105" i="6"/>
  <c r="M106" i="6"/>
  <c r="M107" i="6"/>
  <c r="M108" i="6"/>
  <c r="M109" i="6"/>
  <c r="M110" i="6"/>
  <c r="M111" i="6"/>
  <c r="M112" i="6"/>
  <c r="M113" i="6"/>
  <c r="M114" i="6"/>
  <c r="M115" i="6"/>
  <c r="M116" i="6"/>
  <c r="M117" i="6"/>
  <c r="M119" i="6"/>
  <c r="M120" i="6"/>
  <c r="M121" i="6"/>
  <c r="M122" i="6"/>
  <c r="M123" i="6"/>
  <c r="M124" i="6"/>
  <c r="M125" i="6"/>
  <c r="M126" i="6"/>
  <c r="M127" i="6"/>
  <c r="M128" i="6"/>
  <c r="M129" i="6"/>
  <c r="M130" i="6"/>
  <c r="M131" i="6"/>
  <c r="M132" i="6"/>
  <c r="M133" i="6"/>
  <c r="M135" i="6"/>
  <c r="M136" i="6"/>
  <c r="M137" i="6"/>
  <c r="M138" i="6"/>
  <c r="M139" i="6"/>
  <c r="M140" i="6"/>
  <c r="M141" i="6"/>
  <c r="M142" i="6"/>
  <c r="M143" i="6"/>
  <c r="M144" i="6"/>
  <c r="M145" i="6"/>
  <c r="M146" i="6"/>
  <c r="M147" i="6"/>
  <c r="M148" i="6"/>
  <c r="M149" i="6"/>
  <c r="M151" i="6"/>
  <c r="M152" i="6"/>
  <c r="M153" i="6"/>
  <c r="M154" i="6"/>
  <c r="M155" i="6"/>
  <c r="M156" i="6"/>
  <c r="M157" i="6"/>
  <c r="M158" i="6"/>
  <c r="M159" i="6"/>
  <c r="M160" i="6"/>
  <c r="M161" i="6"/>
  <c r="M162" i="6"/>
  <c r="M163" i="6"/>
  <c r="M164" i="6"/>
  <c r="M165" i="6"/>
  <c r="M167" i="6"/>
  <c r="M168" i="6"/>
  <c r="M169" i="6"/>
  <c r="M170" i="6"/>
  <c r="M171" i="6"/>
  <c r="M101" i="6"/>
  <c r="L128" i="6"/>
  <c r="L129" i="6"/>
  <c r="L130" i="6"/>
  <c r="L131" i="6"/>
  <c r="L132" i="6"/>
  <c r="L133" i="6"/>
  <c r="L135" i="6"/>
  <c r="L136" i="6"/>
  <c r="L137" i="6"/>
  <c r="L138" i="6"/>
  <c r="L139" i="6"/>
  <c r="L140" i="6"/>
  <c r="L141" i="6"/>
  <c r="L142" i="6"/>
  <c r="L143" i="6"/>
  <c r="L144" i="6"/>
  <c r="L145" i="6"/>
  <c r="L146" i="6"/>
  <c r="L147" i="6"/>
  <c r="L148" i="6"/>
  <c r="L149" i="6"/>
  <c r="L151" i="6"/>
  <c r="L152" i="6"/>
  <c r="L153" i="6"/>
  <c r="L154" i="6"/>
  <c r="L155" i="6"/>
  <c r="L156" i="6"/>
  <c r="L157" i="6"/>
  <c r="L158" i="6"/>
  <c r="L159" i="6"/>
  <c r="L160" i="6"/>
  <c r="L161" i="6"/>
  <c r="L162" i="6"/>
  <c r="L163" i="6"/>
  <c r="L164" i="6"/>
  <c r="L165" i="6"/>
  <c r="L167" i="6"/>
  <c r="L168" i="6"/>
  <c r="L169" i="6"/>
  <c r="L170" i="6"/>
  <c r="L171" i="6"/>
  <c r="L103" i="6"/>
  <c r="L104" i="6"/>
  <c r="L105" i="6"/>
  <c r="L106" i="6"/>
  <c r="L107" i="6"/>
  <c r="L108" i="6"/>
  <c r="L109" i="6"/>
  <c r="L110" i="6"/>
  <c r="L111" i="6"/>
  <c r="L112" i="6"/>
  <c r="L113" i="6"/>
  <c r="L114" i="6"/>
  <c r="L115" i="6"/>
  <c r="L116" i="6"/>
  <c r="L117" i="6"/>
  <c r="L119" i="6"/>
  <c r="L120" i="6"/>
  <c r="L121" i="6"/>
  <c r="L122" i="6"/>
  <c r="L123" i="6"/>
  <c r="L124" i="6"/>
  <c r="L125" i="6"/>
  <c r="L126" i="6"/>
  <c r="L127" i="6"/>
  <c r="L101" i="6"/>
  <c r="AA325" i="15"/>
  <c r="AA271" i="15"/>
  <c r="AA217" i="15"/>
  <c r="AA162" i="15"/>
  <c r="AA108" i="15"/>
  <c r="G439" i="11"/>
  <c r="G351" i="11"/>
  <c r="G263" i="11"/>
  <c r="G175" i="11"/>
  <c r="G23" i="1"/>
  <c r="G24" i="1"/>
  <c r="G33" i="1"/>
  <c r="O91" i="13" s="1"/>
  <c r="E54" i="1"/>
  <c r="E49" i="1"/>
  <c r="E50" i="1"/>
  <c r="D46" i="1"/>
  <c r="C37" i="13" s="1"/>
  <c r="H61" i="1"/>
  <c r="H9" i="2"/>
  <c r="H11" i="2"/>
  <c r="I12" i="2"/>
  <c r="J12" i="2"/>
  <c r="H13" i="2"/>
  <c r="H15" i="2"/>
  <c r="H17" i="2"/>
  <c r="H19" i="2"/>
  <c r="H21" i="2"/>
  <c r="H23" i="2"/>
  <c r="H25" i="2"/>
  <c r="H27" i="2"/>
  <c r="H29" i="2"/>
  <c r="H31" i="2"/>
  <c r="H33" i="2"/>
  <c r="H35" i="2"/>
  <c r="H37" i="2"/>
  <c r="AA9" i="3"/>
  <c r="AB9" i="3" s="1"/>
  <c r="AB23" i="3" s="1"/>
  <c r="AB36" i="3" s="1"/>
  <c r="AB49" i="3" s="1"/>
  <c r="AB62" i="3" s="1"/>
  <c r="AB75" i="3" s="1"/>
  <c r="AB88" i="3" s="1"/>
  <c r="AB101" i="3" s="1"/>
  <c r="AB114" i="3" s="1"/>
  <c r="AB127" i="3" s="1"/>
  <c r="AB144" i="3" s="1"/>
  <c r="AB157" i="3" s="1"/>
  <c r="AB170" i="3" s="1"/>
  <c r="AB183" i="3" s="1"/>
  <c r="AB196" i="3" s="1"/>
  <c r="AB209" i="3" s="1"/>
  <c r="AB222" i="3" s="1"/>
  <c r="AB235" i="3" s="1"/>
  <c r="AB248" i="3" s="1"/>
  <c r="AB261" i="3" s="1"/>
  <c r="AB278" i="3" s="1"/>
  <c r="AB292" i="3" s="1"/>
  <c r="AB306" i="3" s="1"/>
  <c r="AB320" i="3" s="1"/>
  <c r="AB334" i="3" s="1"/>
  <c r="AB348" i="3" s="1"/>
  <c r="AB362" i="3" s="1"/>
  <c r="AB376" i="3" s="1"/>
  <c r="AB390" i="3" s="1"/>
  <c r="AB404" i="3" s="1"/>
  <c r="AB418" i="3" s="1"/>
  <c r="AB432" i="3" s="1"/>
  <c r="AB446" i="3" s="1"/>
  <c r="AB460" i="3" s="1"/>
  <c r="AB474" i="3" s="1"/>
  <c r="AB488" i="3" s="1"/>
  <c r="AB502" i="3" s="1"/>
  <c r="AB516" i="3" s="1"/>
  <c r="AB530" i="3" s="1"/>
  <c r="AB544" i="3" s="1"/>
  <c r="AB562" i="3" s="1"/>
  <c r="AB575" i="3" s="1"/>
  <c r="AB592" i="3" s="1"/>
  <c r="AB605" i="3" s="1"/>
  <c r="AB618" i="3" s="1"/>
  <c r="AB631" i="3" s="1"/>
  <c r="AB644" i="3" s="1"/>
  <c r="AB657" i="3" s="1"/>
  <c r="AB674" i="3" s="1"/>
  <c r="AB687" i="3" s="1"/>
  <c r="AB700" i="3" s="1"/>
  <c r="AB719" i="3" s="1"/>
  <c r="AB732" i="3" s="1"/>
  <c r="AB745" i="3" s="1"/>
  <c r="AB758" i="3" s="1"/>
  <c r="AB771" i="3" s="1"/>
  <c r="AB784" i="3" s="1"/>
  <c r="AB797" i="3" s="1"/>
  <c r="AB810" i="3" s="1"/>
  <c r="AB823" i="3" s="1"/>
  <c r="AB836" i="3" s="1"/>
  <c r="AB849" i="3" s="1"/>
  <c r="AB862" i="3" s="1"/>
  <c r="AB875" i="3" s="1"/>
  <c r="AB888" i="3" s="1"/>
  <c r="AB901" i="3" s="1"/>
  <c r="AB914" i="3" s="1"/>
  <c r="AB931" i="3" s="1"/>
  <c r="AB944" i="3" s="1"/>
  <c r="AB957" i="3" s="1"/>
  <c r="AB970" i="3" s="1"/>
  <c r="AB989" i="3" s="1"/>
  <c r="AB1002" i="3" s="1"/>
  <c r="AB1015" i="3" s="1"/>
  <c r="AB1028" i="3" s="1"/>
  <c r="AB1045" i="3" s="1"/>
  <c r="AB1058" i="3" s="1"/>
  <c r="AB1071" i="3" s="1"/>
  <c r="AB1084" i="3" s="1"/>
  <c r="AB1097" i="3" s="1"/>
  <c r="AB1110" i="3" s="1"/>
  <c r="AB1123" i="3" s="1"/>
  <c r="AB1136" i="3" s="1"/>
  <c r="AB1149" i="3" s="1"/>
  <c r="AB1166" i="3" s="1"/>
  <c r="AB1179" i="3" s="1"/>
  <c r="AB1192" i="3" s="1"/>
  <c r="AB1205" i="3" s="1"/>
  <c r="AB1218" i="3" s="1"/>
  <c r="AB1231" i="3" s="1"/>
  <c r="AB1244" i="3" s="1"/>
  <c r="AB1257" i="3" s="1"/>
  <c r="AB1274" i="3" s="1"/>
  <c r="AB1287" i="3" s="1"/>
  <c r="AB1300" i="3" s="1"/>
  <c r="AB1317" i="3" s="1"/>
  <c r="AB1330" i="3" s="1"/>
  <c r="AB1343" i="3" s="1"/>
  <c r="AB1356" i="3" s="1"/>
  <c r="M9" i="3"/>
  <c r="N9" i="3"/>
  <c r="B282" i="3"/>
  <c r="N23" i="3"/>
  <c r="L104" i="13" s="1"/>
  <c r="N36" i="3"/>
  <c r="N49" i="3"/>
  <c r="N62" i="3"/>
  <c r="L107" i="13" s="1"/>
  <c r="N75" i="3"/>
  <c r="L108" i="13" s="1"/>
  <c r="N88" i="3"/>
  <c r="N101" i="3"/>
  <c r="N114" i="3"/>
  <c r="L111" i="13" s="1"/>
  <c r="N127" i="3"/>
  <c r="N144" i="3"/>
  <c r="N157" i="3"/>
  <c r="N170" i="3"/>
  <c r="L123" i="13" s="1"/>
  <c r="N183" i="3"/>
  <c r="N196" i="3"/>
  <c r="N209" i="3"/>
  <c r="N222" i="3"/>
  <c r="L127" i="13" s="1"/>
  <c r="N235" i="3"/>
  <c r="N248" i="3"/>
  <c r="N261" i="3"/>
  <c r="N301" i="3"/>
  <c r="N412" i="3"/>
  <c r="N524" i="3"/>
  <c r="N592" i="3"/>
  <c r="N605" i="3"/>
  <c r="N618" i="3"/>
  <c r="L184" i="13" s="1"/>
  <c r="N631" i="3"/>
  <c r="L185" i="13" s="1"/>
  <c r="N644" i="3"/>
  <c r="N657" i="3"/>
  <c r="N674" i="3"/>
  <c r="N687" i="3"/>
  <c r="N700" i="3"/>
  <c r="N719" i="3"/>
  <c r="N732" i="3"/>
  <c r="L213" i="13" s="1"/>
  <c r="N745" i="3"/>
  <c r="N758" i="3"/>
  <c r="N771" i="3"/>
  <c r="N784" i="3"/>
  <c r="L217" i="13" s="1"/>
  <c r="N797" i="3"/>
  <c r="N810" i="3"/>
  <c r="N823" i="3"/>
  <c r="N836" i="3"/>
  <c r="L221" i="13" s="1"/>
  <c r="N849" i="3"/>
  <c r="N862" i="3"/>
  <c r="N875" i="3"/>
  <c r="N888" i="3"/>
  <c r="L225" i="13" s="1"/>
  <c r="N901" i="3"/>
  <c r="N914" i="3"/>
  <c r="N931" i="3"/>
  <c r="N944" i="3"/>
  <c r="L237" i="13" s="1"/>
  <c r="N957" i="3"/>
  <c r="N970" i="3"/>
  <c r="N989" i="3"/>
  <c r="N1015" i="3"/>
  <c r="L263" i="13" s="1"/>
  <c r="N1028" i="3"/>
  <c r="L264" i="13" s="1"/>
  <c r="N1045" i="3"/>
  <c r="N1058" i="3"/>
  <c r="N1071" i="3"/>
  <c r="L275" i="13" s="1"/>
  <c r="N1084" i="3"/>
  <c r="N1097" i="3"/>
  <c r="N1110" i="3"/>
  <c r="N1123" i="3"/>
  <c r="L279" i="13" s="1"/>
  <c r="N1136" i="3"/>
  <c r="N1149" i="3"/>
  <c r="N1166" i="3"/>
  <c r="N1179" i="3"/>
  <c r="L291" i="13" s="1"/>
  <c r="N1192" i="3"/>
  <c r="N1205" i="3"/>
  <c r="N1218" i="3"/>
  <c r="N1231" i="3"/>
  <c r="L295" i="13" s="1"/>
  <c r="N1244" i="3"/>
  <c r="N1257" i="3"/>
  <c r="N1274" i="3"/>
  <c r="N1287" i="3"/>
  <c r="L307" i="13" s="1"/>
  <c r="N1300" i="3"/>
  <c r="N1317" i="3"/>
  <c r="N1330" i="3"/>
  <c r="N1343" i="3"/>
  <c r="L319" i="13" s="1"/>
  <c r="N1356" i="3"/>
  <c r="AA23" i="3"/>
  <c r="M23" i="3"/>
  <c r="N104" i="13" s="1"/>
  <c r="K24" i="3"/>
  <c r="AA36" i="3"/>
  <c r="M36" i="3"/>
  <c r="N105" i="13" s="1"/>
  <c r="K37" i="3"/>
  <c r="AA49" i="3"/>
  <c r="M49" i="3"/>
  <c r="N106" i="13" s="1"/>
  <c r="K50" i="3"/>
  <c r="AA62" i="3"/>
  <c r="M62" i="3"/>
  <c r="K63" i="3"/>
  <c r="AA75" i="3"/>
  <c r="M75" i="3"/>
  <c r="K76" i="3"/>
  <c r="A108" i="13" s="1"/>
  <c r="AA88" i="3"/>
  <c r="M88" i="3"/>
  <c r="K89" i="3"/>
  <c r="AA101" i="3"/>
  <c r="M101" i="3"/>
  <c r="K102" i="3"/>
  <c r="AA114" i="3"/>
  <c r="M114" i="3"/>
  <c r="N111" i="13" s="1"/>
  <c r="K115" i="3"/>
  <c r="AA127" i="3"/>
  <c r="M127" i="3"/>
  <c r="AA144" i="3"/>
  <c r="M144" i="3"/>
  <c r="K145" i="3"/>
  <c r="A121" i="13" s="1"/>
  <c r="AA157" i="3"/>
  <c r="M157" i="3"/>
  <c r="AA170" i="3"/>
  <c r="M170" i="3"/>
  <c r="K171" i="3"/>
  <c r="AA183" i="3"/>
  <c r="M183" i="3"/>
  <c r="N124" i="13" s="1"/>
  <c r="AA196" i="3"/>
  <c r="M196" i="3"/>
  <c r="K197" i="3"/>
  <c r="A125" i="13" s="1"/>
  <c r="AA209" i="3"/>
  <c r="M209" i="3"/>
  <c r="K210" i="3"/>
  <c r="A126" i="13" s="1"/>
  <c r="AA222" i="3"/>
  <c r="M222" i="3"/>
  <c r="AA235" i="3"/>
  <c r="M235" i="3"/>
  <c r="N128" i="13" s="1"/>
  <c r="K236" i="3"/>
  <c r="AA248" i="3"/>
  <c r="M248" i="3"/>
  <c r="N129" i="13" s="1"/>
  <c r="K249" i="3"/>
  <c r="A129" i="13" s="1"/>
  <c r="AA261" i="3"/>
  <c r="M261" i="3"/>
  <c r="K262" i="3"/>
  <c r="A130" i="13" s="1"/>
  <c r="AA278" i="3"/>
  <c r="M278" i="3"/>
  <c r="L280" i="3"/>
  <c r="L282" i="3"/>
  <c r="L283" i="3"/>
  <c r="L284" i="3"/>
  <c r="L285" i="3"/>
  <c r="L286" i="3"/>
  <c r="L287" i="3"/>
  <c r="L288" i="3"/>
  <c r="L289" i="3"/>
  <c r="L290" i="3"/>
  <c r="L291" i="3"/>
  <c r="M280" i="3"/>
  <c r="N278" i="3"/>
  <c r="G280" i="3"/>
  <c r="A139" i="13" s="1"/>
  <c r="AA292" i="3"/>
  <c r="M292" i="3"/>
  <c r="L294" i="3"/>
  <c r="L295" i="3"/>
  <c r="L296" i="3"/>
  <c r="L297" i="3"/>
  <c r="L298" i="3"/>
  <c r="L299" i="3"/>
  <c r="L300" i="3"/>
  <c r="L301" i="3"/>
  <c r="L302" i="3"/>
  <c r="L303" i="3"/>
  <c r="L304" i="3"/>
  <c r="L305" i="3"/>
  <c r="M294" i="3"/>
  <c r="N292" i="3"/>
  <c r="M140" i="13" s="1"/>
  <c r="G294" i="3"/>
  <c r="AA306" i="3"/>
  <c r="M306" i="3"/>
  <c r="L308" i="3"/>
  <c r="L309" i="3"/>
  <c r="L310" i="3"/>
  <c r="L311" i="3"/>
  <c r="L312" i="3"/>
  <c r="L313" i="3"/>
  <c r="L314" i="3"/>
  <c r="L315" i="3"/>
  <c r="L316" i="3"/>
  <c r="L317" i="3"/>
  <c r="L319" i="3"/>
  <c r="M308" i="3"/>
  <c r="N306" i="3"/>
  <c r="AA320" i="3"/>
  <c r="M320" i="3"/>
  <c r="L322" i="3"/>
  <c r="L323" i="3"/>
  <c r="L324" i="3"/>
  <c r="L325" i="3"/>
  <c r="L327" i="3"/>
  <c r="L328" i="3"/>
  <c r="L329" i="3"/>
  <c r="L330" i="3"/>
  <c r="L331" i="3"/>
  <c r="L332" i="3"/>
  <c r="L333" i="3"/>
  <c r="M322" i="3"/>
  <c r="N320" i="3"/>
  <c r="G322" i="3"/>
  <c r="A142" i="13" s="1"/>
  <c r="AA334" i="3"/>
  <c r="M334" i="3"/>
  <c r="L336" i="3"/>
  <c r="L337" i="3"/>
  <c r="L338" i="3"/>
  <c r="L339" i="3"/>
  <c r="L340" i="3"/>
  <c r="L341" i="3"/>
  <c r="L342" i="3"/>
  <c r="L343" i="3"/>
  <c r="L344" i="3"/>
  <c r="L345" i="3"/>
  <c r="L346" i="3"/>
  <c r="L347" i="3"/>
  <c r="M336" i="3"/>
  <c r="N334" i="3"/>
  <c r="M143" i="13" s="1"/>
  <c r="AA348" i="3"/>
  <c r="M348" i="3"/>
  <c r="L350" i="3"/>
  <c r="L351" i="3"/>
  <c r="L352" i="3"/>
  <c r="L353" i="3"/>
  <c r="L354" i="3"/>
  <c r="L355" i="3"/>
  <c r="L356" i="3"/>
  <c r="L357" i="3"/>
  <c r="L358" i="3"/>
  <c r="L360" i="3"/>
  <c r="L361" i="3"/>
  <c r="M350" i="3"/>
  <c r="N348" i="3"/>
  <c r="G350" i="3"/>
  <c r="AA362" i="3"/>
  <c r="M362" i="3"/>
  <c r="L364" i="3"/>
  <c r="L365" i="3"/>
  <c r="L366" i="3"/>
  <c r="L367" i="3"/>
  <c r="L369" i="3"/>
  <c r="L370" i="3"/>
  <c r="L371" i="3"/>
  <c r="L372" i="3"/>
  <c r="L373" i="3"/>
  <c r="L375" i="3"/>
  <c r="M364" i="3"/>
  <c r="N362" i="3"/>
  <c r="G364" i="3"/>
  <c r="AA376" i="3"/>
  <c r="M376" i="3"/>
  <c r="L378" i="3"/>
  <c r="L379" i="3"/>
  <c r="L380" i="3"/>
  <c r="L381" i="3"/>
  <c r="L383" i="3"/>
  <c r="L385" i="3"/>
  <c r="L386" i="3"/>
  <c r="L387" i="3"/>
  <c r="L389" i="3"/>
  <c r="M378" i="3"/>
  <c r="N376" i="3"/>
  <c r="G378" i="3"/>
  <c r="AA390" i="3"/>
  <c r="M390" i="3"/>
  <c r="L392" i="3"/>
  <c r="L394" i="3"/>
  <c r="L395" i="3"/>
  <c r="L396" i="3"/>
  <c r="L397" i="3"/>
  <c r="L398" i="3"/>
  <c r="L399" i="3"/>
  <c r="L400" i="3"/>
  <c r="L401" i="3"/>
  <c r="L402" i="3"/>
  <c r="L403" i="3"/>
  <c r="M392" i="3"/>
  <c r="N390" i="3"/>
  <c r="M147" i="13" s="1"/>
  <c r="G392" i="3"/>
  <c r="A147" i="13" s="1"/>
  <c r="AA404" i="3"/>
  <c r="M404" i="3"/>
  <c r="L406" i="3"/>
  <c r="L407" i="3"/>
  <c r="L408" i="3"/>
  <c r="L409" i="3"/>
  <c r="L410" i="3"/>
  <c r="L411" i="3"/>
  <c r="L412" i="3"/>
  <c r="L413" i="3"/>
  <c r="L414" i="3"/>
  <c r="L415" i="3"/>
  <c r="L416" i="3"/>
  <c r="L417" i="3"/>
  <c r="M406" i="3"/>
  <c r="N404" i="3"/>
  <c r="M148" i="13" s="1"/>
  <c r="AA418" i="3"/>
  <c r="M418" i="3"/>
  <c r="L420" i="3"/>
  <c r="L421" i="3"/>
  <c r="L422" i="3"/>
  <c r="L423" i="3"/>
  <c r="L425" i="3"/>
  <c r="L426" i="3"/>
  <c r="L427" i="3"/>
  <c r="L428" i="3"/>
  <c r="L429" i="3"/>
  <c r="L431" i="3"/>
  <c r="M420" i="3"/>
  <c r="N418" i="3"/>
  <c r="G420" i="3"/>
  <c r="AA432" i="3"/>
  <c r="M432" i="3"/>
  <c r="L434" i="3"/>
  <c r="L435" i="3"/>
  <c r="L436" i="3"/>
  <c r="L437" i="3"/>
  <c r="L439" i="3"/>
  <c r="L440" i="3"/>
  <c r="L441" i="3"/>
  <c r="L442" i="3"/>
  <c r="L443" i="3"/>
  <c r="L444" i="3"/>
  <c r="L445" i="3"/>
  <c r="M434" i="3"/>
  <c r="N432" i="3"/>
  <c r="G434" i="3"/>
  <c r="A150" i="13" s="1"/>
  <c r="AA446" i="3"/>
  <c r="M446" i="3"/>
  <c r="L448" i="3"/>
  <c r="L450" i="3"/>
  <c r="L451" i="3"/>
  <c r="L452" i="3"/>
  <c r="L453" i="3"/>
  <c r="L454" i="3"/>
  <c r="L455" i="3"/>
  <c r="L456" i="3"/>
  <c r="L457" i="3"/>
  <c r="L458" i="3"/>
  <c r="L459" i="3"/>
  <c r="M448" i="3"/>
  <c r="N446" i="3"/>
  <c r="M151" i="13" s="1"/>
  <c r="G448" i="3"/>
  <c r="A151" i="13" s="1"/>
  <c r="AA460" i="3"/>
  <c r="M460" i="3"/>
  <c r="L462" i="3"/>
  <c r="L463" i="3"/>
  <c r="L464" i="3"/>
  <c r="L465" i="3"/>
  <c r="L466" i="3"/>
  <c r="L467" i="3"/>
  <c r="L468" i="3"/>
  <c r="L469" i="3"/>
  <c r="L470" i="3"/>
  <c r="L471" i="3"/>
  <c r="L472" i="3"/>
  <c r="L473" i="3"/>
  <c r="M462" i="3"/>
  <c r="N460" i="3"/>
  <c r="M152" i="13" s="1"/>
  <c r="G462" i="3"/>
  <c r="AA474" i="3"/>
  <c r="M474" i="3"/>
  <c r="L476" i="3"/>
  <c r="L477" i="3"/>
  <c r="L478" i="3"/>
  <c r="L479" i="3"/>
  <c r="L480" i="3"/>
  <c r="L481" i="3"/>
  <c r="L482" i="3"/>
  <c r="L483" i="3"/>
  <c r="L484" i="3"/>
  <c r="L485" i="3"/>
  <c r="L487" i="3"/>
  <c r="M476" i="3"/>
  <c r="N474" i="3"/>
  <c r="AA488" i="3"/>
  <c r="M488" i="3"/>
  <c r="L490" i="3"/>
  <c r="L491" i="3"/>
  <c r="L492" i="3"/>
  <c r="L493" i="3"/>
  <c r="L495" i="3"/>
  <c r="L496" i="3"/>
  <c r="L497" i="3"/>
  <c r="L498" i="3"/>
  <c r="L499" i="3"/>
  <c r="L500" i="3"/>
  <c r="L501" i="3"/>
  <c r="M490" i="3"/>
  <c r="N488" i="3"/>
  <c r="G490" i="3"/>
  <c r="A154" i="13" s="1"/>
  <c r="AA502" i="3"/>
  <c r="M502" i="3"/>
  <c r="L504" i="3"/>
  <c r="L505" i="3"/>
  <c r="L506" i="3"/>
  <c r="L507" i="3"/>
  <c r="L508" i="3"/>
  <c r="L509" i="3"/>
  <c r="L510" i="3"/>
  <c r="L511" i="3"/>
  <c r="L512" i="3"/>
  <c r="L513" i="3"/>
  <c r="L514" i="3"/>
  <c r="L515" i="3"/>
  <c r="M504" i="3"/>
  <c r="N502" i="3"/>
  <c r="M155" i="13" s="1"/>
  <c r="G504" i="3"/>
  <c r="A155" i="13" s="1"/>
  <c r="AA516" i="3"/>
  <c r="M516" i="3"/>
  <c r="L518" i="3"/>
  <c r="L519" i="3"/>
  <c r="L520" i="3"/>
  <c r="L521" i="3"/>
  <c r="L522" i="3"/>
  <c r="L523" i="3"/>
  <c r="L524" i="3"/>
  <c r="L525" i="3"/>
  <c r="L526" i="3"/>
  <c r="L528" i="3"/>
  <c r="L529" i="3"/>
  <c r="M518" i="3"/>
  <c r="N516" i="3"/>
  <c r="M156" i="13" s="1"/>
  <c r="AA530" i="3"/>
  <c r="M530" i="3"/>
  <c r="L532" i="3"/>
  <c r="L533" i="3"/>
  <c r="L534" i="3"/>
  <c r="L535" i="3"/>
  <c r="L536" i="3"/>
  <c r="L537" i="3"/>
  <c r="L538" i="3"/>
  <c r="L539" i="3"/>
  <c r="L540" i="3"/>
  <c r="L541" i="3"/>
  <c r="L543" i="3"/>
  <c r="M532" i="3"/>
  <c r="N530" i="3"/>
  <c r="AA544" i="3"/>
  <c r="M544" i="3"/>
  <c r="L546" i="3"/>
  <c r="L547" i="3"/>
  <c r="L548" i="3"/>
  <c r="L549" i="3"/>
  <c r="L551" i="3"/>
  <c r="L552" i="3"/>
  <c r="L553" i="3"/>
  <c r="L554" i="3"/>
  <c r="L555" i="3"/>
  <c r="L556" i="3"/>
  <c r="L557" i="3"/>
  <c r="M546" i="3"/>
  <c r="N544" i="3"/>
  <c r="G546" i="3"/>
  <c r="A158" i="13" s="1"/>
  <c r="AA562" i="3"/>
  <c r="M562" i="3"/>
  <c r="Q563" i="3"/>
  <c r="Q565" i="3"/>
  <c r="Q566" i="3"/>
  <c r="Q567" i="3"/>
  <c r="Q568" i="3"/>
  <c r="Q569" i="3"/>
  <c r="Q570" i="3"/>
  <c r="Q571" i="3"/>
  <c r="Q572" i="3"/>
  <c r="Q573" i="3"/>
  <c r="Q574" i="3"/>
  <c r="R563" i="3"/>
  <c r="N562" i="3"/>
  <c r="M172" i="13" s="1"/>
  <c r="AA575" i="3"/>
  <c r="M575" i="3"/>
  <c r="Q576" i="3"/>
  <c r="Q577" i="3"/>
  <c r="Q578" i="3"/>
  <c r="Q579" i="3"/>
  <c r="Q580" i="3"/>
  <c r="Q581" i="3"/>
  <c r="Q582" i="3"/>
  <c r="Q583" i="3"/>
  <c r="Q584" i="3"/>
  <c r="Q586" i="3"/>
  <c r="Q587" i="3"/>
  <c r="R576" i="3"/>
  <c r="N575" i="3"/>
  <c r="M173" i="13" s="1"/>
  <c r="L576" i="3"/>
  <c r="AA592" i="3"/>
  <c r="M592" i="3"/>
  <c r="N182" i="13" s="1"/>
  <c r="J593" i="3"/>
  <c r="AA605" i="3"/>
  <c r="M605" i="3"/>
  <c r="J606" i="3"/>
  <c r="A183" i="13" s="1"/>
  <c r="AA618" i="3"/>
  <c r="M618" i="3"/>
  <c r="AA631" i="3"/>
  <c r="M631" i="3"/>
  <c r="N185" i="13" s="1"/>
  <c r="J632" i="3"/>
  <c r="AA644" i="3"/>
  <c r="M644" i="3"/>
  <c r="N186" i="13" s="1"/>
  <c r="J645" i="3"/>
  <c r="A186" i="13" s="1"/>
  <c r="AA657" i="3"/>
  <c r="M657" i="3"/>
  <c r="J658" i="3"/>
  <c r="AA674" i="3"/>
  <c r="M674" i="3"/>
  <c r="AA687" i="3"/>
  <c r="M687" i="3"/>
  <c r="AA700" i="3"/>
  <c r="M700" i="3"/>
  <c r="AA719" i="3"/>
  <c r="M719" i="3"/>
  <c r="AA732" i="3"/>
  <c r="M732" i="3"/>
  <c r="AA745" i="3"/>
  <c r="M745" i="3"/>
  <c r="AA758" i="3"/>
  <c r="M758" i="3"/>
  <c r="AA771" i="3"/>
  <c r="M771" i="3"/>
  <c r="AA784" i="3"/>
  <c r="M784" i="3"/>
  <c r="AA797" i="3"/>
  <c r="M797" i="3"/>
  <c r="AA810" i="3"/>
  <c r="M810" i="3"/>
  <c r="AA823" i="3"/>
  <c r="M823" i="3"/>
  <c r="AA836" i="3"/>
  <c r="M836" i="3"/>
  <c r="AA849" i="3"/>
  <c r="M849" i="3"/>
  <c r="AA862" i="3"/>
  <c r="M862" i="3"/>
  <c r="AA875" i="3"/>
  <c r="M875" i="3"/>
  <c r="AA888" i="3"/>
  <c r="M888" i="3"/>
  <c r="AA901" i="3"/>
  <c r="M901" i="3"/>
  <c r="AA914" i="3"/>
  <c r="M914" i="3"/>
  <c r="AA931" i="3"/>
  <c r="M931" i="3"/>
  <c r="AA944" i="3"/>
  <c r="M944" i="3"/>
  <c r="AA957" i="3"/>
  <c r="M957" i="3"/>
  <c r="AA970" i="3"/>
  <c r="M970" i="3"/>
  <c r="AA989" i="3"/>
  <c r="M989" i="3"/>
  <c r="N261" i="13" s="1"/>
  <c r="K990" i="3"/>
  <c r="A261" i="13" s="1"/>
  <c r="AA1002" i="3"/>
  <c r="M1002" i="3"/>
  <c r="K1003" i="3"/>
  <c r="AA1015" i="3"/>
  <c r="M1015" i="3"/>
  <c r="K1016" i="3"/>
  <c r="AA1028" i="3"/>
  <c r="M1028" i="3"/>
  <c r="N264" i="13" s="1"/>
  <c r="K1029" i="3"/>
  <c r="AA1045" i="3"/>
  <c r="M1045" i="3"/>
  <c r="K1046" i="3"/>
  <c r="A273" i="13" s="1"/>
  <c r="AA1058" i="3"/>
  <c r="M1058" i="3"/>
  <c r="K1059" i="3"/>
  <c r="A274" i="13" s="1"/>
  <c r="AA1071" i="3"/>
  <c r="M1071" i="3"/>
  <c r="K1072" i="3"/>
  <c r="AA1084" i="3"/>
  <c r="M1084" i="3"/>
  <c r="AA1097" i="3"/>
  <c r="M1097" i="3"/>
  <c r="K1098" i="3"/>
  <c r="A277" i="13" s="1"/>
  <c r="AA1110" i="3"/>
  <c r="M1110" i="3"/>
  <c r="K1111" i="3"/>
  <c r="A278" i="13" s="1"/>
  <c r="AA1123" i="3"/>
  <c r="M1123" i="3"/>
  <c r="AA1136" i="3"/>
  <c r="M1136" i="3"/>
  <c r="AA1149" i="3"/>
  <c r="M1149" i="3"/>
  <c r="K1150" i="3"/>
  <c r="AA1166" i="3"/>
  <c r="M1166" i="3"/>
  <c r="K1167" i="3"/>
  <c r="A290" i="13" s="1"/>
  <c r="L1167" i="3"/>
  <c r="L1168" i="3"/>
  <c r="L1169" i="3"/>
  <c r="L1170" i="3"/>
  <c r="L1171" i="3"/>
  <c r="L1172" i="3"/>
  <c r="L1173" i="3"/>
  <c r="L1174" i="3"/>
  <c r="L1175" i="3"/>
  <c r="L1176" i="3"/>
  <c r="L1177" i="3"/>
  <c r="L1178" i="3"/>
  <c r="AA1179" i="3"/>
  <c r="M1179" i="3"/>
  <c r="K1180" i="3"/>
  <c r="AA1192" i="3"/>
  <c r="M1192" i="3"/>
  <c r="AA1205" i="3"/>
  <c r="M1205" i="3"/>
  <c r="K1206" i="3"/>
  <c r="A293" i="13" s="1"/>
  <c r="AA1218" i="3"/>
  <c r="M1218" i="3"/>
  <c r="K1219" i="3"/>
  <c r="A294" i="13" s="1"/>
  <c r="AA1231" i="3"/>
  <c r="M1231" i="3"/>
  <c r="AA1244" i="3"/>
  <c r="M1244" i="3"/>
  <c r="AA1257" i="3"/>
  <c r="M1257" i="3"/>
  <c r="K1258" i="3"/>
  <c r="A297" i="13" s="1"/>
  <c r="AA1274" i="3"/>
  <c r="M1274" i="3"/>
  <c r="AA1287" i="3"/>
  <c r="M1287" i="3"/>
  <c r="AA1300" i="3"/>
  <c r="M1300" i="3"/>
  <c r="AA1317" i="3"/>
  <c r="M1317" i="3"/>
  <c r="N317" i="13" s="1"/>
  <c r="K1318" i="3"/>
  <c r="AA1330" i="3"/>
  <c r="M1330" i="3"/>
  <c r="N318" i="13" s="1"/>
  <c r="K1331" i="3"/>
  <c r="A318" i="13" s="1"/>
  <c r="AA1343" i="3"/>
  <c r="M1343" i="3"/>
  <c r="N319" i="13" s="1"/>
  <c r="K1344" i="3"/>
  <c r="AA1356" i="3"/>
  <c r="M1356" i="3"/>
  <c r="I1357" i="3"/>
  <c r="K1357" i="3"/>
  <c r="C1429" i="3"/>
  <c r="D1" i="11"/>
  <c r="H12" i="11"/>
  <c r="H13" i="11"/>
  <c r="H14" i="11"/>
  <c r="H15" i="11"/>
  <c r="H8" i="11" s="1"/>
  <c r="H16" i="11"/>
  <c r="H17" i="11"/>
  <c r="H18" i="11"/>
  <c r="H19" i="11"/>
  <c r="H20" i="11"/>
  <c r="H31" i="11"/>
  <c r="H32" i="11"/>
  <c r="H33" i="11"/>
  <c r="H34" i="11"/>
  <c r="H35" i="11"/>
  <c r="H27" i="11" s="1"/>
  <c r="H36" i="11"/>
  <c r="H37" i="11"/>
  <c r="H38" i="11"/>
  <c r="H39" i="11"/>
  <c r="H51" i="11"/>
  <c r="H47" i="11" s="1"/>
  <c r="H52" i="11"/>
  <c r="H53" i="11"/>
  <c r="H54" i="11"/>
  <c r="H55" i="11"/>
  <c r="H56" i="11"/>
  <c r="H57" i="11"/>
  <c r="H58" i="11"/>
  <c r="H59" i="11"/>
  <c r="H71" i="11"/>
  <c r="H67" i="11" s="1"/>
  <c r="H72" i="11"/>
  <c r="H73" i="11"/>
  <c r="H74" i="11"/>
  <c r="H75" i="11"/>
  <c r="H76" i="11"/>
  <c r="H77" i="11"/>
  <c r="H78" i="11"/>
  <c r="H79" i="11"/>
  <c r="G87" i="11"/>
  <c r="D88" i="11"/>
  <c r="H99" i="11"/>
  <c r="H95" i="11" s="1"/>
  <c r="H100" i="11"/>
  <c r="H101" i="11"/>
  <c r="H102" i="11"/>
  <c r="H103" i="11"/>
  <c r="H104" i="11"/>
  <c r="H105" i="11"/>
  <c r="H106" i="11"/>
  <c r="H107" i="11"/>
  <c r="H119" i="11"/>
  <c r="H120" i="11"/>
  <c r="H121" i="11"/>
  <c r="H122" i="11"/>
  <c r="H123" i="11"/>
  <c r="H124" i="11"/>
  <c r="H125" i="11"/>
  <c r="H126" i="11"/>
  <c r="H127" i="11"/>
  <c r="H115" i="11"/>
  <c r="H139" i="11"/>
  <c r="H135" i="11" s="1"/>
  <c r="H140" i="11"/>
  <c r="H141" i="11"/>
  <c r="H142" i="11"/>
  <c r="H143" i="11"/>
  <c r="H144" i="11"/>
  <c r="H145" i="11"/>
  <c r="H146" i="11"/>
  <c r="H147" i="11"/>
  <c r="H159" i="11"/>
  <c r="H155" i="11" s="1"/>
  <c r="H160" i="11"/>
  <c r="H161" i="11"/>
  <c r="H162" i="11"/>
  <c r="H163" i="11"/>
  <c r="H164" i="11"/>
  <c r="H165" i="11"/>
  <c r="H166" i="11"/>
  <c r="H167" i="11"/>
  <c r="D176" i="11"/>
  <c r="H187" i="11"/>
  <c r="H188" i="11"/>
  <c r="H189" i="11"/>
  <c r="H190" i="11"/>
  <c r="H191" i="11"/>
  <c r="H192" i="11"/>
  <c r="H193" i="11"/>
  <c r="H194" i="11"/>
  <c r="H195" i="11"/>
  <c r="H183" i="11"/>
  <c r="H207" i="11"/>
  <c r="H203" i="11" s="1"/>
  <c r="H208" i="11"/>
  <c r="H209" i="11"/>
  <c r="H210" i="11"/>
  <c r="H211" i="11"/>
  <c r="H212" i="11"/>
  <c r="H213" i="11"/>
  <c r="H214" i="11"/>
  <c r="H215" i="11"/>
  <c r="H227" i="11"/>
  <c r="H223" i="11" s="1"/>
  <c r="H228" i="11"/>
  <c r="H229" i="11"/>
  <c r="H230" i="11"/>
  <c r="H231" i="11"/>
  <c r="H232" i="11"/>
  <c r="H233" i="11"/>
  <c r="H234" i="11"/>
  <c r="H235" i="11"/>
  <c r="H247" i="11"/>
  <c r="H243" i="11" s="1"/>
  <c r="H248" i="11"/>
  <c r="H249" i="11"/>
  <c r="H250" i="11"/>
  <c r="H251" i="11"/>
  <c r="H252" i="11"/>
  <c r="H253" i="11"/>
  <c r="H254" i="11"/>
  <c r="H255" i="11"/>
  <c r="D264" i="11"/>
  <c r="H275" i="11"/>
  <c r="H271" i="11" s="1"/>
  <c r="H276" i="11"/>
  <c r="H277" i="11"/>
  <c r="H278" i="11"/>
  <c r="H279" i="11"/>
  <c r="H280" i="11"/>
  <c r="H281" i="11"/>
  <c r="H282" i="11"/>
  <c r="H283" i="11"/>
  <c r="H295" i="11"/>
  <c r="H291" i="11" s="1"/>
  <c r="H296" i="11"/>
  <c r="H297" i="11"/>
  <c r="H298" i="11"/>
  <c r="H299" i="11"/>
  <c r="H300" i="11"/>
  <c r="H301" i="11"/>
  <c r="H302" i="11"/>
  <c r="H303" i="11"/>
  <c r="H315" i="11"/>
  <c r="H311" i="11" s="1"/>
  <c r="H316" i="11"/>
  <c r="H317" i="11"/>
  <c r="H318" i="11"/>
  <c r="H319" i="11"/>
  <c r="H320" i="11"/>
  <c r="H321" i="11"/>
  <c r="H322" i="11"/>
  <c r="H323" i="11"/>
  <c r="H335" i="11"/>
  <c r="H336" i="11"/>
  <c r="H337" i="11"/>
  <c r="H338" i="11"/>
  <c r="H339" i="11"/>
  <c r="H340" i="11"/>
  <c r="H341" i="11"/>
  <c r="H342" i="11"/>
  <c r="H343" i="11"/>
  <c r="H331" i="11"/>
  <c r="B352" i="11"/>
  <c r="D352" i="11"/>
  <c r="H363" i="11"/>
  <c r="H359" i="11" s="1"/>
  <c r="H364" i="11"/>
  <c r="H365" i="11"/>
  <c r="H366" i="11"/>
  <c r="H367" i="11"/>
  <c r="H368" i="11"/>
  <c r="H369" i="11"/>
  <c r="H370" i="11"/>
  <c r="H371" i="11"/>
  <c r="H383" i="11"/>
  <c r="H379" i="11" s="1"/>
  <c r="H384" i="11"/>
  <c r="H385" i="11"/>
  <c r="H386" i="11"/>
  <c r="H387" i="11"/>
  <c r="H388" i="11"/>
  <c r="H389" i="11"/>
  <c r="H390" i="11"/>
  <c r="H391" i="11"/>
  <c r="H403" i="11"/>
  <c r="H404" i="11"/>
  <c r="H405" i="11"/>
  <c r="H406" i="11"/>
  <c r="H407" i="11"/>
  <c r="H408" i="11"/>
  <c r="H409" i="11"/>
  <c r="H410" i="11"/>
  <c r="H411" i="11"/>
  <c r="H399" i="11"/>
  <c r="H423" i="11"/>
  <c r="H419" i="11" s="1"/>
  <c r="H424" i="11"/>
  <c r="H425" i="11"/>
  <c r="H426" i="11"/>
  <c r="H427" i="11"/>
  <c r="H428" i="11"/>
  <c r="H429" i="11"/>
  <c r="H430" i="11"/>
  <c r="H431" i="11"/>
  <c r="C1" i="15"/>
  <c r="S1" i="15"/>
  <c r="Q11" i="15"/>
  <c r="S11" i="15"/>
  <c r="Q12" i="15"/>
  <c r="S12" i="15"/>
  <c r="Q13" i="15"/>
  <c r="Q14" i="15"/>
  <c r="Q16" i="15"/>
  <c r="S16" i="15"/>
  <c r="Q19" i="15"/>
  <c r="AA24" i="15" s="1"/>
  <c r="S19" i="15"/>
  <c r="Q21" i="15"/>
  <c r="Q22" i="15"/>
  <c r="Q24" i="15"/>
  <c r="S24" i="15"/>
  <c r="E28" i="15"/>
  <c r="Q34" i="15"/>
  <c r="S34" i="15"/>
  <c r="Q35" i="15"/>
  <c r="S35" i="15"/>
  <c r="Q36" i="15"/>
  <c r="Q37" i="15"/>
  <c r="Q39" i="15"/>
  <c r="S39" i="15"/>
  <c r="Q42" i="15"/>
  <c r="AA47" i="15" s="1"/>
  <c r="S42" i="15"/>
  <c r="Q44" i="15"/>
  <c r="Q45" i="15"/>
  <c r="Q47" i="15"/>
  <c r="S47" i="15"/>
  <c r="E51" i="15"/>
  <c r="C54" i="15"/>
  <c r="G54" i="15"/>
  <c r="AA54" i="15"/>
  <c r="S55" i="15"/>
  <c r="Q65" i="15"/>
  <c r="S65" i="15"/>
  <c r="Q66" i="15"/>
  <c r="S66" i="15"/>
  <c r="Q67" i="15"/>
  <c r="Q68" i="15"/>
  <c r="Q70" i="15"/>
  <c r="S70" i="15"/>
  <c r="Q73" i="15"/>
  <c r="S73" i="15"/>
  <c r="Q75" i="15"/>
  <c r="Q76" i="15"/>
  <c r="Q78" i="15"/>
  <c r="S78" i="15"/>
  <c r="AA78" i="15"/>
  <c r="E82" i="15"/>
  <c r="Q88" i="15"/>
  <c r="S88" i="15"/>
  <c r="Q89" i="15"/>
  <c r="S89" i="15"/>
  <c r="Q90" i="15"/>
  <c r="Q91" i="15"/>
  <c r="Q93" i="15"/>
  <c r="S93" i="15"/>
  <c r="Q96" i="15"/>
  <c r="S96" i="15"/>
  <c r="Q98" i="15"/>
  <c r="Q99" i="15"/>
  <c r="Q101" i="15"/>
  <c r="S101" i="15"/>
  <c r="AA101" i="15"/>
  <c r="E105" i="15"/>
  <c r="C108" i="15"/>
  <c r="G108" i="15"/>
  <c r="S109" i="15"/>
  <c r="Q119" i="15"/>
  <c r="S119" i="15"/>
  <c r="Q120" i="15"/>
  <c r="AA132" i="15" s="1"/>
  <c r="S120" i="15"/>
  <c r="Q121" i="15"/>
  <c r="Q122" i="15"/>
  <c r="Q124" i="15"/>
  <c r="S124" i="15"/>
  <c r="Q127" i="15"/>
  <c r="S127" i="15"/>
  <c r="Q129" i="15"/>
  <c r="Q130" i="15"/>
  <c r="Q132" i="15"/>
  <c r="S132" i="15"/>
  <c r="E136" i="15"/>
  <c r="Q142" i="15"/>
  <c r="S142" i="15"/>
  <c r="Q143" i="15"/>
  <c r="AA155" i="15" s="1"/>
  <c r="S143" i="15"/>
  <c r="Q144" i="15"/>
  <c r="Q145" i="15"/>
  <c r="Q147" i="15"/>
  <c r="S147" i="15"/>
  <c r="Q150" i="15"/>
  <c r="S150" i="15"/>
  <c r="Q152" i="15"/>
  <c r="Q153" i="15"/>
  <c r="Q155" i="15"/>
  <c r="S155" i="15"/>
  <c r="E159" i="15"/>
  <c r="C162" i="15"/>
  <c r="G162" i="15"/>
  <c r="S163" i="15"/>
  <c r="Q173" i="15"/>
  <c r="S173" i="15"/>
  <c r="Q174" i="15"/>
  <c r="S174" i="15"/>
  <c r="Q175" i="15"/>
  <c r="Q176" i="15"/>
  <c r="Q178" i="15"/>
  <c r="AA186" i="15" s="1"/>
  <c r="S178" i="15"/>
  <c r="Q181" i="15"/>
  <c r="S181" i="15"/>
  <c r="Q183" i="15"/>
  <c r="R183" i="15"/>
  <c r="Q184" i="15"/>
  <c r="R184" i="15"/>
  <c r="Q186" i="15"/>
  <c r="S186" i="15"/>
  <c r="Q196" i="15"/>
  <c r="S196" i="15"/>
  <c r="Q197" i="15"/>
  <c r="S197" i="15"/>
  <c r="Q198" i="15"/>
  <c r="Q199" i="15"/>
  <c r="Q201" i="15"/>
  <c r="AA209" i="15" s="1"/>
  <c r="S201" i="15"/>
  <c r="Q204" i="15"/>
  <c r="S204" i="15"/>
  <c r="Q206" i="15"/>
  <c r="R206" i="15"/>
  <c r="Q207" i="15"/>
  <c r="R207" i="15"/>
  <c r="Q209" i="15"/>
  <c r="S209" i="15"/>
  <c r="C217" i="15"/>
  <c r="G217" i="15"/>
  <c r="S218" i="15"/>
  <c r="Q228" i="15"/>
  <c r="S228" i="15"/>
  <c r="Q229" i="15"/>
  <c r="S229" i="15"/>
  <c r="Q230" i="15"/>
  <c r="Q231" i="15"/>
  <c r="Q233" i="15"/>
  <c r="S233" i="15"/>
  <c r="Q236" i="15"/>
  <c r="S236" i="15"/>
  <c r="Q238" i="15"/>
  <c r="R238" i="15"/>
  <c r="Q239" i="15"/>
  <c r="R239" i="15"/>
  <c r="Q241" i="15"/>
  <c r="S241" i="15"/>
  <c r="AA241" i="15"/>
  <c r="Q251" i="15"/>
  <c r="S251" i="15"/>
  <c r="Q252" i="15"/>
  <c r="S252" i="15"/>
  <c r="Q253" i="15"/>
  <c r="Q254" i="15"/>
  <c r="Q256" i="15"/>
  <c r="S256" i="15"/>
  <c r="Q259" i="15"/>
  <c r="S259" i="15"/>
  <c r="Q261" i="15"/>
  <c r="R261" i="15"/>
  <c r="Q262" i="15"/>
  <c r="R262" i="15"/>
  <c r="Q264" i="15"/>
  <c r="S264" i="15"/>
  <c r="AA264" i="15"/>
  <c r="C271" i="15"/>
  <c r="G271" i="15"/>
  <c r="S272" i="15"/>
  <c r="Q282" i="15"/>
  <c r="S282" i="15"/>
  <c r="Q283" i="15"/>
  <c r="AA295" i="15" s="1"/>
  <c r="S283" i="15"/>
  <c r="Q284" i="15"/>
  <c r="Q285" i="15"/>
  <c r="Q287" i="15"/>
  <c r="S287" i="15"/>
  <c r="Q290" i="15"/>
  <c r="S290" i="15"/>
  <c r="Q292" i="15"/>
  <c r="R292" i="15"/>
  <c r="Q293" i="15"/>
  <c r="R293" i="15"/>
  <c r="Q295" i="15"/>
  <c r="S295" i="15"/>
  <c r="Q305" i="15"/>
  <c r="S305" i="15"/>
  <c r="Q306" i="15"/>
  <c r="S306" i="15"/>
  <c r="Q307" i="15"/>
  <c r="Q308" i="15"/>
  <c r="Q310" i="15"/>
  <c r="AA318" i="15" s="1"/>
  <c r="S310" i="15"/>
  <c r="Q313" i="15"/>
  <c r="S313" i="15"/>
  <c r="Q315" i="15"/>
  <c r="R315" i="15"/>
  <c r="Q316" i="15"/>
  <c r="R316" i="15"/>
  <c r="Q318" i="15"/>
  <c r="S318" i="15"/>
  <c r="C325" i="15"/>
  <c r="G325" i="15"/>
  <c r="F7" i="10"/>
  <c r="F13" i="10"/>
  <c r="F14" i="10"/>
  <c r="F16" i="10"/>
  <c r="C29" i="9"/>
  <c r="C42" i="9"/>
  <c r="C55" i="9"/>
  <c r="C68" i="9"/>
  <c r="C81" i="9"/>
  <c r="C94" i="9"/>
  <c r="C107" i="9"/>
  <c r="C120" i="9"/>
  <c r="C133" i="9"/>
  <c r="C146" i="9"/>
  <c r="C159" i="9"/>
  <c r="C172" i="9"/>
  <c r="C185" i="9"/>
  <c r="C198" i="9"/>
  <c r="C211" i="9"/>
  <c r="C224" i="9"/>
  <c r="C237" i="9"/>
  <c r="C250" i="9"/>
  <c r="C263" i="9"/>
  <c r="C276" i="9"/>
  <c r="C290" i="9"/>
  <c r="C303" i="9"/>
  <c r="D392" i="9"/>
  <c r="H20" i="14"/>
  <c r="N65" i="14"/>
  <c r="N69" i="14" s="1"/>
  <c r="N66" i="14"/>
  <c r="N67" i="14"/>
  <c r="B1" i="13"/>
  <c r="C3" i="13"/>
  <c r="C4" i="13"/>
  <c r="C5" i="13"/>
  <c r="C6" i="13"/>
  <c r="C9" i="13"/>
  <c r="H9" i="13"/>
  <c r="L9" i="13"/>
  <c r="C11" i="13"/>
  <c r="H11" i="13"/>
  <c r="L11" i="13"/>
  <c r="C12" i="13"/>
  <c r="H12" i="13"/>
  <c r="L12" i="13"/>
  <c r="C13" i="13"/>
  <c r="H13" i="13"/>
  <c r="L13" i="13"/>
  <c r="C14" i="13"/>
  <c r="H14" i="13"/>
  <c r="L14" i="13"/>
  <c r="C15" i="13"/>
  <c r="H15" i="13"/>
  <c r="L15" i="13"/>
  <c r="C32" i="13"/>
  <c r="C33" i="13"/>
  <c r="C36" i="13"/>
  <c r="J36" i="13"/>
  <c r="O36" i="13"/>
  <c r="J37" i="13"/>
  <c r="O37" i="13"/>
  <c r="J47" i="13"/>
  <c r="O49" i="13"/>
  <c r="N50" i="13"/>
  <c r="O50" i="13"/>
  <c r="I55" i="13"/>
  <c r="O55" i="13"/>
  <c r="I56" i="13"/>
  <c r="O56" i="13"/>
  <c r="I57" i="13"/>
  <c r="O57" i="13"/>
  <c r="I58" i="13"/>
  <c r="O58" i="13"/>
  <c r="B59" i="13"/>
  <c r="I59" i="13"/>
  <c r="O59" i="13"/>
  <c r="I60" i="13"/>
  <c r="O60" i="13"/>
  <c r="I61" i="13"/>
  <c r="O61" i="13"/>
  <c r="I62" i="13"/>
  <c r="O62" i="13"/>
  <c r="I63" i="13"/>
  <c r="O63" i="13"/>
  <c r="E64" i="13"/>
  <c r="I64" i="13"/>
  <c r="O64" i="13"/>
  <c r="I65" i="13"/>
  <c r="O65" i="13"/>
  <c r="I66" i="13"/>
  <c r="O66" i="13"/>
  <c r="I67" i="13"/>
  <c r="O67" i="13"/>
  <c r="I68" i="13"/>
  <c r="O68" i="13"/>
  <c r="I69" i="13"/>
  <c r="O69" i="13"/>
  <c r="O70" i="13"/>
  <c r="G73" i="13"/>
  <c r="K76" i="13"/>
  <c r="L164" i="13" s="1"/>
  <c r="L250" i="13" s="1"/>
  <c r="J333" i="13" s="1"/>
  <c r="H80" i="13"/>
  <c r="H84" i="13"/>
  <c r="I84" i="13"/>
  <c r="E87" i="13"/>
  <c r="O87" i="13"/>
  <c r="E88" i="13"/>
  <c r="O88" i="13"/>
  <c r="O89" i="13"/>
  <c r="E90" i="13"/>
  <c r="O90" i="13"/>
  <c r="E91" i="13"/>
  <c r="E92" i="13"/>
  <c r="E93" i="13"/>
  <c r="B103" i="13"/>
  <c r="D103" i="13"/>
  <c r="F103" i="13"/>
  <c r="H103" i="13"/>
  <c r="J103" i="13"/>
  <c r="L103" i="13"/>
  <c r="N103" i="13"/>
  <c r="A104" i="13"/>
  <c r="B104" i="13"/>
  <c r="D104" i="13"/>
  <c r="F104" i="13"/>
  <c r="H104" i="13"/>
  <c r="J104" i="13"/>
  <c r="A105" i="13"/>
  <c r="B105" i="13"/>
  <c r="D105" i="13"/>
  <c r="F105" i="13"/>
  <c r="H105" i="13"/>
  <c r="J105" i="13"/>
  <c r="L105" i="13"/>
  <c r="A106" i="13"/>
  <c r="B106" i="13"/>
  <c r="D106" i="13"/>
  <c r="F106" i="13"/>
  <c r="H106" i="13"/>
  <c r="J106" i="13"/>
  <c r="L106" i="13"/>
  <c r="A107" i="13"/>
  <c r="B107" i="13"/>
  <c r="D107" i="13"/>
  <c r="F107" i="13"/>
  <c r="H107" i="13"/>
  <c r="J107" i="13"/>
  <c r="N107" i="13"/>
  <c r="B108" i="13"/>
  <c r="D108" i="13"/>
  <c r="F108" i="13"/>
  <c r="H108" i="13"/>
  <c r="J108" i="13"/>
  <c r="N108" i="13"/>
  <c r="A109" i="13"/>
  <c r="B109" i="13"/>
  <c r="D109" i="13"/>
  <c r="F109" i="13"/>
  <c r="H109" i="13"/>
  <c r="J109" i="13"/>
  <c r="L109" i="13"/>
  <c r="N109" i="13"/>
  <c r="A110" i="13"/>
  <c r="B110" i="13"/>
  <c r="D110" i="13"/>
  <c r="F110" i="13"/>
  <c r="H110" i="13"/>
  <c r="J110" i="13"/>
  <c r="L110" i="13"/>
  <c r="N110" i="13"/>
  <c r="A111" i="13"/>
  <c r="B111" i="13"/>
  <c r="D111" i="13"/>
  <c r="F111" i="13"/>
  <c r="H111" i="13"/>
  <c r="J111" i="13"/>
  <c r="B112" i="13"/>
  <c r="D112" i="13"/>
  <c r="F112" i="13"/>
  <c r="H112" i="13"/>
  <c r="J112" i="13"/>
  <c r="N112" i="13"/>
  <c r="B121" i="13"/>
  <c r="D121" i="13"/>
  <c r="F121" i="13"/>
  <c r="H121" i="13"/>
  <c r="J121" i="13"/>
  <c r="L121" i="13"/>
  <c r="N121" i="13"/>
  <c r="B122" i="13"/>
  <c r="D122" i="13"/>
  <c r="F122" i="13"/>
  <c r="H122" i="13"/>
  <c r="J122" i="13"/>
  <c r="L122" i="13"/>
  <c r="N122" i="13"/>
  <c r="A123" i="13"/>
  <c r="B123" i="13"/>
  <c r="D123" i="13"/>
  <c r="F123" i="13"/>
  <c r="H123" i="13"/>
  <c r="J123" i="13"/>
  <c r="N123" i="13"/>
  <c r="B124" i="13"/>
  <c r="D124" i="13"/>
  <c r="F124" i="13"/>
  <c r="H124" i="13"/>
  <c r="J124" i="13"/>
  <c r="L124" i="13"/>
  <c r="B125" i="13"/>
  <c r="D125" i="13"/>
  <c r="F125" i="13"/>
  <c r="H125" i="13"/>
  <c r="J125" i="13"/>
  <c r="L125" i="13"/>
  <c r="N125" i="13"/>
  <c r="B126" i="13"/>
  <c r="D126" i="13"/>
  <c r="F126" i="13"/>
  <c r="H126" i="13"/>
  <c r="J126" i="13"/>
  <c r="L126" i="13"/>
  <c r="N126" i="13"/>
  <c r="B127" i="13"/>
  <c r="D127" i="13"/>
  <c r="F127" i="13"/>
  <c r="H127" i="13"/>
  <c r="J127" i="13"/>
  <c r="N127" i="13"/>
  <c r="A128" i="13"/>
  <c r="B128" i="13"/>
  <c r="D128" i="13"/>
  <c r="F128" i="13"/>
  <c r="H128" i="13"/>
  <c r="J128" i="13"/>
  <c r="B129" i="13"/>
  <c r="D129" i="13"/>
  <c r="F129" i="13"/>
  <c r="H129" i="13"/>
  <c r="J129" i="13"/>
  <c r="L129" i="13"/>
  <c r="B130" i="13"/>
  <c r="D130" i="13"/>
  <c r="F130" i="13"/>
  <c r="H130" i="13"/>
  <c r="J130" i="13"/>
  <c r="L130" i="13"/>
  <c r="N130" i="13"/>
  <c r="I139" i="13"/>
  <c r="I137" i="13" s="1"/>
  <c r="B139" i="13"/>
  <c r="C139" i="13"/>
  <c r="D139" i="13"/>
  <c r="F139" i="13"/>
  <c r="G139" i="13"/>
  <c r="H139" i="13"/>
  <c r="J139" i="13"/>
  <c r="K139" i="13"/>
  <c r="L139" i="13"/>
  <c r="M139" i="13"/>
  <c r="N139" i="13"/>
  <c r="A140" i="13"/>
  <c r="B140" i="13"/>
  <c r="C140" i="13"/>
  <c r="D140" i="13"/>
  <c r="F140" i="13"/>
  <c r="G140" i="13"/>
  <c r="H140" i="13"/>
  <c r="I140" i="13"/>
  <c r="J140" i="13"/>
  <c r="K140" i="13"/>
  <c r="L140" i="13"/>
  <c r="N140" i="13"/>
  <c r="B141" i="13"/>
  <c r="C141" i="13"/>
  <c r="D141" i="13"/>
  <c r="F141" i="13"/>
  <c r="G141" i="13"/>
  <c r="H141" i="13"/>
  <c r="I141" i="13"/>
  <c r="J141" i="13"/>
  <c r="K141" i="13"/>
  <c r="L141" i="13"/>
  <c r="M141" i="13"/>
  <c r="N141" i="13"/>
  <c r="B142" i="13"/>
  <c r="C142" i="13"/>
  <c r="D142" i="13"/>
  <c r="F142" i="13"/>
  <c r="G142" i="13"/>
  <c r="H142" i="13"/>
  <c r="I142" i="13"/>
  <c r="J142" i="13"/>
  <c r="K142" i="13"/>
  <c r="L142" i="13"/>
  <c r="M142" i="13"/>
  <c r="N142" i="13"/>
  <c r="B143" i="13"/>
  <c r="C143" i="13"/>
  <c r="D143" i="13"/>
  <c r="F143" i="13"/>
  <c r="G143" i="13"/>
  <c r="H143" i="13"/>
  <c r="I143" i="13"/>
  <c r="J143" i="13"/>
  <c r="K143" i="13"/>
  <c r="L143" i="13"/>
  <c r="N143" i="13"/>
  <c r="A144" i="13"/>
  <c r="B144" i="13"/>
  <c r="C144" i="13"/>
  <c r="D144" i="13"/>
  <c r="F144" i="13"/>
  <c r="G144" i="13"/>
  <c r="H144" i="13"/>
  <c r="I144" i="13"/>
  <c r="J144" i="13"/>
  <c r="K144" i="13"/>
  <c r="L144" i="13"/>
  <c r="M144" i="13"/>
  <c r="N144" i="13"/>
  <c r="A145" i="13"/>
  <c r="B145" i="13"/>
  <c r="C145" i="13"/>
  <c r="D145" i="13"/>
  <c r="F145" i="13"/>
  <c r="G145" i="13"/>
  <c r="H145" i="13"/>
  <c r="I145" i="13"/>
  <c r="J145" i="13"/>
  <c r="K145" i="13"/>
  <c r="L145" i="13"/>
  <c r="M145" i="13"/>
  <c r="N145" i="13"/>
  <c r="A146" i="13"/>
  <c r="B146" i="13"/>
  <c r="C146" i="13"/>
  <c r="D146" i="13"/>
  <c r="F146" i="13"/>
  <c r="G146" i="13"/>
  <c r="H146" i="13"/>
  <c r="I146" i="13"/>
  <c r="J146" i="13"/>
  <c r="K146" i="13"/>
  <c r="L146" i="13"/>
  <c r="M146" i="13"/>
  <c r="N146" i="13"/>
  <c r="B147" i="13"/>
  <c r="C147" i="13"/>
  <c r="D147" i="13"/>
  <c r="F147" i="13"/>
  <c r="G147" i="13"/>
  <c r="H147" i="13"/>
  <c r="I147" i="13"/>
  <c r="J147" i="13"/>
  <c r="K147" i="13"/>
  <c r="L147" i="13"/>
  <c r="N147" i="13"/>
  <c r="B148" i="13"/>
  <c r="C148" i="13"/>
  <c r="D148" i="13"/>
  <c r="F148" i="13"/>
  <c r="G148" i="13"/>
  <c r="H148" i="13"/>
  <c r="I148" i="13"/>
  <c r="J148" i="13"/>
  <c r="K148" i="13"/>
  <c r="L148" i="13"/>
  <c r="N148" i="13"/>
  <c r="A149" i="13"/>
  <c r="B149" i="13"/>
  <c r="C149" i="13"/>
  <c r="D149" i="13"/>
  <c r="F149" i="13"/>
  <c r="G149" i="13"/>
  <c r="H149" i="13"/>
  <c r="I149" i="13"/>
  <c r="J149" i="13"/>
  <c r="K149" i="13"/>
  <c r="L149" i="13"/>
  <c r="M149" i="13"/>
  <c r="N149" i="13"/>
  <c r="B150" i="13"/>
  <c r="C150" i="13"/>
  <c r="D150" i="13"/>
  <c r="F150" i="13"/>
  <c r="G150" i="13"/>
  <c r="H150" i="13"/>
  <c r="I150" i="13"/>
  <c r="J150" i="13"/>
  <c r="K150" i="13"/>
  <c r="L150" i="13"/>
  <c r="M150" i="13"/>
  <c r="N150" i="13"/>
  <c r="B151" i="13"/>
  <c r="C151" i="13"/>
  <c r="D151" i="13"/>
  <c r="F151" i="13"/>
  <c r="G151" i="13"/>
  <c r="H151" i="13"/>
  <c r="I151" i="13"/>
  <c r="J151" i="13"/>
  <c r="K151" i="13"/>
  <c r="L151" i="13"/>
  <c r="N151" i="13"/>
  <c r="A152" i="13"/>
  <c r="B152" i="13"/>
  <c r="C152" i="13"/>
  <c r="D152" i="13"/>
  <c r="F152" i="13"/>
  <c r="G152" i="13"/>
  <c r="H152" i="13"/>
  <c r="I152" i="13"/>
  <c r="J152" i="13"/>
  <c r="K152" i="13"/>
  <c r="L152" i="13"/>
  <c r="N152" i="13"/>
  <c r="B153" i="13"/>
  <c r="C153" i="13"/>
  <c r="D153" i="13"/>
  <c r="F153" i="13"/>
  <c r="G153" i="13"/>
  <c r="H153" i="13"/>
  <c r="I153" i="13"/>
  <c r="J153" i="13"/>
  <c r="K153" i="13"/>
  <c r="L153" i="13"/>
  <c r="M153" i="13"/>
  <c r="N153" i="13"/>
  <c r="B154" i="13"/>
  <c r="C154" i="13"/>
  <c r="D154" i="13"/>
  <c r="F154" i="13"/>
  <c r="G154" i="13"/>
  <c r="H154" i="13"/>
  <c r="I154" i="13"/>
  <c r="J154" i="13"/>
  <c r="K154" i="13"/>
  <c r="L154" i="13"/>
  <c r="M154" i="13"/>
  <c r="N154" i="13"/>
  <c r="B155" i="13"/>
  <c r="C155" i="13"/>
  <c r="D155" i="13"/>
  <c r="F155" i="13"/>
  <c r="G155" i="13"/>
  <c r="H155" i="13"/>
  <c r="I155" i="13"/>
  <c r="J155" i="13"/>
  <c r="K155" i="13"/>
  <c r="L155" i="13"/>
  <c r="N155" i="13"/>
  <c r="B156" i="13"/>
  <c r="C156" i="13"/>
  <c r="D156" i="13"/>
  <c r="F156" i="13"/>
  <c r="G156" i="13"/>
  <c r="H156" i="13"/>
  <c r="I156" i="13"/>
  <c r="J156" i="13"/>
  <c r="K156" i="13"/>
  <c r="L156" i="13"/>
  <c r="N156" i="13"/>
  <c r="B157" i="13"/>
  <c r="C157" i="13"/>
  <c r="D157" i="13"/>
  <c r="F157" i="13"/>
  <c r="G157" i="13"/>
  <c r="H157" i="13"/>
  <c r="I157" i="13"/>
  <c r="J157" i="13"/>
  <c r="K157" i="13"/>
  <c r="L157" i="13"/>
  <c r="M157" i="13"/>
  <c r="N157" i="13"/>
  <c r="B158" i="13"/>
  <c r="C158" i="13"/>
  <c r="D158" i="13"/>
  <c r="F158" i="13"/>
  <c r="G158" i="13"/>
  <c r="H158" i="13"/>
  <c r="I158" i="13"/>
  <c r="J158" i="13"/>
  <c r="K158" i="13"/>
  <c r="L158" i="13"/>
  <c r="M158" i="13"/>
  <c r="N158" i="13"/>
  <c r="I164" i="13"/>
  <c r="H165" i="13"/>
  <c r="B172" i="13"/>
  <c r="D172" i="13"/>
  <c r="F172" i="13"/>
  <c r="G172" i="13"/>
  <c r="H172" i="13"/>
  <c r="I172" i="13"/>
  <c r="J172" i="13"/>
  <c r="K172" i="13"/>
  <c r="L172" i="13"/>
  <c r="N172" i="13"/>
  <c r="A173" i="13"/>
  <c r="B173" i="13"/>
  <c r="D173" i="13"/>
  <c r="D175" i="13" s="1"/>
  <c r="F173" i="13"/>
  <c r="G173" i="13"/>
  <c r="H173" i="13"/>
  <c r="I173" i="13"/>
  <c r="J173" i="13"/>
  <c r="K173" i="13"/>
  <c r="L173" i="13"/>
  <c r="N173" i="13"/>
  <c r="A182" i="13"/>
  <c r="B182" i="13"/>
  <c r="D182" i="13"/>
  <c r="F182" i="13"/>
  <c r="H182" i="13"/>
  <c r="L182" i="13"/>
  <c r="B183" i="13"/>
  <c r="D183" i="13"/>
  <c r="F183" i="13"/>
  <c r="H183" i="13"/>
  <c r="L183" i="13"/>
  <c r="N183" i="13"/>
  <c r="B184" i="13"/>
  <c r="D184" i="13"/>
  <c r="F184" i="13"/>
  <c r="H184" i="13"/>
  <c r="N184" i="13"/>
  <c r="A185" i="13"/>
  <c r="B185" i="13"/>
  <c r="D185" i="13"/>
  <c r="F185" i="13"/>
  <c r="H185" i="13"/>
  <c r="B186" i="13"/>
  <c r="D186" i="13"/>
  <c r="F186" i="13"/>
  <c r="H186" i="13"/>
  <c r="L186" i="13"/>
  <c r="A187" i="13"/>
  <c r="B187" i="13"/>
  <c r="D187" i="13"/>
  <c r="F187" i="13"/>
  <c r="H187" i="13"/>
  <c r="L187" i="13"/>
  <c r="N187" i="13"/>
  <c r="B196" i="13"/>
  <c r="D196" i="13"/>
  <c r="F196" i="13"/>
  <c r="H196" i="13"/>
  <c r="J196" i="13"/>
  <c r="L196" i="13"/>
  <c r="N196" i="13"/>
  <c r="B197" i="13"/>
  <c r="D197" i="13"/>
  <c r="F197" i="13"/>
  <c r="H197" i="13"/>
  <c r="J197" i="13"/>
  <c r="L197" i="13"/>
  <c r="N197" i="13"/>
  <c r="B198" i="13"/>
  <c r="D198" i="13"/>
  <c r="F198" i="13"/>
  <c r="H198" i="13"/>
  <c r="J198" i="13"/>
  <c r="L198" i="13"/>
  <c r="N198" i="13"/>
  <c r="F200" i="13"/>
  <c r="B212" i="13"/>
  <c r="D212" i="13"/>
  <c r="F212" i="13"/>
  <c r="H212" i="13"/>
  <c r="J212" i="13"/>
  <c r="L212" i="13"/>
  <c r="N212" i="13"/>
  <c r="B213" i="13"/>
  <c r="D213" i="13"/>
  <c r="F213" i="13"/>
  <c r="H213" i="13"/>
  <c r="J213" i="13"/>
  <c r="N213" i="13"/>
  <c r="B214" i="13"/>
  <c r="D214" i="13"/>
  <c r="F214" i="13"/>
  <c r="H214" i="13"/>
  <c r="J214" i="13"/>
  <c r="L214" i="13"/>
  <c r="N214" i="13"/>
  <c r="B215" i="13"/>
  <c r="D215" i="13"/>
  <c r="F215" i="13"/>
  <c r="H215" i="13"/>
  <c r="J215" i="13"/>
  <c r="L215" i="13"/>
  <c r="N215" i="13"/>
  <c r="B216" i="13"/>
  <c r="D216" i="13"/>
  <c r="F216" i="13"/>
  <c r="H216" i="13"/>
  <c r="J216" i="13"/>
  <c r="L216" i="13"/>
  <c r="N216" i="13"/>
  <c r="B217" i="13"/>
  <c r="D217" i="13"/>
  <c r="F217" i="13"/>
  <c r="H217" i="13"/>
  <c r="J217" i="13"/>
  <c r="N217" i="13"/>
  <c r="B218" i="13"/>
  <c r="D218" i="13"/>
  <c r="F218" i="13"/>
  <c r="H218" i="13"/>
  <c r="J218" i="13"/>
  <c r="L218" i="13"/>
  <c r="N218" i="13"/>
  <c r="B219" i="13"/>
  <c r="D219" i="13"/>
  <c r="F219" i="13"/>
  <c r="H219" i="13"/>
  <c r="J219" i="13"/>
  <c r="L219" i="13"/>
  <c r="N219" i="13"/>
  <c r="B220" i="13"/>
  <c r="D220" i="13"/>
  <c r="F220" i="13"/>
  <c r="H220" i="13"/>
  <c r="J220" i="13"/>
  <c r="L220" i="13"/>
  <c r="N220" i="13"/>
  <c r="B221" i="13"/>
  <c r="D221" i="13"/>
  <c r="F221" i="13"/>
  <c r="H221" i="13"/>
  <c r="J221" i="13"/>
  <c r="N221" i="13"/>
  <c r="B222" i="13"/>
  <c r="D222" i="13"/>
  <c r="F222" i="13"/>
  <c r="H222" i="13"/>
  <c r="J222" i="13"/>
  <c r="L222" i="13"/>
  <c r="N222" i="13"/>
  <c r="B223" i="13"/>
  <c r="D223" i="13"/>
  <c r="F223" i="13"/>
  <c r="H223" i="13"/>
  <c r="J223" i="13"/>
  <c r="L223" i="13"/>
  <c r="N223" i="13"/>
  <c r="B224" i="13"/>
  <c r="D224" i="13"/>
  <c r="F224" i="13"/>
  <c r="H224" i="13"/>
  <c r="J224" i="13"/>
  <c r="L224" i="13"/>
  <c r="N224" i="13"/>
  <c r="B225" i="13"/>
  <c r="D225" i="13"/>
  <c r="F225" i="13"/>
  <c r="H225" i="13"/>
  <c r="J225" i="13"/>
  <c r="N225" i="13"/>
  <c r="B226" i="13"/>
  <c r="D226" i="13"/>
  <c r="F226" i="13"/>
  <c r="H226" i="13"/>
  <c r="J226" i="13"/>
  <c r="L226" i="13"/>
  <c r="N226" i="13"/>
  <c r="B227" i="13"/>
  <c r="D227" i="13"/>
  <c r="F227" i="13"/>
  <c r="H227" i="13"/>
  <c r="J227" i="13"/>
  <c r="L227" i="13"/>
  <c r="N227" i="13"/>
  <c r="B236" i="13"/>
  <c r="D236" i="13"/>
  <c r="F236" i="13"/>
  <c r="H236" i="13"/>
  <c r="J236" i="13"/>
  <c r="L236" i="13"/>
  <c r="N236" i="13"/>
  <c r="B237" i="13"/>
  <c r="D237" i="13"/>
  <c r="F237" i="13"/>
  <c r="H237" i="13"/>
  <c r="J237" i="13"/>
  <c r="N237" i="13"/>
  <c r="B238" i="13"/>
  <c r="D238" i="13"/>
  <c r="F238" i="13"/>
  <c r="H238" i="13"/>
  <c r="J238" i="13"/>
  <c r="L238" i="13"/>
  <c r="N238" i="13"/>
  <c r="B239" i="13"/>
  <c r="D239" i="13"/>
  <c r="F239" i="13"/>
  <c r="H239" i="13"/>
  <c r="J239" i="13"/>
  <c r="L239" i="13"/>
  <c r="N239" i="13"/>
  <c r="I250" i="13"/>
  <c r="I333" i="13" s="1"/>
  <c r="H251" i="13"/>
  <c r="B261" i="13"/>
  <c r="D261" i="13"/>
  <c r="F261" i="13"/>
  <c r="H261" i="13"/>
  <c r="J261" i="13"/>
  <c r="L261" i="13"/>
  <c r="A262" i="13"/>
  <c r="B262" i="13"/>
  <c r="D262" i="13"/>
  <c r="F262" i="13"/>
  <c r="H262" i="13"/>
  <c r="J262" i="13"/>
  <c r="N262" i="13"/>
  <c r="A263" i="13"/>
  <c r="B263" i="13"/>
  <c r="D263" i="13"/>
  <c r="F263" i="13"/>
  <c r="H263" i="13"/>
  <c r="J263" i="13"/>
  <c r="N263" i="13"/>
  <c r="A264" i="13"/>
  <c r="B264" i="13"/>
  <c r="D264" i="13"/>
  <c r="F264" i="13"/>
  <c r="H264" i="13"/>
  <c r="J264" i="13"/>
  <c r="F266" i="13"/>
  <c r="B273" i="13"/>
  <c r="D273" i="13"/>
  <c r="F273" i="13"/>
  <c r="H273" i="13"/>
  <c r="J273" i="13"/>
  <c r="L273" i="13"/>
  <c r="N273" i="13"/>
  <c r="B274" i="13"/>
  <c r="D274" i="13"/>
  <c r="F274" i="13"/>
  <c r="H274" i="13"/>
  <c r="J274" i="13"/>
  <c r="L274" i="13"/>
  <c r="N274" i="13"/>
  <c r="A275" i="13"/>
  <c r="B275" i="13"/>
  <c r="D275" i="13"/>
  <c r="F275" i="13"/>
  <c r="H275" i="13"/>
  <c r="J275" i="13"/>
  <c r="N275" i="13"/>
  <c r="B276" i="13"/>
  <c r="D276" i="13"/>
  <c r="F276" i="13"/>
  <c r="H276" i="13"/>
  <c r="J276" i="13"/>
  <c r="L276" i="13"/>
  <c r="N276" i="13"/>
  <c r="B277" i="13"/>
  <c r="D277" i="13"/>
  <c r="F277" i="13"/>
  <c r="H277" i="13"/>
  <c r="J277" i="13"/>
  <c r="L277" i="13"/>
  <c r="N277" i="13"/>
  <c r="B278" i="13"/>
  <c r="D278" i="13"/>
  <c r="F278" i="13"/>
  <c r="H278" i="13"/>
  <c r="J278" i="13"/>
  <c r="L278" i="13"/>
  <c r="N278" i="13"/>
  <c r="B279" i="13"/>
  <c r="D279" i="13"/>
  <c r="F279" i="13"/>
  <c r="H279" i="13"/>
  <c r="J279" i="13"/>
  <c r="N279" i="13"/>
  <c r="B280" i="13"/>
  <c r="D280" i="13"/>
  <c r="F280" i="13"/>
  <c r="H280" i="13"/>
  <c r="J280" i="13"/>
  <c r="L280" i="13"/>
  <c r="N280" i="13"/>
  <c r="A281" i="13"/>
  <c r="B281" i="13"/>
  <c r="D281" i="13"/>
  <c r="F281" i="13"/>
  <c r="H281" i="13"/>
  <c r="J281" i="13"/>
  <c r="L281" i="13"/>
  <c r="N281" i="13"/>
  <c r="B290" i="13"/>
  <c r="D290" i="13"/>
  <c r="F290" i="13"/>
  <c r="H290" i="13"/>
  <c r="J290" i="13"/>
  <c r="L290" i="13"/>
  <c r="N290" i="13"/>
  <c r="A291" i="13"/>
  <c r="B291" i="13"/>
  <c r="D291" i="13"/>
  <c r="F291" i="13"/>
  <c r="H291" i="13"/>
  <c r="J291" i="13"/>
  <c r="N291" i="13"/>
  <c r="B292" i="13"/>
  <c r="D292" i="13"/>
  <c r="F292" i="13"/>
  <c r="H292" i="13"/>
  <c r="J292" i="13"/>
  <c r="L292" i="13"/>
  <c r="N292" i="13"/>
  <c r="B293" i="13"/>
  <c r="D293" i="13"/>
  <c r="F293" i="13"/>
  <c r="H293" i="13"/>
  <c r="J293" i="13"/>
  <c r="L293" i="13"/>
  <c r="N293" i="13"/>
  <c r="B294" i="13"/>
  <c r="D294" i="13"/>
  <c r="F294" i="13"/>
  <c r="H294" i="13"/>
  <c r="J294" i="13"/>
  <c r="L294" i="13"/>
  <c r="N294" i="13"/>
  <c r="B295" i="13"/>
  <c r="D295" i="13"/>
  <c r="F295" i="13"/>
  <c r="H295" i="13"/>
  <c r="J295" i="13"/>
  <c r="N295" i="13"/>
  <c r="B296" i="13"/>
  <c r="D296" i="13"/>
  <c r="F296" i="13"/>
  <c r="H296" i="13"/>
  <c r="J296" i="13"/>
  <c r="L296" i="13"/>
  <c r="N296" i="13"/>
  <c r="B297" i="13"/>
  <c r="D297" i="13"/>
  <c r="F297" i="13"/>
  <c r="H297" i="13"/>
  <c r="J297" i="13"/>
  <c r="L297" i="13"/>
  <c r="N297" i="13"/>
  <c r="B306" i="13"/>
  <c r="D306" i="13"/>
  <c r="F306" i="13"/>
  <c r="F310" i="13" s="1"/>
  <c r="H306" i="13"/>
  <c r="J306" i="13"/>
  <c r="L306" i="13"/>
  <c r="N306" i="13"/>
  <c r="B307" i="13"/>
  <c r="D307" i="13"/>
  <c r="F307" i="13"/>
  <c r="H307" i="13"/>
  <c r="J307" i="13"/>
  <c r="N307" i="13"/>
  <c r="B308" i="13"/>
  <c r="D308" i="13"/>
  <c r="F308" i="13"/>
  <c r="H308" i="13"/>
  <c r="J308" i="13"/>
  <c r="L308" i="13"/>
  <c r="N308" i="13"/>
  <c r="A317" i="13"/>
  <c r="B317" i="13"/>
  <c r="D317" i="13"/>
  <c r="F317" i="13"/>
  <c r="H317" i="13"/>
  <c r="J317" i="13"/>
  <c r="L317" i="13"/>
  <c r="B318" i="13"/>
  <c r="D318" i="13"/>
  <c r="F318" i="13"/>
  <c r="H318" i="13"/>
  <c r="J318" i="13"/>
  <c r="L318" i="13"/>
  <c r="A319" i="13"/>
  <c r="B319" i="13"/>
  <c r="D319" i="13"/>
  <c r="F319" i="13"/>
  <c r="H319" i="13"/>
  <c r="J319" i="13"/>
  <c r="A320" i="13"/>
  <c r="B320" i="13"/>
  <c r="D320" i="13"/>
  <c r="F320" i="13"/>
  <c r="H320" i="13"/>
  <c r="J320" i="13"/>
  <c r="L320" i="13"/>
  <c r="N320" i="13"/>
  <c r="F322" i="13"/>
  <c r="A44" i="6"/>
  <c r="A45" i="6"/>
  <c r="A46" i="6"/>
  <c r="A47" i="6"/>
  <c r="A48" i="6"/>
  <c r="E74" i="6"/>
  <c r="F74" i="6"/>
  <c r="G74" i="6"/>
  <c r="H74" i="6"/>
  <c r="I74" i="6"/>
  <c r="M16" i="10"/>
  <c r="A62" i="3" l="1"/>
  <c r="A196" i="3" s="1"/>
  <c r="A320" i="3" s="1"/>
  <c r="A618" i="3" s="1"/>
  <c r="A687" i="3" s="1"/>
  <c r="A771" i="3" s="1"/>
  <c r="A944" i="3" s="1"/>
  <c r="A1058" i="3" s="1"/>
  <c r="A1179" i="3" s="1"/>
  <c r="A1330" i="3" s="1"/>
  <c r="N22" i="14"/>
  <c r="O74" i="13"/>
  <c r="O73" i="13"/>
  <c r="F163" i="7"/>
  <c r="F159" i="7"/>
  <c r="F160" i="7" s="1"/>
  <c r="X23" i="3"/>
  <c r="G308" i="3"/>
  <c r="A141" i="13" s="1"/>
  <c r="C308" i="3"/>
  <c r="L438" i="3"/>
  <c r="N440" i="3"/>
  <c r="S569" i="3"/>
  <c r="H152" i="7"/>
  <c r="H166" i="7"/>
  <c r="D91" i="9"/>
  <c r="AF81" i="9"/>
  <c r="AG81" i="9"/>
  <c r="W82" i="9"/>
  <c r="AK82" i="9" s="1"/>
  <c r="AA82" i="9"/>
  <c r="AE82" i="9"/>
  <c r="AI82" i="9"/>
  <c r="X81" i="9"/>
  <c r="AH81" i="9"/>
  <c r="X82" i="9"/>
  <c r="AB82" i="9"/>
  <c r="AF82" i="9"/>
  <c r="AJ82" i="9"/>
  <c r="V82" i="9"/>
  <c r="AD82" i="9"/>
  <c r="AG82" i="9"/>
  <c r="Y81" i="9"/>
  <c r="Y82" i="9"/>
  <c r="Z81" i="9"/>
  <c r="Z82" i="9"/>
  <c r="AH82" i="9"/>
  <c r="Q81" i="9"/>
  <c r="C336" i="3"/>
  <c r="G336" i="3"/>
  <c r="A143" i="13" s="1"/>
  <c r="G128" i="3"/>
  <c r="K128" i="3"/>
  <c r="A112" i="13" s="1"/>
  <c r="L494" i="3"/>
  <c r="N496" i="3"/>
  <c r="L382" i="3"/>
  <c r="N384" i="3"/>
  <c r="I933" i="3"/>
  <c r="F281" i="3"/>
  <c r="I1168" i="3"/>
  <c r="J1276" i="3"/>
  <c r="G594" i="3"/>
  <c r="I991" i="3"/>
  <c r="H146" i="3"/>
  <c r="I1047" i="3"/>
  <c r="I1319" i="3"/>
  <c r="N398" i="3"/>
  <c r="L393" i="3"/>
  <c r="N286" i="3"/>
  <c r="L281" i="3"/>
  <c r="F18" i="9"/>
  <c r="F23" i="9" s="1"/>
  <c r="E89" i="13"/>
  <c r="I34" i="14"/>
  <c r="G48" i="10"/>
  <c r="K48" i="10"/>
  <c r="O48" i="10"/>
  <c r="H48" i="10"/>
  <c r="J48" i="10"/>
  <c r="E48" i="10"/>
  <c r="L48" i="10"/>
  <c r="F48" i="10"/>
  <c r="M48" i="10"/>
  <c r="N1301" i="3"/>
  <c r="N1312" i="3"/>
  <c r="N1307" i="3"/>
  <c r="N1308" i="3"/>
  <c r="O161" i="7"/>
  <c r="F299" i="13"/>
  <c r="N48" i="10"/>
  <c r="U82" i="9"/>
  <c r="H12" i="3"/>
  <c r="H1232" i="3"/>
  <c r="K1232" i="3"/>
  <c r="A295" i="13" s="1"/>
  <c r="C532" i="3"/>
  <c r="G532" i="3"/>
  <c r="A157" i="13" s="1"/>
  <c r="C476" i="3"/>
  <c r="G476" i="3"/>
  <c r="A153" i="13" s="1"/>
  <c r="C406" i="3"/>
  <c r="G406" i="3"/>
  <c r="A148" i="13" s="1"/>
  <c r="L550" i="3"/>
  <c r="N552" i="3"/>
  <c r="L326" i="3"/>
  <c r="N328" i="3"/>
  <c r="F189" i="13"/>
  <c r="I48" i="10"/>
  <c r="N454" i="3"/>
  <c r="N163" i="7"/>
  <c r="N159" i="7"/>
  <c r="K156" i="7"/>
  <c r="K163" i="7"/>
  <c r="K159" i="7"/>
  <c r="D171" i="9"/>
  <c r="Z159" i="9"/>
  <c r="AF159" i="9"/>
  <c r="W160" i="9"/>
  <c r="AA160" i="9"/>
  <c r="AE160" i="9"/>
  <c r="AI160" i="9"/>
  <c r="AG159" i="9"/>
  <c r="X160" i="9"/>
  <c r="AB160" i="9"/>
  <c r="AK160" i="9" s="1"/>
  <c r="AF160" i="9"/>
  <c r="AJ160" i="9"/>
  <c r="Q159" i="9"/>
  <c r="AH159" i="9"/>
  <c r="V160" i="9"/>
  <c r="AD160" i="9"/>
  <c r="Y160" i="9"/>
  <c r="AG160" i="9"/>
  <c r="X159" i="9"/>
  <c r="Z160" i="9"/>
  <c r="AH160" i="9"/>
  <c r="D103" i="9"/>
  <c r="V94" i="9"/>
  <c r="AC94" i="9"/>
  <c r="AJ94" i="9"/>
  <c r="Z94" i="9"/>
  <c r="AH94" i="9"/>
  <c r="W95" i="9"/>
  <c r="AA95" i="9"/>
  <c r="AE95" i="9"/>
  <c r="AI95" i="9"/>
  <c r="M94" i="9"/>
  <c r="AB94" i="9"/>
  <c r="X95" i="9"/>
  <c r="AK95" i="9" s="1"/>
  <c r="AB95" i="9"/>
  <c r="AF95" i="9"/>
  <c r="AJ95" i="9"/>
  <c r="AD94" i="9"/>
  <c r="V95" i="9"/>
  <c r="AD95" i="9"/>
  <c r="AF94" i="9"/>
  <c r="Y95" i="9"/>
  <c r="AG95" i="9"/>
  <c r="Q94" i="9"/>
  <c r="U94" i="9"/>
  <c r="Z95" i="9"/>
  <c r="AH95" i="9"/>
  <c r="F229" i="13"/>
  <c r="C109" i="15"/>
  <c r="C55" i="15"/>
  <c r="M151" i="7"/>
  <c r="M152" i="7" s="1"/>
  <c r="M166" i="7"/>
  <c r="J151" i="7"/>
  <c r="J152" i="7" s="1"/>
  <c r="J166" i="7"/>
  <c r="E151" i="7"/>
  <c r="E152" i="7" s="1"/>
  <c r="E166" i="7"/>
  <c r="I303" i="9"/>
  <c r="F311" i="9" s="1"/>
  <c r="O583" i="3" s="1"/>
  <c r="M303" i="9"/>
  <c r="F308" i="9" s="1"/>
  <c r="O580" i="3" s="1"/>
  <c r="O303" i="9"/>
  <c r="Z237" i="9"/>
  <c r="U237" i="9"/>
  <c r="Y237" i="9"/>
  <c r="AE237" i="9"/>
  <c r="X237" i="9"/>
  <c r="AF237" i="9"/>
  <c r="X238" i="9"/>
  <c r="AB238" i="9"/>
  <c r="AF238" i="9"/>
  <c r="AJ238" i="9"/>
  <c r="K237" i="9"/>
  <c r="AA237" i="9"/>
  <c r="AG237" i="9"/>
  <c r="U238" i="9"/>
  <c r="Y238" i="9"/>
  <c r="AC238" i="9"/>
  <c r="AG238" i="9"/>
  <c r="C563" i="3"/>
  <c r="X49" i="3"/>
  <c r="C518" i="3"/>
  <c r="G518" i="3"/>
  <c r="A156" i="13" s="1"/>
  <c r="G158" i="3"/>
  <c r="W9" i="3"/>
  <c r="B264" i="11"/>
  <c r="B176" i="11"/>
  <c r="C163" i="15"/>
  <c r="L424" i="3"/>
  <c r="W7" i="3"/>
  <c r="AH238" i="9"/>
  <c r="Z238" i="9"/>
  <c r="K152" i="7"/>
  <c r="K155" i="7"/>
  <c r="K154" i="7" s="1"/>
  <c r="J163" i="7"/>
  <c r="J159" i="7"/>
  <c r="J160" i="7" s="1"/>
  <c r="G156" i="7"/>
  <c r="G163" i="7"/>
  <c r="G159" i="7"/>
  <c r="Y250" i="9"/>
  <c r="D257" i="9"/>
  <c r="U250" i="9"/>
  <c r="AA250" i="9"/>
  <c r="AF250" i="9"/>
  <c r="X251" i="9"/>
  <c r="AB251" i="9"/>
  <c r="AF251" i="9"/>
  <c r="AJ251" i="9"/>
  <c r="V250" i="9"/>
  <c r="AB250" i="9"/>
  <c r="AH250" i="9"/>
  <c r="U251" i="9"/>
  <c r="AK251" i="9" s="1"/>
  <c r="Y251" i="9"/>
  <c r="AC251" i="9"/>
  <c r="AG251" i="9"/>
  <c r="W237" i="9"/>
  <c r="O153" i="7"/>
  <c r="H1137" i="3"/>
  <c r="K1137" i="3"/>
  <c r="A280" i="13" s="1"/>
  <c r="H1085" i="3"/>
  <c r="K1085" i="3"/>
  <c r="A276" i="13" s="1"/>
  <c r="F619" i="3"/>
  <c r="J619" i="3"/>
  <c r="A184" i="13" s="1"/>
  <c r="G223" i="3"/>
  <c r="K223" i="3"/>
  <c r="A127" i="13" s="1"/>
  <c r="G184" i="3"/>
  <c r="K184" i="3"/>
  <c r="A124" i="13" s="1"/>
  <c r="G11" i="3"/>
  <c r="K11" i="3"/>
  <c r="A103" i="13" s="1"/>
  <c r="N1309" i="3"/>
  <c r="O165" i="7"/>
  <c r="D160" i="13"/>
  <c r="B165" i="13"/>
  <c r="B251" i="13"/>
  <c r="B88" i="11"/>
  <c r="Q585" i="3"/>
  <c r="L563" i="3"/>
  <c r="A172" i="13" s="1"/>
  <c r="L368" i="3"/>
  <c r="L359" i="3"/>
  <c r="K158" i="3"/>
  <c r="A122" i="13" s="1"/>
  <c r="Q303" i="9"/>
  <c r="AK69" i="9"/>
  <c r="AK121" i="9"/>
  <c r="AK173" i="9"/>
  <c r="AE238" i="9"/>
  <c r="W238" i="9"/>
  <c r="AE251" i="9"/>
  <c r="W251" i="9"/>
  <c r="N151" i="7"/>
  <c r="N152" i="7" s="1"/>
  <c r="L166" i="7"/>
  <c r="J156" i="7"/>
  <c r="I151" i="7"/>
  <c r="I152" i="7" s="1"/>
  <c r="F151" i="7"/>
  <c r="F152" i="7" s="1"/>
  <c r="F166" i="7"/>
  <c r="D166" i="7"/>
  <c r="AC250" i="9"/>
  <c r="K250" i="9"/>
  <c r="AI237" i="9"/>
  <c r="V237" i="9"/>
  <c r="H1357" i="3"/>
  <c r="X88" i="3"/>
  <c r="H1245" i="3"/>
  <c r="K1245" i="3"/>
  <c r="A296" i="13" s="1"/>
  <c r="H1193" i="3"/>
  <c r="K1193" i="3"/>
  <c r="A292" i="13" s="1"/>
  <c r="W75" i="3"/>
  <c r="H1124" i="3"/>
  <c r="K1124" i="3"/>
  <c r="A279" i="13" s="1"/>
  <c r="H1046" i="3"/>
  <c r="W62" i="3"/>
  <c r="H1003" i="3"/>
  <c r="W49" i="3"/>
  <c r="W36" i="3"/>
  <c r="H48" i="20"/>
  <c r="E51" i="1"/>
  <c r="E56" i="1" s="1"/>
  <c r="H37" i="1" s="1"/>
  <c r="M163" i="7"/>
  <c r="I163" i="7"/>
  <c r="E163" i="7"/>
  <c r="V211" i="9"/>
  <c r="Z211" i="9"/>
  <c r="AD211" i="9"/>
  <c r="AH211" i="9"/>
  <c r="D219" i="9"/>
  <c r="V185" i="9"/>
  <c r="Z185" i="9"/>
  <c r="AD185" i="9"/>
  <c r="AH185" i="9"/>
  <c r="X107" i="9"/>
  <c r="AG107" i="9"/>
  <c r="D33" i="9"/>
  <c r="X30" i="9"/>
  <c r="AC30" i="9"/>
  <c r="AJ30" i="9"/>
  <c r="Y29" i="9"/>
  <c r="AF29" i="9"/>
  <c r="K29" i="9"/>
  <c r="U30" i="9"/>
  <c r="AB30" i="9"/>
  <c r="AI30" i="9"/>
  <c r="X29" i="9"/>
  <c r="AD29" i="9"/>
  <c r="AI29" i="9"/>
  <c r="H37" i="20"/>
  <c r="H39" i="20" s="1"/>
  <c r="H41" i="20" s="1"/>
  <c r="G42" i="13" s="1"/>
  <c r="I42" i="13" s="1"/>
  <c r="AK43" i="9"/>
  <c r="AI56" i="9"/>
  <c r="AE56" i="9"/>
  <c r="AA56" i="9"/>
  <c r="W56" i="9"/>
  <c r="AK56" i="9" s="1"/>
  <c r="AI108" i="9"/>
  <c r="AE108" i="9"/>
  <c r="AA108" i="9"/>
  <c r="W108" i="9"/>
  <c r="AK108" i="9" s="1"/>
  <c r="AJ186" i="9"/>
  <c r="AF186" i="9"/>
  <c r="AB186" i="9"/>
  <c r="X186" i="9"/>
  <c r="AJ199" i="9"/>
  <c r="AF199" i="9"/>
  <c r="AB199" i="9"/>
  <c r="X199" i="9"/>
  <c r="AK199" i="9" s="1"/>
  <c r="AJ212" i="9"/>
  <c r="AF212" i="9"/>
  <c r="AB212" i="9"/>
  <c r="X212" i="9"/>
  <c r="AK212" i="9" s="1"/>
  <c r="L163" i="7"/>
  <c r="H163" i="7"/>
  <c r="D163" i="7"/>
  <c r="D162" i="7" s="1"/>
  <c r="AJ211" i="9"/>
  <c r="AE211" i="9"/>
  <c r="Y211" i="9"/>
  <c r="M211" i="9"/>
  <c r="AJ185" i="9"/>
  <c r="AE185" i="9"/>
  <c r="Y185" i="9"/>
  <c r="M185" i="9"/>
  <c r="Y146" i="9"/>
  <c r="M146" i="9"/>
  <c r="Z146" i="9"/>
  <c r="AF146" i="9"/>
  <c r="Y120" i="9"/>
  <c r="X120" i="9"/>
  <c r="AD120" i="9"/>
  <c r="Y107" i="9"/>
  <c r="AH55" i="9"/>
  <c r="X55" i="9"/>
  <c r="D49" i="9"/>
  <c r="W42" i="9"/>
  <c r="AK42" i="9" s="1"/>
  <c r="O42" i="9" s="1"/>
  <c r="AC42" i="9"/>
  <c r="AG42" i="9"/>
  <c r="M29" i="9"/>
  <c r="AA29" i="9"/>
  <c r="AE30" i="9"/>
  <c r="H46" i="20"/>
  <c r="B48" i="20" s="1"/>
  <c r="I726" i="3"/>
  <c r="G599" i="3"/>
  <c r="I1324" i="3"/>
  <c r="I681" i="3"/>
  <c r="O707" i="3" s="1"/>
  <c r="J1281" i="3"/>
  <c r="G598" i="3"/>
  <c r="I1323" i="3"/>
  <c r="I725" i="3"/>
  <c r="J1280" i="3"/>
  <c r="N1306" i="3" s="1"/>
  <c r="H33" i="10"/>
  <c r="J33" i="10"/>
  <c r="K33" i="10"/>
  <c r="L33" i="10"/>
  <c r="N33" i="10"/>
  <c r="O33" i="10"/>
  <c r="G50" i="3"/>
  <c r="D48" i="10"/>
  <c r="H1331" i="3"/>
  <c r="H1219" i="3"/>
  <c r="H1180" i="3"/>
  <c r="H1072" i="3"/>
  <c r="I1046" i="3"/>
  <c r="H990" i="3"/>
  <c r="C576" i="3"/>
  <c r="C350" i="3"/>
  <c r="H145" i="3"/>
  <c r="O712" i="3"/>
  <c r="J1278" i="3"/>
  <c r="O722" i="3"/>
  <c r="I1288" i="3"/>
  <c r="H720" i="3"/>
  <c r="O723" i="3" s="1"/>
  <c r="F283" i="13"/>
  <c r="F241" i="13"/>
  <c r="F132" i="13"/>
  <c r="F114" i="13"/>
  <c r="B80" i="13"/>
  <c r="N1370" i="3"/>
  <c r="O1370" i="3" s="1"/>
  <c r="O488" i="3" s="1"/>
  <c r="O154" i="13" s="1"/>
  <c r="F146" i="6"/>
  <c r="F114" i="6"/>
  <c r="E114" i="6"/>
  <c r="J166" i="6"/>
  <c r="H166" i="6"/>
  <c r="J150" i="6"/>
  <c r="H150" i="6"/>
  <c r="J134" i="6"/>
  <c r="H134" i="6"/>
  <c r="J118" i="6"/>
  <c r="H118" i="6"/>
  <c r="J102" i="6"/>
  <c r="H102" i="6"/>
  <c r="E221" i="6"/>
  <c r="C221" i="6"/>
  <c r="H258" i="6"/>
  <c r="F164" i="6"/>
  <c r="N164" i="6"/>
  <c r="F132" i="6"/>
  <c r="N132" i="6"/>
  <c r="C233" i="6"/>
  <c r="N233" i="6"/>
  <c r="E233" i="6"/>
  <c r="E197" i="6"/>
  <c r="C197" i="6"/>
  <c r="E181" i="6"/>
  <c r="C181" i="6"/>
  <c r="J250" i="6"/>
  <c r="L250" i="6"/>
  <c r="H250" i="6"/>
  <c r="J234" i="6"/>
  <c r="L234" i="6"/>
  <c r="H234" i="6"/>
  <c r="J218" i="6"/>
  <c r="L218" i="6"/>
  <c r="H218" i="6"/>
  <c r="J202" i="6"/>
  <c r="L202" i="6"/>
  <c r="H202" i="6"/>
  <c r="J181" i="6"/>
  <c r="H181" i="6"/>
  <c r="M181" i="6"/>
  <c r="L181" i="6"/>
  <c r="E322" i="6"/>
  <c r="C322" i="6"/>
  <c r="H266" i="6"/>
  <c r="M266" i="6"/>
  <c r="AK238" i="9"/>
  <c r="M158" i="7"/>
  <c r="M160" i="7"/>
  <c r="K162" i="7"/>
  <c r="K164" i="7"/>
  <c r="E158" i="7"/>
  <c r="E160" i="7"/>
  <c r="M166" i="6"/>
  <c r="M150" i="6"/>
  <c r="M134" i="6"/>
  <c r="M118" i="6"/>
  <c r="M102" i="6"/>
  <c r="C164" i="6"/>
  <c r="C132" i="6"/>
  <c r="E103" i="6"/>
  <c r="F154" i="6"/>
  <c r="F122" i="6"/>
  <c r="J170" i="6"/>
  <c r="H170" i="6"/>
  <c r="J154" i="6"/>
  <c r="H154" i="6"/>
  <c r="J138" i="6"/>
  <c r="H138" i="6"/>
  <c r="J122" i="6"/>
  <c r="H122" i="6"/>
  <c r="J106" i="6"/>
  <c r="H106" i="6"/>
  <c r="M234" i="6"/>
  <c r="E245" i="6"/>
  <c r="C245" i="6"/>
  <c r="E213" i="6"/>
  <c r="C213" i="6"/>
  <c r="J180" i="6"/>
  <c r="M180" i="6"/>
  <c r="L180" i="6"/>
  <c r="N156" i="7"/>
  <c r="L158" i="7"/>
  <c r="L160" i="7"/>
  <c r="J162" i="7"/>
  <c r="J164" i="7"/>
  <c r="F156" i="7"/>
  <c r="D158" i="7"/>
  <c r="D160" i="7"/>
  <c r="L128" i="13"/>
  <c r="C218" i="15"/>
  <c r="F101" i="6"/>
  <c r="N101" i="6"/>
  <c r="F140" i="6"/>
  <c r="N140" i="6"/>
  <c r="C225" i="6"/>
  <c r="N225" i="6"/>
  <c r="E225" i="6"/>
  <c r="C201" i="6"/>
  <c r="N201" i="6"/>
  <c r="E201" i="6"/>
  <c r="C185" i="6"/>
  <c r="N185" i="6"/>
  <c r="E185" i="6"/>
  <c r="J238" i="6"/>
  <c r="H238" i="6"/>
  <c r="M238" i="6"/>
  <c r="J222" i="6"/>
  <c r="H222" i="6"/>
  <c r="M222" i="6"/>
  <c r="J206" i="6"/>
  <c r="H206" i="6"/>
  <c r="M206" i="6"/>
  <c r="J190" i="6"/>
  <c r="H190" i="6"/>
  <c r="M190" i="6"/>
  <c r="N322" i="6"/>
  <c r="N286" i="6"/>
  <c r="F286" i="6"/>
  <c r="C286" i="6"/>
  <c r="E286" i="6"/>
  <c r="C146" i="6"/>
  <c r="C114" i="6"/>
  <c r="F162" i="6"/>
  <c r="F130" i="6"/>
  <c r="J158" i="6"/>
  <c r="H158" i="6"/>
  <c r="J142" i="6"/>
  <c r="H142" i="6"/>
  <c r="J126" i="6"/>
  <c r="H126" i="6"/>
  <c r="J110" i="6"/>
  <c r="H110" i="6"/>
  <c r="M250" i="6"/>
  <c r="E237" i="6"/>
  <c r="C237" i="6"/>
  <c r="H180" i="6"/>
  <c r="L185" i="6"/>
  <c r="H185" i="6"/>
  <c r="H298" i="6"/>
  <c r="M298" i="6"/>
  <c r="F79" i="19"/>
  <c r="D90" i="19" s="1"/>
  <c r="D81" i="19"/>
  <c r="F81" i="19" s="1"/>
  <c r="D91" i="19" s="1"/>
  <c r="D265" i="9"/>
  <c r="D266" i="9"/>
  <c r="D270" i="9"/>
  <c r="D267" i="9"/>
  <c r="D264" i="9"/>
  <c r="D268" i="9"/>
  <c r="D272" i="9"/>
  <c r="D269" i="9"/>
  <c r="D273" i="9"/>
  <c r="D274" i="9"/>
  <c r="D271" i="9"/>
  <c r="K263" i="9"/>
  <c r="AA263" i="9"/>
  <c r="AI263" i="9"/>
  <c r="D275" i="9"/>
  <c r="M263" i="9"/>
  <c r="AB263" i="9"/>
  <c r="AJ263" i="9"/>
  <c r="U263" i="9"/>
  <c r="AC263" i="9"/>
  <c r="V263" i="9"/>
  <c r="AD263" i="9"/>
  <c r="AG263" i="9"/>
  <c r="V264" i="9"/>
  <c r="AD264" i="9"/>
  <c r="AH263" i="9"/>
  <c r="W264" i="9"/>
  <c r="AE264" i="9"/>
  <c r="Q263" i="9"/>
  <c r="W263" i="9"/>
  <c r="X264" i="9"/>
  <c r="AF264" i="9"/>
  <c r="X263" i="9"/>
  <c r="Y264" i="9"/>
  <c r="AG264" i="9"/>
  <c r="Y263" i="9"/>
  <c r="Z264" i="9"/>
  <c r="AH264" i="9"/>
  <c r="Z263" i="9"/>
  <c r="AA264" i="9"/>
  <c r="AI264" i="9"/>
  <c r="AJ264" i="9"/>
  <c r="AE263" i="9"/>
  <c r="AF263" i="9"/>
  <c r="U264" i="9"/>
  <c r="J13" i="10"/>
  <c r="J14" i="10" s="1"/>
  <c r="K32" i="13"/>
  <c r="D300" i="9"/>
  <c r="E313" i="9"/>
  <c r="L112" i="13"/>
  <c r="C272" i="15"/>
  <c r="L166" i="6"/>
  <c r="L150" i="6"/>
  <c r="L134" i="6"/>
  <c r="N160" i="6"/>
  <c r="N142" i="6"/>
  <c r="N114" i="6"/>
  <c r="E164" i="6"/>
  <c r="E132" i="6"/>
  <c r="F148" i="6"/>
  <c r="N148" i="6"/>
  <c r="F116" i="6"/>
  <c r="N116" i="6"/>
  <c r="N197" i="6"/>
  <c r="C249" i="6"/>
  <c r="N249" i="6"/>
  <c r="E249" i="6"/>
  <c r="C217" i="6"/>
  <c r="N217" i="6"/>
  <c r="E217" i="6"/>
  <c r="E205" i="6"/>
  <c r="C205" i="6"/>
  <c r="E189" i="6"/>
  <c r="C189" i="6"/>
  <c r="J242" i="6"/>
  <c r="L242" i="6"/>
  <c r="H242" i="6"/>
  <c r="J226" i="6"/>
  <c r="L226" i="6"/>
  <c r="H226" i="6"/>
  <c r="J210" i="6"/>
  <c r="L210" i="6"/>
  <c r="H210" i="6"/>
  <c r="J194" i="6"/>
  <c r="L194" i="6"/>
  <c r="H194" i="6"/>
  <c r="E290" i="6"/>
  <c r="C290" i="6"/>
  <c r="D278" i="9"/>
  <c r="D282" i="9"/>
  <c r="D279" i="9"/>
  <c r="D283" i="9"/>
  <c r="D280" i="9"/>
  <c r="D277" i="9"/>
  <c r="D281" i="9"/>
  <c r="D284" i="9"/>
  <c r="D288" i="9"/>
  <c r="D285" i="9"/>
  <c r="D286" i="9"/>
  <c r="Y276" i="9"/>
  <c r="AG276" i="9"/>
  <c r="K276" i="9"/>
  <c r="AA276" i="9"/>
  <c r="AB276" i="9"/>
  <c r="W277" i="9"/>
  <c r="AE277" i="9"/>
  <c r="Q276" i="9"/>
  <c r="AC276" i="9"/>
  <c r="X277" i="9"/>
  <c r="AF277" i="9"/>
  <c r="M276" i="9"/>
  <c r="AD276" i="9"/>
  <c r="Y277" i="9"/>
  <c r="AG277" i="9"/>
  <c r="U276" i="9"/>
  <c r="AE276" i="9"/>
  <c r="Z277" i="9"/>
  <c r="AH277" i="9"/>
  <c r="V276" i="9"/>
  <c r="AF276" i="9"/>
  <c r="AA277" i="9"/>
  <c r="AI277" i="9"/>
  <c r="W276" i="9"/>
  <c r="AH276" i="9"/>
  <c r="AB277" i="9"/>
  <c r="AJ277" i="9"/>
  <c r="U277" i="9"/>
  <c r="V277" i="9"/>
  <c r="X276" i="9"/>
  <c r="AC277" i="9"/>
  <c r="D287" i="9"/>
  <c r="Z276" i="9"/>
  <c r="AD277" i="9"/>
  <c r="AI276" i="9"/>
  <c r="AJ276" i="9"/>
  <c r="C160" i="6"/>
  <c r="C128" i="6"/>
  <c r="F170" i="6"/>
  <c r="F138" i="6"/>
  <c r="F109" i="6"/>
  <c r="J162" i="6"/>
  <c r="H162" i="6"/>
  <c r="J146" i="6"/>
  <c r="H146" i="6"/>
  <c r="J130" i="6"/>
  <c r="H130" i="6"/>
  <c r="J114" i="6"/>
  <c r="H114" i="6"/>
  <c r="M202" i="6"/>
  <c r="N221" i="6"/>
  <c r="E229" i="6"/>
  <c r="C229" i="6"/>
  <c r="L118" i="6"/>
  <c r="L102" i="6"/>
  <c r="E101" i="6"/>
  <c r="E140" i="6"/>
  <c r="F156" i="6"/>
  <c r="N156" i="6"/>
  <c r="F142" i="6"/>
  <c r="F124" i="6"/>
  <c r="N124" i="6"/>
  <c r="F103" i="6"/>
  <c r="N245" i="6"/>
  <c r="N181" i="6"/>
  <c r="C241" i="6"/>
  <c r="N241" i="6"/>
  <c r="E241" i="6"/>
  <c r="F221" i="6"/>
  <c r="C209" i="6"/>
  <c r="N209" i="6"/>
  <c r="E209" i="6"/>
  <c r="C193" i="6"/>
  <c r="N193" i="6"/>
  <c r="E193" i="6"/>
  <c r="J246" i="6"/>
  <c r="H246" i="6"/>
  <c r="M246" i="6"/>
  <c r="J230" i="6"/>
  <c r="H230" i="6"/>
  <c r="M230" i="6"/>
  <c r="J214" i="6"/>
  <c r="H214" i="6"/>
  <c r="M214" i="6"/>
  <c r="J198" i="6"/>
  <c r="H198" i="6"/>
  <c r="M198" i="6"/>
  <c r="N318" i="6"/>
  <c r="F318" i="6"/>
  <c r="C318" i="6"/>
  <c r="E318" i="6"/>
  <c r="H330" i="6"/>
  <c r="M330" i="6"/>
  <c r="AC264" i="9"/>
  <c r="E106" i="6"/>
  <c r="F110" i="6"/>
  <c r="F102" i="6"/>
  <c r="N251" i="6"/>
  <c r="N243" i="6"/>
  <c r="N235" i="6"/>
  <c r="N227" i="6"/>
  <c r="N219" i="6"/>
  <c r="N211" i="6"/>
  <c r="N203" i="6"/>
  <c r="N195" i="6"/>
  <c r="N187" i="6"/>
  <c r="N179" i="6"/>
  <c r="C246" i="6"/>
  <c r="AK147" i="9"/>
  <c r="M156" i="7"/>
  <c r="K158" i="7"/>
  <c r="K160" i="7"/>
  <c r="I162" i="7"/>
  <c r="I164" i="7"/>
  <c r="E156" i="7"/>
  <c r="F258" i="6"/>
  <c r="F302" i="6"/>
  <c r="F270" i="6"/>
  <c r="D88" i="19"/>
  <c r="L156" i="7"/>
  <c r="J158" i="7"/>
  <c r="H162" i="7"/>
  <c r="H164" i="7"/>
  <c r="D156" i="7"/>
  <c r="E247" i="6"/>
  <c r="E239" i="6"/>
  <c r="F247" i="6"/>
  <c r="F239" i="6"/>
  <c r="F231" i="6"/>
  <c r="F223" i="6"/>
  <c r="F215" i="6"/>
  <c r="F207" i="6"/>
  <c r="F199" i="6"/>
  <c r="F191" i="6"/>
  <c r="F183" i="6"/>
  <c r="AK186" i="9"/>
  <c r="AK225" i="9"/>
  <c r="I158" i="7"/>
  <c r="I160" i="7"/>
  <c r="G162" i="7"/>
  <c r="G164" i="7"/>
  <c r="O290" i="9"/>
  <c r="M290" i="9"/>
  <c r="K290" i="9"/>
  <c r="E301" i="9" s="1"/>
  <c r="O573" i="3" s="1"/>
  <c r="H103" i="19"/>
  <c r="N162" i="7"/>
  <c r="N164" i="7"/>
  <c r="H158" i="7"/>
  <c r="H160" i="7"/>
  <c r="F162" i="7"/>
  <c r="F164" i="7"/>
  <c r="C151" i="7"/>
  <c r="C152" i="7" s="1"/>
  <c r="AK134" i="9"/>
  <c r="M162" i="7"/>
  <c r="M164" i="7"/>
  <c r="I156" i="7"/>
  <c r="G158" i="7"/>
  <c r="G160" i="7"/>
  <c r="E162" i="7"/>
  <c r="E164" i="7"/>
  <c r="D40" i="19"/>
  <c r="K23" i="13"/>
  <c r="J9" i="14" s="1"/>
  <c r="N158" i="7"/>
  <c r="N160" i="7"/>
  <c r="L162" i="7"/>
  <c r="L164" i="7"/>
  <c r="H156" i="7"/>
  <c r="F158" i="7"/>
  <c r="D164" i="7"/>
  <c r="F333" i="6"/>
  <c r="F325" i="6"/>
  <c r="F317" i="6"/>
  <c r="D89" i="19"/>
  <c r="D87" i="19"/>
  <c r="I47" i="14"/>
  <c r="I48" i="14"/>
  <c r="C163" i="7"/>
  <c r="C164" i="7" s="1"/>
  <c r="C159" i="7"/>
  <c r="C158" i="7" s="1"/>
  <c r="D202" i="9"/>
  <c r="D199" i="9"/>
  <c r="D203" i="9"/>
  <c r="D200" i="9"/>
  <c r="D204" i="9"/>
  <c r="D208" i="9"/>
  <c r="D205" i="9"/>
  <c r="D209" i="9"/>
  <c r="D201" i="9"/>
  <c r="D206" i="9"/>
  <c r="D210" i="9"/>
  <c r="Y198" i="9"/>
  <c r="AG198" i="9"/>
  <c r="Z198" i="9"/>
  <c r="AH198" i="9"/>
  <c r="K198" i="9"/>
  <c r="AA198" i="9"/>
  <c r="AI198" i="9"/>
  <c r="M198" i="9"/>
  <c r="AB198" i="9"/>
  <c r="AJ198" i="9"/>
  <c r="U198" i="9"/>
  <c r="AC198" i="9"/>
  <c r="V198" i="9"/>
  <c r="AD198" i="9"/>
  <c r="C155" i="7"/>
  <c r="C156" i="7" s="1"/>
  <c r="U1028" i="3"/>
  <c r="I679" i="3"/>
  <c r="J1279" i="3"/>
  <c r="E12" i="8"/>
  <c r="I41" i="14" s="1"/>
  <c r="I724" i="3"/>
  <c r="O724" i="3" s="1"/>
  <c r="I936" i="3"/>
  <c r="H149" i="3"/>
  <c r="F284" i="3"/>
  <c r="G597" i="3"/>
  <c r="I994" i="3"/>
  <c r="I1050" i="3"/>
  <c r="I1171" i="3"/>
  <c r="D86" i="19"/>
  <c r="AF198" i="9"/>
  <c r="AK185" i="9"/>
  <c r="O185" i="9" s="1"/>
  <c r="AD15" i="19"/>
  <c r="F25" i="19" s="1"/>
  <c r="U1257" i="3"/>
  <c r="AE198" i="9"/>
  <c r="X198" i="9"/>
  <c r="U1149" i="3"/>
  <c r="U914" i="3"/>
  <c r="I46" i="14"/>
  <c r="I50" i="14" s="1"/>
  <c r="D207" i="9"/>
  <c r="D226" i="9"/>
  <c r="D230" i="9"/>
  <c r="D227" i="9"/>
  <c r="D231" i="9"/>
  <c r="D228" i="9"/>
  <c r="D225" i="9"/>
  <c r="D232" i="9"/>
  <c r="D236" i="9"/>
  <c r="D233" i="9"/>
  <c r="D234" i="9"/>
  <c r="D161" i="9"/>
  <c r="D162" i="9"/>
  <c r="D166" i="9"/>
  <c r="D163" i="9"/>
  <c r="D160" i="9"/>
  <c r="D164" i="9"/>
  <c r="D168" i="9"/>
  <c r="D169" i="9"/>
  <c r="D170" i="9"/>
  <c r="D134" i="9"/>
  <c r="D138" i="9"/>
  <c r="D135" i="9"/>
  <c r="D139" i="9"/>
  <c r="D136" i="9"/>
  <c r="D140" i="9"/>
  <c r="D137" i="9"/>
  <c r="D144" i="9"/>
  <c r="D141" i="9"/>
  <c r="D145" i="9"/>
  <c r="D142" i="9"/>
  <c r="D109" i="9"/>
  <c r="D110" i="9"/>
  <c r="D114" i="9"/>
  <c r="D111" i="9"/>
  <c r="D108" i="9"/>
  <c r="D112" i="9"/>
  <c r="D116" i="9"/>
  <c r="D117" i="9"/>
  <c r="D113" i="9"/>
  <c r="D118" i="9"/>
  <c r="D82" i="9"/>
  <c r="D86" i="9"/>
  <c r="D83" i="9"/>
  <c r="D87" i="9"/>
  <c r="D84" i="9"/>
  <c r="D88" i="9"/>
  <c r="D85" i="9"/>
  <c r="D92" i="9"/>
  <c r="D89" i="9"/>
  <c r="D93" i="9"/>
  <c r="D90" i="9"/>
  <c r="D57" i="9"/>
  <c r="D58" i="9"/>
  <c r="D62" i="9"/>
  <c r="D59" i="9"/>
  <c r="D56" i="9"/>
  <c r="D60" i="9"/>
  <c r="D64" i="9"/>
  <c r="D61" i="9"/>
  <c r="D65" i="9"/>
  <c r="D66" i="9"/>
  <c r="N1297" i="3"/>
  <c r="N1310" i="3"/>
  <c r="AG250" i="9"/>
  <c r="AJ237" i="9"/>
  <c r="AB237" i="9"/>
  <c r="AK237" i="9" s="1"/>
  <c r="O237" i="9" s="1"/>
  <c r="M237" i="9"/>
  <c r="AE224" i="9"/>
  <c r="W224" i="9"/>
  <c r="D186" i="9"/>
  <c r="E186" i="9" s="1"/>
  <c r="I448" i="3" s="1"/>
  <c r="D190" i="9"/>
  <c r="D187" i="9"/>
  <c r="D191" i="9"/>
  <c r="D188" i="9"/>
  <c r="D192" i="9"/>
  <c r="D196" i="9"/>
  <c r="D189" i="9"/>
  <c r="D193" i="9"/>
  <c r="E193" i="9" s="1"/>
  <c r="I455" i="3" s="1"/>
  <c r="D197" i="9"/>
  <c r="D194" i="9"/>
  <c r="AI172" i="9"/>
  <c r="AA172" i="9"/>
  <c r="K172" i="9"/>
  <c r="AE159" i="9"/>
  <c r="W159" i="9"/>
  <c r="AI146" i="9"/>
  <c r="AA146" i="9"/>
  <c r="K146" i="9"/>
  <c r="AE133" i="9"/>
  <c r="W133" i="9"/>
  <c r="AI120" i="9"/>
  <c r="AA120" i="9"/>
  <c r="K120" i="9"/>
  <c r="AE107" i="9"/>
  <c r="W107" i="9"/>
  <c r="AI94" i="9"/>
  <c r="AA94" i="9"/>
  <c r="K94" i="9"/>
  <c r="AE81" i="9"/>
  <c r="W81" i="9"/>
  <c r="AI68" i="9"/>
  <c r="AA68" i="9"/>
  <c r="K68" i="9"/>
  <c r="AE55" i="9"/>
  <c r="W55" i="9"/>
  <c r="AJ42" i="9"/>
  <c r="AB42" i="9"/>
  <c r="M42" i="9"/>
  <c r="AJ29" i="9"/>
  <c r="Z29" i="9"/>
  <c r="AH30" i="9"/>
  <c r="W30" i="9"/>
  <c r="D119" i="9"/>
  <c r="D235" i="9"/>
  <c r="D247" i="9"/>
  <c r="D39" i="9"/>
  <c r="D155" i="9"/>
  <c r="D167" i="9"/>
  <c r="D153" i="9"/>
  <c r="D254" i="9"/>
  <c r="D251" i="9"/>
  <c r="D255" i="9"/>
  <c r="D252" i="9"/>
  <c r="D256" i="9"/>
  <c r="D260" i="9"/>
  <c r="D261" i="9"/>
  <c r="D258" i="9"/>
  <c r="D262" i="9"/>
  <c r="AD224" i="9"/>
  <c r="V224" i="9"/>
  <c r="AD159" i="9"/>
  <c r="V159" i="9"/>
  <c r="AD133" i="9"/>
  <c r="V133" i="9"/>
  <c r="AD107" i="9"/>
  <c r="V107" i="9"/>
  <c r="AD81" i="9"/>
  <c r="V81" i="9"/>
  <c r="AD55" i="9"/>
  <c r="V55" i="9"/>
  <c r="I685" i="3"/>
  <c r="O711" i="3" s="1"/>
  <c r="J1285" i="3"/>
  <c r="H12" i="8"/>
  <c r="N41" i="14" s="1"/>
  <c r="I730" i="3"/>
  <c r="O730" i="3" s="1"/>
  <c r="I942" i="3"/>
  <c r="AE250" i="9"/>
  <c r="W250" i="9"/>
  <c r="AH237" i="9"/>
  <c r="AC224" i="9"/>
  <c r="U224" i="9"/>
  <c r="D213" i="9"/>
  <c r="D214" i="9"/>
  <c r="D218" i="9"/>
  <c r="D215" i="9"/>
  <c r="D212" i="9"/>
  <c r="D216" i="9"/>
  <c r="D217" i="9"/>
  <c r="D220" i="9"/>
  <c r="D221" i="9"/>
  <c r="D222" i="9"/>
  <c r="AG172" i="9"/>
  <c r="Y172" i="9"/>
  <c r="AC159" i="9"/>
  <c r="U159" i="9"/>
  <c r="AG146" i="9"/>
  <c r="AC133" i="9"/>
  <c r="U133" i="9"/>
  <c r="AG120" i="9"/>
  <c r="AC107" i="9"/>
  <c r="U107" i="9"/>
  <c r="AG94" i="9"/>
  <c r="Y94" i="9"/>
  <c r="AC81" i="9"/>
  <c r="U81" i="9"/>
  <c r="AG68" i="9"/>
  <c r="AC55" i="9"/>
  <c r="U55" i="9"/>
  <c r="AH42" i="9"/>
  <c r="Z42" i="9"/>
  <c r="D30" i="9"/>
  <c r="D34" i="9"/>
  <c r="D31" i="9"/>
  <c r="D35" i="9"/>
  <c r="D32" i="9"/>
  <c r="D36" i="9"/>
  <c r="D40" i="9"/>
  <c r="V30" i="9"/>
  <c r="AD30" i="9"/>
  <c r="AB29" i="9"/>
  <c r="D37" i="9"/>
  <c r="D41" i="9"/>
  <c r="D38" i="9"/>
  <c r="Y30" i="9"/>
  <c r="AG30" i="9"/>
  <c r="W29" i="9"/>
  <c r="AE29" i="9"/>
  <c r="D67" i="9"/>
  <c r="D195" i="9"/>
  <c r="D115" i="9"/>
  <c r="D229" i="9"/>
  <c r="F306" i="9"/>
  <c r="O578" i="3" s="1"/>
  <c r="AJ224" i="9"/>
  <c r="AB224" i="9"/>
  <c r="M224" i="9"/>
  <c r="D174" i="9"/>
  <c r="D178" i="9"/>
  <c r="D175" i="9"/>
  <c r="D179" i="9"/>
  <c r="D176" i="9"/>
  <c r="D173" i="9"/>
  <c r="D180" i="9"/>
  <c r="D184" i="9"/>
  <c r="D181" i="9"/>
  <c r="D182" i="9"/>
  <c r="AJ159" i="9"/>
  <c r="AB159" i="9"/>
  <c r="M159" i="9"/>
  <c r="D150" i="9"/>
  <c r="D147" i="9"/>
  <c r="D151" i="9"/>
  <c r="D148" i="9"/>
  <c r="D152" i="9"/>
  <c r="D156" i="9"/>
  <c r="D157" i="9"/>
  <c r="D149" i="9"/>
  <c r="D154" i="9"/>
  <c r="D158" i="9"/>
  <c r="AJ133" i="9"/>
  <c r="AB133" i="9"/>
  <c r="M133" i="9"/>
  <c r="D122" i="9"/>
  <c r="D126" i="9"/>
  <c r="D123" i="9"/>
  <c r="D127" i="9"/>
  <c r="D124" i="9"/>
  <c r="D121" i="9"/>
  <c r="D128" i="9"/>
  <c r="D132" i="9"/>
  <c r="D129" i="9"/>
  <c r="D125" i="9"/>
  <c r="D130" i="9"/>
  <c r="AJ107" i="9"/>
  <c r="AB107" i="9"/>
  <c r="M107" i="9"/>
  <c r="D98" i="9"/>
  <c r="D95" i="9"/>
  <c r="D99" i="9"/>
  <c r="D96" i="9"/>
  <c r="D100" i="9"/>
  <c r="D104" i="9"/>
  <c r="D101" i="9"/>
  <c r="D97" i="9"/>
  <c r="D105" i="9"/>
  <c r="D102" i="9"/>
  <c r="D106" i="9"/>
  <c r="AJ81" i="9"/>
  <c r="AB81" i="9"/>
  <c r="M81" i="9"/>
  <c r="D70" i="9"/>
  <c r="D74" i="9"/>
  <c r="D71" i="9"/>
  <c r="D75" i="9"/>
  <c r="D72" i="9"/>
  <c r="D69" i="9"/>
  <c r="D76" i="9"/>
  <c r="D80" i="9"/>
  <c r="D77" i="9"/>
  <c r="D73" i="9"/>
  <c r="D78" i="9"/>
  <c r="AJ55" i="9"/>
  <c r="AB55" i="9"/>
  <c r="M55" i="9"/>
  <c r="F312" i="9"/>
  <c r="O584" i="3" s="1"/>
  <c r="D165" i="9"/>
  <c r="D177" i="9"/>
  <c r="D253" i="9"/>
  <c r="D238" i="9"/>
  <c r="D242" i="9"/>
  <c r="D239" i="9"/>
  <c r="D243" i="9"/>
  <c r="D240" i="9"/>
  <c r="D244" i="9"/>
  <c r="D248" i="9"/>
  <c r="D241" i="9"/>
  <c r="D245" i="9"/>
  <c r="D249" i="9"/>
  <c r="D246" i="9"/>
  <c r="AI224" i="9"/>
  <c r="AA224" i="9"/>
  <c r="K224" i="9"/>
  <c r="AE172" i="9"/>
  <c r="W172" i="9"/>
  <c r="AI159" i="9"/>
  <c r="AA159" i="9"/>
  <c r="K159" i="9"/>
  <c r="AE146" i="9"/>
  <c r="W146" i="9"/>
  <c r="AI133" i="9"/>
  <c r="AA133" i="9"/>
  <c r="K133" i="9"/>
  <c r="AE120" i="9"/>
  <c r="W120" i="9"/>
  <c r="AI107" i="9"/>
  <c r="AA107" i="9"/>
  <c r="K107" i="9"/>
  <c r="AE94" i="9"/>
  <c r="W94" i="9"/>
  <c r="AI81" i="9"/>
  <c r="AA81" i="9"/>
  <c r="K81" i="9"/>
  <c r="AE68" i="9"/>
  <c r="W68" i="9"/>
  <c r="AI55" i="9"/>
  <c r="AA55" i="9"/>
  <c r="K55" i="9"/>
  <c r="D46" i="9"/>
  <c r="D43" i="9"/>
  <c r="D47" i="9"/>
  <c r="D44" i="9"/>
  <c r="D48" i="9"/>
  <c r="D52" i="9"/>
  <c r="D45" i="9"/>
  <c r="D53" i="9"/>
  <c r="D50" i="9"/>
  <c r="D54" i="9"/>
  <c r="D223" i="9"/>
  <c r="D131" i="9"/>
  <c r="D143" i="9"/>
  <c r="D259" i="9"/>
  <c r="D51" i="9"/>
  <c r="D63" i="9"/>
  <c r="E296" i="9"/>
  <c r="O568" i="3" s="1"/>
  <c r="E314" i="9"/>
  <c r="I683" i="3"/>
  <c r="O709" i="3" s="1"/>
  <c r="D294" i="9"/>
  <c r="E294" i="9" s="1"/>
  <c r="O566" i="3" s="1"/>
  <c r="E307" i="9"/>
  <c r="I941" i="3"/>
  <c r="F305" i="9"/>
  <c r="O577" i="3" s="1"/>
  <c r="I729" i="3"/>
  <c r="O729" i="3" s="1"/>
  <c r="E33" i="10"/>
  <c r="I33" i="10"/>
  <c r="D33" i="10"/>
  <c r="F33" i="10"/>
  <c r="G33" i="10"/>
  <c r="I940" i="3"/>
  <c r="U127" i="3"/>
  <c r="O703" i="3"/>
  <c r="O704" i="3"/>
  <c r="O705" i="3"/>
  <c r="O706" i="3"/>
  <c r="N1304" i="3"/>
  <c r="I721" i="3"/>
  <c r="O721" i="3" s="1"/>
  <c r="I1275" i="3"/>
  <c r="I932" i="3"/>
  <c r="H889" i="3"/>
  <c r="H837" i="3"/>
  <c r="H785" i="3"/>
  <c r="H733" i="3"/>
  <c r="H688" i="3"/>
  <c r="J1277" i="3"/>
  <c r="E9" i="8"/>
  <c r="I38" i="14" s="1"/>
  <c r="H932" i="3"/>
  <c r="O720" i="3"/>
  <c r="E6" i="8"/>
  <c r="H971" i="3"/>
  <c r="H876" i="3"/>
  <c r="H824" i="3"/>
  <c r="H772" i="3"/>
  <c r="I720" i="3"/>
  <c r="I675" i="3"/>
  <c r="O701" i="3" s="1"/>
  <c r="I676" i="3"/>
  <c r="O702" i="3" s="1"/>
  <c r="H958" i="3"/>
  <c r="H915" i="3"/>
  <c r="H863" i="3"/>
  <c r="H811" i="3"/>
  <c r="H759" i="3"/>
  <c r="H675" i="3"/>
  <c r="H945" i="3"/>
  <c r="H902" i="3"/>
  <c r="H850" i="3"/>
  <c r="H798" i="3"/>
  <c r="H746" i="3"/>
  <c r="E8" i="8"/>
  <c r="I37" i="14" s="1"/>
  <c r="E298" i="9" l="1"/>
  <c r="O570" i="3" s="1"/>
  <c r="E292" i="9"/>
  <c r="O564" i="3" s="1"/>
  <c r="E302" i="9"/>
  <c r="O574" i="3" s="1"/>
  <c r="E293" i="9"/>
  <c r="O565" i="3" s="1"/>
  <c r="O261" i="3"/>
  <c r="O130" i="13" s="1"/>
  <c r="AK211" i="9"/>
  <c r="O211" i="9" s="1"/>
  <c r="E217" i="9" s="1"/>
  <c r="I481" i="3" s="1"/>
  <c r="X114" i="3"/>
  <c r="F304" i="9"/>
  <c r="O576" i="3" s="1"/>
  <c r="E53" i="9"/>
  <c r="I304" i="3" s="1"/>
  <c r="AK94" i="9"/>
  <c r="O94" i="9" s="1"/>
  <c r="E103" i="9" s="1"/>
  <c r="I358" i="3" s="1"/>
  <c r="C154" i="7"/>
  <c r="E295" i="9"/>
  <c r="O567" i="3" s="1"/>
  <c r="F314" i="9"/>
  <c r="O586" i="3" s="1"/>
  <c r="E51" i="9"/>
  <c r="I302" i="3" s="1"/>
  <c r="AK250" i="9"/>
  <c r="O250" i="9" s="1"/>
  <c r="E257" i="9" s="1"/>
  <c r="I524" i="3" s="1"/>
  <c r="E256" i="9"/>
  <c r="I523" i="3" s="1"/>
  <c r="E49" i="9"/>
  <c r="I300" i="3" s="1"/>
  <c r="E194" i="9"/>
  <c r="I456" i="3" s="1"/>
  <c r="F315" i="9"/>
  <c r="O587" i="3" s="1"/>
  <c r="F313" i="9"/>
  <c r="O585" i="3" s="1"/>
  <c r="O404" i="3"/>
  <c r="O148" i="13" s="1"/>
  <c r="O36" i="3"/>
  <c r="O105" i="13" s="1"/>
  <c r="O726" i="3"/>
  <c r="N1289" i="3"/>
  <c r="O502" i="3"/>
  <c r="O155" i="13" s="1"/>
  <c r="N1288" i="3"/>
  <c r="N1293" i="3"/>
  <c r="N1294" i="3"/>
  <c r="N1295" i="3"/>
  <c r="N1296" i="3"/>
  <c r="E291" i="9"/>
  <c r="O563" i="3" s="1"/>
  <c r="E189" i="9"/>
  <c r="I451" i="3" s="1"/>
  <c r="O575" i="3"/>
  <c r="O173" i="13" s="1"/>
  <c r="N1291" i="3"/>
  <c r="F307" i="9"/>
  <c r="O579" i="3" s="1"/>
  <c r="E259" i="9"/>
  <c r="I526" i="3" s="1"/>
  <c r="E297" i="9"/>
  <c r="O569" i="3" s="1"/>
  <c r="E195" i="9"/>
  <c r="I457" i="3" s="1"/>
  <c r="E197" i="9"/>
  <c r="I459" i="3" s="1"/>
  <c r="E192" i="9"/>
  <c r="I454" i="3" s="1"/>
  <c r="E190" i="9"/>
  <c r="I452" i="3" s="1"/>
  <c r="F309" i="9"/>
  <c r="O581" i="3" s="1"/>
  <c r="F310" i="9"/>
  <c r="O582" i="3" s="1"/>
  <c r="C162" i="7"/>
  <c r="E299" i="9"/>
  <c r="O571" i="3" s="1"/>
  <c r="O516" i="3"/>
  <c r="O156" i="13" s="1"/>
  <c r="O157" i="3"/>
  <c r="O122" i="13" s="1"/>
  <c r="O725" i="3"/>
  <c r="O727" i="3"/>
  <c r="O731" i="3"/>
  <c r="O728" i="3"/>
  <c r="N1299" i="3"/>
  <c r="I166" i="7"/>
  <c r="N166" i="7"/>
  <c r="W114" i="3"/>
  <c r="N1302" i="3"/>
  <c r="E244" i="9"/>
  <c r="I510" i="3" s="1"/>
  <c r="E288" i="9"/>
  <c r="I557" i="3" s="1"/>
  <c r="N1292" i="3"/>
  <c r="N1305" i="3"/>
  <c r="E300" i="9"/>
  <c r="O572" i="3" s="1"/>
  <c r="O196" i="3"/>
  <c r="O125" i="13" s="1"/>
  <c r="O127" i="3"/>
  <c r="O112" i="13" s="1"/>
  <c r="O144" i="3"/>
  <c r="O121" i="13" s="1"/>
  <c r="O376" i="3"/>
  <c r="O146" i="13" s="1"/>
  <c r="O880" i="3"/>
  <c r="O877" i="3"/>
  <c r="O881" i="3"/>
  <c r="O876" i="3"/>
  <c r="O878" i="3"/>
  <c r="O882" i="3"/>
  <c r="O879" i="3"/>
  <c r="O886" i="3"/>
  <c r="O883" i="3"/>
  <c r="O887" i="3"/>
  <c r="O884" i="3"/>
  <c r="O885" i="3"/>
  <c r="E45" i="9"/>
  <c r="I296" i="3" s="1"/>
  <c r="E98" i="9"/>
  <c r="I353" i="3" s="1"/>
  <c r="AK146" i="9"/>
  <c r="O146" i="9" s="1"/>
  <c r="E151" i="9" s="1"/>
  <c r="I410" i="3" s="1"/>
  <c r="AK81" i="9"/>
  <c r="O81" i="9" s="1"/>
  <c r="E88" i="9" s="1"/>
  <c r="I342" i="3" s="1"/>
  <c r="AK224" i="9"/>
  <c r="O224" i="9" s="1"/>
  <c r="E235" i="9" s="1"/>
  <c r="I500" i="3" s="1"/>
  <c r="O850" i="3"/>
  <c r="O851" i="3"/>
  <c r="O855" i="3"/>
  <c r="O852" i="3"/>
  <c r="O856" i="3"/>
  <c r="O853" i="3"/>
  <c r="O854" i="3"/>
  <c r="O857" i="3"/>
  <c r="O861" i="3"/>
  <c r="O858" i="3"/>
  <c r="O859" i="3"/>
  <c r="O860" i="3"/>
  <c r="O962" i="3"/>
  <c r="O959" i="3"/>
  <c r="O963" i="3"/>
  <c r="O958" i="3"/>
  <c r="O960" i="3"/>
  <c r="O961" i="3"/>
  <c r="O968" i="3"/>
  <c r="O964" i="3"/>
  <c r="O965" i="3"/>
  <c r="O969" i="3"/>
  <c r="O966" i="3"/>
  <c r="O967" i="3"/>
  <c r="E36" i="8"/>
  <c r="H34" i="8"/>
  <c r="E37" i="8"/>
  <c r="E38" i="8"/>
  <c r="E35" i="8"/>
  <c r="E39" i="8"/>
  <c r="H36" i="8"/>
  <c r="H37" i="8"/>
  <c r="H38" i="8"/>
  <c r="I35" i="14"/>
  <c r="H35" i="8"/>
  <c r="H39" i="8"/>
  <c r="O837" i="3"/>
  <c r="O838" i="3"/>
  <c r="O842" i="3"/>
  <c r="O839" i="3"/>
  <c r="O840" i="3"/>
  <c r="O841" i="3"/>
  <c r="O844" i="3"/>
  <c r="O848" i="3"/>
  <c r="O845" i="3"/>
  <c r="O843" i="3"/>
  <c r="O846" i="3"/>
  <c r="O847" i="3"/>
  <c r="D46" i="10"/>
  <c r="G46" i="10"/>
  <c r="G50" i="10" s="1"/>
  <c r="H46" i="10"/>
  <c r="H50" i="10" s="1"/>
  <c r="E46" i="10"/>
  <c r="E50" i="10" s="1"/>
  <c r="I46" i="10"/>
  <c r="I50" i="10" s="1"/>
  <c r="M46" i="10"/>
  <c r="M50" i="10" s="1"/>
  <c r="F46" i="10"/>
  <c r="F50" i="10" s="1"/>
  <c r="J46" i="10"/>
  <c r="J50" i="10" s="1"/>
  <c r="N46" i="10"/>
  <c r="N50" i="10" s="1"/>
  <c r="K46" i="10"/>
  <c r="K50" i="10" s="1"/>
  <c r="O46" i="10"/>
  <c r="O50" i="10" s="1"/>
  <c r="L46" i="10"/>
  <c r="L50" i="10" s="1"/>
  <c r="H35" i="10"/>
  <c r="E35" i="10"/>
  <c r="D35" i="10"/>
  <c r="F35" i="10"/>
  <c r="G35" i="10"/>
  <c r="I35" i="10"/>
  <c r="J35" i="10"/>
  <c r="N35" i="10"/>
  <c r="K35" i="10"/>
  <c r="O35" i="10"/>
  <c r="L35" i="10"/>
  <c r="M35" i="10"/>
  <c r="E63" i="13"/>
  <c r="E62" i="13"/>
  <c r="D393" i="9"/>
  <c r="E48" i="9"/>
  <c r="I299" i="3" s="1"/>
  <c r="AK68" i="9"/>
  <c r="O68" i="9" s="1"/>
  <c r="E79" i="9" s="1"/>
  <c r="I332" i="3" s="1"/>
  <c r="E243" i="9"/>
  <c r="I509" i="3" s="1"/>
  <c r="E158" i="9"/>
  <c r="I417" i="3" s="1"/>
  <c r="E147" i="9"/>
  <c r="I406" i="3" s="1"/>
  <c r="E252" i="9"/>
  <c r="I519" i="3" s="1"/>
  <c r="E196" i="9"/>
  <c r="I458" i="3" s="1"/>
  <c r="E84" i="9"/>
  <c r="I338" i="3" s="1"/>
  <c r="E228" i="9"/>
  <c r="I493" i="3" s="1"/>
  <c r="C160" i="7"/>
  <c r="AK277" i="9"/>
  <c r="O644" i="3"/>
  <c r="O186" i="13" s="1"/>
  <c r="O235" i="3"/>
  <c r="O128" i="13" s="1"/>
  <c r="O248" i="3"/>
  <c r="O129" i="13" s="1"/>
  <c r="E248" i="9"/>
  <c r="I514" i="3" s="1"/>
  <c r="E236" i="9"/>
  <c r="I501" i="3" s="1"/>
  <c r="O867" i="3"/>
  <c r="O864" i="3"/>
  <c r="O868" i="3"/>
  <c r="O863" i="3"/>
  <c r="O865" i="3"/>
  <c r="O866" i="3"/>
  <c r="O873" i="3"/>
  <c r="O870" i="3"/>
  <c r="O874" i="3"/>
  <c r="O869" i="3"/>
  <c r="O871" i="3"/>
  <c r="O872" i="3"/>
  <c r="O733" i="3"/>
  <c r="O734" i="3"/>
  <c r="O738" i="3"/>
  <c r="O735" i="3"/>
  <c r="O736" i="3"/>
  <c r="O737" i="3"/>
  <c r="O740" i="3"/>
  <c r="O744" i="3"/>
  <c r="O741" i="3"/>
  <c r="O742" i="3"/>
  <c r="O739" i="3"/>
  <c r="O743" i="3"/>
  <c r="O917" i="3"/>
  <c r="O921" i="3"/>
  <c r="O918" i="3"/>
  <c r="O915" i="3"/>
  <c r="O919" i="3"/>
  <c r="O916" i="3"/>
  <c r="O920" i="3"/>
  <c r="O923" i="3"/>
  <c r="O924" i="3"/>
  <c r="O925" i="3"/>
  <c r="O926" i="3"/>
  <c r="O922" i="3"/>
  <c r="O975" i="3"/>
  <c r="O972" i="3"/>
  <c r="O976" i="3"/>
  <c r="O971" i="3"/>
  <c r="O973" i="3"/>
  <c r="O977" i="3"/>
  <c r="O981" i="3"/>
  <c r="O974" i="3"/>
  <c r="O978" i="3"/>
  <c r="O982" i="3"/>
  <c r="O979" i="3"/>
  <c r="O980" i="3"/>
  <c r="O785" i="3"/>
  <c r="O788" i="3"/>
  <c r="O789" i="3"/>
  <c r="O786" i="3"/>
  <c r="O790" i="3"/>
  <c r="O787" i="3"/>
  <c r="O794" i="3"/>
  <c r="O791" i="3"/>
  <c r="O795" i="3"/>
  <c r="O792" i="3"/>
  <c r="O796" i="3"/>
  <c r="O793" i="3"/>
  <c r="AK159" i="9"/>
  <c r="O159" i="9" s="1"/>
  <c r="E161" i="9" s="1"/>
  <c r="I421" i="3" s="1"/>
  <c r="E247" i="9"/>
  <c r="I513" i="3" s="1"/>
  <c r="E87" i="9"/>
  <c r="I341" i="3" s="1"/>
  <c r="AK198" i="9"/>
  <c r="O198" i="9" s="1"/>
  <c r="E199" i="9" s="1"/>
  <c r="I462" i="3" s="1"/>
  <c r="E208" i="9"/>
  <c r="I471" i="3" s="1"/>
  <c r="G47" i="13"/>
  <c r="G48" i="13"/>
  <c r="O75" i="3"/>
  <c r="O108" i="13" s="1"/>
  <c r="O631" i="3"/>
  <c r="O185" i="13" s="1"/>
  <c r="O1002" i="3"/>
  <c r="O262" i="13" s="1"/>
  <c r="O1110" i="3"/>
  <c r="O278" i="13" s="1"/>
  <c r="O1274" i="3"/>
  <c r="O306" i="13" s="1"/>
  <c r="O310" i="13" s="1"/>
  <c r="O1300" i="3"/>
  <c r="O308" i="13" s="1"/>
  <c r="O9" i="3"/>
  <c r="O103" i="13" s="1"/>
  <c r="O114" i="3"/>
  <c r="O111" i="13" s="1"/>
  <c r="O334" i="3"/>
  <c r="O143" i="13" s="1"/>
  <c r="O446" i="3"/>
  <c r="O151" i="13" s="1"/>
  <c r="O562" i="3"/>
  <c r="O172" i="13" s="1"/>
  <c r="O1071" i="3"/>
  <c r="O275" i="13" s="1"/>
  <c r="O1231" i="3"/>
  <c r="O295" i="13" s="1"/>
  <c r="O1330" i="3"/>
  <c r="O318" i="13" s="1"/>
  <c r="O657" i="3"/>
  <c r="O187" i="13" s="1"/>
  <c r="O1192" i="3"/>
  <c r="O292" i="13" s="1"/>
  <c r="O49" i="3"/>
  <c r="O106" i="13" s="1"/>
  <c r="O222" i="3"/>
  <c r="O127" i="13" s="1"/>
  <c r="O306" i="3"/>
  <c r="O141" i="13" s="1"/>
  <c r="O418" i="3"/>
  <c r="O149" i="13" s="1"/>
  <c r="O530" i="3"/>
  <c r="O157" i="13" s="1"/>
  <c r="O618" i="3"/>
  <c r="O184" i="13" s="1"/>
  <c r="O687" i="3"/>
  <c r="O197" i="13" s="1"/>
  <c r="O719" i="3"/>
  <c r="O212" i="13" s="1"/>
  <c r="O745" i="3"/>
  <c r="O214" i="13" s="1"/>
  <c r="O771" i="3"/>
  <c r="O216" i="13" s="1"/>
  <c r="O797" i="3"/>
  <c r="O218" i="13" s="1"/>
  <c r="O823" i="3"/>
  <c r="O220" i="13" s="1"/>
  <c r="O849" i="3"/>
  <c r="O222" i="13" s="1"/>
  <c r="O875" i="3"/>
  <c r="O224" i="13" s="1"/>
  <c r="O901" i="3"/>
  <c r="O226" i="13" s="1"/>
  <c r="O931" i="3"/>
  <c r="O236" i="13" s="1"/>
  <c r="O957" i="3"/>
  <c r="O238" i="13" s="1"/>
  <c r="O989" i="3"/>
  <c r="O261" i="13" s="1"/>
  <c r="O1097" i="3"/>
  <c r="O277" i="13" s="1"/>
  <c r="O1257" i="3"/>
  <c r="O297" i="13" s="1"/>
  <c r="O1356" i="3"/>
  <c r="O320" i="13" s="1"/>
  <c r="O101" i="3"/>
  <c r="O110" i="13" s="1"/>
  <c r="O183" i="3"/>
  <c r="O124" i="13" s="1"/>
  <c r="O1058" i="3"/>
  <c r="O274" i="13" s="1"/>
  <c r="O1166" i="3"/>
  <c r="O290" i="13" s="1"/>
  <c r="O1218" i="3"/>
  <c r="O294" i="13" s="1"/>
  <c r="O1287" i="3"/>
  <c r="O307" i="13" s="1"/>
  <c r="O1015" i="3"/>
  <c r="O263" i="13" s="1"/>
  <c r="O1123" i="3"/>
  <c r="O279" i="13" s="1"/>
  <c r="O1179" i="3"/>
  <c r="O291" i="13" s="1"/>
  <c r="O88" i="3"/>
  <c r="O109" i="13" s="1"/>
  <c r="O209" i="3"/>
  <c r="O126" i="13" s="1"/>
  <c r="O320" i="3"/>
  <c r="O142" i="13" s="1"/>
  <c r="O432" i="3"/>
  <c r="O150" i="13" s="1"/>
  <c r="O544" i="3"/>
  <c r="O158" i="13" s="1"/>
  <c r="O605" i="3"/>
  <c r="O183" i="13" s="1"/>
  <c r="O1084" i="3"/>
  <c r="O276" i="13" s="1"/>
  <c r="O1244" i="3"/>
  <c r="O296" i="13" s="1"/>
  <c r="O1343" i="3"/>
  <c r="O319" i="13" s="1"/>
  <c r="O170" i="3"/>
  <c r="O123" i="13" s="1"/>
  <c r="O674" i="3"/>
  <c r="O196" i="13" s="1"/>
  <c r="O200" i="13" s="1"/>
  <c r="O700" i="3"/>
  <c r="O198" i="13" s="1"/>
  <c r="O732" i="3"/>
  <c r="O213" i="13" s="1"/>
  <c r="O758" i="3"/>
  <c r="O215" i="13" s="1"/>
  <c r="O784" i="3"/>
  <c r="O217" i="13" s="1"/>
  <c r="O810" i="3"/>
  <c r="O219" i="13" s="1"/>
  <c r="O836" i="3"/>
  <c r="O221" i="13" s="1"/>
  <c r="O862" i="3"/>
  <c r="O223" i="13" s="1"/>
  <c r="O888" i="3"/>
  <c r="O225" i="13" s="1"/>
  <c r="O914" i="3"/>
  <c r="O227" i="13" s="1"/>
  <c r="O944" i="3"/>
  <c r="O237" i="13" s="1"/>
  <c r="O970" i="3"/>
  <c r="O239" i="13" s="1"/>
  <c r="O1045" i="3"/>
  <c r="O273" i="13" s="1"/>
  <c r="O1149" i="3"/>
  <c r="O281" i="13" s="1"/>
  <c r="O1205" i="3"/>
  <c r="O293" i="13" s="1"/>
  <c r="O1317" i="3"/>
  <c r="O317" i="13" s="1"/>
  <c r="O1028" i="3"/>
  <c r="O264" i="13" s="1"/>
  <c r="O592" i="3"/>
  <c r="O182" i="13" s="1"/>
  <c r="E152" i="9"/>
  <c r="I411" i="3" s="1"/>
  <c r="E202" i="9"/>
  <c r="I465" i="3" s="1"/>
  <c r="E240" i="9"/>
  <c r="I506" i="3" s="1"/>
  <c r="E44" i="9"/>
  <c r="I295" i="3" s="1"/>
  <c r="E246" i="9"/>
  <c r="I512" i="3" s="1"/>
  <c r="E154" i="9"/>
  <c r="I413" i="3" s="1"/>
  <c r="E249" i="9"/>
  <c r="I515" i="3" s="1"/>
  <c r="E242" i="9"/>
  <c r="I508" i="3" s="1"/>
  <c r="AK30" i="9"/>
  <c r="N1298" i="3"/>
  <c r="N1311" i="3"/>
  <c r="E251" i="9"/>
  <c r="I518" i="3" s="1"/>
  <c r="E188" i="9"/>
  <c r="I450" i="3" s="1"/>
  <c r="E90" i="9"/>
  <c r="I344" i="3" s="1"/>
  <c r="E83" i="9"/>
  <c r="I337" i="3" s="1"/>
  <c r="E170" i="9"/>
  <c r="I430" i="3" s="1"/>
  <c r="H94" i="19"/>
  <c r="C166" i="7"/>
  <c r="AK264" i="9"/>
  <c r="Q319" i="9"/>
  <c r="O23" i="3"/>
  <c r="O104" i="13" s="1"/>
  <c r="O1136" i="3"/>
  <c r="O280" i="13" s="1"/>
  <c r="O362" i="3"/>
  <c r="O145" i="13" s="1"/>
  <c r="O813" i="3"/>
  <c r="O817" i="3"/>
  <c r="O814" i="3"/>
  <c r="O811" i="3"/>
  <c r="O815" i="3"/>
  <c r="O812" i="3"/>
  <c r="O816" i="3"/>
  <c r="O819" i="3"/>
  <c r="O820" i="3"/>
  <c r="O821" i="3"/>
  <c r="O818" i="3"/>
  <c r="O822" i="3"/>
  <c r="O825" i="3"/>
  <c r="O826" i="3"/>
  <c r="O830" i="3"/>
  <c r="O827" i="3"/>
  <c r="O824" i="3"/>
  <c r="O828" i="3"/>
  <c r="O832" i="3"/>
  <c r="O829" i="3"/>
  <c r="O833" i="3"/>
  <c r="O834" i="3"/>
  <c r="O835" i="3"/>
  <c r="O831" i="3"/>
  <c r="O688" i="3"/>
  <c r="O691" i="3"/>
  <c r="O692" i="3"/>
  <c r="O689" i="3"/>
  <c r="O693" i="3"/>
  <c r="O690" i="3"/>
  <c r="O697" i="3"/>
  <c r="O698" i="3"/>
  <c r="O695" i="3"/>
  <c r="O699" i="3"/>
  <c r="O694" i="3"/>
  <c r="O696" i="3"/>
  <c r="E92" i="9"/>
  <c r="I346" i="3" s="1"/>
  <c r="O746" i="3"/>
  <c r="O747" i="3"/>
  <c r="O751" i="3"/>
  <c r="O748" i="3"/>
  <c r="O752" i="3"/>
  <c r="O749" i="3"/>
  <c r="O753" i="3"/>
  <c r="O757" i="3"/>
  <c r="O754" i="3"/>
  <c r="O755" i="3"/>
  <c r="O756" i="3"/>
  <c r="O750" i="3"/>
  <c r="E148" i="9"/>
  <c r="I407" i="3" s="1"/>
  <c r="O800" i="3"/>
  <c r="O798" i="3"/>
  <c r="O801" i="3"/>
  <c r="O802" i="3"/>
  <c r="O799" i="3"/>
  <c r="O803" i="3"/>
  <c r="O807" i="3"/>
  <c r="O804" i="3"/>
  <c r="O808" i="3"/>
  <c r="O805" i="3"/>
  <c r="O809" i="3"/>
  <c r="O806" i="3"/>
  <c r="E52" i="9"/>
  <c r="I303" i="3" s="1"/>
  <c r="O904" i="3"/>
  <c r="O902" i="3"/>
  <c r="O905" i="3"/>
  <c r="O906" i="3"/>
  <c r="O903" i="3"/>
  <c r="O907" i="3"/>
  <c r="O911" i="3"/>
  <c r="O912" i="3"/>
  <c r="O909" i="3"/>
  <c r="O913" i="3"/>
  <c r="O908" i="3"/>
  <c r="O910" i="3"/>
  <c r="O889" i="3"/>
  <c r="O892" i="3"/>
  <c r="O893" i="3"/>
  <c r="O890" i="3"/>
  <c r="O894" i="3"/>
  <c r="O891" i="3"/>
  <c r="O898" i="3"/>
  <c r="O899" i="3"/>
  <c r="O896" i="3"/>
  <c r="O900" i="3"/>
  <c r="O895" i="3"/>
  <c r="O897" i="3"/>
  <c r="E239" i="9"/>
  <c r="I505" i="3" s="1"/>
  <c r="E104" i="9"/>
  <c r="I359" i="3" s="1"/>
  <c r="E150" i="9"/>
  <c r="I409" i="3" s="1"/>
  <c r="O945" i="3"/>
  <c r="O946" i="3"/>
  <c r="O950" i="3"/>
  <c r="O947" i="3"/>
  <c r="O951" i="3"/>
  <c r="O948" i="3"/>
  <c r="O949" i="3"/>
  <c r="O952" i="3"/>
  <c r="O956" i="3"/>
  <c r="O953" i="3"/>
  <c r="O954" i="3"/>
  <c r="O955" i="3"/>
  <c r="O932" i="3"/>
  <c r="O933" i="3"/>
  <c r="O937" i="3"/>
  <c r="O934" i="3"/>
  <c r="O935" i="3"/>
  <c r="O936" i="3"/>
  <c r="O938" i="3"/>
  <c r="O939" i="3"/>
  <c r="O943" i="3"/>
  <c r="O940" i="3"/>
  <c r="O941" i="3"/>
  <c r="O942" i="3"/>
  <c r="E34" i="8"/>
  <c r="E47" i="9"/>
  <c r="I298" i="3" s="1"/>
  <c r="AK120" i="9"/>
  <c r="O120" i="9" s="1"/>
  <c r="E132" i="9" s="1"/>
  <c r="I389" i="3" s="1"/>
  <c r="E149" i="9"/>
  <c r="I408" i="3" s="1"/>
  <c r="E176" i="9"/>
  <c r="I437" i="3" s="1"/>
  <c r="AK29" i="9"/>
  <c r="O29" i="9" s="1"/>
  <c r="E33" i="9" s="1"/>
  <c r="O679" i="3"/>
  <c r="O676" i="3"/>
  <c r="O680" i="3"/>
  <c r="O675" i="3"/>
  <c r="O677" i="3"/>
  <c r="O681" i="3"/>
  <c r="O685" i="3"/>
  <c r="O682" i="3"/>
  <c r="O686" i="3"/>
  <c r="O678" i="3"/>
  <c r="O683" i="3"/>
  <c r="O684" i="3"/>
  <c r="N1275" i="3"/>
  <c r="N1278" i="3"/>
  <c r="J1391" i="3" s="1"/>
  <c r="G23" i="10" s="1"/>
  <c r="N1279" i="3"/>
  <c r="J1392" i="3" s="1"/>
  <c r="H23" i="10" s="1"/>
  <c r="N1276" i="3"/>
  <c r="N1280" i="3"/>
  <c r="N1277" i="3"/>
  <c r="N1284" i="3"/>
  <c r="J1397" i="3" s="1"/>
  <c r="M23" i="10" s="1"/>
  <c r="N1281" i="3"/>
  <c r="J1394" i="3" s="1"/>
  <c r="J23" i="10" s="1"/>
  <c r="N1285" i="3"/>
  <c r="N1282" i="3"/>
  <c r="J1395" i="3" s="1"/>
  <c r="K23" i="10" s="1"/>
  <c r="N1286" i="3"/>
  <c r="J1399" i="3" s="1"/>
  <c r="O23" i="10" s="1"/>
  <c r="N1283" i="3"/>
  <c r="E54" i="9"/>
  <c r="I305" i="3" s="1"/>
  <c r="E43" i="9"/>
  <c r="I294" i="3" s="1"/>
  <c r="E245" i="9"/>
  <c r="I511" i="3" s="1"/>
  <c r="E238" i="9"/>
  <c r="I504" i="3" s="1"/>
  <c r="E125" i="9"/>
  <c r="I382" i="3" s="1"/>
  <c r="E157" i="9"/>
  <c r="I416" i="3" s="1"/>
  <c r="E179" i="9"/>
  <c r="I440" i="3" s="1"/>
  <c r="AK107" i="9"/>
  <c r="O107" i="9" s="1"/>
  <c r="E110" i="9" s="1"/>
  <c r="I366" i="3" s="1"/>
  <c r="E262" i="9"/>
  <c r="I529" i="3" s="1"/>
  <c r="E254" i="9"/>
  <c r="I521" i="3" s="1"/>
  <c r="E191" i="9"/>
  <c r="I453" i="3" s="1"/>
  <c r="E93" i="9"/>
  <c r="I347" i="3" s="1"/>
  <c r="E86" i="9"/>
  <c r="I340" i="3" s="1"/>
  <c r="E200" i="9"/>
  <c r="I463" i="3" s="1"/>
  <c r="E283" i="9"/>
  <c r="I552" i="3" s="1"/>
  <c r="O348" i="3"/>
  <c r="O144" i="13" s="1"/>
  <c r="O474" i="3"/>
  <c r="O153" i="13" s="1"/>
  <c r="O62" i="3"/>
  <c r="O107" i="13" s="1"/>
  <c r="E75" i="9"/>
  <c r="I328" i="3" s="1"/>
  <c r="AK133" i="9"/>
  <c r="O133" i="9" s="1"/>
  <c r="E139" i="9" s="1"/>
  <c r="I397" i="3" s="1"/>
  <c r="O763" i="3"/>
  <c r="O760" i="3"/>
  <c r="O764" i="3"/>
  <c r="O759" i="3"/>
  <c r="O761" i="3"/>
  <c r="O762" i="3"/>
  <c r="O765" i="3"/>
  <c r="O769" i="3"/>
  <c r="O766" i="3"/>
  <c r="O770" i="3"/>
  <c r="O767" i="3"/>
  <c r="O768" i="3"/>
  <c r="O776" i="3"/>
  <c r="O773" i="3"/>
  <c r="O777" i="3"/>
  <c r="O772" i="3"/>
  <c r="O774" i="3"/>
  <c r="O778" i="3"/>
  <c r="O782" i="3"/>
  <c r="O779" i="3"/>
  <c r="O783" i="3"/>
  <c r="O780" i="3"/>
  <c r="O781" i="3"/>
  <c r="O775" i="3"/>
  <c r="N1303" i="3"/>
  <c r="N1290" i="3"/>
  <c r="E50" i="9"/>
  <c r="I301" i="3" s="1"/>
  <c r="E46" i="9"/>
  <c r="I297" i="3" s="1"/>
  <c r="AK172" i="9"/>
  <c r="O172" i="9" s="1"/>
  <c r="E177" i="9" s="1"/>
  <c r="I438" i="3" s="1"/>
  <c r="E241" i="9"/>
  <c r="I507" i="3" s="1"/>
  <c r="E106" i="9"/>
  <c r="I361" i="3" s="1"/>
  <c r="E156" i="9"/>
  <c r="I415" i="3" s="1"/>
  <c r="E175" i="9"/>
  <c r="I436" i="3" s="1"/>
  <c r="E36" i="9"/>
  <c r="AK55" i="9"/>
  <c r="O55" i="9" s="1"/>
  <c r="E62" i="9" s="1"/>
  <c r="I314" i="3" s="1"/>
  <c r="E258" i="9"/>
  <c r="I525" i="3" s="1"/>
  <c r="E153" i="9"/>
  <c r="I412" i="3" s="1"/>
  <c r="E187" i="9"/>
  <c r="I449" i="3" s="1"/>
  <c r="E89" i="9"/>
  <c r="I343" i="3" s="1"/>
  <c r="E82" i="9"/>
  <c r="I336" i="3" s="1"/>
  <c r="E25" i="19"/>
  <c r="D35" i="19"/>
  <c r="D34" i="19"/>
  <c r="E210" i="9"/>
  <c r="I473" i="3" s="1"/>
  <c r="E203" i="9"/>
  <c r="I466" i="3" s="1"/>
  <c r="AK276" i="9"/>
  <c r="O276" i="9" s="1"/>
  <c r="E285" i="9" s="1"/>
  <c r="I554" i="3" s="1"/>
  <c r="E286" i="9"/>
  <c r="I555" i="3" s="1"/>
  <c r="E279" i="9"/>
  <c r="I548" i="3" s="1"/>
  <c r="AK263" i="9"/>
  <c r="O263" i="9" s="1"/>
  <c r="E264" i="9" s="1"/>
  <c r="I532" i="3" s="1"/>
  <c r="O292" i="3"/>
  <c r="O140" i="13" s="1"/>
  <c r="O460" i="3"/>
  <c r="O152" i="13" s="1"/>
  <c r="O278" i="3"/>
  <c r="O139" i="13" s="1"/>
  <c r="O390" i="3"/>
  <c r="O147" i="13" s="1"/>
  <c r="E74" i="9" l="1"/>
  <c r="I327" i="3" s="1"/>
  <c r="E72" i="9"/>
  <c r="I325" i="3" s="1"/>
  <c r="E96" i="9"/>
  <c r="I351" i="3" s="1"/>
  <c r="E60" i="9"/>
  <c r="I312" i="3" s="1"/>
  <c r="E124" i="9"/>
  <c r="I381" i="3" s="1"/>
  <c r="B326" i="13"/>
  <c r="H94" i="13"/>
  <c r="O94" i="13"/>
  <c r="E218" i="9"/>
  <c r="I482" i="3" s="1"/>
  <c r="E212" i="9"/>
  <c r="I476" i="3" s="1"/>
  <c r="E219" i="9"/>
  <c r="I483" i="3" s="1"/>
  <c r="E122" i="9"/>
  <c r="I379" i="3" s="1"/>
  <c r="E71" i="9"/>
  <c r="I324" i="3" s="1"/>
  <c r="E105" i="9"/>
  <c r="I360" i="3" s="1"/>
  <c r="E100" i="9"/>
  <c r="I355" i="3" s="1"/>
  <c r="E101" i="9"/>
  <c r="I356" i="3" s="1"/>
  <c r="E221" i="9"/>
  <c r="I485" i="3" s="1"/>
  <c r="E115" i="9"/>
  <c r="I371" i="3" s="1"/>
  <c r="E129" i="9"/>
  <c r="I386" i="3" s="1"/>
  <c r="E118" i="9"/>
  <c r="I374" i="3" s="1"/>
  <c r="E111" i="9"/>
  <c r="I367" i="3" s="1"/>
  <c r="E69" i="9"/>
  <c r="I322" i="3" s="1"/>
  <c r="J1393" i="3"/>
  <c r="I23" i="10" s="1"/>
  <c r="J1388" i="3"/>
  <c r="D23" i="10" s="1"/>
  <c r="F56" i="13" s="1"/>
  <c r="E130" i="9"/>
  <c r="I387" i="3" s="1"/>
  <c r="E204" i="9"/>
  <c r="I467" i="3" s="1"/>
  <c r="O175" i="13"/>
  <c r="E112" i="9"/>
  <c r="I368" i="3" s="1"/>
  <c r="E80" i="9"/>
  <c r="I333" i="3" s="1"/>
  <c r="E70" i="9"/>
  <c r="I323" i="3" s="1"/>
  <c r="E131" i="9"/>
  <c r="I388" i="3" s="1"/>
  <c r="E56" i="9"/>
  <c r="I308" i="3" s="1"/>
  <c r="E91" i="9"/>
  <c r="I345" i="3" s="1"/>
  <c r="E220" i="9"/>
  <c r="I484" i="3" s="1"/>
  <c r="E214" i="9"/>
  <c r="I478" i="3" s="1"/>
  <c r="E223" i="9"/>
  <c r="I487" i="3" s="1"/>
  <c r="E261" i="9"/>
  <c r="I528" i="3" s="1"/>
  <c r="E216" i="9"/>
  <c r="I480" i="3" s="1"/>
  <c r="E255" i="9"/>
  <c r="I522" i="3" s="1"/>
  <c r="E140" i="9"/>
  <c r="I398" i="3" s="1"/>
  <c r="E144" i="9"/>
  <c r="I402" i="3" s="1"/>
  <c r="E73" i="9"/>
  <c r="I326" i="3" s="1"/>
  <c r="E215" i="9"/>
  <c r="I479" i="3" s="1"/>
  <c r="E287" i="9"/>
  <c r="I556" i="3" s="1"/>
  <c r="E99" i="9"/>
  <c r="I354" i="3" s="1"/>
  <c r="E182" i="9"/>
  <c r="I443" i="3" s="1"/>
  <c r="E126" i="9"/>
  <c r="I383" i="3" s="1"/>
  <c r="J1396" i="3"/>
  <c r="L23" i="10" s="1"/>
  <c r="J1389" i="3"/>
  <c r="E23" i="10" s="1"/>
  <c r="J1382" i="3"/>
  <c r="K22" i="10" s="1"/>
  <c r="E76" i="9"/>
  <c r="I329" i="3" s="1"/>
  <c r="E201" i="9"/>
  <c r="I464" i="3" s="1"/>
  <c r="E95" i="9"/>
  <c r="I350" i="3" s="1"/>
  <c r="E97" i="9"/>
  <c r="I352" i="3" s="1"/>
  <c r="E277" i="9"/>
  <c r="I546" i="3" s="1"/>
  <c r="E85" i="9"/>
  <c r="I339" i="3" s="1"/>
  <c r="E102" i="9"/>
  <c r="I357" i="3" s="1"/>
  <c r="E207" i="9"/>
  <c r="I470" i="3" s="1"/>
  <c r="E222" i="9"/>
  <c r="I486" i="3" s="1"/>
  <c r="E213" i="9"/>
  <c r="I477" i="3" s="1"/>
  <c r="E260" i="9"/>
  <c r="I527" i="3" s="1"/>
  <c r="H93" i="13"/>
  <c r="O93" i="13"/>
  <c r="B325" i="13"/>
  <c r="E253" i="9"/>
  <c r="I520" i="3" s="1"/>
  <c r="D394" i="9"/>
  <c r="E65" i="13"/>
  <c r="E272" i="9"/>
  <c r="I540" i="3" s="1"/>
  <c r="C94" i="8"/>
  <c r="N45" i="8"/>
  <c r="H48" i="8"/>
  <c r="O25" i="10" s="1"/>
  <c r="E280" i="9"/>
  <c r="I549" i="3" s="1"/>
  <c r="E108" i="9"/>
  <c r="I364" i="3" s="1"/>
  <c r="E160" i="9"/>
  <c r="I420" i="3" s="1"/>
  <c r="E57" i="9"/>
  <c r="I309" i="3" s="1"/>
  <c r="E173" i="9"/>
  <c r="I434" i="3" s="1"/>
  <c r="E113" i="9"/>
  <c r="I369" i="3" s="1"/>
  <c r="E275" i="9"/>
  <c r="I543" i="3" s="1"/>
  <c r="E138" i="9"/>
  <c r="I396" i="3" s="1"/>
  <c r="H44" i="8"/>
  <c r="K25" i="10" s="1"/>
  <c r="K27" i="10" s="1"/>
  <c r="N41" i="8"/>
  <c r="C90" i="8"/>
  <c r="C86" i="8"/>
  <c r="N37" i="8"/>
  <c r="E46" i="8"/>
  <c r="G25" i="10" s="1"/>
  <c r="E163" i="9"/>
  <c r="I423" i="3" s="1"/>
  <c r="E232" i="9"/>
  <c r="I497" i="3" s="1"/>
  <c r="E267" i="9"/>
  <c r="I535" i="3" s="1"/>
  <c r="O283" i="13"/>
  <c r="N35" i="8"/>
  <c r="C84" i="8"/>
  <c r="E44" i="8"/>
  <c r="E25" i="10" s="1"/>
  <c r="E171" i="9"/>
  <c r="I431" i="3" s="1"/>
  <c r="E226" i="9"/>
  <c r="I491" i="3" s="1"/>
  <c r="E40" i="9"/>
  <c r="J1381" i="3"/>
  <c r="J22" i="10" s="1"/>
  <c r="O160" i="13"/>
  <c r="E233" i="9"/>
  <c r="I498" i="3" s="1"/>
  <c r="E109" i="9"/>
  <c r="I365" i="3" s="1"/>
  <c r="E64" i="9"/>
  <c r="I316" i="3" s="1"/>
  <c r="E229" i="9"/>
  <c r="I494" i="3" s="1"/>
  <c r="J1398" i="3"/>
  <c r="N23" i="10" s="1"/>
  <c r="J1377" i="3"/>
  <c r="F22" i="10" s="1"/>
  <c r="E123" i="9"/>
  <c r="I380" i="3" s="1"/>
  <c r="E174" i="9"/>
  <c r="I435" i="3" s="1"/>
  <c r="O189" i="13"/>
  <c r="O266" i="13"/>
  <c r="E65" i="9"/>
  <c r="I317" i="3" s="1"/>
  <c r="E127" i="9"/>
  <c r="I384" i="3" s="1"/>
  <c r="E281" i="9"/>
  <c r="I550" i="3" s="1"/>
  <c r="E145" i="9"/>
  <c r="I403" i="3" s="1"/>
  <c r="E77" i="9"/>
  <c r="I330" i="3" s="1"/>
  <c r="I56" i="14"/>
  <c r="N54" i="14"/>
  <c r="I52" i="14"/>
  <c r="I53" i="14"/>
  <c r="I57" i="14"/>
  <c r="N55" i="14"/>
  <c r="I54" i="14"/>
  <c r="N52" i="14"/>
  <c r="N56" i="14"/>
  <c r="N53" i="14"/>
  <c r="I55" i="14"/>
  <c r="N57" i="14"/>
  <c r="C89" i="8"/>
  <c r="N40" i="8"/>
  <c r="H43" i="8"/>
  <c r="J25" i="10" s="1"/>
  <c r="E31" i="9"/>
  <c r="E143" i="9"/>
  <c r="I401" i="3" s="1"/>
  <c r="E35" i="9"/>
  <c r="E284" i="9"/>
  <c r="I553" i="3" s="1"/>
  <c r="E135" i="9"/>
  <c r="I393" i="3" s="1"/>
  <c r="E59" i="9"/>
  <c r="I311" i="3" s="1"/>
  <c r="J1385" i="3"/>
  <c r="N22" i="10" s="1"/>
  <c r="E41" i="9"/>
  <c r="E38" i="9"/>
  <c r="C87" i="8"/>
  <c r="N38" i="8"/>
  <c r="E47" i="8"/>
  <c r="H25" i="10" s="1"/>
  <c r="E269" i="9"/>
  <c r="I537" i="3" s="1"/>
  <c r="E230" i="9"/>
  <c r="I495" i="3" s="1"/>
  <c r="J1384" i="3"/>
  <c r="M22" i="10" s="1"/>
  <c r="J1375" i="3"/>
  <c r="D22" i="10" s="1"/>
  <c r="E278" i="9"/>
  <c r="I547" i="3" s="1"/>
  <c r="E178" i="9"/>
  <c r="I439" i="3" s="1"/>
  <c r="E165" i="9"/>
  <c r="I425" i="3" s="1"/>
  <c r="O299" i="13"/>
  <c r="E231" i="9"/>
  <c r="I496" i="3" s="1"/>
  <c r="E128" i="9"/>
  <c r="I385" i="3" s="1"/>
  <c r="E116" i="9"/>
  <c r="I372" i="3" s="1"/>
  <c r="E34" i="9"/>
  <c r="D50" i="10"/>
  <c r="E68" i="13"/>
  <c r="C93" i="8"/>
  <c r="N44" i="8"/>
  <c r="H47" i="8"/>
  <c r="N25" i="10" s="1"/>
  <c r="C85" i="8"/>
  <c r="N36" i="8"/>
  <c r="E45" i="8"/>
  <c r="F25" i="10" s="1"/>
  <c r="E37" i="9"/>
  <c r="E67" i="9"/>
  <c r="I319" i="3" s="1"/>
  <c r="E142" i="9"/>
  <c r="I400" i="3" s="1"/>
  <c r="E167" i="9"/>
  <c r="I427" i="3" s="1"/>
  <c r="E183" i="9"/>
  <c r="I444" i="3" s="1"/>
  <c r="E273" i="9"/>
  <c r="I541" i="3" s="1"/>
  <c r="E166" i="9"/>
  <c r="I426" i="3" s="1"/>
  <c r="E168" i="9"/>
  <c r="I428" i="3" s="1"/>
  <c r="J1383" i="3"/>
  <c r="L22" i="10" s="1"/>
  <c r="H105" i="19"/>
  <c r="D84" i="19" s="1"/>
  <c r="F84" i="19"/>
  <c r="E61" i="9"/>
  <c r="I313" i="3" s="1"/>
  <c r="E282" i="9"/>
  <c r="I551" i="3" s="1"/>
  <c r="O322" i="13"/>
  <c r="O241" i="13"/>
  <c r="O229" i="13"/>
  <c r="E268" i="9"/>
  <c r="I536" i="3" s="1"/>
  <c r="E162" i="9"/>
  <c r="I422" i="3" s="1"/>
  <c r="E266" i="9"/>
  <c r="I534" i="3" s="1"/>
  <c r="E180" i="9"/>
  <c r="I441" i="3" s="1"/>
  <c r="N43" i="8"/>
  <c r="C92" i="8"/>
  <c r="H46" i="8"/>
  <c r="M25" i="10" s="1"/>
  <c r="E184" i="9"/>
  <c r="I445" i="3" s="1"/>
  <c r="E265" i="9"/>
  <c r="I533" i="3" s="1"/>
  <c r="E181" i="9"/>
  <c r="I442" i="3" s="1"/>
  <c r="E209" i="9"/>
  <c r="I472" i="3" s="1"/>
  <c r="E117" i="9"/>
  <c r="I373" i="3" s="1"/>
  <c r="E32" i="9"/>
  <c r="E234" i="9"/>
  <c r="I499" i="3" s="1"/>
  <c r="E119" i="9"/>
  <c r="I375" i="3" s="1"/>
  <c r="J1380" i="3"/>
  <c r="I22" i="10" s="1"/>
  <c r="E270" i="9"/>
  <c r="I538" i="3" s="1"/>
  <c r="E114" i="9"/>
  <c r="I370" i="3" s="1"/>
  <c r="E63" i="9"/>
  <c r="I315" i="3" s="1"/>
  <c r="E169" i="9"/>
  <c r="I429" i="3" s="1"/>
  <c r="J1390" i="3"/>
  <c r="F23" i="10" s="1"/>
  <c r="J1378" i="3"/>
  <c r="G22" i="10" s="1"/>
  <c r="J1376" i="3"/>
  <c r="E22" i="10" s="1"/>
  <c r="E227" i="9"/>
  <c r="I492" i="3" s="1"/>
  <c r="O114" i="13"/>
  <c r="E134" i="9"/>
  <c r="I392" i="3" s="1"/>
  <c r="E205" i="9"/>
  <c r="I468" i="3" s="1"/>
  <c r="E58" i="9"/>
  <c r="I310" i="3" s="1"/>
  <c r="N42" i="8"/>
  <c r="C91" i="8"/>
  <c r="H45" i="8"/>
  <c r="L25" i="10" s="1"/>
  <c r="E155" i="9"/>
  <c r="I414" i="3" s="1"/>
  <c r="E274" i="9"/>
  <c r="I542" i="3" s="1"/>
  <c r="O132" i="13"/>
  <c r="K52" i="10"/>
  <c r="K54" i="10" s="1"/>
  <c r="F301" i="3" s="1"/>
  <c r="N34" i="8"/>
  <c r="C83" i="8"/>
  <c r="E41" i="8"/>
  <c r="E43" i="8"/>
  <c r="E30" i="9"/>
  <c r="E39" i="9"/>
  <c r="E225" i="9"/>
  <c r="I490" i="3" s="1"/>
  <c r="E271" i="9"/>
  <c r="I539" i="3" s="1"/>
  <c r="D39" i="19"/>
  <c r="E164" i="9"/>
  <c r="I424" i="3" s="1"/>
  <c r="E137" i="9"/>
  <c r="I395" i="3" s="1"/>
  <c r="J1386" i="3"/>
  <c r="O22" i="10" s="1"/>
  <c r="J1379" i="3"/>
  <c r="H22" i="10" s="1"/>
  <c r="E136" i="9"/>
  <c r="I394" i="3" s="1"/>
  <c r="E141" i="9"/>
  <c r="I399" i="3" s="1"/>
  <c r="E206" i="9"/>
  <c r="I469" i="3" s="1"/>
  <c r="E66" i="9"/>
  <c r="I318" i="3" s="1"/>
  <c r="C88" i="8"/>
  <c r="N39" i="8"/>
  <c r="E48" i="8"/>
  <c r="I25" i="10" s="1"/>
  <c r="E121" i="9"/>
  <c r="I378" i="3" s="1"/>
  <c r="E78" i="9"/>
  <c r="I331" i="3" s="1"/>
  <c r="C326" i="13" l="1"/>
  <c r="B327" i="13" s="1"/>
  <c r="J483" i="3"/>
  <c r="J455" i="3"/>
  <c r="D25" i="10"/>
  <c r="N14" i="14" s="1"/>
  <c r="F58" i="13"/>
  <c r="H49" i="8"/>
  <c r="K44" i="10"/>
  <c r="K53" i="10" s="1"/>
  <c r="I27" i="10"/>
  <c r="I52" i="10"/>
  <c r="I54" i="10" s="1"/>
  <c r="F299" i="3" s="1"/>
  <c r="J525" i="3"/>
  <c r="J385" i="3"/>
  <c r="E37" i="10"/>
  <c r="E39" i="10" s="1"/>
  <c r="J497" i="3"/>
  <c r="J37" i="10"/>
  <c r="J39" i="10" s="1"/>
  <c r="H52" i="10"/>
  <c r="H54" i="10" s="1"/>
  <c r="F298" i="3" s="1"/>
  <c r="J550" i="3" s="1"/>
  <c r="H27" i="10"/>
  <c r="D42" i="19"/>
  <c r="F31" i="19" s="1"/>
  <c r="D41" i="19"/>
  <c r="D31" i="19" s="1"/>
  <c r="J313" i="3"/>
  <c r="J427" i="3"/>
  <c r="L37" i="10"/>
  <c r="L39" i="10" s="1"/>
  <c r="J343" i="3"/>
  <c r="J403" i="3"/>
  <c r="J413" i="3"/>
  <c r="J511" i="3"/>
  <c r="J27" i="10"/>
  <c r="J52" i="10"/>
  <c r="J54" i="10" s="1"/>
  <c r="J539" i="3"/>
  <c r="F37" i="10"/>
  <c r="F39" i="10" s="1"/>
  <c r="O37" i="10"/>
  <c r="O39" i="10" s="1"/>
  <c r="I291" i="3"/>
  <c r="J291" i="3" s="1"/>
  <c r="N37" i="10"/>
  <c r="N39" i="10" s="1"/>
  <c r="O27" i="10"/>
  <c r="O52" i="10"/>
  <c r="O54" i="10" s="1"/>
  <c r="F305" i="3" s="1"/>
  <c r="J431" i="3" s="1"/>
  <c r="J469" i="3"/>
  <c r="J315" i="3"/>
  <c r="J319" i="3"/>
  <c r="N52" i="10"/>
  <c r="N54" i="10" s="1"/>
  <c r="F304" i="3" s="1"/>
  <c r="N27" i="10"/>
  <c r="J399" i="3"/>
  <c r="E27" i="10"/>
  <c r="E52" i="10"/>
  <c r="E54" i="10" s="1"/>
  <c r="F295" i="3" s="1"/>
  <c r="J547" i="3" s="1"/>
  <c r="J301" i="3"/>
  <c r="J371" i="3"/>
  <c r="K37" i="10"/>
  <c r="K39" i="10" s="1"/>
  <c r="K56" i="10" s="1"/>
  <c r="K58" i="10" s="1"/>
  <c r="I287" i="3"/>
  <c r="J287" i="3" s="1"/>
  <c r="J425" i="3"/>
  <c r="F54" i="13"/>
  <c r="F55" i="13"/>
  <c r="J537" i="3"/>
  <c r="J553" i="3"/>
  <c r="J543" i="3"/>
  <c r="M37" i="10"/>
  <c r="M39" i="10" s="1"/>
  <c r="M56" i="10" s="1"/>
  <c r="I289" i="3"/>
  <c r="J289" i="3" s="1"/>
  <c r="J329" i="3"/>
  <c r="M27" i="10"/>
  <c r="M52" i="10"/>
  <c r="M54" i="10" s="1"/>
  <c r="F303" i="3" s="1"/>
  <c r="J499" i="3" s="1"/>
  <c r="J357" i="3"/>
  <c r="N16" i="14"/>
  <c r="J365" i="3"/>
  <c r="G37" i="10"/>
  <c r="G39" i="10" s="1"/>
  <c r="J369" i="3"/>
  <c r="J533" i="3"/>
  <c r="J331" i="3"/>
  <c r="G27" i="10"/>
  <c r="G52" i="10"/>
  <c r="G54" i="10" s="1"/>
  <c r="D37" i="10"/>
  <c r="D39" i="10" s="1"/>
  <c r="J441" i="3"/>
  <c r="L27" i="10"/>
  <c r="L52" i="10"/>
  <c r="L54" i="10" s="1"/>
  <c r="F302" i="3" s="1"/>
  <c r="J540" i="3" s="1"/>
  <c r="H37" i="10"/>
  <c r="H39" i="10" s="1"/>
  <c r="H56" i="10" s="1"/>
  <c r="I37" i="10"/>
  <c r="I39" i="10" s="1"/>
  <c r="I56" i="10" s="1"/>
  <c r="F27" i="10"/>
  <c r="F52" i="10"/>
  <c r="F54" i="10" s="1"/>
  <c r="F296" i="3" s="1"/>
  <c r="J310" i="3" s="1"/>
  <c r="J372" i="3" l="1"/>
  <c r="J424" i="3"/>
  <c r="J380" i="3"/>
  <c r="J317" i="3"/>
  <c r="J494" i="3"/>
  <c r="I282" i="3"/>
  <c r="J282" i="3" s="1"/>
  <c r="J414" i="3"/>
  <c r="I284" i="3"/>
  <c r="J284" i="3" s="1"/>
  <c r="D52" i="10"/>
  <c r="D54" i="10" s="1"/>
  <c r="F294" i="3" s="1"/>
  <c r="J373" i="3"/>
  <c r="J396" i="3"/>
  <c r="J536" i="3"/>
  <c r="F56" i="10"/>
  <c r="J435" i="3"/>
  <c r="G58" i="13"/>
  <c r="J429" i="3"/>
  <c r="J534" i="3"/>
  <c r="N18" i="14"/>
  <c r="J486" i="3"/>
  <c r="J528" i="3"/>
  <c r="J304" i="3"/>
  <c r="J430" i="3"/>
  <c r="J332" i="3"/>
  <c r="J388" i="3"/>
  <c r="J346" i="3"/>
  <c r="J458" i="3"/>
  <c r="J360" i="3"/>
  <c r="J514" i="3"/>
  <c r="J374" i="3"/>
  <c r="J500" i="3"/>
  <c r="J556" i="3"/>
  <c r="J416" i="3"/>
  <c r="J402" i="3"/>
  <c r="J487" i="3"/>
  <c r="J459" i="3"/>
  <c r="J473" i="3"/>
  <c r="J417" i="3"/>
  <c r="J305" i="3"/>
  <c r="J389" i="3"/>
  <c r="J529" i="3"/>
  <c r="J557" i="3"/>
  <c r="J347" i="3"/>
  <c r="J361" i="3"/>
  <c r="J333" i="3"/>
  <c r="J515" i="3"/>
  <c r="J501" i="3"/>
  <c r="J375" i="3"/>
  <c r="I288" i="3"/>
  <c r="J288" i="3" s="1"/>
  <c r="J492" i="3"/>
  <c r="J330" i="3"/>
  <c r="J445" i="3"/>
  <c r="J472" i="3"/>
  <c r="J526" i="3"/>
  <c r="J302" i="3"/>
  <c r="J484" i="3"/>
  <c r="J456" i="3"/>
  <c r="J358" i="3"/>
  <c r="J344" i="3"/>
  <c r="J512" i="3"/>
  <c r="J386" i="3"/>
  <c r="J470" i="3"/>
  <c r="J554" i="3"/>
  <c r="O44" i="10"/>
  <c r="O53" i="10" s="1"/>
  <c r="L56" i="10"/>
  <c r="L58" i="10" s="1"/>
  <c r="I281" i="3"/>
  <c r="J281" i="3" s="1"/>
  <c r="J523" i="3"/>
  <c r="J481" i="3"/>
  <c r="J509" i="3"/>
  <c r="J467" i="3"/>
  <c r="J397" i="3"/>
  <c r="J341" i="3"/>
  <c r="J411" i="3"/>
  <c r="J453" i="3"/>
  <c r="J299" i="3"/>
  <c r="J327" i="3"/>
  <c r="J383" i="3"/>
  <c r="J355" i="3"/>
  <c r="J309" i="3"/>
  <c r="J401" i="3"/>
  <c r="O56" i="10"/>
  <c r="O58" i="10" s="1"/>
  <c r="J542" i="3"/>
  <c r="F300" i="3"/>
  <c r="I286" i="3"/>
  <c r="J286" i="3" s="1"/>
  <c r="J495" i="3"/>
  <c r="E56" i="10"/>
  <c r="I44" i="10"/>
  <c r="I53" i="10" s="1"/>
  <c r="I58" i="10"/>
  <c r="J491" i="3"/>
  <c r="N44" i="10"/>
  <c r="N53" i="10" s="1"/>
  <c r="G44" i="10"/>
  <c r="G53" i="10" s="1"/>
  <c r="L44" i="10"/>
  <c r="L53" i="10" s="1"/>
  <c r="G54" i="13"/>
  <c r="J44" i="10"/>
  <c r="J53" i="10" s="1"/>
  <c r="H58" i="10"/>
  <c r="H44" i="10"/>
  <c r="H53" i="10" s="1"/>
  <c r="J439" i="3"/>
  <c r="J498" i="3"/>
  <c r="J442" i="3"/>
  <c r="P587" i="3"/>
  <c r="P580" i="3"/>
  <c r="P574" i="3"/>
  <c r="P577" i="3"/>
  <c r="P581" i="3"/>
  <c r="P585" i="3"/>
  <c r="P571" i="3"/>
  <c r="P566" i="3"/>
  <c r="P579" i="3"/>
  <c r="P563" i="3"/>
  <c r="P568" i="3"/>
  <c r="P578" i="3"/>
  <c r="P570" i="3"/>
  <c r="P569" i="3"/>
  <c r="P565" i="3"/>
  <c r="P576" i="3"/>
  <c r="P584" i="3"/>
  <c r="J448" i="3"/>
  <c r="P586" i="3"/>
  <c r="P573" i="3"/>
  <c r="P582" i="3"/>
  <c r="J476" i="3"/>
  <c r="P583" i="3"/>
  <c r="P567" i="3"/>
  <c r="P564" i="3"/>
  <c r="J308" i="3"/>
  <c r="J546" i="3"/>
  <c r="J294" i="3"/>
  <c r="J518" i="3"/>
  <c r="J462" i="3"/>
  <c r="J322" i="3"/>
  <c r="J350" i="3"/>
  <c r="P572" i="3"/>
  <c r="J406" i="3"/>
  <c r="J532" i="3"/>
  <c r="J504" i="3"/>
  <c r="J336" i="3"/>
  <c r="J480" i="3"/>
  <c r="J452" i="3"/>
  <c r="J522" i="3"/>
  <c r="J312" i="3"/>
  <c r="J354" i="3"/>
  <c r="J326" i="3"/>
  <c r="J340" i="3"/>
  <c r="J382" i="3"/>
  <c r="J410" i="3"/>
  <c r="J438" i="3"/>
  <c r="J368" i="3"/>
  <c r="J298" i="3"/>
  <c r="J466" i="3"/>
  <c r="J508" i="3"/>
  <c r="F297" i="3"/>
  <c r="I283" i="3"/>
  <c r="J283" i="3" s="1"/>
  <c r="J478" i="3"/>
  <c r="J520" i="3"/>
  <c r="J366" i="3"/>
  <c r="J296" i="3"/>
  <c r="J352" i="3"/>
  <c r="J506" i="3"/>
  <c r="J548" i="3"/>
  <c r="J436" i="3"/>
  <c r="J324" i="3"/>
  <c r="J464" i="3"/>
  <c r="J450" i="3"/>
  <c r="J408" i="3"/>
  <c r="J338" i="3"/>
  <c r="J485" i="3"/>
  <c r="J527" i="3"/>
  <c r="J457" i="3"/>
  <c r="J415" i="3"/>
  <c r="J359" i="3"/>
  <c r="J345" i="3"/>
  <c r="J387" i="3"/>
  <c r="J303" i="3"/>
  <c r="J471" i="3"/>
  <c r="J443" i="3"/>
  <c r="J513" i="3"/>
  <c r="J555" i="3"/>
  <c r="F58" i="10"/>
  <c r="F44" i="10"/>
  <c r="F53" i="10" s="1"/>
  <c r="M44" i="10"/>
  <c r="M53" i="10" s="1"/>
  <c r="M58" i="10"/>
  <c r="J394" i="3"/>
  <c r="J477" i="3"/>
  <c r="J351" i="3"/>
  <c r="J449" i="3"/>
  <c r="J407" i="3"/>
  <c r="J421" i="3"/>
  <c r="J463" i="3"/>
  <c r="J379" i="3"/>
  <c r="J519" i="3"/>
  <c r="J337" i="3"/>
  <c r="J505" i="3"/>
  <c r="J323" i="3"/>
  <c r="J295" i="3"/>
  <c r="J316" i="3"/>
  <c r="I290" i="3"/>
  <c r="J290" i="3" s="1"/>
  <c r="J400" i="3"/>
  <c r="J318" i="3"/>
  <c r="I285" i="3"/>
  <c r="J285" i="3" s="1"/>
  <c r="I280" i="3"/>
  <c r="J280" i="3" s="1"/>
  <c r="G56" i="10"/>
  <c r="G58" i="10" s="1"/>
  <c r="J541" i="3"/>
  <c r="J551" i="3"/>
  <c r="D27" i="10"/>
  <c r="E58" i="10"/>
  <c r="E44" i="10"/>
  <c r="E53" i="10" s="1"/>
  <c r="J393" i="3"/>
  <c r="N56" i="10"/>
  <c r="N58" i="10" s="1"/>
  <c r="J422" i="3"/>
  <c r="J378" i="3"/>
  <c r="J428" i="3"/>
  <c r="J56" i="10"/>
  <c r="J444" i="3"/>
  <c r="J364" i="3" l="1"/>
  <c r="J434" i="3"/>
  <c r="J490" i="3"/>
  <c r="J420" i="3"/>
  <c r="J392" i="3"/>
  <c r="D56" i="10"/>
  <c r="E67" i="13" s="1"/>
  <c r="J451" i="3"/>
  <c r="J479" i="3"/>
  <c r="J409" i="3"/>
  <c r="J381" i="3"/>
  <c r="J507" i="3"/>
  <c r="J339" i="3"/>
  <c r="J465" i="3"/>
  <c r="J353" i="3"/>
  <c r="J297" i="3"/>
  <c r="J437" i="3"/>
  <c r="J367" i="3"/>
  <c r="J521" i="3"/>
  <c r="J325" i="3"/>
  <c r="J493" i="3"/>
  <c r="J395" i="3"/>
  <c r="J535" i="3"/>
  <c r="J549" i="3"/>
  <c r="J423" i="3"/>
  <c r="J311" i="3"/>
  <c r="J300" i="3"/>
  <c r="J482" i="3"/>
  <c r="J524" i="3"/>
  <c r="J454" i="3"/>
  <c r="J398" i="3"/>
  <c r="J552" i="3"/>
  <c r="J328" i="3"/>
  <c r="J342" i="3"/>
  <c r="J510" i="3"/>
  <c r="J356" i="3"/>
  <c r="J412" i="3"/>
  <c r="J314" i="3"/>
  <c r="J440" i="3"/>
  <c r="J468" i="3"/>
  <c r="J384" i="3"/>
  <c r="J496" i="3"/>
  <c r="J426" i="3"/>
  <c r="J538" i="3"/>
  <c r="J370" i="3"/>
  <c r="P56" i="10"/>
  <c r="F61" i="13"/>
  <c r="J58" i="10"/>
  <c r="D58" i="10"/>
  <c r="D44" i="10"/>
  <c r="D53" i="10" s="1"/>
  <c r="J16" i="10" l="1"/>
  <c r="G41" i="13" l="1"/>
  <c r="N20" i="14"/>
  <c r="H41" i="13" l="1"/>
  <c r="I41" i="13"/>
  <c r="F70"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Rieska Dommann</author>
  </authors>
  <commentList>
    <comment ref="G10" authorId="0" shapeId="0" xr:uid="{00000000-0006-0000-0000-000001000000}">
      <text>
        <r>
          <rPr>
            <sz val="9"/>
            <color indexed="81"/>
            <rFont val="Arial"/>
            <family val="2"/>
          </rPr>
          <t xml:space="preserve">
Diese Eingabe wird im Titel bei den folgenden Blättern übernommen:
- U-Wert homogen
- U-Wert Fenster
- U-Wert inhomogen
- Ausdruck Nachweis.
</t>
        </r>
      </text>
    </comment>
    <comment ref="B26" authorId="0" shapeId="0" xr:uid="{00000000-0006-0000-0000-000002000000}">
      <text>
        <r>
          <rPr>
            <sz val="9"/>
            <color indexed="81"/>
            <rFont val="Arial"/>
            <family val="2"/>
          </rPr>
          <t xml:space="preserve">
Ziff. 2.3.3: Zur Vereinfachung der Berechnung können Gebäudeteile beliebig einer anderen Gebäudekategorie mit einem höheren Energiebezugsflächen-Anteil zugeschrieben werden, sofern deren Standardnutzung die gleiche oder eine höhere Raumtemperatur hat. Gebäudeteile mit insgesamt höchstens 10 % der gesamten Energiebezugsfläche können in jedem Fall einer anderen Gebäudekategorie als der eigentlich zutreffenden Kategorie zugeschrieben werden.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Rieska Dommann</author>
  </authors>
  <commentList>
    <comment ref="C6" authorId="0" shapeId="0" xr:uid="{00000000-0006-0000-0200-000001000000}">
      <text>
        <r>
          <rPr>
            <sz val="9"/>
            <color indexed="81"/>
            <rFont val="Arial"/>
            <family val="2"/>
          </rPr>
          <t xml:space="preserve">
Dicke der Wärmedämmung in [cm]; Die Eingabe ist fakultativ.
</t>
        </r>
      </text>
    </comment>
    <comment ref="D6" authorId="0" shapeId="0" xr:uid="{00000000-0006-0000-0200-000002000000}">
      <text>
        <r>
          <rPr>
            <sz val="9"/>
            <color indexed="81"/>
            <rFont val="Arial"/>
            <family val="2"/>
          </rPr>
          <t xml:space="preserve">
Es werden die äusseren Abmessungen der thermischen Gebäudehülle verwendet. Die Bestimmung der Bauteilabmessungen ist detailliert in SIA 380 definiert.
</t>
        </r>
      </text>
    </comment>
    <comment ref="E6" authorId="0" shapeId="0" xr:uid="{00000000-0006-0000-0200-000003000000}">
      <text>
        <r>
          <rPr>
            <sz val="9"/>
            <color indexed="81"/>
            <rFont val="Arial"/>
            <family val="2"/>
          </rPr>
          <t xml:space="preserve">
Die flächenbezogenen Wärmedurchgangskoeffizienten (U-Werte) berechnen sich nach SIA 180:2014.</t>
        </r>
      </text>
    </comment>
    <comment ref="L6" authorId="0" shapeId="0" xr:uid="{00000000-0006-0000-0200-000004000000}">
      <text>
        <r>
          <rPr>
            <sz val="9"/>
            <color indexed="81"/>
            <rFont val="Arial"/>
            <family val="2"/>
          </rPr>
          <t xml:space="preserve">
Bei </t>
        </r>
        <r>
          <rPr>
            <b/>
            <sz val="9"/>
            <color indexed="81"/>
            <rFont val="Arial"/>
            <family val="2"/>
          </rPr>
          <t>Bauteiheizungen</t>
        </r>
        <r>
          <rPr>
            <sz val="9"/>
            <color indexed="81"/>
            <rFont val="Arial"/>
            <family val="2"/>
          </rPr>
          <t xml:space="preserve"> wird der Temperaturzuschlag auf das ganzen Bauteil angewendet. Der Temperaturzuschlag entspricht der mittleren Temperatur der Heizflächen.
Als Eingabegrösse dient die Vorlauftemperatur bei Auslegungstemperatur.
</t>
        </r>
      </text>
    </comment>
    <comment ref="C275" authorId="0" shapeId="0" xr:uid="{00000000-0006-0000-0200-000005000000}">
      <text>
        <r>
          <rPr>
            <sz val="9"/>
            <color indexed="81"/>
            <rFont val="Arial"/>
            <family val="2"/>
          </rPr>
          <t xml:space="preserve">
Die Orientierung geben Sie bitte wie folgt ein:
N, O, S, W oder
NO, SO, SW, NW oder
NNO, ONO, OSO, SSO, SSW, WSW, WNW, NNW
Glasflächen bis zu einer Neigung von 60° (horizontal 0°, vertikal 90°) werden der horizontalen Ausrichtung zugeordnet. Glasflächen mit grösserem Neigungswinkel werden den vertikalen Ausrichtungen zugeordnet.</t>
        </r>
      </text>
    </comment>
    <comment ref="D275" authorId="0" shapeId="0" xr:uid="{00000000-0006-0000-0200-000006000000}">
      <text>
        <r>
          <rPr>
            <sz val="9"/>
            <color indexed="81"/>
            <rFont val="Arial"/>
            <family val="2"/>
          </rPr>
          <t xml:space="preserve">
Als Öffnungsfläche gilt das lichte Mass der Wand- bzw. Dachöffnung für Fenster.</t>
        </r>
      </text>
    </comment>
    <comment ref="F275" authorId="0" shapeId="0" xr:uid="{00000000-0006-0000-0200-000007000000}">
      <text>
        <r>
          <rPr>
            <sz val="9"/>
            <color indexed="81"/>
            <rFont val="Arial"/>
            <family val="2"/>
          </rPr>
          <t xml:space="preserve">
Ohne Nachweis besserer Werte sind die folgenden Werte zu verwenden (Tabelle 19, SIA 380/1:2016):
- 2-IV-IR    Wärmeschutzglas        0.55
- 3-IV-IR    Wärmeschutzglas        0.50
</t>
        </r>
      </text>
    </comment>
    <comment ref="G275" authorId="0" shapeId="0" xr:uid="{00000000-0006-0000-0200-000008000000}">
      <text>
        <r>
          <rPr>
            <sz val="9"/>
            <color indexed="81"/>
            <rFont val="Arial"/>
            <family val="2"/>
          </rPr>
          <t xml:space="preserve">
Der Abminderungsfaktor für Fensterrahmen ergibt sich aus dem Verhältnis der Glasfläche zur Fensterfläche. Sofern kein anderer Wert nachgewiesen wird, ist der Rechenwert 0.75 zu verwenden.
Der Abminderungsfaktor dient zur Berechnung der solaren Wärmegewinne.
</t>
        </r>
      </text>
    </comment>
    <comment ref="H275" authorId="0" shapeId="0" xr:uid="{00000000-0006-0000-0200-000009000000}">
      <text>
        <r>
          <rPr>
            <sz val="9"/>
            <color indexed="81"/>
            <rFont val="Arial"/>
            <family val="2"/>
          </rPr>
          <t xml:space="preserve">
</t>
        </r>
        <r>
          <rPr>
            <b/>
            <sz val="9"/>
            <color indexed="81"/>
            <rFont val="Arial"/>
            <family val="2"/>
          </rPr>
          <t>Verschattungsfaktor Horizont fs1</t>
        </r>
        <r>
          <rPr>
            <sz val="9"/>
            <color indexed="81"/>
            <rFont val="Arial"/>
            <family val="2"/>
          </rPr>
          <t xml:space="preserve">
</t>
        </r>
        <r>
          <rPr>
            <b/>
            <i/>
            <sz val="9"/>
            <color indexed="81"/>
            <rFont val="Arial"/>
            <family val="2"/>
          </rPr>
          <t xml:space="preserve">SIA 380/1:2016:
</t>
        </r>
        <r>
          <rPr>
            <sz val="9"/>
            <color indexed="81"/>
            <rFont val="Arial"/>
            <family val="2"/>
          </rPr>
          <t xml:space="preserve">Der Verschattungsfaktor Horizont kann fassadenweise bestimmt werden. Der Horizontwinkel wird bezüglich der Fassadenmitte bestimmt. Es wird die im Zeitpunkt der Berechnung effektiv vorhandene Bauweise und bei aus mehreren Gebäuden bestehenden Projekten die Beschattung durch andere Gebäude des Projekts berücksichtigt.
</t>
        </r>
        <r>
          <rPr>
            <b/>
            <i/>
            <sz val="9"/>
            <color indexed="81"/>
            <rFont val="Arial"/>
            <family val="2"/>
          </rPr>
          <t xml:space="preserve">Regelung gemäss Vollzugshilfe EN-102 zu MuKEn 2014:
</t>
        </r>
        <r>
          <rPr>
            <sz val="9"/>
            <color indexed="81"/>
            <rFont val="Arial"/>
            <family val="2"/>
          </rPr>
          <t xml:space="preserve">Ohne speziellen Nachweis kann für den Verschattungsfaktor Horizont fs1 folgender Wert verwendet werden: Horizontwinkel </t>
        </r>
        <r>
          <rPr>
            <sz val="9"/>
            <color indexed="81"/>
            <rFont val="Symbol"/>
            <charset val="2"/>
          </rPr>
          <t xml:space="preserve">a </t>
        </r>
        <r>
          <rPr>
            <sz val="9"/>
            <color indexed="81"/>
            <rFont val="Arial"/>
            <family val="2"/>
          </rPr>
          <t xml:space="preserve">= 30° wenn die Zonenvorschriften drei- oder mehrgeschossige Nachbarbauten zulässt oder wenn die Nachbarbauten höher sind als der zu berechnende Bau. In allen anderen Fällen </t>
        </r>
        <r>
          <rPr>
            <sz val="9"/>
            <color indexed="81"/>
            <rFont val="Symbol"/>
            <charset val="2"/>
          </rPr>
          <t>a</t>
        </r>
        <r>
          <rPr>
            <sz val="9"/>
            <color indexed="81"/>
            <rFont val="Arial"/>
            <family val="2"/>
          </rPr>
          <t xml:space="preserve"> = 20°.
</t>
        </r>
      </text>
    </comment>
    <comment ref="I275" authorId="0" shapeId="0" xr:uid="{00000000-0006-0000-0200-00000A000000}">
      <text>
        <r>
          <rPr>
            <sz val="9"/>
            <color indexed="81"/>
            <rFont val="Arial"/>
            <family val="2"/>
          </rPr>
          <t xml:space="preserve">
</t>
        </r>
        <r>
          <rPr>
            <b/>
            <sz val="9"/>
            <color indexed="81"/>
            <rFont val="Arial"/>
            <family val="2"/>
          </rPr>
          <t>Verschattungsfaktor Überhang fs2</t>
        </r>
        <r>
          <rPr>
            <sz val="9"/>
            <color indexed="81"/>
            <rFont val="Arial"/>
            <family val="2"/>
          </rPr>
          <t xml:space="preserve">
Der Verschattungsfaktor Überhang muss fensterweise bestimmt werden. Der Winkel wird bezüglich der Fenstermitte bestimmt.
</t>
        </r>
      </text>
    </comment>
    <comment ref="J275" authorId="0" shapeId="0" xr:uid="{00000000-0006-0000-0200-00000B000000}">
      <text>
        <r>
          <rPr>
            <sz val="9"/>
            <color indexed="81"/>
            <rFont val="Arial"/>
            <family val="2"/>
          </rPr>
          <t xml:space="preserve">
</t>
        </r>
        <r>
          <rPr>
            <b/>
            <sz val="9"/>
            <color indexed="81"/>
            <rFont val="Arial"/>
            <family val="2"/>
          </rPr>
          <t>Verschattungsfaktor Seitenblende fs3</t>
        </r>
        <r>
          <rPr>
            <sz val="9"/>
            <color indexed="81"/>
            <rFont val="Arial"/>
            <family val="2"/>
          </rPr>
          <t xml:space="preserve">
</t>
        </r>
        <r>
          <rPr>
            <b/>
            <u/>
            <sz val="9"/>
            <color indexed="81"/>
            <rFont val="Arial"/>
            <family val="2"/>
          </rPr>
          <t>In der ersten Spalte werden die Seitenblenden zwischen WNW und ONO erfasst.
Bei Fenstern mit beidseitigen Seitenblenden wird die Seitenblende bei Fenstern zwischen Südosten bis Südwesten in der zweiten Spalte erfasst.</t>
        </r>
        <r>
          <rPr>
            <sz val="9"/>
            <color indexed="81"/>
            <rFont val="Arial"/>
            <family val="2"/>
          </rPr>
          <t xml:space="preserve">
Die Verschattungsfaktoren Seitenblende müssen fensterweise und für beiden Seiten bestimmt werden. Der jeweilige Winkel wird bezüglich der Fenstermitte bestimmt. Der Rechenwert gilt für eine einseitige Blende. Bei nach Osten oder Westen orientierten Fenstern gilt er für auf der Südseite des Fensters liegende Seitenblenden; für auf der Nordseite liegende Seitenblenden gilt der Faktor 1.0. Bei nach Südosten bis Südwesten orientierten Fenstern mit beidseitigen Seitenblenden müssen die beiden Rechenwerte miteinander multipliziert werden.
</t>
        </r>
      </text>
    </comment>
    <comment ref="K275" authorId="0" shapeId="0" xr:uid="{00000000-0006-0000-0200-00000C000000}">
      <text>
        <r>
          <rPr>
            <sz val="9"/>
            <color indexed="81"/>
            <rFont val="Arial"/>
            <family val="2"/>
          </rPr>
          <t xml:space="preserve">
</t>
        </r>
        <r>
          <rPr>
            <b/>
            <sz val="9"/>
            <color indexed="81"/>
            <rFont val="Arial"/>
            <family val="2"/>
          </rPr>
          <t>Verschattungsfaktor Seitenblende fs3</t>
        </r>
        <r>
          <rPr>
            <sz val="9"/>
            <color indexed="81"/>
            <rFont val="Arial"/>
            <family val="2"/>
          </rPr>
          <t xml:space="preserve">
In dieser Spalte werden nur Seitenblenden von Fenstern mit beidseitigen Seitenblenden und Orientierung nach Südosten bis Südwesten erfasst.</t>
        </r>
      </text>
    </comment>
    <comment ref="L275" authorId="0" shapeId="0" xr:uid="{00000000-0006-0000-0200-00000D000000}">
      <text>
        <r>
          <rPr>
            <b/>
            <sz val="9"/>
            <color indexed="81"/>
            <rFont val="Geneva"/>
            <family val="2"/>
          </rPr>
          <t xml:space="preserve">
</t>
        </r>
        <r>
          <rPr>
            <sz val="9"/>
            <color indexed="81"/>
            <rFont val="Arial"/>
            <family val="2"/>
          </rPr>
          <t xml:space="preserve">Bei vorgelagerten </t>
        </r>
        <r>
          <rPr>
            <b/>
            <sz val="9"/>
            <color indexed="81"/>
            <rFont val="Arial"/>
            <family val="2"/>
          </rPr>
          <t>Heizkörpern</t>
        </r>
        <r>
          <rPr>
            <sz val="9"/>
            <color indexed="81"/>
            <rFont val="Arial"/>
            <family val="2"/>
          </rPr>
          <t xml:space="preserve"> wird der Temperaturzuschlag auf die Fläche der Heizkörper (d.h. Heizkörper inkl. Zwischenräume projiziert auf das Fenster) angewendet. Der Temperaturzuschlag entspricht der mittleren Temperatur der Heizflächen.
Als Eingabegrösse dient die Vorlauftemperatur bei Auslegungstemperatur.</t>
        </r>
      </text>
    </comment>
    <comment ref="B559" authorId="0" shapeId="0" xr:uid="{00000000-0006-0000-0200-00000E000000}">
      <text>
        <r>
          <rPr>
            <sz val="9"/>
            <color indexed="81"/>
            <rFont val="Arial"/>
            <family val="2"/>
          </rPr>
          <t xml:space="preserve">
Glasflächen bis zu einer Neigung von 60° (horizontal 0°, vertikal 90°) werden der horizontalen Ausrichtung zugeordnet. Glasflächen mit grösserem Neigungswinkel werden den vertikalen Ausrichtungen zugeordnet.
</t>
        </r>
      </text>
    </comment>
    <comment ref="H559" authorId="0" shapeId="0" xr:uid="{00000000-0006-0000-0200-00000F000000}">
      <text>
        <r>
          <rPr>
            <sz val="9"/>
            <color indexed="81"/>
            <rFont val="Arial"/>
            <family val="2"/>
          </rPr>
          <t xml:space="preserve">
</t>
        </r>
        <r>
          <rPr>
            <b/>
            <sz val="9"/>
            <color indexed="81"/>
            <rFont val="Arial"/>
            <family val="2"/>
          </rPr>
          <t>Verschattungsfaktor für Fenster in horizontalen Flächen</t>
        </r>
        <r>
          <rPr>
            <sz val="9"/>
            <color indexed="81"/>
            <rFont val="Arial"/>
            <family val="2"/>
          </rPr>
          <t xml:space="preserve">
Für Fenster in horizontalen Flächen wird nur der Verschattungsfaktor Horizont fs1 angewendet. Der Horizontwinkel wird für alle vier Himmelsrichtungen bezüglich der Fenstermitte bestimmt, wobei die Beschattung durch das Gebäude selbst mitberücksichtigt wird. Der Verschattungsfaktor fs ergibt sich aus der Multiplikation der Werte für die vier Himmelsrichtungen.
</t>
        </r>
      </text>
    </comment>
    <comment ref="L559" authorId="0" shapeId="0" xr:uid="{00000000-0006-0000-0200-000010000000}">
      <text>
        <r>
          <rPr>
            <b/>
            <sz val="9"/>
            <color indexed="81"/>
            <rFont val="Geneva"/>
            <family val="2"/>
          </rPr>
          <t xml:space="preserve">
</t>
        </r>
        <r>
          <rPr>
            <sz val="9"/>
            <color indexed="81"/>
            <rFont val="Arial"/>
            <family val="2"/>
          </rPr>
          <t xml:space="preserve">Bei vorgelagerten </t>
        </r>
        <r>
          <rPr>
            <b/>
            <sz val="9"/>
            <color indexed="81"/>
            <rFont val="Arial"/>
            <family val="2"/>
          </rPr>
          <t>Heizkörpern</t>
        </r>
        <r>
          <rPr>
            <sz val="9"/>
            <color indexed="81"/>
            <rFont val="Arial"/>
            <family val="2"/>
          </rPr>
          <t xml:space="preserve"> wird der Temperaturzuschlag auf die Fläche der Heizkörper (d.h. Heizkörper inkl. Zwischenräume projiziert auf das Fenster) angewendet. Der Temperaturzuschlag entspricht der mittleren Temperatur der Heizflächen.
Als Eingabegrösse dient die Vorlauftemperatur bei Auslegungstemperatur.</t>
        </r>
      </text>
    </comment>
    <comment ref="F716" authorId="0" shapeId="0" xr:uid="{00000000-0006-0000-0200-000011000000}">
      <text>
        <r>
          <rPr>
            <sz val="8"/>
            <color indexed="81"/>
            <rFont val="Arial"/>
            <family val="2"/>
          </rPr>
          <t xml:space="preserve">
</t>
        </r>
        <r>
          <rPr>
            <b/>
            <sz val="8"/>
            <color indexed="81"/>
            <rFont val="Arial"/>
            <family val="2"/>
          </rPr>
          <t>Beachte: Bei Wärmebrücken gegen Aussenklima gilt b = 1.0!</t>
        </r>
        <r>
          <rPr>
            <sz val="8"/>
            <color indexed="81"/>
            <rFont val="Arial"/>
            <family val="2"/>
          </rPr>
          <t xml:space="preserve">
Reduktionsfaktor b gegen unbeheizte Räume (gegen Erdreich siehe Tab. 18, SIA 380/1:2016):
1. Angrenzender Raum unbeheizt, ungedämmt und/oder undicht:
- Estrichraum, Schrägdach; b = 0.90
- Kellerraum ganz im Erdreich; b = 0.70
- Kellerraum teilweise oder ganz über dem Erdreich; b = 0.80
- angebauter Raum; b = 0.80
- Glasvorbauten; b = 0.90
2. Angrenzender Raum unbeheizt, gedämmt und luftdicht (Uue &lt; 0.40 W/m2K):
- Estrichraum, Schrägdach; b = 0.70
- Kellerraum ganz im Erdreich; b = 0.50
- Kellerraum teilweise oder ganz über dem Erdreich; b = 0.70
- angebauter Raum; b = 0.70</t>
        </r>
      </text>
    </comment>
    <comment ref="F928" authorId="0" shapeId="0" xr:uid="{00000000-0006-0000-0200-000012000000}">
      <text>
        <r>
          <rPr>
            <b/>
            <sz val="8"/>
            <color indexed="81"/>
            <rFont val="Arial"/>
            <family val="2"/>
          </rPr>
          <t xml:space="preserve">
Beachte: Bei Wärmebrücken gegen Aussenklima gilt b = 1.0!</t>
        </r>
        <r>
          <rPr>
            <sz val="8"/>
            <color indexed="81"/>
            <rFont val="Arial"/>
            <family val="2"/>
          </rPr>
          <t xml:space="preserve">
Reduktionsfaktor b gegen unbeheizte Räume (gegen Erdreich siehe Tab. 18, SIA 380/1:2016):
1. Angrenzender Raum unbeheizt, ungedämmt und/oder undicht:
- Estrichraum, Schrägdach; b = 0.90
- Kellerraum ganz im Erdreich; b = 0.70
- Kellerraum teilweise oder ganz über dem Erdreich; b = 0.80
- angebauter Raum; b = 0.80
- Glasvorbauten; b = 0.90
2. Angrenzender Raum unbeheizt, gedämmt und luftdicht (Uue &lt; 0.40 W/m2K):
- Estrichraum, Schrägdach; b = 0.70
- Kellerraum ganz im Erdreich; b = 0.50
- Kellerraum teilweise oder ganz über dem Erdreich; b = 0.70
- angebauter Raum; b = 0.70</t>
        </r>
      </text>
    </comment>
    <comment ref="F986" authorId="0" shapeId="0" xr:uid="{00000000-0006-0000-0200-000013000000}">
      <text>
        <r>
          <rPr>
            <sz val="8"/>
            <color indexed="81"/>
            <rFont val="Arial"/>
            <family val="2"/>
          </rPr>
          <t xml:space="preserve">
1. Angrenzender Raum unbeheizt, ungedämmt und/oder undicht:
- Estrichraum, Schrägdach; b = 0.90
2. Angrenzender Raum unbeheizt, gedämmt und luftdicht (Uue &lt; 0.40 W/m2K):
- Estrichraum, Schrägdach; b = 0.70</t>
        </r>
      </text>
    </comment>
    <comment ref="F1042" authorId="0" shapeId="0" xr:uid="{00000000-0006-0000-0200-000014000000}">
      <text>
        <r>
          <rPr>
            <sz val="8"/>
            <color indexed="81"/>
            <rFont val="Arial"/>
            <family val="2"/>
          </rPr>
          <t xml:space="preserve">
Reduktionsfaktor b gegen unbeheizte Räume (gegen Erdreich siehe Tab. 18, SIA 380/1:2016):
1. Angrenzender Raum unbeheizt, ungedämmt und/oder undicht:
- Kellerraum ganz im Erdreich; b = 0.70
- Kellerraum teilweise oder ganz über dem Erdreich; b = 0.80
- angebauter Raum; b = 0.80
- Glasvorbauten; b = 0.90
2. Angrenzender Raum unbeheizt, gedämmt und luftdicht (Uue &lt; 0.40 W/m2K):
- Kellerraum ganz im Erdreich; b = 0.50
- Kellerraum teilweise oder ganz über dem Erdreich; b = 0.70
- angebauter Raum; b = 0.70</t>
        </r>
      </text>
    </comment>
    <comment ref="F1163" authorId="0" shapeId="0" xr:uid="{00000000-0006-0000-0200-000015000000}">
      <text>
        <r>
          <rPr>
            <sz val="8"/>
            <color indexed="81"/>
            <rFont val="Arial"/>
            <family val="2"/>
          </rPr>
          <t xml:space="preserve">
Reduktionsfaktor b gegen unbeheizte Räume (gegen Erdreich siehe Tab. 18, SIA 380/1:2016):
1. Angrenzender Raum unbeheizt, ungedämmt und/oder undicht:
- Kellerraum ganz im Erdreich; b = 0.70
- Kellerraum teilweise oder ganz über dem Erdreich; b = 0.80
- angebauter Raum; b = 0.80
2. Angrenzender Raum unbeheizt, gedämmt und luftdicht (Uue &lt; 0.40 W/m2K):
- Kellerraum ganz im Erdreich; b = 0.50
- Kellerraum teilweise oder ganz über dem Erdreich; b = 0.70
- angebauter Raum; b = 0.70</t>
        </r>
      </text>
    </comment>
    <comment ref="F1271" authorId="0" shapeId="0" xr:uid="{00000000-0006-0000-0200-000016000000}">
      <text>
        <r>
          <rPr>
            <sz val="8"/>
            <color indexed="81"/>
            <rFont val="Arial"/>
            <family val="2"/>
          </rPr>
          <t xml:space="preserve">
Reduktionsfaktor b gegen unbeheizte Räume (gegen Erdreich siehe Tab. 18, SIA 380/1:2016):
1. Angrenzender Raum unbeheizt, ungedämmt und/oder undicht:
- Estrichraum, Schrägdach; b = 0.90
- Kellerraum ganz im Erdreich; b = 0.70
- Kellerraum teilweise oder ganz über dem Erdreich; b = 0.80
- angebauter Raum; b = 0.80
- Glasvorbauten; b = 0.90
2. Angrenzender Raum unbeheizt, gedämmt und luftdicht (Uue &lt; 0.40 W/m2K):
- Estrichraum, Schrägdach; b = 0.70
- Kellerraum ganz im Erdreich; b = 0.50
- Kellerraum teilweise oder ganz über dem Erdreich; b = 0.70
- angebauter Raum; b = 0.70</t>
        </r>
      </text>
    </comment>
    <comment ref="F1314" authorId="0" shapeId="0" xr:uid="{00000000-0006-0000-0200-000017000000}">
      <text>
        <r>
          <rPr>
            <sz val="8"/>
            <color indexed="81"/>
            <rFont val="Arial"/>
            <family val="2"/>
          </rPr>
          <t xml:space="preserve">
Reduktionsfaktor b gegen unbeheizte Räume (gegen Erdreich siehe Tab. 18, SIA 380/1:2016):
1. Angrenzender Raum unbeheizt, ungedämmt und/oder undicht:
- Estrichraum, Schrägdach; b = 0.90
- Kellerraum ganz im Erdreich; b = 0.70
- Kellerraum teilweise oder ganz über dem Erdreich; b = 0.80
- angebauter Raum; b = 0.80
- Glasvorbauten; b = 0.90
2. Angrenzender Raum unbeheizt, gedämmt und luftdicht (Uue &lt; 0.40 W/m2K):
- Estrichraum, Schrägdach; b = 0.70
- Kellerraum ganz im Erdreich; b = 0.50
- Kellerraum teilweise oder ganz über dem Erdreich; b = 0.70
- angebauter Raum; b = 0.70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Rieska Dommann</author>
  </authors>
  <commentList>
    <comment ref="B7" authorId="0" shapeId="0" xr:uid="{00000000-0006-0000-0400-000001000000}">
      <text>
        <r>
          <rPr>
            <sz val="9"/>
            <color indexed="81"/>
            <rFont val="Arial"/>
            <family val="2"/>
          </rPr>
          <t xml:space="preserve">
Wählen Sie "Lüftung ein", um die Auswirkungen der mechanischen Lüftungsanlage mit WRG auf den Heizwärmebedarf zu überprüfen oder den Heizwärmebedarf unter Berücksichtigung der mechanischen Lüftungsanlage mit WRG für einen Minergie-Nachweis zu berechnen.
</t>
        </r>
        <r>
          <rPr>
            <b/>
            <sz val="9"/>
            <color indexed="81"/>
            <rFont val="Arial"/>
            <family val="2"/>
          </rPr>
          <t>Beachte:</t>
        </r>
        <r>
          <rPr>
            <sz val="9"/>
            <color indexed="81"/>
            <rFont val="Arial"/>
            <family val="2"/>
          </rPr>
          <t xml:space="preserve"> Für den gesetzlichen Nachweis des genügenden Wärmeschutzes muss auch bei einem Gebäude mit mechanischer Lüftung mit dem Standardnutzungswert für den Aussenluft-Volumenstrom in einem entsprechenden natürlich belüfteten Gebäude gerechnet werden. Entsprechend muss "Lüftung aus" gewählt sein.
</t>
        </r>
      </text>
    </comment>
    <comment ref="N7" authorId="0" shapeId="0" xr:uid="{00000000-0006-0000-0400-000002000000}">
      <text>
        <r>
          <rPr>
            <sz val="9"/>
            <color indexed="81"/>
            <rFont val="Arial"/>
            <family val="2"/>
          </rPr>
          <t xml:space="preserve">
Geben Sie hier die Anzahl Wohn- und Schlafräume ein.</t>
        </r>
      </text>
    </comment>
    <comment ref="N10" authorId="0" shapeId="0" xr:uid="{00000000-0006-0000-0400-000003000000}">
      <text>
        <r>
          <rPr>
            <sz val="9"/>
            <color indexed="81"/>
            <rFont val="Arial"/>
            <family val="2"/>
          </rPr>
          <t xml:space="preserve">
Bei den Komfortlüftungen gilt heute als Standard: Wärmetauscher mit Temperaturänderungsgrad von mindestens 80 %.
</t>
        </r>
      </text>
    </comment>
    <comment ref="I50" authorId="0" shapeId="0" xr:uid="{00000000-0006-0000-0400-000004000000}">
      <text>
        <r>
          <rPr>
            <sz val="9"/>
            <color indexed="81"/>
            <rFont val="Arial"/>
            <family val="2"/>
          </rPr>
          <t xml:space="preserve">
Sie können den thermisch wirksamen Aussenluft-Volumenstrom direkt in diesem Feld eingeben; z.B. für die Berechnung eines Minergie-Nachweises.
Um die Formel, welche den thermisch wirksamen Aussenluft-Volumenstrom berechnet nicht zu überschreiben, können Sie auch wie folgt vorgehen:
1. Geben Sie oben rechts auf dieser Seite an, wieviele Zimmer mit Zu- und Abluft Ihr Objekt aufweist.
2. Wählen Sie in der Menuleiste: Extras - Zielwertsuche.
3. Wählen Sie durch anklicken Zielzelle: I50 (therm. wirksamer Aussenluft-Volumenstrom).
4. Geben Sie den Zielwert ein (entspricht dem thermisch wirksamen Aussenluft-Volumenstrom, z.B. aus dem Minergie-Formular).
5. Wählen Sie durch anklicken Editierbare Zelle: N10
 (Wirkungsgrad der WRG).
6. OK! Das Programm berechnet nun mit dem vorgegebenen thermisch wirksamen Aussenluft-Volumentstrom den entsprechenden Wirkungsgrad der WRG (siehe oben rechts auf dieser Seite).
Oben links auf dieser Seite müssen Sie bei "Lüftung ein" anklicken, damit die Berechnung unter Berücksichtigung der mechanischen Lüftung durchgeführt wird.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Rieska Dommann</author>
  </authors>
  <commentList>
    <comment ref="G10" authorId="0" shapeId="0" xr:uid="{00000000-0006-0000-0600-000001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t>
        </r>
      </text>
    </comment>
    <comment ref="H11" authorId="0" shapeId="0" xr:uid="{00000000-0006-0000-0600-000002000000}">
      <text>
        <r>
          <rPr>
            <sz val="8"/>
            <color indexed="81"/>
            <rFont val="Arial"/>
            <family val="2"/>
          </rPr>
          <t xml:space="preserve">
raumeitige Oberfläche:
Rsi = 0.13 m2K/W</t>
        </r>
      </text>
    </comment>
    <comment ref="H21" authorId="0" shapeId="0" xr:uid="{00000000-0006-0000-0600-000003000000}">
      <text>
        <r>
          <rPr>
            <sz val="8"/>
            <color indexed="81"/>
            <rFont val="Arial"/>
            <family val="2"/>
          </rPr>
          <t xml:space="preserve">
- aussenseitige Oberfläche:
Rse = 0.04 m2K/W
- Oberfläche gegen Erdreich:
Rse = 0 m2K/W</t>
        </r>
      </text>
    </comment>
    <comment ref="G29" authorId="0" shapeId="0" xr:uid="{00000000-0006-0000-0600-000004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t>
        </r>
      </text>
    </comment>
    <comment ref="H30" authorId="0" shapeId="0" xr:uid="{00000000-0006-0000-0600-000005000000}">
      <text>
        <r>
          <rPr>
            <sz val="8"/>
            <color indexed="81"/>
            <rFont val="Arial"/>
            <family val="2"/>
          </rPr>
          <t xml:space="preserve">
raumeitige Oberfläche:
Rsi = 0.13 m2K/W</t>
        </r>
      </text>
    </comment>
    <comment ref="H40" authorId="0" shapeId="0" xr:uid="{00000000-0006-0000-0600-000006000000}">
      <text>
        <r>
          <rPr>
            <sz val="8"/>
            <color indexed="81"/>
            <rFont val="Arial"/>
            <family val="2"/>
          </rPr>
          <t xml:space="preserve">
- aussenseitige Oberfläche:
Rse = 0.04 m2K/W
- Oberfläche gegen Erdreich:
Rse = 0 m2K/W</t>
        </r>
      </text>
    </comment>
    <comment ref="G49" authorId="0" shapeId="0" xr:uid="{00000000-0006-0000-0600-000007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t>
        </r>
      </text>
    </comment>
    <comment ref="H50" authorId="0" shapeId="0" xr:uid="{00000000-0006-0000-0600-000008000000}">
      <text>
        <r>
          <rPr>
            <sz val="8"/>
            <color indexed="81"/>
            <rFont val="Arial"/>
            <family val="2"/>
          </rPr>
          <t xml:space="preserve">
raumeitige Oberfläche:
Rsi = 0.13 m2K/W</t>
        </r>
      </text>
    </comment>
    <comment ref="H60" authorId="0" shapeId="0" xr:uid="{00000000-0006-0000-0600-000009000000}">
      <text>
        <r>
          <rPr>
            <sz val="8"/>
            <color indexed="81"/>
            <rFont val="Arial"/>
            <family val="2"/>
          </rPr>
          <t xml:space="preserve">
- aussenseitige Oberfläche:
Rse = 0.04 m2K/W
- Oberfläche gegen Erdreich:
Rse = 0 m2K/W</t>
        </r>
      </text>
    </comment>
    <comment ref="G69" authorId="0" shapeId="0" xr:uid="{00000000-0006-0000-0600-00000A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t>
        </r>
      </text>
    </comment>
    <comment ref="H70" authorId="0" shapeId="0" xr:uid="{00000000-0006-0000-0600-00000B000000}">
      <text>
        <r>
          <rPr>
            <sz val="8"/>
            <color indexed="81"/>
            <rFont val="Arial"/>
            <family val="2"/>
          </rPr>
          <t xml:space="preserve">
raumeitige Oberfläche:
Rsi = 0.13 m2K/W</t>
        </r>
      </text>
    </comment>
    <comment ref="H80" authorId="0" shapeId="0" xr:uid="{00000000-0006-0000-0600-00000C000000}">
      <text>
        <r>
          <rPr>
            <sz val="8"/>
            <color indexed="81"/>
            <rFont val="Arial"/>
            <family val="2"/>
          </rPr>
          <t xml:space="preserve">
- aussenseitige Oberfläche:
Rse = 0.04 m2K/W
- Oberfläche gegen Erdreich:
Rse = 0 m2K/W</t>
        </r>
      </text>
    </comment>
    <comment ref="G97" authorId="0" shapeId="0" xr:uid="{00000000-0006-0000-0600-00000D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t>
        </r>
      </text>
    </comment>
    <comment ref="H98" authorId="0" shapeId="0" xr:uid="{00000000-0006-0000-0600-00000E000000}">
      <text>
        <r>
          <rPr>
            <sz val="8"/>
            <color indexed="81"/>
            <rFont val="Arial"/>
            <family val="2"/>
          </rPr>
          <t xml:space="preserve">
raumeitige Oberfläche:
Rsi = 0.13 m2K/W</t>
        </r>
      </text>
    </comment>
    <comment ref="H108" authorId="0" shapeId="0" xr:uid="{00000000-0006-0000-0600-00000F000000}">
      <text>
        <r>
          <rPr>
            <sz val="8"/>
            <color indexed="81"/>
            <rFont val="Arial"/>
            <family val="2"/>
          </rPr>
          <t xml:space="preserve">
- aussenseitige Oberfläche:
Rse = 0.04 m2K/W
- Oberfläche gegen Erdreich:
Rse = 0 m2K/W</t>
        </r>
      </text>
    </comment>
    <comment ref="G117" authorId="0" shapeId="0" xr:uid="{00000000-0006-0000-0600-000010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t>
        </r>
      </text>
    </comment>
    <comment ref="H118" authorId="0" shapeId="0" xr:uid="{00000000-0006-0000-0600-000011000000}">
      <text>
        <r>
          <rPr>
            <sz val="8"/>
            <color indexed="81"/>
            <rFont val="Arial"/>
            <family val="2"/>
          </rPr>
          <t xml:space="preserve">
raumeitige Oberfläche:
Rsi = 0.13 m2K/W</t>
        </r>
      </text>
    </comment>
    <comment ref="H128" authorId="0" shapeId="0" xr:uid="{00000000-0006-0000-0600-000012000000}">
      <text>
        <r>
          <rPr>
            <sz val="8"/>
            <color indexed="81"/>
            <rFont val="Arial"/>
            <family val="2"/>
          </rPr>
          <t xml:space="preserve">
- aussenseitige Oberfläche:
Rse = 0.04 m2K/W
- Oberfläche gegen Erdreich:
Rse = 0 m2K/W</t>
        </r>
      </text>
    </comment>
    <comment ref="G137" authorId="0" shapeId="0" xr:uid="{00000000-0006-0000-0600-000013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t>
        </r>
      </text>
    </comment>
    <comment ref="H138" authorId="0" shapeId="0" xr:uid="{00000000-0006-0000-0600-000014000000}">
      <text>
        <r>
          <rPr>
            <sz val="8"/>
            <color indexed="81"/>
            <rFont val="Arial"/>
            <family val="2"/>
          </rPr>
          <t xml:space="preserve">
raumeitige Oberfläche:
Rsi = 0.13 m2K/W</t>
        </r>
      </text>
    </comment>
    <comment ref="H148" authorId="0" shapeId="0" xr:uid="{00000000-0006-0000-0600-000015000000}">
      <text>
        <r>
          <rPr>
            <sz val="8"/>
            <color indexed="81"/>
            <rFont val="Arial"/>
            <family val="2"/>
          </rPr>
          <t xml:space="preserve">
- aussenseitige Oberfläche:
Rse = 0.04 m2K/W
- Oberfläche gegen Erdreich:
Rse = 0 m2K/W</t>
        </r>
      </text>
    </comment>
    <comment ref="G157" authorId="0" shapeId="0" xr:uid="{00000000-0006-0000-0600-000016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t>
        </r>
      </text>
    </comment>
    <comment ref="H158" authorId="0" shapeId="0" xr:uid="{00000000-0006-0000-0600-000017000000}">
      <text>
        <r>
          <rPr>
            <sz val="8"/>
            <color indexed="81"/>
            <rFont val="Arial"/>
            <family val="2"/>
          </rPr>
          <t xml:space="preserve">
raumeitige Oberfläche:
Rsi = 0.13 m2K/W</t>
        </r>
      </text>
    </comment>
    <comment ref="H168" authorId="0" shapeId="0" xr:uid="{00000000-0006-0000-0600-000018000000}">
      <text>
        <r>
          <rPr>
            <sz val="8"/>
            <color indexed="81"/>
            <rFont val="Arial"/>
            <family val="2"/>
          </rPr>
          <t xml:space="preserve">
- aussenseitige Oberfläche:
Rse = 0.04 m2K/W
- Oberfläche gegen Erdreich:
Rse = 0 m2K/W</t>
        </r>
      </text>
    </comment>
    <comment ref="G185" authorId="0" shapeId="0" xr:uid="{00000000-0006-0000-0600-000019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t>
        </r>
      </text>
    </comment>
    <comment ref="H186" authorId="0" shapeId="0" xr:uid="{00000000-0006-0000-0600-00001A000000}">
      <text>
        <r>
          <rPr>
            <sz val="8"/>
            <color indexed="81"/>
            <rFont val="Arial"/>
            <family val="2"/>
          </rPr>
          <t xml:space="preserve">
raumeitige Oberfläche:
Rsi = 0.13 m2K/W</t>
        </r>
      </text>
    </comment>
    <comment ref="H196" authorId="0" shapeId="0" xr:uid="{00000000-0006-0000-0600-00001B000000}">
      <text>
        <r>
          <rPr>
            <sz val="8"/>
            <color indexed="81"/>
            <rFont val="Arial"/>
            <family val="2"/>
          </rPr>
          <t xml:space="preserve">
- aussenseitige Oberfläche:
Rse = 0.04 m2K/W
- Oberfläche gegen Erdreich:
Rse = 0 m2K/W</t>
        </r>
      </text>
    </comment>
    <comment ref="G205" authorId="0" shapeId="0" xr:uid="{00000000-0006-0000-0600-00001C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t>
        </r>
      </text>
    </comment>
    <comment ref="H206" authorId="0" shapeId="0" xr:uid="{00000000-0006-0000-0600-00001D000000}">
      <text>
        <r>
          <rPr>
            <sz val="8"/>
            <color indexed="81"/>
            <rFont val="Arial"/>
            <family val="2"/>
          </rPr>
          <t xml:space="preserve">
raumeitige Oberfläche:
Rsi = 0.13 m2K/W</t>
        </r>
      </text>
    </comment>
    <comment ref="H216" authorId="0" shapeId="0" xr:uid="{00000000-0006-0000-0600-00001E000000}">
      <text>
        <r>
          <rPr>
            <sz val="8"/>
            <color indexed="81"/>
            <rFont val="Arial"/>
            <family val="2"/>
          </rPr>
          <t xml:space="preserve">
- aussenseitige Oberfläche:
Rse = 0.04 m2K/W
- Oberfläche gegen Erdreich:
Rse = 0 m2K/W</t>
        </r>
      </text>
    </comment>
    <comment ref="G225" authorId="0" shapeId="0" xr:uid="{00000000-0006-0000-0600-00001F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t>
        </r>
      </text>
    </comment>
    <comment ref="H226" authorId="0" shapeId="0" xr:uid="{00000000-0006-0000-0600-000020000000}">
      <text>
        <r>
          <rPr>
            <sz val="8"/>
            <color indexed="81"/>
            <rFont val="Arial"/>
            <family val="2"/>
          </rPr>
          <t xml:space="preserve">
raumeitige Oberfläche:
Rsi = 0.13 m2K/W</t>
        </r>
      </text>
    </comment>
    <comment ref="H236" authorId="0" shapeId="0" xr:uid="{00000000-0006-0000-0600-000021000000}">
      <text>
        <r>
          <rPr>
            <sz val="8"/>
            <color indexed="81"/>
            <rFont val="Arial"/>
            <family val="2"/>
          </rPr>
          <t xml:space="preserve">
- aussenseitige Oberfläche:
Rse = 0.04 m2K/W
- Oberfläche gegen Erdreich:
Rse = 0 m2K/W</t>
        </r>
      </text>
    </comment>
    <comment ref="G245" authorId="0" shapeId="0" xr:uid="{00000000-0006-0000-0600-000022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t>
        </r>
      </text>
    </comment>
    <comment ref="H246" authorId="0" shapeId="0" xr:uid="{00000000-0006-0000-0600-000023000000}">
      <text>
        <r>
          <rPr>
            <sz val="8"/>
            <color indexed="81"/>
            <rFont val="Arial"/>
            <family val="2"/>
          </rPr>
          <t xml:space="preserve">
raumeitige Oberfläche:
Rsi = 0.13 m2K/W</t>
        </r>
      </text>
    </comment>
    <comment ref="H256" authorId="0" shapeId="0" xr:uid="{00000000-0006-0000-0600-000024000000}">
      <text>
        <r>
          <rPr>
            <sz val="8"/>
            <color indexed="81"/>
            <rFont val="Arial"/>
            <family val="2"/>
          </rPr>
          <t xml:space="preserve">
- aussenseitige Oberfläche:
Rse = 0.04 m2K/W
- Oberfläche gegen Erdreich:
Rse = 0 m2K/W</t>
        </r>
      </text>
    </comment>
    <comment ref="G273" authorId="0" shapeId="0" xr:uid="{00000000-0006-0000-0600-000025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t>
        </r>
      </text>
    </comment>
    <comment ref="H274" authorId="0" shapeId="0" xr:uid="{00000000-0006-0000-0600-000026000000}">
      <text>
        <r>
          <rPr>
            <sz val="8"/>
            <color indexed="81"/>
            <rFont val="Arial"/>
            <family val="2"/>
          </rPr>
          <t xml:space="preserve">
raumeitige Oberfläche:
Rsi = 0.13 m2K/W</t>
        </r>
      </text>
    </comment>
    <comment ref="H284" authorId="0" shapeId="0" xr:uid="{00000000-0006-0000-0600-000027000000}">
      <text>
        <r>
          <rPr>
            <sz val="8"/>
            <color indexed="81"/>
            <rFont val="Arial"/>
            <family val="2"/>
          </rPr>
          <t xml:space="preserve">
- aussenseitige Oberfläche:
Rse = 0.04 m2K/W
- Oberfläche gegen Erdreich:
Rse = 0 m2K/W</t>
        </r>
      </text>
    </comment>
    <comment ref="G293" authorId="0" shapeId="0" xr:uid="{00000000-0006-0000-0600-000028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t>
        </r>
      </text>
    </comment>
    <comment ref="H294" authorId="0" shapeId="0" xr:uid="{00000000-0006-0000-0600-000029000000}">
      <text>
        <r>
          <rPr>
            <sz val="8"/>
            <color indexed="81"/>
            <rFont val="Arial"/>
            <family val="2"/>
          </rPr>
          <t xml:space="preserve">
raumeitige Oberfläche:
Rsi = 0.13 m2K/W</t>
        </r>
      </text>
    </comment>
    <comment ref="H304" authorId="0" shapeId="0" xr:uid="{00000000-0006-0000-0600-00002A000000}">
      <text>
        <r>
          <rPr>
            <sz val="8"/>
            <color indexed="81"/>
            <rFont val="Arial"/>
            <family val="2"/>
          </rPr>
          <t xml:space="preserve">
- aussenseitige Oberfläche:
Rse = 0.04 m2K/W
- Oberfläche gegen Erdreich:
Rse = 0 m2K/W</t>
        </r>
      </text>
    </comment>
    <comment ref="G313" authorId="0" shapeId="0" xr:uid="{00000000-0006-0000-0600-00002B000000}">
      <text>
        <r>
          <rPr>
            <sz val="9"/>
            <color indexed="81"/>
            <rFont val="Arial"/>
            <family val="2"/>
          </rPr>
          <t xml:space="preserve">
Für die </t>
        </r>
        <r>
          <rPr>
            <b/>
            <sz val="9"/>
            <color indexed="81"/>
            <rFont val="Arial"/>
            <family val="2"/>
          </rPr>
          <t>Wärmeleitfähigkeit</t>
        </r>
        <r>
          <rPr>
            <sz val="9"/>
            <color indexed="81"/>
            <rFont val="Arial"/>
            <family val="2"/>
          </rPr>
          <t xml:space="preserve"> von Wärmedämmstoffen sind die Bemessungswerte gemäss Vornorm SIA 279 zu verwenden. Für Produkte ohne Überwachungsnachweis oder wenn zwar das Material bekannt, aber das Produkt noch nicht spezifiziert ist, gelten die Bemessungswerte gemäss Vornorm SIA 279, Tabelle 1, Spalte "nicht überwacht". Soll ein überwachtes, jedoch noch nicht festgelegtes Produkt aus einer bestimmten Materialgruppe eingesetzt werden, ist der höchste Wert für diese Materialgruppe in der Spalte "überwacht" einzusetzen. Produktespezifische Werte können dem Merkblatt SIA 2001 entnommen werden.
Bei Umkehrdächern ist ohne Nachweis gemäss Norm EN ISO 6946/A1:2003, Anhang D.4, ein U-Wert-Zuschlag von 30% zu verwenden.
</t>
        </r>
      </text>
    </comment>
    <comment ref="H314" authorId="0" shapeId="0" xr:uid="{00000000-0006-0000-0600-00002C000000}">
      <text>
        <r>
          <rPr>
            <sz val="8"/>
            <color indexed="81"/>
            <rFont val="Arial"/>
            <family val="2"/>
          </rPr>
          <t xml:space="preserve">
raumeitige Oberfläche:
Rsi = 0.13 m2K/W</t>
        </r>
      </text>
    </comment>
    <comment ref="H324" authorId="0" shapeId="0" xr:uid="{00000000-0006-0000-0600-00002D000000}">
      <text>
        <r>
          <rPr>
            <sz val="8"/>
            <color indexed="81"/>
            <rFont val="Arial"/>
            <family val="2"/>
          </rPr>
          <t xml:space="preserve">
- aussenseitige Oberfläche:
Rse = 0.04 m2K/W
- Oberfläche gegen Erdreich:
Rse = 0 m2K/W</t>
        </r>
      </text>
    </comment>
    <comment ref="G333" authorId="0" shapeId="0" xr:uid="{00000000-0006-0000-0600-00002E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t>
        </r>
      </text>
    </comment>
    <comment ref="H334" authorId="0" shapeId="0" xr:uid="{00000000-0006-0000-0600-00002F000000}">
      <text>
        <r>
          <rPr>
            <sz val="8"/>
            <color indexed="81"/>
            <rFont val="Arial"/>
            <family val="2"/>
          </rPr>
          <t xml:space="preserve">
raumeitige Oberfläche:
Rsi = 0.13 m2K/W</t>
        </r>
      </text>
    </comment>
    <comment ref="H344" authorId="0" shapeId="0" xr:uid="{00000000-0006-0000-0600-000030000000}">
      <text>
        <r>
          <rPr>
            <sz val="8"/>
            <color indexed="81"/>
            <rFont val="Arial"/>
            <family val="2"/>
          </rPr>
          <t xml:space="preserve">
- aussenseitige Oberfläche:
Rse = 0.04 m2K/W
- Oberfläche gegen Erdreich:
Rse = 0 m2K/W</t>
        </r>
      </text>
    </comment>
    <comment ref="G361" authorId="0" shapeId="0" xr:uid="{00000000-0006-0000-0600-000031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t>
        </r>
      </text>
    </comment>
    <comment ref="H362" authorId="0" shapeId="0" xr:uid="{00000000-0006-0000-0600-000032000000}">
      <text>
        <r>
          <rPr>
            <sz val="8"/>
            <color indexed="81"/>
            <rFont val="Arial"/>
            <family val="2"/>
          </rPr>
          <t xml:space="preserve">
raumeitige Oberfläche:
Rsi = 0.13 m2K/W</t>
        </r>
      </text>
    </comment>
    <comment ref="H372" authorId="0" shapeId="0" xr:uid="{00000000-0006-0000-0600-000033000000}">
      <text>
        <r>
          <rPr>
            <sz val="8"/>
            <color indexed="81"/>
            <rFont val="Arial"/>
            <family val="2"/>
          </rPr>
          <t xml:space="preserve">
- aussenseitige Oberfläche:
Rse = 0.04 m2K/W
- Oberfläche gegen Erdreich:
Rse = 0 m2K/W</t>
        </r>
      </text>
    </comment>
    <comment ref="G381" authorId="0" shapeId="0" xr:uid="{00000000-0006-0000-0600-000034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t>
        </r>
      </text>
    </comment>
    <comment ref="H382" authorId="0" shapeId="0" xr:uid="{00000000-0006-0000-0600-000035000000}">
      <text>
        <r>
          <rPr>
            <sz val="8"/>
            <color indexed="81"/>
            <rFont val="Arial"/>
            <family val="2"/>
          </rPr>
          <t xml:space="preserve">
raumeitige Oberfläche:
Rsi = 0.13 m2K/W</t>
        </r>
      </text>
    </comment>
    <comment ref="H392" authorId="0" shapeId="0" xr:uid="{00000000-0006-0000-0600-000036000000}">
      <text>
        <r>
          <rPr>
            <sz val="8"/>
            <color indexed="81"/>
            <rFont val="Arial"/>
            <family val="2"/>
          </rPr>
          <t xml:space="preserve">
- aussenseitige Oberfläche:
Rse = 0.04 m2K/W
- Oberfläche gegen Erdreich:
Rse = 0 m2K/W</t>
        </r>
      </text>
    </comment>
    <comment ref="G401" authorId="0" shapeId="0" xr:uid="{00000000-0006-0000-0600-000037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t>
        </r>
      </text>
    </comment>
    <comment ref="H402" authorId="0" shapeId="0" xr:uid="{00000000-0006-0000-0600-000038000000}">
      <text>
        <r>
          <rPr>
            <sz val="8"/>
            <color indexed="81"/>
            <rFont val="Arial"/>
            <family val="2"/>
          </rPr>
          <t xml:space="preserve">
raumeitige Oberfläche:
Rsi = 0.13 m2K/W</t>
        </r>
      </text>
    </comment>
    <comment ref="H412" authorId="0" shapeId="0" xr:uid="{00000000-0006-0000-0600-000039000000}">
      <text>
        <r>
          <rPr>
            <sz val="8"/>
            <color indexed="81"/>
            <rFont val="Arial"/>
            <family val="2"/>
          </rPr>
          <t xml:space="preserve">
- aussenseitige Oberfläche:
Rse = 0.04 m2K/W
- Oberfläche gegen Erdreich:
Rse = 0 m2K/W</t>
        </r>
      </text>
    </comment>
    <comment ref="G421" authorId="0" shapeId="0" xr:uid="{00000000-0006-0000-0600-00003A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t>
        </r>
      </text>
    </comment>
    <comment ref="H422" authorId="0" shapeId="0" xr:uid="{00000000-0006-0000-0600-00003B000000}">
      <text>
        <r>
          <rPr>
            <sz val="8"/>
            <color indexed="81"/>
            <rFont val="Arial"/>
            <family val="2"/>
          </rPr>
          <t xml:space="preserve">
raumeitige Oberfläche:
Rsi = 0.13 m2K/W</t>
        </r>
      </text>
    </comment>
    <comment ref="H432" authorId="0" shapeId="0" xr:uid="{00000000-0006-0000-0600-00003C000000}">
      <text>
        <r>
          <rPr>
            <sz val="8"/>
            <color indexed="81"/>
            <rFont val="Arial"/>
            <family val="2"/>
          </rPr>
          <t xml:space="preserve">
- aussenseitige Oberfläche:
Rse = 0.04 m2K/W
- Oberfläche gegen Erdreich:
Rse = 0 m2K/W</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Rieska Dommann</author>
  </authors>
  <commentList>
    <comment ref="C25" authorId="0" shapeId="0" xr:uid="{00000000-0006-0000-0700-000001000000}">
      <text>
        <r>
          <rPr>
            <b/>
            <sz val="9"/>
            <color indexed="81"/>
            <rFont val="Geneva"/>
            <family val="2"/>
          </rPr>
          <t xml:space="preserve">
Nach Eingabe der Dicke der Luftschicht werden der Lambda-Wert sowie der Wärmedurchlasswiderstand R automatisch berechnet. Die Werte können bei Bedarf überschrieben werden.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Rieska Dommann</author>
  </authors>
  <commentList>
    <comment ref="Q10" authorId="0" shapeId="0" xr:uid="{00000000-0006-0000-0800-000001000000}">
      <text>
        <r>
          <rPr>
            <sz val="9"/>
            <color indexed="81"/>
            <rFont val="Arial"/>
            <family val="2"/>
          </rPr>
          <t xml:space="preserve">
Für den </t>
        </r>
        <r>
          <rPr>
            <b/>
            <sz val="9"/>
            <color indexed="81"/>
            <rFont val="Arial"/>
            <family val="2"/>
          </rPr>
          <t>Einzelbauteilnachweis</t>
        </r>
        <r>
          <rPr>
            <sz val="9"/>
            <color indexed="81"/>
            <rFont val="Arial"/>
            <family val="2"/>
          </rPr>
          <t xml:space="preserve"> muss das Normfenster verwendet werden. Beim </t>
        </r>
        <r>
          <rPr>
            <b/>
            <sz val="9"/>
            <color indexed="81"/>
            <rFont val="Arial"/>
            <family val="2"/>
          </rPr>
          <t>Systemnachweis</t>
        </r>
        <r>
          <rPr>
            <sz val="9"/>
            <color indexed="81"/>
            <rFont val="Arial"/>
            <family val="2"/>
          </rPr>
          <t xml:space="preserve"> kann das Normfenster verwendet werden.</t>
        </r>
      </text>
    </comment>
    <comment ref="S10" authorId="0" shapeId="0" xr:uid="{00000000-0006-0000-0800-000002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 ref="AA10" authorId="0" shapeId="0" xr:uid="{00000000-0006-0000-0800-000003000000}">
      <text>
        <r>
          <rPr>
            <b/>
            <sz val="9"/>
            <color indexed="81"/>
            <rFont val="Geneva"/>
            <family val="2"/>
          </rPr>
          <t xml:space="preserve">
Fehlen überwachte Angaben zu den U-Werten Uf der Rahmen, so sind folgende Werte einzusetzen (Dokumentation SIA 0221):
- Holz/Holz-Metall             1.8 W/m2K
- Kunststoff                      2.2 W/m2K
- wärmegedämmte            2.8 W/m2K
  Verbundprofile
</t>
        </r>
      </text>
    </comment>
    <comment ref="AA16" authorId="0" shapeId="0" xr:uid="{00000000-0006-0000-0800-000004000000}">
      <text>
        <r>
          <rPr>
            <b/>
            <sz val="9"/>
            <color indexed="81"/>
            <rFont val="Geneva"/>
            <family val="2"/>
          </rPr>
          <t xml:space="preserve">
Ohne Nachweis besserer Werte sind die Rechenwerte gemäss Tabelle 19, SIA 380/1:2016 zu verwenden:
- 2-IV-IR Wärmeschutzglas    0.55
- 3-IV-IR Wärmeschutzglas    0.50</t>
        </r>
      </text>
    </comment>
    <comment ref="AA20" authorId="0" shapeId="0" xr:uid="{00000000-0006-0000-0800-000005000000}">
      <text>
        <r>
          <rPr>
            <b/>
            <sz val="9"/>
            <color indexed="81"/>
            <rFont val="Geneva"/>
            <family val="2"/>
          </rPr>
          <t xml:space="preserve">
Psi-Wert Glasrandverbund gemäss Dokumentation SIA D 0221</t>
        </r>
        <r>
          <rPr>
            <sz val="9"/>
            <color indexed="81"/>
            <rFont val="Geneva"/>
            <family val="2"/>
          </rPr>
          <t xml:space="preserve">
U-Wert Glas Ug = 0.5 bis 1.8 W/m2K
</t>
        </r>
        <r>
          <rPr>
            <b/>
            <sz val="9"/>
            <color indexed="81"/>
            <rFont val="Geneva"/>
            <family val="2"/>
          </rPr>
          <t>Aluminium-Abstandhalter</t>
        </r>
        <r>
          <rPr>
            <sz val="9"/>
            <color indexed="81"/>
            <rFont val="Geneva"/>
            <family val="2"/>
          </rPr>
          <t xml:space="preserve">
- Holz- oder PVC-Rahmen:   0.08 W/mK
- Metallrahmen mit              0.11 W/mK
  wärmetechnischer Trennung
- Metallrahmen ohne            0.05 W/mK
  wärmetechnische Trennung
</t>
        </r>
        <r>
          <rPr>
            <b/>
            <sz val="9"/>
            <color indexed="81"/>
            <rFont val="Geneva"/>
            <family val="2"/>
          </rPr>
          <t>Thermisch verbesserter Abstandhalter (Edelstahl, Kunststoff)</t>
        </r>
        <r>
          <rPr>
            <sz val="9"/>
            <color indexed="81"/>
            <rFont val="Geneva"/>
            <family val="2"/>
          </rPr>
          <t xml:space="preserve">
- Holz- oder PVC-Rahmen:   0.06 W/mK
- Metallrahmen mit              0.08 W/mK
  wärmetechnischer Trennung
- Metallrahmen ohne            0.04 W/mK
  wärmetechnische Trennung </t>
        </r>
      </text>
    </comment>
    <comment ref="Q33" authorId="0" shapeId="0" xr:uid="{00000000-0006-0000-0800-000006000000}">
      <text>
        <r>
          <rPr>
            <sz val="9"/>
            <color indexed="81"/>
            <rFont val="Arial"/>
            <family val="2"/>
          </rPr>
          <t xml:space="preserve">
Für den </t>
        </r>
        <r>
          <rPr>
            <b/>
            <sz val="9"/>
            <color indexed="81"/>
            <rFont val="Arial"/>
            <family val="2"/>
          </rPr>
          <t>Einzelbauteilnachweis</t>
        </r>
        <r>
          <rPr>
            <sz val="9"/>
            <color indexed="81"/>
            <rFont val="Arial"/>
            <family val="2"/>
          </rPr>
          <t xml:space="preserve"> muss das Normfenster verwendet werden. Beim </t>
        </r>
        <r>
          <rPr>
            <b/>
            <sz val="9"/>
            <color indexed="81"/>
            <rFont val="Arial"/>
            <family val="2"/>
          </rPr>
          <t>Systemnachweis</t>
        </r>
        <r>
          <rPr>
            <sz val="9"/>
            <color indexed="81"/>
            <rFont val="Arial"/>
            <family val="2"/>
          </rPr>
          <t xml:space="preserve"> kann das Normfenster verwendet werden.</t>
        </r>
      </text>
    </comment>
    <comment ref="S33" authorId="0" shapeId="0" xr:uid="{00000000-0006-0000-0800-000007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 ref="Q64" authorId="0" shapeId="0" xr:uid="{00000000-0006-0000-0800-000008000000}">
      <text>
        <r>
          <rPr>
            <sz val="9"/>
            <color indexed="81"/>
            <rFont val="Arial"/>
            <family val="2"/>
          </rPr>
          <t xml:space="preserve">
Für den </t>
        </r>
        <r>
          <rPr>
            <b/>
            <sz val="9"/>
            <color indexed="81"/>
            <rFont val="Arial"/>
            <family val="2"/>
          </rPr>
          <t>Einzelbauteilnachweis</t>
        </r>
        <r>
          <rPr>
            <sz val="9"/>
            <color indexed="81"/>
            <rFont val="Arial"/>
            <family val="2"/>
          </rPr>
          <t xml:space="preserve"> muss das Normfenster verwendet werden. Beim </t>
        </r>
        <r>
          <rPr>
            <b/>
            <sz val="9"/>
            <color indexed="81"/>
            <rFont val="Arial"/>
            <family val="2"/>
          </rPr>
          <t>Systemnachweis</t>
        </r>
        <r>
          <rPr>
            <sz val="9"/>
            <color indexed="81"/>
            <rFont val="Arial"/>
            <family val="2"/>
          </rPr>
          <t xml:space="preserve"> kann das Normfenster verwendet werden.</t>
        </r>
      </text>
    </comment>
    <comment ref="S64" authorId="0" shapeId="0" xr:uid="{00000000-0006-0000-0800-000009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 ref="Q87" authorId="0" shapeId="0" xr:uid="{00000000-0006-0000-0800-00000A000000}">
      <text>
        <r>
          <rPr>
            <sz val="9"/>
            <color indexed="81"/>
            <rFont val="Arial"/>
            <family val="2"/>
          </rPr>
          <t xml:space="preserve">
Für den </t>
        </r>
        <r>
          <rPr>
            <b/>
            <sz val="9"/>
            <color indexed="81"/>
            <rFont val="Arial"/>
            <family val="2"/>
          </rPr>
          <t>Einzelbauteilnachweis</t>
        </r>
        <r>
          <rPr>
            <sz val="9"/>
            <color indexed="81"/>
            <rFont val="Arial"/>
            <family val="2"/>
          </rPr>
          <t xml:space="preserve"> muss das Normfenster verwendet werden. Beim </t>
        </r>
        <r>
          <rPr>
            <b/>
            <sz val="9"/>
            <color indexed="81"/>
            <rFont val="Arial"/>
            <family val="2"/>
          </rPr>
          <t>Systemnachweis</t>
        </r>
        <r>
          <rPr>
            <sz val="9"/>
            <color indexed="81"/>
            <rFont val="Arial"/>
            <family val="2"/>
          </rPr>
          <t xml:space="preserve"> kann das Normfenster verwendet werden.</t>
        </r>
      </text>
    </comment>
    <comment ref="S87" authorId="0" shapeId="0" xr:uid="{00000000-0006-0000-0800-00000B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 ref="Q118" authorId="0" shapeId="0" xr:uid="{00000000-0006-0000-0800-00000C000000}">
      <text>
        <r>
          <rPr>
            <sz val="9"/>
            <color indexed="81"/>
            <rFont val="Arial"/>
            <family val="2"/>
          </rPr>
          <t xml:space="preserve">
Für den </t>
        </r>
        <r>
          <rPr>
            <b/>
            <sz val="9"/>
            <color indexed="81"/>
            <rFont val="Arial"/>
            <family val="2"/>
          </rPr>
          <t>Einzelbauteilnachweis</t>
        </r>
        <r>
          <rPr>
            <sz val="9"/>
            <color indexed="81"/>
            <rFont val="Arial"/>
            <family val="2"/>
          </rPr>
          <t xml:space="preserve"> muss das Normfenster verwendet werden. Beim </t>
        </r>
        <r>
          <rPr>
            <b/>
            <sz val="9"/>
            <color indexed="81"/>
            <rFont val="Arial"/>
            <family val="2"/>
          </rPr>
          <t>Systemnachweis</t>
        </r>
        <r>
          <rPr>
            <sz val="9"/>
            <color indexed="81"/>
            <rFont val="Arial"/>
            <family val="2"/>
          </rPr>
          <t xml:space="preserve"> kann das Normfenster verwendet werden.</t>
        </r>
      </text>
    </comment>
    <comment ref="S118" authorId="0" shapeId="0" xr:uid="{00000000-0006-0000-0800-00000D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 ref="Q141" authorId="0" shapeId="0" xr:uid="{00000000-0006-0000-0800-00000E000000}">
      <text>
        <r>
          <rPr>
            <sz val="9"/>
            <color indexed="81"/>
            <rFont val="Arial"/>
            <family val="2"/>
          </rPr>
          <t xml:space="preserve">
Für den </t>
        </r>
        <r>
          <rPr>
            <b/>
            <sz val="9"/>
            <color indexed="81"/>
            <rFont val="Arial"/>
            <family val="2"/>
          </rPr>
          <t>Einzelbauteilnachweis</t>
        </r>
        <r>
          <rPr>
            <sz val="9"/>
            <color indexed="81"/>
            <rFont val="Arial"/>
            <family val="2"/>
          </rPr>
          <t xml:space="preserve"> muss das Normfenster verwendet werden. Beim </t>
        </r>
        <r>
          <rPr>
            <b/>
            <sz val="9"/>
            <color indexed="81"/>
            <rFont val="Arial"/>
            <family val="2"/>
          </rPr>
          <t>Systemnachweis</t>
        </r>
        <r>
          <rPr>
            <sz val="9"/>
            <color indexed="81"/>
            <rFont val="Arial"/>
            <family val="2"/>
          </rPr>
          <t xml:space="preserve"> kann das Normfenster verwendet werden.</t>
        </r>
      </text>
    </comment>
    <comment ref="S141" authorId="0" shapeId="0" xr:uid="{00000000-0006-0000-0800-00000F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 ref="Q172" authorId="0" shapeId="0" xr:uid="{00000000-0006-0000-0800-000010000000}">
      <text>
        <r>
          <rPr>
            <b/>
            <sz val="9"/>
            <color indexed="81"/>
            <rFont val="Arial"/>
            <family val="2"/>
          </rPr>
          <t xml:space="preserve">
Für den Einzelbauteilnachweis kann dieser Fenstertyp nicht verwendet werden.</t>
        </r>
      </text>
    </comment>
    <comment ref="S172" authorId="0" shapeId="0" xr:uid="{00000000-0006-0000-0800-000011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 ref="AA172" authorId="0" shapeId="0" xr:uid="{00000000-0006-0000-0800-000012000000}">
      <text>
        <r>
          <rPr>
            <b/>
            <sz val="9"/>
            <color indexed="81"/>
            <rFont val="Geneva"/>
            <family val="2"/>
          </rPr>
          <t xml:space="preserve">
Fehlen überwachte Angaben zu den U-Werten Uf der Rahmen, so sind folgende Werte einzusetzen (Dokumentation SIA 0221):
- Holz/Holz-Metall             1.8 W/m2K
- Kunststoff                     2.2 W/m2K
- wärmegedämmte            2.8 W/m2K
  Verbundprofile
</t>
        </r>
      </text>
    </comment>
    <comment ref="AA178" authorId="0" shapeId="0" xr:uid="{00000000-0006-0000-0800-000013000000}">
      <text>
        <r>
          <rPr>
            <b/>
            <sz val="9"/>
            <color indexed="81"/>
            <rFont val="Geneva"/>
            <family val="2"/>
          </rPr>
          <t xml:space="preserve">
Ohne Nachweis besserer Werte sind die Rechenwerte gemäss Tabelle 19, SIA 380/1:2016 zu verwenden:
- 2-IV-IR Wärmeschutzglas    0.55
- 3-IV-IR Wärmeschutzglas    0.50</t>
        </r>
      </text>
    </comment>
    <comment ref="AA182" authorId="0" shapeId="0" xr:uid="{00000000-0006-0000-0800-000014000000}">
      <text>
        <r>
          <rPr>
            <b/>
            <sz val="9"/>
            <color indexed="81"/>
            <rFont val="Geneva"/>
            <family val="2"/>
          </rPr>
          <t xml:space="preserve">
Psi-Wert Glasrandverbund gemäss Dokumentation SIA D 0221</t>
        </r>
        <r>
          <rPr>
            <sz val="9"/>
            <color indexed="81"/>
            <rFont val="Geneva"/>
            <family val="2"/>
          </rPr>
          <t xml:space="preserve">
U-Wert Glas Ug = 0.5 bis 1.8 W/m2K
</t>
        </r>
        <r>
          <rPr>
            <b/>
            <sz val="9"/>
            <color indexed="81"/>
            <rFont val="Geneva"/>
            <family val="2"/>
          </rPr>
          <t>Aluminium-Abstandhalter</t>
        </r>
        <r>
          <rPr>
            <sz val="9"/>
            <color indexed="81"/>
            <rFont val="Geneva"/>
            <family val="2"/>
          </rPr>
          <t xml:space="preserve">
- Holz- oder PVC-Rahmen:   0.08 W/mK
- Metallrahmen mit              0.11 W/mK
  wärmetechnischer Trennung
- Metallrahmen ohne            0.05 W/mK
  wärmetechnische Trennung
</t>
        </r>
        <r>
          <rPr>
            <b/>
            <sz val="9"/>
            <color indexed="81"/>
            <rFont val="Geneva"/>
            <family val="2"/>
          </rPr>
          <t>Thermisch verbesserter Abstandhalter (Edelstahl, Kunststoff)</t>
        </r>
        <r>
          <rPr>
            <sz val="9"/>
            <color indexed="81"/>
            <rFont val="Geneva"/>
            <family val="2"/>
          </rPr>
          <t xml:space="preserve">
- Holz- oder PVC-Rahmen:   0.06 W/mK
- Metallrahmen mit              0.08 W/mK
  wärmetechnischer Trennung
- Metallrahmen ohne            0.04 W/mK
  wärmetechnische Trennung </t>
        </r>
      </text>
    </comment>
    <comment ref="Q195" authorId="0" shapeId="0" xr:uid="{00000000-0006-0000-0800-000015000000}">
      <text>
        <r>
          <rPr>
            <b/>
            <sz val="9"/>
            <color indexed="81"/>
            <rFont val="Arial"/>
            <family val="2"/>
          </rPr>
          <t xml:space="preserve">
Für den Einzelbauteilnachweis kann dieser Fenstertyp nicht verwendet werden.</t>
        </r>
      </text>
    </comment>
    <comment ref="S195" authorId="0" shapeId="0" xr:uid="{00000000-0006-0000-0800-000016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 ref="Q227" authorId="0" shapeId="0" xr:uid="{00000000-0006-0000-0800-000017000000}">
      <text>
        <r>
          <rPr>
            <b/>
            <sz val="9"/>
            <color indexed="81"/>
            <rFont val="Arial"/>
            <family val="2"/>
          </rPr>
          <t xml:space="preserve">
Für den Einzelbauteilnachweis kann dieser Fenstertyp nicht verwendet werden.</t>
        </r>
      </text>
    </comment>
    <comment ref="S227" authorId="0" shapeId="0" xr:uid="{00000000-0006-0000-0800-000018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 ref="Q250" authorId="0" shapeId="0" xr:uid="{00000000-0006-0000-0800-000019000000}">
      <text>
        <r>
          <rPr>
            <b/>
            <sz val="9"/>
            <color indexed="81"/>
            <rFont val="Arial"/>
            <family val="2"/>
          </rPr>
          <t xml:space="preserve">
Für den Einzelbauteilnachweis kann dieser Fenstertyp nicht verwendet werden.</t>
        </r>
      </text>
    </comment>
    <comment ref="S250" authorId="0" shapeId="0" xr:uid="{00000000-0006-0000-0800-00001A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 ref="Q281" authorId="0" shapeId="0" xr:uid="{00000000-0006-0000-0800-00001B000000}">
      <text>
        <r>
          <rPr>
            <b/>
            <sz val="9"/>
            <color indexed="81"/>
            <rFont val="Arial"/>
            <family val="2"/>
          </rPr>
          <t xml:space="preserve">
Für den Einzelbauteilnachweis kann dieser Fenstertyp nicht verwendet werden.</t>
        </r>
      </text>
    </comment>
    <comment ref="S281" authorId="0" shapeId="0" xr:uid="{00000000-0006-0000-0800-00001C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 ref="Q304" authorId="0" shapeId="0" xr:uid="{00000000-0006-0000-0800-00001D000000}">
      <text>
        <r>
          <rPr>
            <b/>
            <sz val="9"/>
            <color indexed="81"/>
            <rFont val="Arial"/>
            <family val="2"/>
          </rPr>
          <t xml:space="preserve">
Für den Einzelbauteilnachweis kann dieser Fenstertyp nicht verwendet werden.</t>
        </r>
      </text>
    </comment>
    <comment ref="S304" authorId="0" shapeId="0" xr:uid="{00000000-0006-0000-0800-00001E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List>
</comments>
</file>

<file path=xl/sharedStrings.xml><?xml version="1.0" encoding="utf-8"?>
<sst xmlns="http://schemas.openxmlformats.org/spreadsheetml/2006/main" count="3677" uniqueCount="734">
  <si>
    <t>schwer</t>
  </si>
  <si>
    <t>mittel</t>
  </si>
  <si>
    <t>leicht</t>
  </si>
  <si>
    <t>[h/d]</t>
  </si>
  <si>
    <t>Bauteilnummer:</t>
  </si>
  <si>
    <t>Af [m2]=</t>
  </si>
  <si>
    <t>Überhang [°]</t>
  </si>
  <si>
    <t>Überhang</t>
  </si>
  <si>
    <t>La Frétaz</t>
  </si>
  <si>
    <t>Locarno-Monti</t>
  </si>
  <si>
    <t>Magadino</t>
  </si>
  <si>
    <t>Payerne</t>
  </si>
  <si>
    <t>Piotta</t>
  </si>
  <si>
    <t>Pully</t>
  </si>
  <si>
    <t>Dez</t>
  </si>
  <si>
    <t xml:space="preserve">     Grundlagen:</t>
  </si>
  <si>
    <t>Einzelraum-Temperaturregelung</t>
  </si>
  <si>
    <t>Seite 2</t>
  </si>
  <si>
    <t>Glasanteil</t>
  </si>
  <si>
    <t>Wohnen EFH II</t>
  </si>
  <si>
    <t>Verwaltung III</t>
  </si>
  <si>
    <t>Payerne (VD)</t>
  </si>
  <si>
    <t>[m1]</t>
  </si>
  <si>
    <t xml:space="preserve"> Referenzzeitkonstante [h]</t>
  </si>
  <si>
    <t>Schulen IV</t>
  </si>
  <si>
    <t>Verkauf V</t>
  </si>
  <si>
    <t>U-Wert =</t>
  </si>
  <si>
    <t>Fall4:</t>
  </si>
  <si>
    <r>
      <t xml:space="preserve">spez. Wärmespeicherfähigkeit der Luft </t>
    </r>
    <r>
      <rPr>
        <sz val="8"/>
        <rFont val="Symbol"/>
        <family val="1"/>
      </rPr>
      <t>r</t>
    </r>
    <r>
      <rPr>
        <sz val="8"/>
        <rFont val="Arial"/>
        <family val="2"/>
      </rPr>
      <t>a*ca</t>
    </r>
  </si>
  <si>
    <r>
      <t xml:space="preserve">Raumtemperatur </t>
    </r>
    <r>
      <rPr>
        <sz val="8"/>
        <rFont val="Symbol"/>
        <family val="1"/>
      </rPr>
      <t>q</t>
    </r>
    <r>
      <rPr>
        <sz val="8"/>
        <rFont val="Arial"/>
        <family val="2"/>
      </rPr>
      <t>i</t>
    </r>
  </si>
  <si>
    <t>Bild 2.4; Dokumentation SIA D 0221:</t>
  </si>
  <si>
    <t>3 Bauteile gegen unbeheizte Räume und gegen Erdreich</t>
  </si>
  <si>
    <r>
      <t>R</t>
    </r>
    <r>
      <rPr>
        <vertAlign val="subscript"/>
        <sz val="8"/>
        <color indexed="8"/>
        <rFont val="Arial"/>
        <family val="2"/>
      </rPr>
      <t>o</t>
    </r>
    <r>
      <rPr>
        <sz val="8"/>
        <color indexed="8"/>
        <rFont val="Arial"/>
        <family val="2"/>
      </rPr>
      <t xml:space="preserve"> / R</t>
    </r>
    <r>
      <rPr>
        <vertAlign val="subscript"/>
        <sz val="8"/>
        <color indexed="8"/>
        <rFont val="Arial"/>
        <family val="2"/>
      </rPr>
      <t>u</t>
    </r>
    <r>
      <rPr>
        <sz val="8"/>
        <color indexed="8"/>
        <rFont val="Arial"/>
        <family val="2"/>
      </rPr>
      <t xml:space="preserve"> &lt; 1.50?</t>
    </r>
  </si>
  <si>
    <t>Total EBF</t>
  </si>
  <si>
    <t>Länge der Berechnungsperiode</t>
  </si>
  <si>
    <t>(Einzelraum-Temperaturregelung)</t>
  </si>
  <si>
    <t>Altdorf</t>
  </si>
  <si>
    <t>Tiefe UK Bodenplatte unter OK Erdreich</t>
  </si>
  <si>
    <t>Referenzraum-Temperaturregelung</t>
  </si>
  <si>
    <t xml:space="preserve"> PLZ/Ort:</t>
  </si>
  <si>
    <t xml:space="preserve"> Tel.:</t>
  </si>
  <si>
    <t>Jul</t>
  </si>
  <si>
    <r>
      <t>Aussenluft-Volumenstrom [m</t>
    </r>
    <r>
      <rPr>
        <vertAlign val="superscript"/>
        <sz val="9"/>
        <rFont val="Arial"/>
        <family val="2"/>
      </rPr>
      <t>3</t>
    </r>
    <r>
      <rPr>
        <sz val="9"/>
        <rFont val="Arial"/>
        <family val="2"/>
      </rPr>
      <t>/hm</t>
    </r>
    <r>
      <rPr>
        <vertAlign val="superscript"/>
        <sz val="9"/>
        <rFont val="Arial"/>
        <family val="2"/>
      </rPr>
      <t>2</t>
    </r>
    <r>
      <rPr>
        <sz val="9"/>
        <rFont val="Arial"/>
        <family val="2"/>
      </rPr>
      <t>]:</t>
    </r>
  </si>
  <si>
    <r>
      <t>* U</t>
    </r>
    <r>
      <rPr>
        <vertAlign val="subscript"/>
        <sz val="9"/>
        <rFont val="Arial"/>
        <family val="2"/>
      </rPr>
      <t>g</t>
    </r>
    <r>
      <rPr>
        <sz val="9"/>
        <rFont val="Arial"/>
        <family val="2"/>
      </rPr>
      <t>-Wert Glas gemäss SIA 331.152 (EN 673)</t>
    </r>
  </si>
  <si>
    <t>La Chaux-de-Fonds (JU/NE/VD)</t>
  </si>
  <si>
    <t>Luzern (LU/NW/OW/SZ/ZG)</t>
  </si>
  <si>
    <t>Robbia (GR/TI)</t>
  </si>
  <si>
    <t>Dicke WD</t>
  </si>
  <si>
    <t>Aussenklima</t>
  </si>
  <si>
    <t>Januar</t>
  </si>
  <si>
    <t>Holz-, Holz/Metall</t>
  </si>
  <si>
    <t>g-Wert</t>
  </si>
  <si>
    <t>Ru=</t>
  </si>
  <si>
    <t>W</t>
  </si>
  <si>
    <t>N</t>
  </si>
  <si>
    <t>Anteile</t>
  </si>
  <si>
    <t>Klimastation</t>
  </si>
  <si>
    <r>
      <t>[m</t>
    </r>
    <r>
      <rPr>
        <vertAlign val="superscript"/>
        <sz val="12"/>
        <rFont val="Arial"/>
        <family val="2"/>
      </rPr>
      <t>2</t>
    </r>
    <r>
      <rPr>
        <sz val="12"/>
        <rFont val="Arial"/>
        <family val="2"/>
      </rPr>
      <t>]</t>
    </r>
  </si>
  <si>
    <r>
      <t>[m</t>
    </r>
    <r>
      <rPr>
        <vertAlign val="superscript"/>
        <sz val="12"/>
        <rFont val="Arial"/>
        <family val="2"/>
      </rPr>
      <t>2</t>
    </r>
    <r>
      <rPr>
        <sz val="12"/>
        <rFont val="Arial"/>
        <family val="2"/>
      </rPr>
      <t>/P]</t>
    </r>
  </si>
  <si>
    <t>Fall6:</t>
  </si>
  <si>
    <t>Messwertvergleich</t>
  </si>
  <si>
    <t>ww</t>
  </si>
  <si>
    <t>Beilage 1.2</t>
  </si>
  <si>
    <t>Beilage 1.3</t>
  </si>
  <si>
    <t>Mär</t>
  </si>
  <si>
    <t>Länge l</t>
  </si>
  <si>
    <t>EBF [m2]</t>
  </si>
  <si>
    <t xml:space="preserve"> Gebäudekennwerte:</t>
  </si>
  <si>
    <t>Lüftungswärmeverluste Qv</t>
  </si>
  <si>
    <r>
      <t>Umfang von A</t>
    </r>
    <r>
      <rPr>
        <vertAlign val="subscript"/>
        <sz val="12"/>
        <rFont val="Helv"/>
      </rPr>
      <t>FG</t>
    </r>
    <r>
      <rPr>
        <sz val="12"/>
        <rFont val="Helv"/>
      </rPr>
      <t xml:space="preserve"> an der Gebäudeaussenkante oder gegen unbeheizte Räume ausserhalb der thermischen Gebäudehülle. Kanten gegen benachbarte beheizte Räume werden nicht mitgezählt.</t>
    </r>
  </si>
  <si>
    <t>Nord</t>
  </si>
  <si>
    <t>(sehr leicht)</t>
  </si>
  <si>
    <t>Klimadaten</t>
  </si>
  <si>
    <t>Übergang aussen</t>
  </si>
  <si>
    <t>Aussenluft-Volumenstrom</t>
  </si>
  <si>
    <t>Beteiligte:</t>
  </si>
  <si>
    <t>Fall13:</t>
  </si>
  <si>
    <t>Bauweise:</t>
  </si>
  <si>
    <t>Abmessungen</t>
  </si>
  <si>
    <t>Samedan (GR)</t>
  </si>
  <si>
    <t>Wynau (SO)</t>
  </si>
  <si>
    <t>Zermatt (VS)</t>
  </si>
  <si>
    <t>Zürich-Meteo-Schweiz (SZ/ZH)</t>
  </si>
  <si>
    <t>NW/NO</t>
  </si>
  <si>
    <t>Ro/Ru =</t>
  </si>
  <si>
    <t>3-fach WS</t>
  </si>
  <si>
    <t>CNS</t>
  </si>
  <si>
    <t>[W/P]</t>
  </si>
  <si>
    <t>NW</t>
  </si>
  <si>
    <t>Innentemperatur:</t>
  </si>
  <si>
    <t>Fall1:</t>
  </si>
  <si>
    <r>
      <t xml:space="preserve"> U</t>
    </r>
    <r>
      <rPr>
        <b/>
        <vertAlign val="subscript"/>
        <sz val="9"/>
        <rFont val="Arial"/>
        <family val="2"/>
      </rPr>
      <t>f</t>
    </r>
    <r>
      <rPr>
        <b/>
        <sz val="9"/>
        <rFont val="Arial"/>
        <family val="2"/>
      </rPr>
      <t>-Wert</t>
    </r>
  </si>
  <si>
    <r>
      <t xml:space="preserve">Zeitkonstante </t>
    </r>
    <r>
      <rPr>
        <sz val="10"/>
        <rFont val="Symbol"/>
        <family val="1"/>
      </rPr>
      <t>t</t>
    </r>
    <r>
      <rPr>
        <sz val="10"/>
        <rFont val="Arial"/>
        <family val="2"/>
      </rPr>
      <t xml:space="preserve"> [h]</t>
    </r>
  </si>
  <si>
    <t>Adelboden</t>
  </si>
  <si>
    <t>Aigle</t>
  </si>
  <si>
    <t>San Bernardino (TI)</t>
  </si>
  <si>
    <t>St. Gallen (AI/AR/SG)</t>
  </si>
  <si>
    <t>Schaffhausen (SH)</t>
  </si>
  <si>
    <t>Scuol (GR)</t>
  </si>
  <si>
    <t>Sion (VS)</t>
  </si>
  <si>
    <t>Vaduz (FL)</t>
  </si>
  <si>
    <t>SW/SO</t>
  </si>
  <si>
    <t xml:space="preserve">Fall01:   </t>
  </si>
  <si>
    <t xml:space="preserve">Fall02:   </t>
  </si>
  <si>
    <t xml:space="preserve">Entscheid:   </t>
  </si>
  <si>
    <t xml:space="preserve"> - Gebäudekategorie:</t>
  </si>
  <si>
    <t>Übergang innen</t>
  </si>
  <si>
    <t>sehr leicht</t>
  </si>
  <si>
    <t>Aussenluft:</t>
  </si>
  <si>
    <t>[°]</t>
  </si>
  <si>
    <t>Interlaken</t>
  </si>
  <si>
    <t>Um- oder Neubau</t>
  </si>
  <si>
    <t>Horizontwinkel [°]</t>
  </si>
  <si>
    <t>West</t>
  </si>
  <si>
    <t>Ost</t>
  </si>
  <si>
    <t>Faktor fs1</t>
  </si>
  <si>
    <t>Elektrizität</t>
  </si>
  <si>
    <t>Personen</t>
  </si>
  <si>
    <t>Solar</t>
  </si>
  <si>
    <t>Ausmass</t>
  </si>
  <si>
    <t>Ro=</t>
  </si>
  <si>
    <t>Sion</t>
  </si>
  <si>
    <t xml:space="preserve"> Zielwert für:</t>
  </si>
  <si>
    <t>Orientierungen:</t>
  </si>
  <si>
    <t>SO</t>
  </si>
  <si>
    <t>SW</t>
  </si>
  <si>
    <t>NO</t>
  </si>
  <si>
    <t>Standardnutzungen</t>
  </si>
  <si>
    <t>Chur</t>
  </si>
  <si>
    <t>IX</t>
  </si>
  <si>
    <t>Sachbearbeiter:</t>
  </si>
  <si>
    <t>Bauteilheizung/ Heizkörper</t>
  </si>
  <si>
    <r>
      <t xml:space="preserve">Raumtemperatur </t>
    </r>
    <r>
      <rPr>
        <sz val="8"/>
        <rFont val="Symbol"/>
        <family val="1"/>
      </rPr>
      <t>q</t>
    </r>
    <r>
      <rPr>
        <vertAlign val="subscript"/>
        <sz val="8"/>
        <rFont val="Arial"/>
        <family val="2"/>
      </rPr>
      <t xml:space="preserve">i </t>
    </r>
    <r>
      <rPr>
        <sz val="8"/>
        <rFont val="Arial"/>
        <family val="2"/>
      </rPr>
      <t>[°C]</t>
    </r>
  </si>
  <si>
    <t>Wohnen MFH I</t>
  </si>
  <si>
    <t>Elektrizitätsbedarf</t>
  </si>
  <si>
    <t>Lagerhallen, Verteilzentren</t>
  </si>
  <si>
    <t>XI</t>
  </si>
  <si>
    <t>Totalunternehmung</t>
  </si>
  <si>
    <t>August</t>
  </si>
  <si>
    <t>September</t>
  </si>
  <si>
    <t>Glarus</t>
  </si>
  <si>
    <t>Marke/Typ:</t>
  </si>
  <si>
    <t>Glas*:</t>
  </si>
  <si>
    <t>Aussenluft-Volumenstrom [m3/hm2]</t>
  </si>
  <si>
    <t>2.0 m</t>
  </si>
  <si>
    <t>Adelboden (BE/FR/VD)</t>
  </si>
  <si>
    <t>Basel-Binningen (AG/BL/BS/JU)</t>
  </si>
  <si>
    <t>Bern-Liebefeld (BE/FR)</t>
  </si>
  <si>
    <t>Güttingen</t>
  </si>
  <si>
    <t>Rahmen [-]</t>
  </si>
  <si>
    <t>W/mK</t>
  </si>
  <si>
    <t xml:space="preserve"> Name:</t>
  </si>
  <si>
    <t xml:space="preserve"> Strasse:</t>
  </si>
  <si>
    <t>Heizkörper</t>
  </si>
  <si>
    <t>Aa [m2]=</t>
  </si>
  <si>
    <t>Um- oder Neubau:</t>
  </si>
  <si>
    <t>Rahmen:</t>
  </si>
  <si>
    <r>
      <t xml:space="preserve"> Personenfläche [m</t>
    </r>
    <r>
      <rPr>
        <vertAlign val="superscript"/>
        <sz val="9"/>
        <rFont val="Arial"/>
        <family val="2"/>
      </rPr>
      <t>2</t>
    </r>
    <r>
      <rPr>
        <sz val="9"/>
        <rFont val="Arial"/>
        <family val="2"/>
      </rPr>
      <t>/P]:</t>
    </r>
  </si>
  <si>
    <t>3.0 m</t>
  </si>
  <si>
    <t>5.0 m</t>
  </si>
  <si>
    <t>10.0 m</t>
  </si>
  <si>
    <t>Stufe 3:</t>
  </si>
  <si>
    <t>Innentemp</t>
  </si>
  <si>
    <t>Bezeichnung</t>
  </si>
  <si>
    <t xml:space="preserve">  Berechnung:</t>
  </si>
  <si>
    <t>m2</t>
  </si>
  <si>
    <t>Qt</t>
  </si>
  <si>
    <t>Beilage 2.1</t>
  </si>
  <si>
    <t>g-Wert [-]</t>
  </si>
  <si>
    <t>E</t>
  </si>
  <si>
    <t>Dicke [m]</t>
  </si>
  <si>
    <t>Flächenbezogener Aussenluft-Volumenstrom</t>
  </si>
  <si>
    <t>VIII</t>
  </si>
  <si>
    <t>Bauteilnummerierung</t>
  </si>
  <si>
    <t>Personenfläche [m2/P]</t>
  </si>
  <si>
    <t>VII</t>
  </si>
  <si>
    <r>
      <t xml:space="preserve">Berechnung der Energiebezugsfläche EBF </t>
    </r>
    <r>
      <rPr>
        <b/>
        <i/>
        <sz val="14"/>
        <rFont val="Arial"/>
        <family val="2"/>
      </rPr>
      <t>A</t>
    </r>
    <r>
      <rPr>
        <b/>
        <i/>
        <vertAlign val="subscript"/>
        <sz val="14"/>
        <rFont val="Arial"/>
        <family val="2"/>
      </rPr>
      <t>E</t>
    </r>
  </si>
  <si>
    <t>Raumtemperatur</t>
  </si>
  <si>
    <t>Beilage 2.3</t>
  </si>
  <si>
    <t>Beilage 2.4</t>
  </si>
  <si>
    <t>Reduktionsfaktor Elektrizitätsbedarf [-]</t>
  </si>
  <si>
    <t>[W/m2K]</t>
  </si>
  <si>
    <r>
      <t xml:space="preserve"> thermische Gebäudehüllenfläche A</t>
    </r>
    <r>
      <rPr>
        <vertAlign val="subscript"/>
        <sz val="10"/>
        <rFont val="Arial"/>
        <family val="2"/>
      </rPr>
      <t>th</t>
    </r>
    <r>
      <rPr>
        <sz val="10"/>
        <rFont val="Arial"/>
        <family val="2"/>
      </rPr>
      <t>:</t>
    </r>
  </si>
  <si>
    <t>Fall 11:</t>
  </si>
  <si>
    <t>Aussentemp</t>
  </si>
  <si>
    <t>[kWh]</t>
  </si>
  <si>
    <t>Okt</t>
  </si>
  <si>
    <r>
      <t>F</t>
    </r>
    <r>
      <rPr>
        <b/>
        <vertAlign val="subscript"/>
        <sz val="8"/>
        <rFont val="Arial"/>
        <family val="2"/>
      </rPr>
      <t>F</t>
    </r>
  </si>
  <si>
    <r>
      <t>Unterer Grenzwert R</t>
    </r>
    <r>
      <rPr>
        <vertAlign val="subscript"/>
        <sz val="8"/>
        <color indexed="8"/>
        <rFont val="Arial"/>
        <family val="2"/>
      </rPr>
      <t>u</t>
    </r>
    <r>
      <rPr>
        <sz val="8"/>
        <color indexed="8"/>
        <rFont val="Arial"/>
        <family val="2"/>
      </rPr>
      <t xml:space="preserve"> [m2K/W]:</t>
    </r>
  </si>
  <si>
    <t>Fall 16:</t>
  </si>
  <si>
    <t>St. Gallen</t>
  </si>
  <si>
    <t>S</t>
  </si>
  <si>
    <t>Versammlungslokale VII</t>
  </si>
  <si>
    <t>Horizont</t>
  </si>
  <si>
    <t>1.4 Fenster in horizontalen Flächen</t>
  </si>
  <si>
    <t>1.5 Böden</t>
  </si>
  <si>
    <t>1.6 Türen</t>
  </si>
  <si>
    <t>2.1 lineare Wärmebrücken</t>
  </si>
  <si>
    <t>Berechnungsprogramm  zum  energieoptimierten  Entwerfen  und  Konstruieren</t>
  </si>
  <si>
    <t>h</t>
  </si>
  <si>
    <t>[kWh/m2a]</t>
  </si>
  <si>
    <r>
      <t>Berechnung der Lüftungswärmeverluste Q</t>
    </r>
    <r>
      <rPr>
        <b/>
        <vertAlign val="subscript"/>
        <sz val="15"/>
        <rFont val="Arial"/>
        <family val="2"/>
      </rPr>
      <t>V</t>
    </r>
  </si>
  <si>
    <t xml:space="preserve"> Jahresmitteltemperatur</t>
  </si>
  <si>
    <r>
      <t>a) Transmissionsverluste Q</t>
    </r>
    <r>
      <rPr>
        <vertAlign val="subscript"/>
        <sz val="10"/>
        <rFont val="Arial"/>
        <family val="2"/>
      </rPr>
      <t>T</t>
    </r>
  </si>
  <si>
    <t xml:space="preserve">a  </t>
  </si>
  <si>
    <t xml:space="preserve">Verbrauch </t>
  </si>
  <si>
    <t>[cm]</t>
  </si>
  <si>
    <t>Berechnung</t>
  </si>
  <si>
    <t>Transmissionsverluste:</t>
  </si>
  <si>
    <r>
      <t xml:space="preserve">Wärmeverlustkoeffizient </t>
    </r>
    <r>
      <rPr>
        <i/>
        <sz val="10"/>
        <rFont val="Arial"/>
        <family val="2"/>
      </rPr>
      <t>H</t>
    </r>
  </si>
  <si>
    <t>Wärmeverlustkoeffizient</t>
  </si>
  <si>
    <t>Wärmeabgabe pro Person</t>
  </si>
  <si>
    <r>
      <t>EBF A</t>
    </r>
    <r>
      <rPr>
        <b/>
        <i/>
        <vertAlign val="subscript"/>
        <sz val="10"/>
        <rFont val="Arial"/>
        <family val="2"/>
      </rPr>
      <t>E</t>
    </r>
    <r>
      <rPr>
        <b/>
        <sz val="10"/>
        <rFont val="Arial"/>
        <family val="2"/>
      </rPr>
      <t xml:space="preserve"> [m</t>
    </r>
    <r>
      <rPr>
        <b/>
        <vertAlign val="superscript"/>
        <sz val="10"/>
        <rFont val="Arial"/>
        <family val="2"/>
      </rPr>
      <t>2</t>
    </r>
    <r>
      <rPr>
        <b/>
        <sz val="10"/>
        <rFont val="Arial"/>
        <family val="2"/>
      </rPr>
      <t>]</t>
    </r>
  </si>
  <si>
    <r>
      <t xml:space="preserve"> U</t>
    </r>
    <r>
      <rPr>
        <b/>
        <vertAlign val="subscript"/>
        <sz val="9"/>
        <rFont val="Arial"/>
        <family val="2"/>
      </rPr>
      <t>g</t>
    </r>
    <r>
      <rPr>
        <b/>
        <sz val="9"/>
        <rFont val="Arial"/>
        <family val="2"/>
      </rPr>
      <t>-Wert</t>
    </r>
  </si>
  <si>
    <r>
      <t>U</t>
    </r>
    <r>
      <rPr>
        <b/>
        <vertAlign val="subscript"/>
        <sz val="11"/>
        <rFont val="Arial"/>
        <family val="2"/>
      </rPr>
      <t>w</t>
    </r>
    <r>
      <rPr>
        <b/>
        <sz val="11"/>
        <rFont val="Arial"/>
        <family val="2"/>
      </rPr>
      <t>-Wert Fenster</t>
    </r>
  </si>
  <si>
    <r>
      <t>U</t>
    </r>
    <r>
      <rPr>
        <vertAlign val="subscript"/>
        <sz val="10"/>
        <rFont val="Helv"/>
      </rPr>
      <t>WG0</t>
    </r>
    <r>
      <rPr>
        <sz val="10"/>
        <rFont val="Helv"/>
      </rPr>
      <t xml:space="preserve"> bzw. U</t>
    </r>
    <r>
      <rPr>
        <vertAlign val="subscript"/>
        <sz val="10"/>
        <rFont val="Helv"/>
      </rPr>
      <t>FGO</t>
    </r>
  </si>
  <si>
    <t>Luftwechselraten:</t>
  </si>
  <si>
    <t>Zuschlag Wärmebrücken</t>
  </si>
  <si>
    <t>Auswahl 2</t>
  </si>
  <si>
    <r>
      <t xml:space="preserve">Wirkungsgrad der WRG </t>
    </r>
    <r>
      <rPr>
        <sz val="8"/>
        <rFont val="Symbol"/>
        <family val="1"/>
      </rPr>
      <t>h</t>
    </r>
    <r>
      <rPr>
        <sz val="8"/>
        <rFont val="Helv"/>
      </rPr>
      <t>:</t>
    </r>
    <r>
      <rPr>
        <sz val="8"/>
        <color indexed="22"/>
        <rFont val="Helv"/>
      </rPr>
      <t>___</t>
    </r>
  </si>
  <si>
    <r>
      <t>Anzahl Zimmer S</t>
    </r>
    <r>
      <rPr>
        <vertAlign val="subscript"/>
        <sz val="8"/>
        <rFont val="Arial"/>
        <family val="2"/>
      </rPr>
      <t>R</t>
    </r>
    <r>
      <rPr>
        <sz val="8"/>
        <rFont val="Arial"/>
        <family val="2"/>
      </rPr>
      <t>:</t>
    </r>
    <r>
      <rPr>
        <sz val="8"/>
        <color indexed="22"/>
        <rFont val="Arial"/>
        <family val="2"/>
      </rPr>
      <t>___</t>
    </r>
  </si>
  <si>
    <t>Juli</t>
  </si>
  <si>
    <t>Theater, Konzertsäle, Kinos, Kirchen, Abdankungshallen, Aulas, Sporthallen mit viel Publikum</t>
  </si>
  <si>
    <t xml:space="preserve"> Gebäudekategorie</t>
  </si>
  <si>
    <t xml:space="preserve"> Wohnen MFH</t>
  </si>
  <si>
    <t>Fläche der thermischen Gebäudehülle, die auf dem Erdreich aufliegt</t>
  </si>
  <si>
    <r>
      <t xml:space="preserve">  Zeitkonstante </t>
    </r>
    <r>
      <rPr>
        <sz val="8"/>
        <rFont val="Symbol"/>
        <family val="1"/>
      </rPr>
      <t>t</t>
    </r>
    <r>
      <rPr>
        <sz val="8"/>
        <rFont val="Arial"/>
        <family val="2"/>
      </rPr>
      <t xml:space="preserve"> [h]</t>
    </r>
  </si>
  <si>
    <r>
      <t xml:space="preserve">  Ausnutzungsgrad für Wärmegewinne </t>
    </r>
    <r>
      <rPr>
        <sz val="8"/>
        <rFont val="Symbol"/>
        <family val="1"/>
      </rPr>
      <t>h</t>
    </r>
    <r>
      <rPr>
        <sz val="8"/>
        <rFont val="Arial"/>
        <family val="2"/>
      </rPr>
      <t>g [-]</t>
    </r>
  </si>
  <si>
    <t>[°C]</t>
  </si>
  <si>
    <t>Seite 1</t>
  </si>
  <si>
    <t>Wärmedämmung</t>
  </si>
  <si>
    <t>Psi-Wert</t>
  </si>
  <si>
    <t>Parameter für Ausnutzungsgrad [-]:</t>
  </si>
  <si>
    <t>Variante:</t>
  </si>
  <si>
    <t xml:space="preserve"> Unterschrift:</t>
  </si>
  <si>
    <r>
      <t>Tabelle 16   Reduktionsfaktoren b</t>
    </r>
    <r>
      <rPr>
        <b/>
        <vertAlign val="subscript"/>
        <sz val="12"/>
        <rFont val="Helv"/>
      </rPr>
      <t>GW</t>
    </r>
    <r>
      <rPr>
        <b/>
        <sz val="12"/>
        <rFont val="Helv"/>
      </rPr>
      <t xml:space="preserve"> bzw. b</t>
    </r>
    <r>
      <rPr>
        <b/>
        <vertAlign val="subscript"/>
        <sz val="12"/>
        <rFont val="Helv"/>
      </rPr>
      <t>GF</t>
    </r>
    <r>
      <rPr>
        <b/>
        <sz val="12"/>
        <rFont val="Helv"/>
      </rPr>
      <t xml:space="preserve"> für Wärmeverlsute gegen das Erdreich (Rechenwerte) [-]</t>
    </r>
  </si>
  <si>
    <t>0.0 m</t>
  </si>
  <si>
    <t>0.5 m</t>
  </si>
  <si>
    <t>Fabrikationsgebäude, Gewerbebauten, Werkstätten, Servicestationen, Werkhöfe, Bahnhöfe, Feuerwehrgebäude</t>
  </si>
  <si>
    <t>X</t>
  </si>
  <si>
    <t>(schwer)</t>
  </si>
  <si>
    <t xml:space="preserve"> Wohnen EFH</t>
  </si>
  <si>
    <t xml:space="preserve"> Verwaltung</t>
  </si>
  <si>
    <t xml:space="preserve"> Schulen</t>
  </si>
  <si>
    <t xml:space="preserve"> Verkauf</t>
  </si>
  <si>
    <t xml:space="preserve"> Restaurants</t>
  </si>
  <si>
    <r>
      <t>A</t>
    </r>
    <r>
      <rPr>
        <vertAlign val="subscript"/>
        <sz val="12"/>
        <rFont val="Helv"/>
      </rPr>
      <t>FG</t>
    </r>
    <r>
      <rPr>
        <sz val="12"/>
        <rFont val="Helv"/>
      </rPr>
      <t>/P</t>
    </r>
    <r>
      <rPr>
        <vertAlign val="subscript"/>
        <sz val="12"/>
        <rFont val="Helv"/>
      </rPr>
      <t>FG</t>
    </r>
    <r>
      <rPr>
        <sz val="12"/>
        <rFont val="Helv"/>
      </rPr>
      <t xml:space="preserve"> = 5 m</t>
    </r>
  </si>
  <si>
    <t xml:space="preserve"> - Art des Bauvorhabens:</t>
  </si>
  <si>
    <t>Industrie IX</t>
  </si>
  <si>
    <t>Lager X</t>
  </si>
  <si>
    <t xml:space="preserve">     Berechnung des Elektrizitätsverbrauchs:</t>
  </si>
  <si>
    <t>Regelung</t>
  </si>
  <si>
    <r>
      <t>A</t>
    </r>
    <r>
      <rPr>
        <vertAlign val="subscript"/>
        <sz val="12"/>
        <rFont val="Helv"/>
      </rPr>
      <t>FG</t>
    </r>
  </si>
  <si>
    <r>
      <t>P</t>
    </r>
    <r>
      <rPr>
        <vertAlign val="subscript"/>
        <sz val="12"/>
        <rFont val="Helv"/>
      </rPr>
      <t>FG</t>
    </r>
  </si>
  <si>
    <t xml:space="preserve"> - Wärmespeicherfähigkeit</t>
  </si>
  <si>
    <t>Personenfläche</t>
  </si>
  <si>
    <t>Aug</t>
  </si>
  <si>
    <t>Norm</t>
  </si>
  <si>
    <t>gegen unbeheizt und Erdreich</t>
  </si>
  <si>
    <t>1 Bauteile gegen Aussenklima</t>
  </si>
  <si>
    <t>Verluste</t>
  </si>
  <si>
    <t>Energiebilanz</t>
  </si>
  <si>
    <t>(mittel)</t>
  </si>
  <si>
    <t>Umbau</t>
  </si>
  <si>
    <t>Gewinne</t>
  </si>
  <si>
    <t>Bilanz</t>
  </si>
  <si>
    <t>Auswahl 1</t>
  </si>
  <si>
    <t>Aussentemp.</t>
  </si>
  <si>
    <t>Entscheid</t>
  </si>
  <si>
    <t>Oktober</t>
  </si>
  <si>
    <t>Basel-Binningen</t>
  </si>
  <si>
    <t>Komfortlüftung mit Wärmerückgewinnung</t>
  </si>
  <si>
    <t>Beilage 2.2</t>
  </si>
  <si>
    <t>Stufe 2:</t>
  </si>
  <si>
    <t>Gebäudehüllenfläche:</t>
  </si>
  <si>
    <t>Temperatur</t>
  </si>
  <si>
    <t>Stufe 1:</t>
  </si>
  <si>
    <t>Restaurants (inkl. Küchen), Cafeterias, Kantinen, Dancings, Diskotheken</t>
  </si>
  <si>
    <t>Gebäude für Schulen aller Stufen, Kindergärten und -horte, Schulungsräume, Ausbildungszentren, Kongressgebäude, Labors, Forschungsinstitute, Gemeinschaftsräume, Freizeitanlagen</t>
  </si>
  <si>
    <t>Spitäler, psychiatrische Kliniken, Krankenheime, Altersheime, Rehabilitations-zentren, Behandlungsräume</t>
  </si>
  <si>
    <t>Spitäler VIII</t>
  </si>
  <si>
    <t>R [m2K/W]</t>
  </si>
  <si>
    <r>
      <t>A</t>
    </r>
    <r>
      <rPr>
        <vertAlign val="subscript"/>
        <sz val="8"/>
        <rFont val="Arial"/>
        <family val="2"/>
      </rPr>
      <t xml:space="preserve">W </t>
    </r>
    <r>
      <rPr>
        <sz val="8"/>
        <rFont val="Arial"/>
        <family val="2"/>
      </rPr>
      <t>/ A</t>
    </r>
    <r>
      <rPr>
        <vertAlign val="subscript"/>
        <sz val="8"/>
        <rFont val="Arial"/>
        <family val="2"/>
      </rPr>
      <t>E</t>
    </r>
    <r>
      <rPr>
        <sz val="8"/>
        <rFont val="Arial"/>
        <family val="2"/>
      </rPr>
      <t xml:space="preserve"> [%] (Flächenanteil Fenster und Türen):</t>
    </r>
  </si>
  <si>
    <t>m2K/W</t>
  </si>
  <si>
    <t>Nov</t>
  </si>
  <si>
    <t>Beilage 2.6</t>
  </si>
  <si>
    <r>
      <t>Rahmenanteil f</t>
    </r>
    <r>
      <rPr>
        <vertAlign val="subscript"/>
        <sz val="9"/>
        <rFont val="Arial"/>
        <family val="2"/>
      </rPr>
      <t>f</t>
    </r>
    <r>
      <rPr>
        <sz val="9"/>
        <rFont val="Arial"/>
        <family val="2"/>
      </rPr>
      <t xml:space="preserve"> [%]</t>
    </r>
  </si>
  <si>
    <t>Rünenberg</t>
  </si>
  <si>
    <t>Samedan</t>
  </si>
  <si>
    <t>San Bernardino</t>
  </si>
  <si>
    <t>Scuol</t>
  </si>
  <si>
    <t>Ulrichen</t>
  </si>
  <si>
    <t xml:space="preserve"> Gebäudekategorie:</t>
  </si>
  <si>
    <t>Erdreich/unbeheizt</t>
  </si>
  <si>
    <t>Disentis</t>
  </si>
  <si>
    <t>Überprüfung Bauteilheizung</t>
  </si>
  <si>
    <t>Nachweis Minergie</t>
  </si>
  <si>
    <t>1.1 Dächer</t>
  </si>
  <si>
    <t>1.2 Wände, Brüstungen, Sturz etc.</t>
  </si>
  <si>
    <t>1.3 Fenster</t>
  </si>
  <si>
    <t>Zürich-Kloten</t>
  </si>
  <si>
    <t xml:space="preserve"> unbeheizt und Erdreich</t>
  </si>
  <si>
    <r>
      <t>Oberer Grenzwert R</t>
    </r>
    <r>
      <rPr>
        <vertAlign val="subscript"/>
        <sz val="8"/>
        <color indexed="8"/>
        <rFont val="Arial"/>
        <family val="2"/>
      </rPr>
      <t xml:space="preserve">o </t>
    </r>
    <r>
      <rPr>
        <sz val="8"/>
        <color indexed="8"/>
        <rFont val="Arial"/>
        <family val="2"/>
      </rPr>
      <t>[m2K/W]:</t>
    </r>
  </si>
  <si>
    <t xml:space="preserve"> Versammlungslokale</t>
  </si>
  <si>
    <t xml:space="preserve"> Spitäler</t>
  </si>
  <si>
    <t>Jan</t>
  </si>
  <si>
    <t>März</t>
  </si>
  <si>
    <t>Fenster</t>
  </si>
  <si>
    <t>Berechnung für mehrstufige Lüftungsgeräte mit oder ohne Luft-Erd-Register</t>
  </si>
  <si>
    <t>Jun</t>
  </si>
  <si>
    <t>Gewählte Station:</t>
  </si>
  <si>
    <r>
      <t>U</t>
    </r>
    <r>
      <rPr>
        <vertAlign val="subscript"/>
        <sz val="12"/>
        <rFont val="Helv"/>
      </rPr>
      <t>FG0</t>
    </r>
  </si>
  <si>
    <t>Ausdruck:</t>
  </si>
  <si>
    <t xml:space="preserve"> Ort/ Datum:</t>
  </si>
  <si>
    <t>Berechnung der Transmissionswärmeverluste</t>
  </si>
  <si>
    <t>Feb</t>
  </si>
  <si>
    <t>Luzern</t>
  </si>
  <si>
    <t>Fall5:</t>
  </si>
  <si>
    <t>Skizze Wandkonstruktion</t>
  </si>
  <si>
    <t>Ae [m2]=</t>
  </si>
  <si>
    <t>Regelung:</t>
  </si>
  <si>
    <t>Energiebezugsfläche EBF:</t>
  </si>
  <si>
    <t>Ausgabe</t>
  </si>
  <si>
    <t>2.2 punktuelle  Wärmebrücken</t>
  </si>
  <si>
    <t>3.1 Dächer</t>
  </si>
  <si>
    <t>3.2 Wände, Brüstungen, Sturz etc.</t>
  </si>
  <si>
    <t>3.3 Böden</t>
  </si>
  <si>
    <t>3.4 Türen</t>
  </si>
  <si>
    <t>3.5 Fenster</t>
  </si>
  <si>
    <t>1.2 Wände</t>
  </si>
  <si>
    <t>1.4 Fenster horizontal</t>
  </si>
  <si>
    <t>2.2 punktuelle Wärmebrücken</t>
  </si>
  <si>
    <t>3.2 Wände</t>
  </si>
  <si>
    <t>Präsenzzeit pro Tag</t>
  </si>
  <si>
    <t xml:space="preserve"> Hallenbäder</t>
  </si>
  <si>
    <t>Chi-Wert</t>
  </si>
  <si>
    <t>Engelberg</t>
  </si>
  <si>
    <t>Bern-Liebefeld</t>
  </si>
  <si>
    <t>Buchs-Aarau</t>
  </si>
  <si>
    <t>Genève-Cointrin</t>
  </si>
  <si>
    <t>Grand-St-Bernhard</t>
  </si>
  <si>
    <r>
      <t>[m</t>
    </r>
    <r>
      <rPr>
        <vertAlign val="superscript"/>
        <sz val="10"/>
        <rFont val="Arial"/>
        <family val="2"/>
      </rPr>
      <t>2</t>
    </r>
    <r>
      <rPr>
        <sz val="10"/>
        <rFont val="Arial"/>
        <family val="2"/>
      </rPr>
      <t>]</t>
    </r>
  </si>
  <si>
    <r>
      <t>Fläche [m</t>
    </r>
    <r>
      <rPr>
        <vertAlign val="superscript"/>
        <sz val="10"/>
        <rFont val="Arial"/>
        <family val="2"/>
      </rPr>
      <t>2</t>
    </r>
    <r>
      <rPr>
        <sz val="10"/>
        <rFont val="Arial"/>
        <family val="2"/>
      </rPr>
      <t>]</t>
    </r>
  </si>
  <si>
    <t xml:space="preserve">   Verfasser:</t>
  </si>
  <si>
    <t>Konstruktionsaufbau (von innen nach aussen)</t>
  </si>
  <si>
    <t>U-Wert [W/m2K]:</t>
  </si>
  <si>
    <t>Bauteil:</t>
  </si>
  <si>
    <t xml:space="preserve">Nr. </t>
  </si>
  <si>
    <t>Seitenblende</t>
  </si>
  <si>
    <t>Nr.</t>
  </si>
  <si>
    <t>Wärmeabgabe pro Person [W/P]</t>
  </si>
  <si>
    <t>1.0 m</t>
  </si>
  <si>
    <t>numerischer Parameter für Ausnutzungsgrad [-]</t>
  </si>
  <si>
    <t xml:space="preserve"> Werte der Standardnutzung:</t>
  </si>
  <si>
    <t>Altdorf (UR)</t>
  </si>
  <si>
    <t>Buchs-Aarau (AG)</t>
  </si>
  <si>
    <t>Chur (GR)</t>
  </si>
  <si>
    <t>Davos (GR)</t>
  </si>
  <si>
    <t>Genève-Cointrin (GE)</t>
  </si>
  <si>
    <t>Glarus (GL)</t>
  </si>
  <si>
    <t>Gewählte Nutzung:</t>
  </si>
  <si>
    <r>
      <t>l</t>
    </r>
    <r>
      <rPr>
        <b/>
        <vertAlign val="subscript"/>
        <sz val="8"/>
        <rFont val="Arial"/>
        <family val="2"/>
      </rPr>
      <t>D</t>
    </r>
    <r>
      <rPr>
        <b/>
        <sz val="8"/>
        <rFont val="Arial"/>
        <family val="2"/>
      </rPr>
      <t xml:space="preserve"> [W/mK]</t>
    </r>
  </si>
  <si>
    <t>Neuchâtel</t>
  </si>
  <si>
    <t>Geschoss</t>
  </si>
  <si>
    <t>[%]</t>
  </si>
  <si>
    <r>
      <t>b) Lüftungsverluste Q</t>
    </r>
    <r>
      <rPr>
        <vertAlign val="subscript"/>
        <sz val="10"/>
        <rFont val="Arial"/>
        <family val="2"/>
      </rPr>
      <t>V</t>
    </r>
  </si>
  <si>
    <t>November</t>
  </si>
  <si>
    <t xml:space="preserve"> Grenzwert für:</t>
  </si>
  <si>
    <t>Fall12:</t>
  </si>
  <si>
    <t>Optimierung</t>
  </si>
  <si>
    <t>Davos</t>
  </si>
  <si>
    <t>Restaurants VI</t>
  </si>
  <si>
    <t>[-]</t>
  </si>
  <si>
    <t xml:space="preserve"> Bauweise:</t>
  </si>
  <si>
    <t>Klimastation:</t>
  </si>
  <si>
    <t>Total</t>
  </si>
  <si>
    <t>U-Wert Berechnungen opake Bauteile</t>
  </si>
  <si>
    <t>O</t>
  </si>
  <si>
    <t>Fall2:</t>
  </si>
  <si>
    <t>Fall3:</t>
  </si>
  <si>
    <t>Fall11:</t>
  </si>
  <si>
    <t>Fall 14:</t>
  </si>
  <si>
    <t>Fall 15:</t>
  </si>
  <si>
    <t>Raumtemperatur [°C]</t>
  </si>
  <si>
    <t>Süd</t>
  </si>
  <si>
    <t>Jahr</t>
  </si>
  <si>
    <r>
      <t>Gebäudehüllzahl A</t>
    </r>
    <r>
      <rPr>
        <vertAlign val="subscript"/>
        <sz val="8"/>
        <rFont val="Arial"/>
        <family val="2"/>
      </rPr>
      <t>th</t>
    </r>
    <r>
      <rPr>
        <sz val="8"/>
        <rFont val="Arial"/>
        <family val="2"/>
      </rPr>
      <t xml:space="preserve"> / A</t>
    </r>
    <r>
      <rPr>
        <vertAlign val="subscript"/>
        <sz val="8"/>
        <rFont val="Arial"/>
        <family val="2"/>
      </rPr>
      <t>E</t>
    </r>
    <r>
      <rPr>
        <sz val="8"/>
        <rFont val="Arial"/>
        <family val="2"/>
      </rPr>
      <t xml:space="preserve"> [-]:</t>
    </r>
  </si>
  <si>
    <t>Kennwerte:</t>
  </si>
  <si>
    <t>Fall 13:</t>
  </si>
  <si>
    <t>Neubau</t>
  </si>
  <si>
    <t>Zuschlag für Wärmebrücken:</t>
  </si>
  <si>
    <t xml:space="preserve"> Raumtemperatur [°C]:</t>
  </si>
  <si>
    <t xml:space="preserve"> Wärmeabgabe pro Person [W/P]:</t>
  </si>
  <si>
    <t xml:space="preserve"> Präsenzzeit pro Tag [h]:</t>
  </si>
  <si>
    <r>
      <t>U-Wert des Bodens mit R</t>
    </r>
    <r>
      <rPr>
        <vertAlign val="subscript"/>
        <sz val="12"/>
        <rFont val="Helv"/>
      </rPr>
      <t>SE</t>
    </r>
    <r>
      <rPr>
        <sz val="12"/>
        <rFont val="Helv"/>
      </rPr>
      <t xml:space="preserve"> = 0</t>
    </r>
  </si>
  <si>
    <t>(Referenzraum-Temperaturregelung)</t>
  </si>
  <si>
    <t>Beilage 1.5</t>
  </si>
  <si>
    <t>0 Werte der Standardnutzung</t>
  </si>
  <si>
    <t>Grand-St-Bernhard (VS)</t>
  </si>
  <si>
    <t>Güttingen (TG)</t>
  </si>
  <si>
    <t>Locarno-Monti (TI)</t>
  </si>
  <si>
    <t>Lugano (TI)</t>
  </si>
  <si>
    <t>Magadino (TI)</t>
  </si>
  <si>
    <t>Beilage 1.4</t>
  </si>
  <si>
    <t>homogen</t>
  </si>
  <si>
    <r>
      <t>l</t>
    </r>
    <r>
      <rPr>
        <b/>
        <sz val="10"/>
        <color indexed="8"/>
        <rFont val="Arial"/>
        <family val="2"/>
      </rPr>
      <t xml:space="preserve"> [W/mK]</t>
    </r>
  </si>
  <si>
    <t xml:space="preserve"> - Klimastation (SIA 2028):</t>
  </si>
  <si>
    <r>
      <t xml:space="preserve"> Energiebezugsfläche A</t>
    </r>
    <r>
      <rPr>
        <vertAlign val="subscript"/>
        <sz val="10"/>
        <rFont val="Arial"/>
        <family val="2"/>
      </rPr>
      <t>E</t>
    </r>
    <r>
      <rPr>
        <sz val="10"/>
        <rFont val="Arial"/>
        <family val="2"/>
      </rPr>
      <t>:</t>
    </r>
  </si>
  <si>
    <t>Beilage 2.5</t>
  </si>
  <si>
    <t>April</t>
  </si>
  <si>
    <t>Mai</t>
  </si>
  <si>
    <t>Juni</t>
  </si>
  <si>
    <t>Orientierung [-]</t>
  </si>
  <si>
    <t>Resultat</t>
  </si>
  <si>
    <t xml:space="preserve"> Aussenluft</t>
  </si>
  <si>
    <t>Seite 3</t>
  </si>
  <si>
    <t>Ein- und Zweifamilienhäuser, Ein- und Zweifamilien-Ferienhäuser, Reihen-Einfamilienhäuser</t>
  </si>
  <si>
    <t>III</t>
  </si>
  <si>
    <t>IV</t>
  </si>
  <si>
    <t>V</t>
  </si>
  <si>
    <t>Ref. Zeitkonstante</t>
  </si>
  <si>
    <t>Parameter</t>
  </si>
  <si>
    <t>Wärmeabgabe</t>
  </si>
  <si>
    <t>Präsenzzeit</t>
  </si>
  <si>
    <t>Typ</t>
  </si>
  <si>
    <t>Individuell</t>
  </si>
  <si>
    <t>Vaduz</t>
  </si>
  <si>
    <t>Wynau</t>
  </si>
  <si>
    <t>Zürich-Meteo-Schweiz</t>
  </si>
  <si>
    <t xml:space="preserve"> Korrekturfaktor für Jahresmitteltemperatur</t>
  </si>
  <si>
    <t>[W/mK]</t>
  </si>
  <si>
    <t>"Bezeichnung eingeben"</t>
  </si>
  <si>
    <t xml:space="preserve">  Bauvorhaben/ Projekt:</t>
  </si>
  <si>
    <t>Fall14:</t>
  </si>
  <si>
    <t>Fall15:</t>
  </si>
  <si>
    <t>R=</t>
  </si>
  <si>
    <t>Disentis (GR)</t>
  </si>
  <si>
    <t>Engelberg (OW)</t>
  </si>
  <si>
    <t>Nutzungen (Beispiele)</t>
  </si>
  <si>
    <t>I</t>
  </si>
  <si>
    <t>II</t>
  </si>
  <si>
    <t xml:space="preserve">  SachbearbeiterIn:</t>
  </si>
  <si>
    <t>Bauteilheizung</t>
  </si>
  <si>
    <t>3 Bauteile gegen unbeheizte Räume und Erdreich</t>
  </si>
  <si>
    <t>Montana</t>
  </si>
  <si>
    <t>Bauweise</t>
  </si>
  <si>
    <t>%</t>
  </si>
  <si>
    <t>Sicherheitscode</t>
  </si>
  <si>
    <t>EBF</t>
  </si>
  <si>
    <t>2 Wärmebrücken gegen Aussenklima, Erdreich und unbeheizt</t>
  </si>
  <si>
    <t>Anzahl z</t>
  </si>
  <si>
    <t>"Nummer eingeben"</t>
  </si>
  <si>
    <t>[Stk]</t>
  </si>
  <si>
    <t>Energiebilanz:</t>
  </si>
  <si>
    <t>Fensterfläche [m2]:</t>
  </si>
  <si>
    <t>Normfenster</t>
  </si>
  <si>
    <r>
      <t>Fläche Fenster A</t>
    </r>
    <r>
      <rPr>
        <vertAlign val="subscript"/>
        <sz val="9"/>
        <rFont val="Arial"/>
        <family val="2"/>
      </rPr>
      <t>w</t>
    </r>
    <r>
      <rPr>
        <sz val="9"/>
        <rFont val="Arial"/>
        <family val="2"/>
      </rPr>
      <t xml:space="preserve"> [m2]</t>
    </r>
  </si>
  <si>
    <r>
      <t>Fläche Glas A</t>
    </r>
    <r>
      <rPr>
        <vertAlign val="subscript"/>
        <sz val="9"/>
        <rFont val="Arial"/>
        <family val="2"/>
      </rPr>
      <t>g</t>
    </r>
    <r>
      <rPr>
        <sz val="9"/>
        <rFont val="Arial"/>
        <family val="2"/>
      </rPr>
      <t xml:space="preserve"> [m2]</t>
    </r>
  </si>
  <si>
    <t>Breite d (Glas) [m]</t>
  </si>
  <si>
    <t>Höhe a (Glas) [m]</t>
  </si>
  <si>
    <t>Umfang Glas L [m1]</t>
  </si>
  <si>
    <t>Breite b (Fenster) [m]</t>
  </si>
  <si>
    <t>Höhe h (Fenster) [m]</t>
  </si>
  <si>
    <t>Skizze Dachkonstruktion</t>
  </si>
  <si>
    <t>U-Wert</t>
  </si>
  <si>
    <t>Dezember</t>
  </si>
  <si>
    <t>Innentemp.</t>
  </si>
  <si>
    <t>Fall 12</t>
  </si>
  <si>
    <t xml:space="preserve"> Total</t>
  </si>
  <si>
    <t>Auftragsnummer:</t>
  </si>
  <si>
    <t>Ad [m2]=</t>
  </si>
  <si>
    <t>Tage</t>
  </si>
  <si>
    <t>Apr</t>
  </si>
  <si>
    <t>Berechnung:</t>
  </si>
  <si>
    <t>H</t>
  </si>
  <si>
    <r>
      <t>Fläche Rahmen A</t>
    </r>
    <r>
      <rPr>
        <vertAlign val="subscript"/>
        <sz val="9"/>
        <rFont val="Arial"/>
        <family val="2"/>
      </rPr>
      <t>f</t>
    </r>
    <r>
      <rPr>
        <sz val="9"/>
        <rFont val="Arial"/>
        <family val="2"/>
      </rPr>
      <t xml:space="preserve"> [m2]</t>
    </r>
  </si>
  <si>
    <t xml:space="preserve"> g-Wert</t>
  </si>
  <si>
    <t xml:space="preserve"> Psi-Wert</t>
  </si>
  <si>
    <t>Glasrandverbund:</t>
  </si>
  <si>
    <t xml:space="preserve"> Sportbauten</t>
  </si>
  <si>
    <t>Gesamt:</t>
  </si>
  <si>
    <t xml:space="preserve"> Industrie</t>
  </si>
  <si>
    <t xml:space="preserve"> Lager</t>
  </si>
  <si>
    <t xml:space="preserve">   Variante:</t>
  </si>
  <si>
    <t>Präsenzzeit pro Tag [h]</t>
  </si>
  <si>
    <t xml:space="preserve">     Energetische Auswirkungen:</t>
  </si>
  <si>
    <t>transparent</t>
  </si>
  <si>
    <t>Glas</t>
  </si>
  <si>
    <t>private und öffentliche Bürobauten, Schalterhallen, Arztpraxen, Bibliotheken, Ateliers, Ausstellungsbauten, Kulturzentren, Rechenzentren, Fernmelde-gebäude, Fernsehgebäude, Filmstudios</t>
  </si>
  <si>
    <t>Ausgewählte Klimadaten</t>
  </si>
  <si>
    <r>
      <t>[m</t>
    </r>
    <r>
      <rPr>
        <vertAlign val="superscript"/>
        <sz val="8"/>
        <rFont val="Arial"/>
        <family val="2"/>
      </rPr>
      <t>3</t>
    </r>
    <r>
      <rPr>
        <sz val="8"/>
        <rFont val="Arial"/>
        <family val="2"/>
      </rPr>
      <t>/m</t>
    </r>
    <r>
      <rPr>
        <vertAlign val="superscript"/>
        <sz val="8"/>
        <rFont val="Arial"/>
        <family val="2"/>
      </rPr>
      <t>2</t>
    </r>
    <r>
      <rPr>
        <sz val="8"/>
        <rFont val="Arial"/>
        <family val="2"/>
      </rPr>
      <t>h]</t>
    </r>
  </si>
  <si>
    <r>
      <t>[m</t>
    </r>
    <r>
      <rPr>
        <vertAlign val="superscript"/>
        <sz val="8"/>
        <rFont val="Arial"/>
        <family val="2"/>
      </rPr>
      <t>2</t>
    </r>
    <r>
      <rPr>
        <sz val="8"/>
        <rFont val="Arial"/>
        <family val="2"/>
      </rPr>
      <t>]</t>
    </r>
  </si>
  <si>
    <t>Betriebszeiten [h/Wo]:</t>
  </si>
  <si>
    <t xml:space="preserve">     Berechnung:</t>
  </si>
  <si>
    <t>Ab [m2]=</t>
  </si>
  <si>
    <t>Seite 4</t>
  </si>
  <si>
    <t>b</t>
  </si>
  <si>
    <r>
      <t>A</t>
    </r>
    <r>
      <rPr>
        <vertAlign val="subscript"/>
        <sz val="12"/>
        <rFont val="Helv"/>
      </rPr>
      <t>FG</t>
    </r>
    <r>
      <rPr>
        <sz val="12"/>
        <rFont val="Helv"/>
      </rPr>
      <t>/P</t>
    </r>
    <r>
      <rPr>
        <vertAlign val="subscript"/>
        <sz val="12"/>
        <rFont val="Helv"/>
      </rPr>
      <t>FG</t>
    </r>
    <r>
      <rPr>
        <sz val="12"/>
        <rFont val="Helv"/>
      </rPr>
      <t xml:space="preserve"> = 2 m</t>
    </r>
  </si>
  <si>
    <t>(leicht)</t>
  </si>
  <si>
    <t>XII</t>
  </si>
  <si>
    <t>Hallenbäder, Lehrschwimmbecken, Saunagebäude, Heilbäder</t>
  </si>
  <si>
    <t>[W/K]</t>
  </si>
  <si>
    <t>Reduktionsfaktor</t>
  </si>
  <si>
    <t>W/O</t>
  </si>
  <si>
    <t>Faktor fs2</t>
  </si>
  <si>
    <t>Generalunternehmung</t>
  </si>
  <si>
    <r>
      <t>A</t>
    </r>
    <r>
      <rPr>
        <vertAlign val="subscript"/>
        <sz val="12"/>
        <rFont val="Helv"/>
      </rPr>
      <t>FG</t>
    </r>
    <r>
      <rPr>
        <sz val="12"/>
        <rFont val="Helv"/>
      </rPr>
      <t>/P</t>
    </r>
    <r>
      <rPr>
        <vertAlign val="subscript"/>
        <sz val="12"/>
        <rFont val="Helv"/>
      </rPr>
      <t>FG</t>
    </r>
    <r>
      <rPr>
        <sz val="12"/>
        <rFont val="Helv"/>
      </rPr>
      <t xml:space="preserve"> = 10 m</t>
    </r>
  </si>
  <si>
    <r>
      <t>U</t>
    </r>
    <r>
      <rPr>
        <vertAlign val="subscript"/>
        <sz val="12"/>
        <rFont val="Helv"/>
      </rPr>
      <t>WG0</t>
    </r>
  </si>
  <si>
    <t>Fläche A</t>
  </si>
  <si>
    <t>Vordimensionierung</t>
  </si>
  <si>
    <t>Bauteilbezeichnung:</t>
  </si>
  <si>
    <t>Auswahl 3</t>
  </si>
  <si>
    <t xml:space="preserve"> Grenz- und Zielwerte:</t>
  </si>
  <si>
    <r>
      <t>Effektiver Wärmedurchgangswiderstand R</t>
    </r>
    <r>
      <rPr>
        <vertAlign val="subscript"/>
        <sz val="8"/>
        <color indexed="8"/>
        <rFont val="Arial"/>
        <family val="2"/>
      </rPr>
      <t>k</t>
    </r>
    <r>
      <rPr>
        <sz val="8"/>
        <color indexed="8"/>
        <rFont val="Arial"/>
        <family val="2"/>
      </rPr>
      <t xml:space="preserve"> [m2K/W]:</t>
    </r>
  </si>
  <si>
    <t>Wand</t>
  </si>
  <si>
    <t>Boden</t>
  </si>
  <si>
    <t>Erdreich</t>
  </si>
  <si>
    <t>Summe</t>
  </si>
  <si>
    <t>Sept.</t>
  </si>
  <si>
    <t>d</t>
  </si>
  <si>
    <t>Anteil</t>
  </si>
  <si>
    <t>Orientierung</t>
  </si>
  <si>
    <t>Bauvorhaben/Projekt:</t>
  </si>
  <si>
    <t>La Chaux-de-Fonds</t>
  </si>
  <si>
    <t>Abmessungen:</t>
  </si>
  <si>
    <t>Zermatt</t>
  </si>
  <si>
    <t xml:space="preserve"> Raumtemperaturregelung:</t>
  </si>
  <si>
    <t>Ac [m2]=</t>
  </si>
  <si>
    <t>W/m2K</t>
  </si>
  <si>
    <t>Meereshöhe</t>
  </si>
  <si>
    <t>Lugano</t>
  </si>
  <si>
    <t>Sportbauten XI</t>
  </si>
  <si>
    <t>Hallenbäder XII</t>
  </si>
  <si>
    <t>alle übrigen Fälle</t>
  </si>
  <si>
    <t>(alle übrigen Fälle)</t>
  </si>
  <si>
    <t>Referenzzeitkonstante für Ausnutzungsgrad [h]</t>
  </si>
  <si>
    <t>Montana (VS)</t>
  </si>
  <si>
    <t>Neuchâtel (NE)</t>
  </si>
  <si>
    <t>Verkaufsräume aller Art inkl. Einkaufszentren, Messegebäude</t>
  </si>
  <si>
    <t>VI</t>
  </si>
  <si>
    <t>Jahresmittel</t>
  </si>
  <si>
    <t>Systemnachweis</t>
  </si>
  <si>
    <t>Robbia</t>
  </si>
  <si>
    <t>Schaffhausen</t>
  </si>
  <si>
    <t>max. Vorlauftemp.</t>
  </si>
  <si>
    <t>numerischer</t>
  </si>
  <si>
    <t>-</t>
  </si>
  <si>
    <t xml:space="preserve">  Auftragsnummer:</t>
  </si>
  <si>
    <t>Nachweis</t>
  </si>
  <si>
    <t>Diverse Eingabedaten (Achtung: Felder nicht gesperrt!)</t>
  </si>
  <si>
    <t>Parameter für Ausnutzungsgrad a [-]</t>
  </si>
  <si>
    <t>[d]</t>
  </si>
  <si>
    <t>[m2]</t>
  </si>
  <si>
    <t xml:space="preserve"> Um- oder Neubau:</t>
  </si>
  <si>
    <t>Februar</t>
  </si>
  <si>
    <r>
      <t>U-Wert der Wand mit R</t>
    </r>
    <r>
      <rPr>
        <vertAlign val="subscript"/>
        <sz val="12"/>
        <rFont val="Helv"/>
      </rPr>
      <t>SE</t>
    </r>
    <r>
      <rPr>
        <sz val="12"/>
        <rFont val="Helv"/>
      </rPr>
      <t xml:space="preserve"> = 0</t>
    </r>
  </si>
  <si>
    <t>Beilage 1.1</t>
  </si>
  <si>
    <t>gegen Aussenluft</t>
  </si>
  <si>
    <t>Geschossbezeichnung</t>
  </si>
  <si>
    <t>Auftraggeber/in</t>
  </si>
  <si>
    <t>Bauherr/in</t>
  </si>
  <si>
    <t>Eigentümer/in</t>
  </si>
  <si>
    <t>Architekt/in</t>
  </si>
  <si>
    <t>Bauingenieur/in</t>
  </si>
  <si>
    <t>Bauleiter/in</t>
  </si>
  <si>
    <t>Bauphysiker/in</t>
  </si>
  <si>
    <t>HLK-Planer/in</t>
  </si>
  <si>
    <t>Planverfasser/in</t>
  </si>
  <si>
    <t>Projektleiter/in</t>
  </si>
  <si>
    <t>Nachweisverfasser/in</t>
  </si>
  <si>
    <r>
      <t>Elektrizitätsbedarf pro Jahr [kWh/m</t>
    </r>
    <r>
      <rPr>
        <vertAlign val="superscript"/>
        <sz val="9"/>
        <rFont val="Arial"/>
        <family val="2"/>
      </rPr>
      <t>2</t>
    </r>
    <r>
      <rPr>
        <sz val="9"/>
        <rFont val="Arial"/>
        <family val="2"/>
      </rPr>
      <t>]:</t>
    </r>
  </si>
  <si>
    <r>
      <t xml:space="preserve">Basis </t>
    </r>
    <r>
      <rPr>
        <i/>
        <sz val="9"/>
        <rFont val="Arial"/>
        <family val="2"/>
      </rPr>
      <t>Q</t>
    </r>
    <r>
      <rPr>
        <i/>
        <vertAlign val="subscript"/>
        <sz val="9"/>
        <rFont val="Arial"/>
        <family val="2"/>
      </rPr>
      <t>H,li0</t>
    </r>
    <r>
      <rPr>
        <i/>
        <sz val="9"/>
        <rFont val="Arial"/>
        <family val="2"/>
      </rPr>
      <t xml:space="preserve"> </t>
    </r>
    <r>
      <rPr>
        <sz val="9"/>
        <rFont val="Arial"/>
        <family val="2"/>
      </rPr>
      <t>[kWh/m</t>
    </r>
    <r>
      <rPr>
        <vertAlign val="superscript"/>
        <sz val="9"/>
        <rFont val="Arial"/>
        <family val="2"/>
      </rPr>
      <t>2</t>
    </r>
    <r>
      <rPr>
        <sz val="9"/>
        <rFont val="Arial"/>
        <family val="2"/>
      </rPr>
      <t>]:</t>
    </r>
  </si>
  <si>
    <r>
      <t xml:space="preserve">Steigung </t>
    </r>
    <r>
      <rPr>
        <i/>
        <sz val="9"/>
        <rFont val="Arial"/>
        <family val="2"/>
      </rPr>
      <t>∆Q</t>
    </r>
    <r>
      <rPr>
        <i/>
        <vertAlign val="subscript"/>
        <sz val="9"/>
        <rFont val="Arial"/>
        <family val="2"/>
      </rPr>
      <t xml:space="preserve">H,li </t>
    </r>
    <r>
      <rPr>
        <sz val="9"/>
        <rFont val="Arial"/>
        <family val="2"/>
      </rPr>
      <t>[kWh/m</t>
    </r>
    <r>
      <rPr>
        <vertAlign val="superscript"/>
        <sz val="9"/>
        <rFont val="Arial"/>
        <family val="2"/>
      </rPr>
      <t>2</t>
    </r>
    <r>
      <rPr>
        <sz val="9"/>
        <rFont val="Arial"/>
        <family val="2"/>
      </rPr>
      <t>]:</t>
    </r>
  </si>
  <si>
    <t xml:space="preserve"> Klimastation SIA 2028:2010:</t>
  </si>
  <si>
    <t>Flächen die zur Energiebezugsfläche zählen (SIA 380:2015, Ziff. 3.2.2):</t>
  </si>
  <si>
    <t>Flächen die nicht zur Energiebezugsfläche zählen (SIA 380:2015, Ziff. 3.2.3):</t>
  </si>
  <si>
    <t>Nicht zur Energiebezugsfläche zählen die den Nebennutzflächen (ausser Sanitärräume und Garderoben), den Fahrzeugverkehrsflächen (inkl. Fahrzeugrampen und Fahrzeugaufzügen) und den Funktionsflächen entsprechenden Geschossflächen, auch wenn sie innerhalb der thermischen Gebäudehülle liegen und konditioniert sind. Ausnahmen siehe 3.2.2. Geschossflächen mit einer Raumhöhe unter 1.0 m zählen nicht zur Energiebezugsfläche.</t>
  </si>
  <si>
    <r>
      <t>Zur Energiebezugsfläche zählen die den Hauptnutzflächen, den Verkehrsflächen (ausser den Fahrzeugverkehrsflächen inkl. Fahrzeugrampen und Fahrzeugaufzügen) und den Flächen der Sanitärräume und Garderoben (Teile der Nebennutzflächen</t>
    </r>
    <r>
      <rPr>
        <sz val="8"/>
        <rFont val="Arial"/>
        <family val="2"/>
      </rPr>
      <t>) zugeordneten Geschossflächen, sofern diese Flächen innerhalb der thermischen Gebäudehülle liegen. Das gilt auch, wenn sie nicht aktiv konditioniert sind. In Abweichung von Ziff. 3.2.3 gehören Ver- und Entsorgungsschächte und Abstellräume unter 10 m</t>
    </r>
    <r>
      <rPr>
        <vertAlign val="superscript"/>
        <sz val="8"/>
        <rFont val="Arial"/>
        <family val="2"/>
      </rPr>
      <t>2</t>
    </r>
    <r>
      <rPr>
        <sz val="8"/>
        <rFont val="Arial"/>
        <family val="2"/>
      </rPr>
      <t xml:space="preserve"> Nettofläche zur Energiebezugsfläche, wenn sie von Räumen, die zur Energiebezugsfläche zählen, oder von der thermischen Gebäudehülle umgeben sind.</t>
    </r>
  </si>
  <si>
    <r>
      <t xml:space="preserve">Die Berechnung der Energiebezugsfläche richtet sich nach SIA 380:2015 </t>
    </r>
    <r>
      <rPr>
        <i/>
        <sz val="8"/>
        <rFont val="Arial"/>
        <family val="2"/>
      </rPr>
      <t>Grundlagen für energetische Berechnungen von Gebäuden</t>
    </r>
  </si>
  <si>
    <t>Ermittlung der Energiebezugsfläche (vgl. SIA 380:2015, Ziff. 3.2.1):</t>
  </si>
  <si>
    <t>Figur 8; SIA 380:2015:</t>
  </si>
  <si>
    <r>
      <t xml:space="preserve">Die Energiebezugsfläche </t>
    </r>
    <r>
      <rPr>
        <i/>
        <sz val="8"/>
        <rFont val="Arial"/>
        <family val="2"/>
      </rPr>
      <t>A</t>
    </r>
    <r>
      <rPr>
        <i/>
        <vertAlign val="subscript"/>
        <sz val="8"/>
        <rFont val="Arial"/>
        <family val="2"/>
      </rPr>
      <t>E</t>
    </r>
    <r>
      <rPr>
        <sz val="8"/>
        <rFont val="Arial"/>
        <family val="2"/>
      </rPr>
      <t xml:space="preserve"> ist die Summe aller ober- und unterirdischen Geschossflächen, die innerhalb der thermischen Gebäudehülle liegen und für deren Nutzung ein Konditionieren notwendig ist.
Bei einer mehrfachen Nutzung des Raumes ist für die Zuordnung zur Energiebezugsfläche massgebend, ob eine Nutzung vorhanden ist, die ein Konditionieren erfordert.
In 3.2.2 und 3.2.3 von SIA 380:2015 wird auf Grund der Flächenklassierung nach SIA 416:2003 genau definiert, welche Flächen zur Energiebezugsfläche gehören.
Die Energiebezugsfläche erstreckt sich bis zur Messebene der thermischen Gebäudehülle. Wenn die Energiebezugsfläche unterteilt werden muss, wird die zwischen den beiden Teilen liegende Konstruktionsfläche hälftig geteilt.
In Treppenhtäusern, in Aufzugsschächten und in Ver- und Entsorgungsschächten wird die Energiebezugsfläche bestimmt, wie wenn die Geschossdecke durchgezogen wäre. Das gilt auch für Lufträume mit einer maximalen Fläche von 5 m</t>
    </r>
    <r>
      <rPr>
        <vertAlign val="superscript"/>
        <sz val="8"/>
        <rFont val="Arial"/>
        <family val="2"/>
      </rPr>
      <t>2</t>
    </r>
    <r>
      <rPr>
        <sz val="8"/>
        <rFont val="Arial"/>
        <family val="2"/>
      </rPr>
      <t>. Andernfalls handelt es sich um einen Luftraum, der nicht zur Energiebezugsfläche zählt.</t>
    </r>
  </si>
  <si>
    <t>Wärmedämmung überwacht (SIA 279:2011):</t>
  </si>
  <si>
    <r>
      <t xml:space="preserve">Rechenwerte für Wärmedurchgangskoeffizienten </t>
    </r>
    <r>
      <rPr>
        <b/>
        <i/>
        <sz val="15"/>
        <rFont val="Arial"/>
        <family val="2"/>
      </rPr>
      <t>U</t>
    </r>
    <r>
      <rPr>
        <b/>
        <i/>
        <vertAlign val="subscript"/>
        <sz val="15"/>
        <rFont val="Arial"/>
        <family val="2"/>
      </rPr>
      <t>w</t>
    </r>
    <r>
      <rPr>
        <b/>
        <sz val="15"/>
        <rFont val="Arial"/>
        <family val="2"/>
      </rPr>
      <t xml:space="preserve"> von Fenstern</t>
    </r>
  </si>
  <si>
    <t>Normfenster: zweiflügliges Fenster mit einer Fensterfläche von 1.55 x 1.15 m gemäss SIA 331:2012 (vgl. SIA 380/1:2016, Ziff. 2.2.2.3)</t>
  </si>
  <si>
    <r>
      <t xml:space="preserve">Rahmenanteil </t>
    </r>
    <r>
      <rPr>
        <sz val="9"/>
        <rFont val="Arial"/>
        <family val="2"/>
      </rPr>
      <t>15%</t>
    </r>
  </si>
  <si>
    <t>Basis QH,li0</t>
  </si>
  <si>
    <t>Steigung ∆QH,li</t>
  </si>
  <si>
    <t>NNO</t>
  </si>
  <si>
    <t>NOO</t>
  </si>
  <si>
    <t>OSO</t>
  </si>
  <si>
    <t>SSO</t>
  </si>
  <si>
    <t>SSW</t>
  </si>
  <si>
    <t>WSW</t>
  </si>
  <si>
    <t>WNW</t>
  </si>
  <si>
    <t>NNW</t>
  </si>
  <si>
    <t>Mehrfamilienhäuser, Alterssiedlungen und -wohnungen, Hotels, Mehrfamilien-Ferienhäuser und Ferienheime, Kinder- und Jugendheime, Tagesheime, Behindertenheime, Behindertenwerkstätten, Drogenstationen, Kasernen, Strafanstalten</t>
  </si>
  <si>
    <t>Turn- und Sporthallen, Gymnastikräume, Tennishallen, Kegelbahnen, Fitnesszentren, Sportgarderoben</t>
  </si>
  <si>
    <t>Auswahl Wand- oder Dachkonstruktion:</t>
  </si>
  <si>
    <t>Wandkonstruktion</t>
  </si>
  <si>
    <t>Dachkonstruktion</t>
  </si>
  <si>
    <t>Konstruktion ohne</t>
  </si>
  <si>
    <t>Konstruktion mit</t>
  </si>
  <si>
    <t>Konstruktion wählen</t>
  </si>
  <si>
    <t>Konstruktion ohne Zusatzdämmung:</t>
  </si>
  <si>
    <t>Konstruktion mit Zusatzdämmung:</t>
  </si>
  <si>
    <t>U-Wert Berechnung inhomogene Dachkonstruktion</t>
  </si>
  <si>
    <t>U-Wert Berechnung inhomogene Wandkonstruktion</t>
  </si>
  <si>
    <t>Berechnung Wärmedurchlasswiderstand der Luftschicht gemäss Bauteilkatalog</t>
  </si>
  <si>
    <t>Wärmestrom:</t>
  </si>
  <si>
    <t>Dicke der Luftschicht [mm]</t>
  </si>
  <si>
    <t>Wärmedurchlasswiderstand R [m2K/W]</t>
  </si>
  <si>
    <t>Resultat:</t>
  </si>
  <si>
    <t>Dach</t>
  </si>
  <si>
    <t>Auswahl</t>
  </si>
  <si>
    <t>gewählte Dicke [mm]:</t>
  </si>
  <si>
    <t>Wärmedurchlasswiderstand R</t>
  </si>
  <si>
    <t xml:space="preserve">Wärmedämmung überwacht (SIA 279:2011): </t>
  </si>
  <si>
    <t>ja/nein</t>
  </si>
  <si>
    <t>U-Wert Berechnung inhomogene Dachkonstruktion mit Zusatzwärmedämmung</t>
  </si>
  <si>
    <t>U-Wert Berechnung inhomogene Wandkonstruktion mit Zusatzwärmedämmung</t>
  </si>
  <si>
    <t>[kWh/m2]</t>
  </si>
  <si>
    <r>
      <t>a) Wärmeeintrag Elektrizität Q</t>
    </r>
    <r>
      <rPr>
        <vertAlign val="subscript"/>
        <sz val="12"/>
        <rFont val="Arial"/>
        <family val="2"/>
      </rPr>
      <t>i,el</t>
    </r>
  </si>
  <si>
    <t>Berechnung der Wärmeeinträge</t>
  </si>
  <si>
    <t>Elektrizitätsbedarf pro Jahr</t>
  </si>
  <si>
    <r>
      <t>[kWh/m</t>
    </r>
    <r>
      <rPr>
        <vertAlign val="superscript"/>
        <sz val="12"/>
        <rFont val="Arial"/>
        <family val="2"/>
      </rPr>
      <t>2</t>
    </r>
    <r>
      <rPr>
        <sz val="12"/>
        <rFont val="Arial"/>
        <family val="2"/>
      </rPr>
      <t>]</t>
    </r>
  </si>
  <si>
    <r>
      <t>Wärmeeintrag Elektrizität Q</t>
    </r>
    <r>
      <rPr>
        <b/>
        <vertAlign val="subscript"/>
        <sz val="12"/>
        <rFont val="Arial"/>
        <family val="2"/>
      </rPr>
      <t>i,el</t>
    </r>
  </si>
  <si>
    <r>
      <t>[kWh/m</t>
    </r>
    <r>
      <rPr>
        <b/>
        <vertAlign val="superscript"/>
        <sz val="12"/>
        <rFont val="Arial"/>
        <family val="2"/>
      </rPr>
      <t>2</t>
    </r>
    <r>
      <rPr>
        <b/>
        <sz val="12"/>
        <rFont val="Arial"/>
        <family val="2"/>
      </rPr>
      <t>]</t>
    </r>
  </si>
  <si>
    <r>
      <t>b) Wärmeeinträge Personen Q</t>
    </r>
    <r>
      <rPr>
        <vertAlign val="subscript"/>
        <sz val="12"/>
        <rFont val="Arial"/>
        <family val="2"/>
      </rPr>
      <t>I,P</t>
    </r>
  </si>
  <si>
    <r>
      <t>Wärmeeinträge Personen Q</t>
    </r>
    <r>
      <rPr>
        <b/>
        <vertAlign val="subscript"/>
        <sz val="12"/>
        <rFont val="Arial"/>
        <family val="2"/>
      </rPr>
      <t>I,P</t>
    </r>
  </si>
  <si>
    <r>
      <t>[Wh/m</t>
    </r>
    <r>
      <rPr>
        <vertAlign val="superscript"/>
        <sz val="8"/>
        <rFont val="Arial"/>
        <family val="2"/>
      </rPr>
      <t>3</t>
    </r>
    <r>
      <rPr>
        <sz val="8"/>
        <rFont val="Arial"/>
        <family val="2"/>
      </rPr>
      <t>K]</t>
    </r>
  </si>
  <si>
    <r>
      <t>[kWh/m</t>
    </r>
    <r>
      <rPr>
        <vertAlign val="superscript"/>
        <sz val="8"/>
        <rFont val="Arial"/>
        <family val="2"/>
      </rPr>
      <t>2</t>
    </r>
    <r>
      <rPr>
        <sz val="8"/>
        <rFont val="Arial"/>
        <family val="2"/>
      </rPr>
      <t>]</t>
    </r>
  </si>
  <si>
    <r>
      <t>[kWh/m</t>
    </r>
    <r>
      <rPr>
        <b/>
        <vertAlign val="superscript"/>
        <sz val="8"/>
        <rFont val="Arial"/>
        <family val="2"/>
      </rPr>
      <t>2</t>
    </r>
    <r>
      <rPr>
        <b/>
        <sz val="8"/>
        <rFont val="Arial"/>
        <family val="2"/>
      </rPr>
      <t>]</t>
    </r>
  </si>
  <si>
    <r>
      <t xml:space="preserve">Aussenlufttemperatur </t>
    </r>
    <r>
      <rPr>
        <sz val="8"/>
        <rFont val="Symbol"/>
        <family val="1"/>
      </rPr>
      <t>q</t>
    </r>
    <r>
      <rPr>
        <sz val="8"/>
        <rFont val="Arial"/>
        <family val="2"/>
      </rPr>
      <t>e</t>
    </r>
  </si>
  <si>
    <r>
      <t xml:space="preserve"> Basis Q</t>
    </r>
    <r>
      <rPr>
        <vertAlign val="subscript"/>
        <sz val="10"/>
        <rFont val="Arial"/>
        <family val="2"/>
      </rPr>
      <t>H,li0</t>
    </r>
  </si>
  <si>
    <r>
      <t>[kWh/m</t>
    </r>
    <r>
      <rPr>
        <vertAlign val="superscript"/>
        <sz val="10"/>
        <rFont val="Arial"/>
        <family val="2"/>
      </rPr>
      <t>2</t>
    </r>
    <r>
      <rPr>
        <sz val="10"/>
        <rFont val="Arial"/>
        <family val="2"/>
      </rPr>
      <t>]</t>
    </r>
  </si>
  <si>
    <r>
      <t>Q</t>
    </r>
    <r>
      <rPr>
        <vertAlign val="subscript"/>
        <sz val="10"/>
        <rFont val="Arial"/>
        <family val="2"/>
      </rPr>
      <t>H,li</t>
    </r>
    <r>
      <rPr>
        <sz val="10"/>
        <rFont val="Arial"/>
        <family val="2"/>
      </rPr>
      <t xml:space="preserve">  =</t>
    </r>
  </si>
  <si>
    <r>
      <t>Q</t>
    </r>
    <r>
      <rPr>
        <vertAlign val="subscript"/>
        <sz val="10"/>
        <rFont val="Arial"/>
        <family val="2"/>
      </rPr>
      <t>H,ta</t>
    </r>
    <r>
      <rPr>
        <sz val="10"/>
        <rFont val="Arial"/>
        <family val="2"/>
      </rPr>
      <t xml:space="preserve"> =</t>
    </r>
  </si>
  <si>
    <r>
      <t>[kWh/m</t>
    </r>
    <r>
      <rPr>
        <b/>
        <vertAlign val="superscript"/>
        <sz val="10"/>
        <rFont val="Arial"/>
        <family val="2"/>
      </rPr>
      <t>2</t>
    </r>
    <r>
      <rPr>
        <b/>
        <sz val="10"/>
        <rFont val="Arial"/>
        <family val="2"/>
      </rPr>
      <t>]</t>
    </r>
  </si>
  <si>
    <r>
      <t>Gesamtwärmeverlust Q</t>
    </r>
    <r>
      <rPr>
        <b/>
        <vertAlign val="subscript"/>
        <sz val="10"/>
        <rFont val="Arial"/>
        <family val="2"/>
      </rPr>
      <t>tot</t>
    </r>
  </si>
  <si>
    <r>
      <t>1. Gesamtwärmeverlust Q</t>
    </r>
    <r>
      <rPr>
        <b/>
        <vertAlign val="subscript"/>
        <sz val="10"/>
        <rFont val="Arial"/>
        <family val="2"/>
      </rPr>
      <t>tot</t>
    </r>
  </si>
  <si>
    <r>
      <t>2. Wärmeeinträge Q</t>
    </r>
    <r>
      <rPr>
        <b/>
        <vertAlign val="subscript"/>
        <sz val="10"/>
        <rFont val="Arial"/>
        <family val="2"/>
      </rPr>
      <t>g</t>
    </r>
  </si>
  <si>
    <r>
      <t>c) Wärmeeintrag Elektrizität Q</t>
    </r>
    <r>
      <rPr>
        <vertAlign val="subscript"/>
        <sz val="10"/>
        <rFont val="Arial"/>
        <family val="2"/>
      </rPr>
      <t>i,el</t>
    </r>
  </si>
  <si>
    <r>
      <t>d) Wärmeeinträge Personen Q</t>
    </r>
    <r>
      <rPr>
        <vertAlign val="subscript"/>
        <sz val="10"/>
        <rFont val="Arial"/>
        <family val="2"/>
      </rPr>
      <t>I,P</t>
    </r>
  </si>
  <si>
    <r>
      <t>Wärmeeinträge total Q</t>
    </r>
    <r>
      <rPr>
        <b/>
        <vertAlign val="subscript"/>
        <sz val="10"/>
        <rFont val="Arial"/>
        <family val="2"/>
      </rPr>
      <t>g</t>
    </r>
  </si>
  <si>
    <r>
      <t xml:space="preserve">Wärmeeintrag/-verlust Verhältnis </t>
    </r>
    <r>
      <rPr>
        <sz val="10"/>
        <rFont val="Symbol"/>
        <family val="1"/>
      </rPr>
      <t>g</t>
    </r>
    <r>
      <rPr>
        <sz val="10"/>
        <rFont val="Arial"/>
        <family val="2"/>
      </rPr>
      <t xml:space="preserve"> [-]</t>
    </r>
  </si>
  <si>
    <r>
      <t xml:space="preserve">Ausnutzungsgrad für Wärmeeinträge </t>
    </r>
    <r>
      <rPr>
        <sz val="10"/>
        <rFont val="Symbol"/>
        <family val="1"/>
      </rPr>
      <t>h</t>
    </r>
    <r>
      <rPr>
        <vertAlign val="subscript"/>
        <sz val="10"/>
        <rFont val="Arial"/>
        <family val="2"/>
      </rPr>
      <t>g</t>
    </r>
    <r>
      <rPr>
        <sz val="10"/>
        <rFont val="Arial"/>
        <family val="2"/>
      </rPr>
      <t xml:space="preserve"> [-]</t>
    </r>
  </si>
  <si>
    <r>
      <t xml:space="preserve"> Heizwärmebedarf Q</t>
    </r>
    <r>
      <rPr>
        <b/>
        <vertAlign val="subscript"/>
        <sz val="10"/>
        <rFont val="Arial"/>
        <family val="2"/>
      </rPr>
      <t>H</t>
    </r>
  </si>
  <si>
    <r>
      <t>Genutzte Wärmeeinträge Q</t>
    </r>
    <r>
      <rPr>
        <vertAlign val="subscript"/>
        <sz val="10"/>
        <rFont val="Arial"/>
        <family val="2"/>
      </rPr>
      <t>ug</t>
    </r>
    <r>
      <rPr>
        <sz val="10"/>
        <rFont val="Arial"/>
        <family val="2"/>
      </rPr>
      <t xml:space="preserve"> [kWh/m</t>
    </r>
    <r>
      <rPr>
        <vertAlign val="superscript"/>
        <sz val="10"/>
        <rFont val="Arial"/>
        <family val="2"/>
      </rPr>
      <t>2</t>
    </r>
    <r>
      <rPr>
        <sz val="10"/>
        <rFont val="Arial"/>
        <family val="2"/>
      </rPr>
      <t>]</t>
    </r>
  </si>
  <si>
    <r>
      <t>Heizwärmebedarf  Q</t>
    </r>
    <r>
      <rPr>
        <vertAlign val="subscript"/>
        <sz val="10"/>
        <rFont val="Arial"/>
        <family val="2"/>
      </rPr>
      <t>H</t>
    </r>
    <r>
      <rPr>
        <sz val="10"/>
        <rFont val="Arial"/>
        <family val="2"/>
      </rPr>
      <t xml:space="preserve"> [kWh/m</t>
    </r>
    <r>
      <rPr>
        <vertAlign val="superscript"/>
        <sz val="10"/>
        <rFont val="Arial"/>
        <family val="2"/>
      </rPr>
      <t>2</t>
    </r>
    <r>
      <rPr>
        <sz val="10"/>
        <rFont val="Arial"/>
        <family val="2"/>
      </rPr>
      <t>]</t>
    </r>
  </si>
  <si>
    <r>
      <t>e) solare Wärmeeinträge Q</t>
    </r>
    <r>
      <rPr>
        <vertAlign val="subscript"/>
        <sz val="10"/>
        <rFont val="Arial"/>
        <family val="2"/>
      </rPr>
      <t>s</t>
    </r>
  </si>
  <si>
    <t>Berechnung Heizwärmebedarf QH nach SIA 380/1:2016</t>
  </si>
  <si>
    <t xml:space="preserve">   pro m2 EBF [kWh/m2K]:</t>
  </si>
  <si>
    <r>
      <t xml:space="preserve"> - Regelungszuschlag </t>
    </r>
    <r>
      <rPr>
        <sz val="8"/>
        <rFont val="Symbol"/>
        <family val="1"/>
      </rPr>
      <t>Dq</t>
    </r>
    <r>
      <rPr>
        <vertAlign val="subscript"/>
        <sz val="8"/>
        <rFont val="Arial"/>
        <family val="2"/>
      </rPr>
      <t>i</t>
    </r>
    <r>
      <rPr>
        <sz val="8"/>
        <rFont val="Arial"/>
        <family val="2"/>
      </rPr>
      <t xml:space="preserve"> [K]:</t>
    </r>
  </si>
  <si>
    <t>1. Transmissionswärmeverluste QT [kWh/m2a]</t>
  </si>
  <si>
    <t>1.1 gegen Aussenluft [kWh/m2a]</t>
  </si>
  <si>
    <t>2. Lüftungswärmeverluste QV [kWh/m2a]</t>
  </si>
  <si>
    <t>3. Genutzte Wärmeeinträge Qug [kWh/m2a]</t>
  </si>
  <si>
    <t>3.1 Interne Wärmeeinträge Qi [kWh/m2a]</t>
  </si>
  <si>
    <t>3.1.1 Personen [kWh/m2a]</t>
  </si>
  <si>
    <t>3.1.2 Elektrizität [kWh/m2a]</t>
  </si>
  <si>
    <t>3.2 Solarer Wärmeeintrag total Qs [kWh/m2a]</t>
  </si>
  <si>
    <t>4. Total Heizwärmebedarf QH [kWh/m2a]</t>
  </si>
  <si>
    <r>
      <t>thermische Gebäudehüllfläche A</t>
    </r>
    <r>
      <rPr>
        <vertAlign val="subscript"/>
        <sz val="8"/>
        <rFont val="Arial"/>
        <family val="2"/>
      </rPr>
      <t>th</t>
    </r>
    <r>
      <rPr>
        <sz val="8"/>
        <rFont val="Arial"/>
        <family val="2"/>
      </rPr>
      <t xml:space="preserve"> [m2]:</t>
    </r>
  </si>
  <si>
    <t>Elektrizitätsbedarf pro Jahr [kWh/m2]</t>
  </si>
  <si>
    <t>Basis QH,li0 [kWh/m2]</t>
  </si>
  <si>
    <r>
      <t xml:space="preserve">Steigung </t>
    </r>
    <r>
      <rPr>
        <sz val="8"/>
        <rFont val="Symbol"/>
        <family val="1"/>
      </rPr>
      <t>D</t>
    </r>
    <r>
      <rPr>
        <sz val="8"/>
        <rFont val="Arial"/>
        <family val="2"/>
      </rPr>
      <t>QH,li [kWh/m2]</t>
    </r>
  </si>
  <si>
    <t>Wärmebedarf Warmwasser [kWh/m2]</t>
  </si>
  <si>
    <t>QH</t>
  </si>
  <si>
    <t>Faktor fs3,l</t>
  </si>
  <si>
    <t>Faktor fs3,r</t>
  </si>
  <si>
    <t>2 Seitenblenden möglich</t>
  </si>
  <si>
    <t>ONO</t>
  </si>
  <si>
    <r>
      <t>Qs [kWh/m</t>
    </r>
    <r>
      <rPr>
        <vertAlign val="superscript"/>
        <sz val="10"/>
        <rFont val="Arial"/>
        <family val="2"/>
      </rPr>
      <t>2</t>
    </r>
    <r>
      <rPr>
        <sz val="10"/>
        <rFont val="Arial"/>
        <family val="2"/>
      </rPr>
      <t>]</t>
    </r>
  </si>
  <si>
    <t>Globalstrahlung</t>
  </si>
  <si>
    <t>Faktoren Verschattung</t>
  </si>
  <si>
    <r>
      <t>Solare Wärmeeinträge Q</t>
    </r>
    <r>
      <rPr>
        <vertAlign val="subscript"/>
        <sz val="10"/>
        <rFont val="Arial"/>
        <family val="2"/>
      </rPr>
      <t>s</t>
    </r>
  </si>
  <si>
    <r>
      <t>c) Solare Wärmeeinträge Q</t>
    </r>
    <r>
      <rPr>
        <vertAlign val="subscript"/>
        <sz val="12"/>
        <rFont val="Arial"/>
        <family val="2"/>
      </rPr>
      <t>s</t>
    </r>
  </si>
  <si>
    <r>
      <t>Lüftungsverluste ohne Wärmerückgewinnung Q</t>
    </r>
    <r>
      <rPr>
        <vertAlign val="subscript"/>
        <sz val="8"/>
        <rFont val="Arial"/>
        <family val="2"/>
      </rPr>
      <t>v</t>
    </r>
    <r>
      <rPr>
        <sz val="8"/>
        <rFont val="Arial"/>
        <family val="2"/>
      </rPr>
      <t xml:space="preserve"> [kWh/m</t>
    </r>
    <r>
      <rPr>
        <vertAlign val="superscript"/>
        <sz val="8"/>
        <rFont val="Arial"/>
        <family val="2"/>
      </rPr>
      <t>2</t>
    </r>
    <r>
      <rPr>
        <sz val="8"/>
        <rFont val="Arial"/>
        <family val="2"/>
      </rPr>
      <t>a]:</t>
    </r>
  </si>
  <si>
    <r>
      <t>Lüftungsverluste mit Wärmerückgewinnung Q</t>
    </r>
    <r>
      <rPr>
        <b/>
        <vertAlign val="subscript"/>
        <sz val="9"/>
        <rFont val="Arial"/>
        <family val="2"/>
      </rPr>
      <t>v</t>
    </r>
    <r>
      <rPr>
        <b/>
        <sz val="9"/>
        <rFont val="Arial"/>
        <family val="2"/>
      </rPr>
      <t xml:space="preserve"> [kWh/m</t>
    </r>
    <r>
      <rPr>
        <b/>
        <vertAlign val="superscript"/>
        <sz val="9"/>
        <rFont val="Arial"/>
        <family val="2"/>
      </rPr>
      <t>2</t>
    </r>
    <r>
      <rPr>
        <b/>
        <sz val="9"/>
        <rFont val="Arial"/>
        <family val="2"/>
      </rPr>
      <t>a]:</t>
    </r>
  </si>
  <si>
    <r>
      <t>Differenz [kWh/m</t>
    </r>
    <r>
      <rPr>
        <vertAlign val="superscript"/>
        <sz val="8"/>
        <rFont val="Arial"/>
        <family val="2"/>
      </rPr>
      <t>2</t>
    </r>
    <r>
      <rPr>
        <sz val="8"/>
        <rFont val="Arial"/>
        <family val="2"/>
      </rPr>
      <t>a]:</t>
    </r>
  </si>
  <si>
    <r>
      <t>Heizwärmebedarf Q</t>
    </r>
    <r>
      <rPr>
        <vertAlign val="subscript"/>
        <sz val="8"/>
        <rFont val="Arial"/>
        <family val="2"/>
      </rPr>
      <t>H</t>
    </r>
    <r>
      <rPr>
        <sz val="8"/>
        <rFont val="Arial"/>
        <family val="2"/>
      </rPr>
      <t xml:space="preserve"> [kWh/m</t>
    </r>
    <r>
      <rPr>
        <vertAlign val="superscript"/>
        <sz val="8"/>
        <rFont val="Arial"/>
        <family val="2"/>
      </rPr>
      <t>2</t>
    </r>
    <r>
      <rPr>
        <sz val="8"/>
        <rFont val="Arial"/>
        <family val="2"/>
      </rPr>
      <t>]:</t>
    </r>
  </si>
  <si>
    <r>
      <t>Grundluftwechselrate [m</t>
    </r>
    <r>
      <rPr>
        <vertAlign val="superscript"/>
        <sz val="8"/>
        <rFont val="Arial"/>
        <family val="2"/>
      </rPr>
      <t>3</t>
    </r>
    <r>
      <rPr>
        <sz val="8"/>
        <rFont val="Arial"/>
        <family val="2"/>
      </rPr>
      <t>/m</t>
    </r>
    <r>
      <rPr>
        <vertAlign val="superscript"/>
        <sz val="8"/>
        <rFont val="Arial"/>
        <family val="2"/>
      </rPr>
      <t>2</t>
    </r>
    <r>
      <rPr>
        <sz val="8"/>
        <rFont val="Arial"/>
        <family val="2"/>
      </rPr>
      <t>h]</t>
    </r>
  </si>
  <si>
    <r>
      <t>S</t>
    </r>
    <r>
      <rPr>
        <vertAlign val="subscript"/>
        <sz val="8"/>
        <rFont val="Arial"/>
        <family val="2"/>
      </rPr>
      <t>R</t>
    </r>
    <r>
      <rPr>
        <sz val="8"/>
        <rFont val="Arial"/>
        <family val="2"/>
      </rPr>
      <t xml:space="preserve"> x 20 m</t>
    </r>
    <r>
      <rPr>
        <vertAlign val="superscript"/>
        <sz val="8"/>
        <rFont val="Arial"/>
        <family val="2"/>
      </rPr>
      <t>3</t>
    </r>
    <r>
      <rPr>
        <sz val="8"/>
        <rFont val="Arial"/>
        <family val="2"/>
      </rPr>
      <t>/h</t>
    </r>
  </si>
  <si>
    <r>
      <t>S</t>
    </r>
    <r>
      <rPr>
        <vertAlign val="subscript"/>
        <sz val="8"/>
        <rFont val="Arial"/>
        <family val="2"/>
      </rPr>
      <t>R</t>
    </r>
    <r>
      <rPr>
        <sz val="8"/>
        <rFont val="Arial"/>
        <family val="2"/>
      </rPr>
      <t xml:space="preserve"> x 30 m</t>
    </r>
    <r>
      <rPr>
        <vertAlign val="superscript"/>
        <sz val="8"/>
        <rFont val="Arial"/>
        <family val="2"/>
      </rPr>
      <t>3</t>
    </r>
    <r>
      <rPr>
        <sz val="8"/>
        <rFont val="Arial"/>
        <family val="2"/>
      </rPr>
      <t>/h</t>
    </r>
  </si>
  <si>
    <r>
      <t>S</t>
    </r>
    <r>
      <rPr>
        <vertAlign val="subscript"/>
        <sz val="8"/>
        <rFont val="Arial"/>
        <family val="2"/>
      </rPr>
      <t>R</t>
    </r>
    <r>
      <rPr>
        <sz val="8"/>
        <rFont val="Arial"/>
        <family val="2"/>
      </rPr>
      <t xml:space="preserve"> x 45 m</t>
    </r>
    <r>
      <rPr>
        <vertAlign val="superscript"/>
        <sz val="8"/>
        <rFont val="Arial"/>
        <family val="2"/>
      </rPr>
      <t>3</t>
    </r>
    <r>
      <rPr>
        <sz val="8"/>
        <rFont val="Arial"/>
        <family val="2"/>
      </rPr>
      <t>/h</t>
    </r>
  </si>
  <si>
    <r>
      <t>Energiebezugsfläche A</t>
    </r>
    <r>
      <rPr>
        <vertAlign val="subscript"/>
        <sz val="8"/>
        <rFont val="Arial"/>
        <family val="2"/>
      </rPr>
      <t>E</t>
    </r>
    <r>
      <rPr>
        <sz val="8"/>
        <rFont val="Arial"/>
        <family val="2"/>
      </rPr>
      <t xml:space="preserve"> [m</t>
    </r>
    <r>
      <rPr>
        <vertAlign val="superscript"/>
        <sz val="8"/>
        <rFont val="Arial"/>
        <family val="2"/>
      </rPr>
      <t>2</t>
    </r>
    <r>
      <rPr>
        <sz val="8"/>
        <rFont val="Arial"/>
        <family val="2"/>
      </rPr>
      <t>]</t>
    </r>
  </si>
  <si>
    <r>
      <t xml:space="preserve">spez. Wärmespeicherfähigkeit der Luft </t>
    </r>
    <r>
      <rPr>
        <sz val="8"/>
        <rFont val="Symbol"/>
        <family val="1"/>
      </rPr>
      <t>r</t>
    </r>
    <r>
      <rPr>
        <vertAlign val="subscript"/>
        <sz val="8"/>
        <rFont val="Arial"/>
        <family val="2"/>
      </rPr>
      <t>a</t>
    </r>
    <r>
      <rPr>
        <sz val="8"/>
        <rFont val="Arial"/>
        <family val="2"/>
      </rPr>
      <t>*c</t>
    </r>
    <r>
      <rPr>
        <vertAlign val="subscript"/>
        <sz val="8"/>
        <rFont val="Arial"/>
        <family val="2"/>
      </rPr>
      <t>a</t>
    </r>
    <r>
      <rPr>
        <sz val="8"/>
        <rFont val="Arial"/>
        <family val="2"/>
      </rPr>
      <t xml:space="preserve"> [Wh/m</t>
    </r>
    <r>
      <rPr>
        <vertAlign val="superscript"/>
        <sz val="8"/>
        <rFont val="Arial"/>
        <family val="2"/>
      </rPr>
      <t>3</t>
    </r>
    <r>
      <rPr>
        <sz val="8"/>
        <rFont val="Arial"/>
        <family val="2"/>
      </rPr>
      <t>K]</t>
    </r>
  </si>
  <si>
    <r>
      <t xml:space="preserve">Aussenlufttemperatur </t>
    </r>
    <r>
      <rPr>
        <sz val="8"/>
        <rFont val="Symbol"/>
        <family val="1"/>
      </rPr>
      <t>q</t>
    </r>
    <r>
      <rPr>
        <vertAlign val="subscript"/>
        <sz val="8"/>
        <rFont val="Arial"/>
        <family val="2"/>
      </rPr>
      <t>e</t>
    </r>
    <r>
      <rPr>
        <sz val="8"/>
        <rFont val="Arial"/>
        <family val="2"/>
      </rPr>
      <t xml:space="preserve"> [°C]</t>
    </r>
  </si>
  <si>
    <r>
      <t>Thermisch aktive Luftrate [m</t>
    </r>
    <r>
      <rPr>
        <vertAlign val="superscript"/>
        <sz val="8"/>
        <rFont val="Arial"/>
        <family val="2"/>
      </rPr>
      <t>3</t>
    </r>
    <r>
      <rPr>
        <sz val="8"/>
        <rFont val="Arial"/>
        <family val="2"/>
      </rPr>
      <t>/m</t>
    </r>
    <r>
      <rPr>
        <vertAlign val="superscript"/>
        <sz val="8"/>
        <rFont val="Arial"/>
        <family val="2"/>
      </rPr>
      <t>2</t>
    </r>
    <r>
      <rPr>
        <sz val="8"/>
        <rFont val="Arial"/>
        <family val="2"/>
      </rPr>
      <t>h]:</t>
    </r>
  </si>
  <si>
    <r>
      <t>Therm. wirksamer Aussenl.-Volumenstr. V'/EBF</t>
    </r>
    <r>
      <rPr>
        <b/>
        <vertAlign val="subscript"/>
        <sz val="8"/>
        <rFont val="Arial"/>
        <family val="2"/>
      </rPr>
      <t xml:space="preserve">0 </t>
    </r>
    <r>
      <rPr>
        <b/>
        <sz val="8"/>
        <rFont val="Arial"/>
        <family val="2"/>
      </rPr>
      <t>[m</t>
    </r>
    <r>
      <rPr>
        <b/>
        <vertAlign val="superscript"/>
        <sz val="8"/>
        <rFont val="Arial"/>
        <family val="2"/>
      </rPr>
      <t>3</t>
    </r>
    <r>
      <rPr>
        <b/>
        <sz val="8"/>
        <rFont val="Arial"/>
        <family val="2"/>
      </rPr>
      <t>/hm</t>
    </r>
    <r>
      <rPr>
        <b/>
        <vertAlign val="superscript"/>
        <sz val="8"/>
        <rFont val="Arial"/>
        <family val="2"/>
      </rPr>
      <t>2</t>
    </r>
    <r>
      <rPr>
        <b/>
        <sz val="8"/>
        <rFont val="Arial"/>
        <family val="2"/>
      </rPr>
      <t>]:</t>
    </r>
  </si>
  <si>
    <r>
      <t>Lüftungswärmeverluste Q</t>
    </r>
    <r>
      <rPr>
        <vertAlign val="subscript"/>
        <sz val="8"/>
        <rFont val="Arial"/>
        <family val="2"/>
      </rPr>
      <t>v</t>
    </r>
    <r>
      <rPr>
        <sz val="8"/>
        <rFont val="Arial"/>
        <family val="2"/>
      </rPr>
      <t xml:space="preserve"> [kWh/m</t>
    </r>
    <r>
      <rPr>
        <vertAlign val="superscript"/>
        <sz val="8"/>
        <rFont val="Arial"/>
        <family val="2"/>
      </rPr>
      <t>2</t>
    </r>
    <r>
      <rPr>
        <sz val="8"/>
        <rFont val="Arial"/>
        <family val="2"/>
      </rPr>
      <t>]</t>
    </r>
  </si>
  <si>
    <r>
      <t>Elektrizitätsverbrauch Luftförderung [Wh/m</t>
    </r>
    <r>
      <rPr>
        <vertAlign val="superscript"/>
        <sz val="8"/>
        <rFont val="Arial"/>
        <family val="2"/>
      </rPr>
      <t>3</t>
    </r>
    <r>
      <rPr>
        <sz val="8"/>
        <rFont val="Arial"/>
        <family val="2"/>
      </rPr>
      <t>]:</t>
    </r>
  </si>
  <si>
    <r>
      <t>[kWh/m</t>
    </r>
    <r>
      <rPr>
        <vertAlign val="superscript"/>
        <sz val="8"/>
        <rFont val="Arial"/>
        <family val="2"/>
      </rPr>
      <t>2</t>
    </r>
    <r>
      <rPr>
        <sz val="8"/>
        <rFont val="Arial"/>
        <family val="2"/>
      </rPr>
      <t>a]</t>
    </r>
  </si>
  <si>
    <t>1.2 gegen unbeheizt und gegen Erdreich [kWh/m2a]</t>
  </si>
  <si>
    <r>
      <t xml:space="preserve"> Wärmebedarf Warmwasser [kWh/m</t>
    </r>
    <r>
      <rPr>
        <vertAlign val="superscript"/>
        <sz val="9"/>
        <color theme="0" tint="-0.249977111117893"/>
        <rFont val="Arial"/>
        <family val="2"/>
      </rPr>
      <t>2</t>
    </r>
    <r>
      <rPr>
        <sz val="9"/>
        <color theme="0" tint="-0.249977111117893"/>
        <rFont val="Arial"/>
        <family val="2"/>
      </rPr>
      <t>]:</t>
    </r>
  </si>
  <si>
    <r>
      <t xml:space="preserve"> Steigung ∆Q</t>
    </r>
    <r>
      <rPr>
        <vertAlign val="subscript"/>
        <sz val="10"/>
        <rFont val="Arial"/>
        <family val="2"/>
      </rPr>
      <t>H,li</t>
    </r>
  </si>
  <si>
    <t>Reduktionsfaktor EL-Bedarf [-]</t>
  </si>
  <si>
    <t>Reduktionsfaktor Elektrizitätsbedarf</t>
  </si>
  <si>
    <t>fs1</t>
  </si>
  <si>
    <t>fs2</t>
  </si>
  <si>
    <t>fs3</t>
  </si>
  <si>
    <t>fs1 S</t>
  </si>
  <si>
    <t>fs1 W</t>
  </si>
  <si>
    <t>fs1 O</t>
  </si>
  <si>
    <t>fs1 N</t>
  </si>
  <si>
    <t>Wärmeeinträge</t>
  </si>
  <si>
    <t>SIA 384/3</t>
  </si>
  <si>
    <t>Grenzwert</t>
  </si>
  <si>
    <t>Ph,li</t>
  </si>
  <si>
    <t>Auslegungstemperatur</t>
  </si>
  <si>
    <t>Thermisch wirksamer Ausluftvolumenstrom qth [m3/hm2]</t>
  </si>
  <si>
    <t>Auslegungstemperatur [°C]</t>
  </si>
  <si>
    <t>Wärmeeintrag aufgrund der Standardnutzung [W/m2]</t>
  </si>
  <si>
    <t>4. Lüfttung</t>
  </si>
  <si>
    <t>Spezifische Heizlast Ph [W/m2]</t>
  </si>
  <si>
    <t>Wärmetransferkoeffizient H [W/K]</t>
  </si>
  <si>
    <t>Energiebezugsfläche [m2]</t>
  </si>
  <si>
    <t xml:space="preserve"> Grenzwert Ph,li [W/m2]</t>
  </si>
  <si>
    <t xml:space="preserve"> Grenzwert korrigiert Ph,li,korr [W/m2]</t>
  </si>
  <si>
    <t>Reduktionsfaktor EL</t>
  </si>
  <si>
    <r>
      <t>Berechnung der spezifischen Heizlast P</t>
    </r>
    <r>
      <rPr>
        <b/>
        <vertAlign val="subscript"/>
        <sz val="16"/>
        <rFont val="Arial"/>
        <family val="2"/>
      </rPr>
      <t>h</t>
    </r>
  </si>
  <si>
    <t>Mechanische Lüftung mit WRG vorhanden</t>
  </si>
  <si>
    <t>Keine mechanische Lüftung vorhanden</t>
  </si>
  <si>
    <r>
      <t xml:space="preserve">Falls eine mechanische Lüftung mit Wärmerückgewinnung (Komfortlüftung) geplant ist, kann dies bei der Berechnung der spezifischen </t>
    </r>
    <r>
      <rPr>
        <b/>
        <i/>
        <sz val="12"/>
        <rFont val="Arial"/>
        <family val="2"/>
      </rPr>
      <t>Heizlast P</t>
    </r>
    <r>
      <rPr>
        <b/>
        <i/>
        <vertAlign val="subscript"/>
        <sz val="12"/>
        <rFont val="Arial"/>
        <family val="2"/>
      </rPr>
      <t>h</t>
    </r>
    <r>
      <rPr>
        <b/>
        <sz val="12"/>
        <rFont val="Arial"/>
        <family val="2"/>
      </rPr>
      <t xml:space="preserve"> [W/m</t>
    </r>
    <r>
      <rPr>
        <b/>
        <vertAlign val="superscript"/>
        <sz val="12"/>
        <rFont val="Arial"/>
        <family val="2"/>
      </rPr>
      <t>2</t>
    </r>
    <r>
      <rPr>
        <b/>
        <sz val="12"/>
        <rFont val="Arial"/>
        <family val="2"/>
      </rPr>
      <t>] berecksichtigt werden. Geben Sie in der Dropdownliste auf dieser Seite an, ob eine mechanische Lüftung mit Wärmerückgewinnung vorhanden ist. Anschliessend kann im vorgesehenen Feld der Wert für den therm. wirksamen Aussenl. Volumenstr. eintragen werden.</t>
    </r>
  </si>
  <si>
    <r>
      <t xml:space="preserve">Auf dieser Seite kann der Heizwärmebedarf mit effektivem, thermisch wirksamem Aussenluftvolumenstrom </t>
    </r>
    <r>
      <rPr>
        <b/>
        <i/>
        <sz val="9"/>
        <rFont val="Arial"/>
        <family val="2"/>
      </rPr>
      <t>Q</t>
    </r>
    <r>
      <rPr>
        <b/>
        <i/>
        <vertAlign val="subscript"/>
        <sz val="9"/>
        <rFont val="Arial"/>
        <family val="2"/>
      </rPr>
      <t>h,eff</t>
    </r>
    <r>
      <rPr>
        <b/>
        <i/>
        <sz val="9"/>
        <rFont val="Arial"/>
        <family val="2"/>
      </rPr>
      <t xml:space="preserve"> </t>
    </r>
    <r>
      <rPr>
        <b/>
        <sz val="9"/>
        <rFont val="Arial"/>
        <family val="2"/>
      </rPr>
      <t xml:space="preserve">berechnet werden.
Dieser Wert wird beispielsweise für einen </t>
    </r>
    <r>
      <rPr>
        <b/>
        <i/>
        <sz val="9"/>
        <rFont val="Arial"/>
        <family val="2"/>
      </rPr>
      <t>Minergie-Antrag</t>
    </r>
    <r>
      <rPr>
        <b/>
        <sz val="9"/>
        <rFont val="Arial"/>
        <family val="2"/>
      </rPr>
      <t xml:space="preserve">, für den Nachweis </t>
    </r>
    <r>
      <rPr>
        <b/>
        <i/>
        <sz val="9"/>
        <rFont val="Arial"/>
        <family val="2"/>
      </rPr>
      <t>Höchstanteil nicht erneuerbarer Energien</t>
    </r>
    <r>
      <rPr>
        <b/>
        <sz val="9"/>
        <rFont val="Arial"/>
        <family val="2"/>
      </rPr>
      <t xml:space="preserve"> (MuKEn 2008) oder für die Berechnung des </t>
    </r>
    <r>
      <rPr>
        <b/>
        <i/>
        <sz val="9"/>
        <rFont val="Arial"/>
        <family val="2"/>
      </rPr>
      <t>gewichteten Energiebedarfs</t>
    </r>
    <r>
      <rPr>
        <b/>
        <sz val="9"/>
        <rFont val="Arial"/>
        <family val="2"/>
      </rPr>
      <t xml:space="preserve"> (MuKEn 2014) benötigt.</t>
    </r>
  </si>
  <si>
    <r>
      <t xml:space="preserve">Falls eine mechanische Lüftung mit Wärmerückgewinnung (Komfortlüftung) geplant ist, kann dies bei der Berechnung der spezifischen </t>
    </r>
    <r>
      <rPr>
        <b/>
        <i/>
        <sz val="9"/>
        <rFont val="Arial"/>
        <family val="2"/>
      </rPr>
      <t>Heizlast P</t>
    </r>
    <r>
      <rPr>
        <b/>
        <i/>
        <vertAlign val="subscript"/>
        <sz val="9"/>
        <rFont val="Arial"/>
        <family val="2"/>
      </rPr>
      <t>h</t>
    </r>
    <r>
      <rPr>
        <b/>
        <sz val="9"/>
        <rFont val="Arial"/>
        <family val="2"/>
      </rPr>
      <t xml:space="preserve"> [W/m</t>
    </r>
    <r>
      <rPr>
        <b/>
        <vertAlign val="superscript"/>
        <sz val="9"/>
        <rFont val="Arial"/>
        <family val="2"/>
      </rPr>
      <t>2</t>
    </r>
    <r>
      <rPr>
        <b/>
        <sz val="9"/>
        <rFont val="Arial"/>
        <family val="2"/>
      </rPr>
      <t>] berücksichtigt werden. Sie müssen im Register "Heizlast" angeben, ob eine mechanische Lüftung geplant ist.</t>
    </r>
  </si>
  <si>
    <t>- Das Berechnungsprogramm, welches durch die Zentralschweizer Kantone zur Verfügung gestellt wird, hat eine eingeschränkte Funktionalität und ist nicht zertifiziert. </t>
  </si>
  <si>
    <t>- In den Zentralschweizer Kantonen wird das Programm für die Erstellung von Energienachweisen anerkannt.</t>
  </si>
  <si>
    <t>- Für die Anwendung des Programms kann kein Support gewährt werden.</t>
  </si>
  <si>
    <t>Hinweise:</t>
  </si>
  <si>
    <t>Martinelli + Menti AG, April 2019; Version 10.1.1</t>
  </si>
  <si>
    <r>
      <t xml:space="preserve">Berechnung Heizwärmebedarf </t>
    </r>
    <r>
      <rPr>
        <i/>
        <sz val="10"/>
        <rFont val="Arial"/>
        <family val="2"/>
      </rPr>
      <t>Q</t>
    </r>
    <r>
      <rPr>
        <i/>
        <vertAlign val="subscript"/>
        <sz val="10"/>
        <rFont val="Arial"/>
        <family val="2"/>
      </rPr>
      <t>H</t>
    </r>
    <r>
      <rPr>
        <sz val="10"/>
        <rFont val="Arial"/>
        <family val="2"/>
      </rPr>
      <t xml:space="preserve"> nach SIA 380/1:2016 </t>
    </r>
    <r>
      <rPr>
        <i/>
        <sz val="10"/>
        <rFont val="Arial"/>
        <family val="2"/>
      </rPr>
      <t>Heizwärmebedarf</t>
    </r>
    <r>
      <rPr>
        <sz val="10"/>
        <rFont val="Arial"/>
        <family val="2"/>
      </rPr>
      <t xml:space="preserve"> (inkl. Korrigenda C1:2019)</t>
    </r>
  </si>
  <si>
    <t>Programmversion 10.1.1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</si>
</sst>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_-;\-* #,##0.00_-;_-* &quot;-&quot;??_-;_-@_-"/>
    <numFmt numFmtId="165" formatCode="_-* #,##0_-;\-* #,##0_-;_-* &quot;-&quot;??_-;_-@_-"/>
    <numFmt numFmtId="166" formatCode="0.0000"/>
    <numFmt numFmtId="167" formatCode="0.0"/>
    <numFmt numFmtId="168" formatCode="0.000"/>
    <numFmt numFmtId="169" formatCode="0.00000"/>
    <numFmt numFmtId="170" formatCode="dd/mmmm\ yyyy\ \-\ h:mm:ss"/>
    <numFmt numFmtId="171" formatCode="0\ &quot;m2&quot;\ "/>
    <numFmt numFmtId="172" formatCode="0\ &quot;m1&quot;\ "/>
    <numFmt numFmtId="173" formatCode="00000"/>
    <numFmt numFmtId="174" formatCode="dd/mmmm\ yyyy\ \-\ h:mm"/>
    <numFmt numFmtId="175" formatCode="d/\ mmmm\ yyyy\ \-\ h:mm"/>
  </numFmts>
  <fonts count="127">
    <font>
      <sz val="9"/>
      <name val="Geneva"/>
    </font>
    <font>
      <sz val="9"/>
      <name val="Geneva"/>
      <family val="2"/>
    </font>
    <font>
      <sz val="9"/>
      <name val="Arial"/>
      <family val="2"/>
    </font>
    <font>
      <sz val="6"/>
      <name val="Arial"/>
      <family val="2"/>
    </font>
    <font>
      <b/>
      <sz val="9"/>
      <name val="Arial"/>
      <family val="2"/>
    </font>
    <font>
      <b/>
      <sz val="11"/>
      <name val="Arial"/>
      <family val="2"/>
    </font>
    <font>
      <vertAlign val="subscript"/>
      <sz val="9"/>
      <name val="Arial"/>
      <family val="2"/>
    </font>
    <font>
      <sz val="8"/>
      <name val="Arial"/>
      <family val="2"/>
    </font>
    <font>
      <b/>
      <sz val="8"/>
      <name val="Arial"/>
      <family val="2"/>
    </font>
    <font>
      <i/>
      <sz val="8"/>
      <name val="Arial"/>
      <family val="2"/>
    </font>
    <font>
      <b/>
      <sz val="10"/>
      <name val="Arial"/>
      <family val="2"/>
    </font>
    <font>
      <b/>
      <sz val="6"/>
      <name val="Arial"/>
      <family val="2"/>
    </font>
    <font>
      <b/>
      <sz val="8"/>
      <name val="Symbol"/>
      <charset val="2"/>
    </font>
    <font>
      <b/>
      <sz val="15"/>
      <name val="Arial"/>
      <family val="2"/>
    </font>
    <font>
      <sz val="7"/>
      <name val="Arial"/>
      <family val="2"/>
    </font>
    <font>
      <b/>
      <sz val="7"/>
      <name val="Arial"/>
      <family val="2"/>
    </font>
    <font>
      <sz val="8"/>
      <name val="Symbol"/>
      <family val="1"/>
    </font>
    <font>
      <sz val="8"/>
      <name val="Helv"/>
    </font>
    <font>
      <sz val="8"/>
      <name val="Geneva"/>
      <family val="2"/>
    </font>
    <font>
      <vertAlign val="subscript"/>
      <sz val="8"/>
      <name val="Arial"/>
      <family val="2"/>
    </font>
    <font>
      <b/>
      <vertAlign val="subscript"/>
      <sz val="8"/>
      <name val="Arial"/>
      <family val="2"/>
    </font>
    <font>
      <sz val="5"/>
      <name val="Arial"/>
      <family val="2"/>
    </font>
    <font>
      <sz val="8"/>
      <color indexed="81"/>
      <name val="Arial"/>
      <family val="2"/>
    </font>
    <font>
      <sz val="9"/>
      <color indexed="81"/>
      <name val="Arial"/>
      <family val="2"/>
    </font>
    <font>
      <i/>
      <sz val="9"/>
      <name val="Arial"/>
      <family val="2"/>
    </font>
    <font>
      <b/>
      <sz val="11"/>
      <color indexed="10"/>
      <name val="Arial"/>
      <family val="2"/>
    </font>
    <font>
      <sz val="8"/>
      <color indexed="10"/>
      <name val="Arial"/>
      <family val="2"/>
    </font>
    <font>
      <sz val="9"/>
      <color indexed="10"/>
      <name val="Arial"/>
      <family val="2"/>
    </font>
    <font>
      <sz val="8"/>
      <color indexed="23"/>
      <name val="Arial"/>
      <family val="2"/>
    </font>
    <font>
      <b/>
      <sz val="11"/>
      <color indexed="8"/>
      <name val="Arial"/>
      <family val="2"/>
    </font>
    <font>
      <sz val="9"/>
      <color indexed="8"/>
      <name val="Arial"/>
      <family val="2"/>
    </font>
    <font>
      <b/>
      <sz val="15"/>
      <color indexed="8"/>
      <name val="Arial"/>
      <family val="2"/>
    </font>
    <font>
      <sz val="8"/>
      <color indexed="8"/>
      <name val="Arial"/>
      <family val="2"/>
    </font>
    <font>
      <sz val="11"/>
      <color indexed="8"/>
      <name val="Monotype Sorts"/>
      <charset val="2"/>
    </font>
    <font>
      <b/>
      <sz val="8"/>
      <color indexed="8"/>
      <name val="Arial"/>
      <family val="2"/>
    </font>
    <font>
      <vertAlign val="subscript"/>
      <sz val="8"/>
      <color indexed="8"/>
      <name val="Arial"/>
      <family val="2"/>
    </font>
    <font>
      <b/>
      <sz val="10"/>
      <color indexed="8"/>
      <name val="Arial"/>
      <family val="2"/>
    </font>
    <font>
      <b/>
      <i/>
      <sz val="12"/>
      <name val="Arial"/>
      <family val="2"/>
    </font>
    <font>
      <sz val="7"/>
      <color indexed="8"/>
      <name val="Arial"/>
      <family val="2"/>
    </font>
    <font>
      <sz val="8"/>
      <color indexed="9"/>
      <name val="Arial"/>
      <family val="2"/>
    </font>
    <font>
      <b/>
      <sz val="7.5"/>
      <name val="Arial"/>
      <family val="2"/>
    </font>
    <font>
      <sz val="7.5"/>
      <name val="Arial"/>
      <family val="2"/>
    </font>
    <font>
      <sz val="7.5"/>
      <color indexed="10"/>
      <name val="Arial"/>
      <family val="2"/>
    </font>
    <font>
      <i/>
      <sz val="8"/>
      <color indexed="8"/>
      <name val="Arial"/>
      <family val="2"/>
    </font>
    <font>
      <b/>
      <vertAlign val="subscript"/>
      <sz val="9"/>
      <name val="Arial"/>
      <family val="2"/>
    </font>
    <font>
      <b/>
      <sz val="16"/>
      <name val="Arial"/>
      <family val="2"/>
    </font>
    <font>
      <sz val="8"/>
      <name val="Arial"/>
      <family val="2"/>
    </font>
    <font>
      <i/>
      <sz val="8"/>
      <name val="Arial"/>
      <family val="2"/>
    </font>
    <font>
      <b/>
      <sz val="6"/>
      <name val="Arial"/>
      <family val="2"/>
    </font>
    <font>
      <sz val="6"/>
      <name val="Arial"/>
      <family val="2"/>
    </font>
    <font>
      <b/>
      <sz val="8"/>
      <name val="Arial"/>
      <family val="2"/>
    </font>
    <font>
      <sz val="9"/>
      <name val="Arial"/>
      <family val="2"/>
    </font>
    <font>
      <b/>
      <sz val="17.5"/>
      <name val="Arial"/>
      <family val="2"/>
    </font>
    <font>
      <vertAlign val="superscript"/>
      <sz val="9"/>
      <name val="Arial"/>
      <family val="2"/>
    </font>
    <font>
      <b/>
      <vertAlign val="subscript"/>
      <sz val="10"/>
      <name val="Arial"/>
      <family val="2"/>
    </font>
    <font>
      <b/>
      <sz val="9"/>
      <color indexed="81"/>
      <name val="Arial"/>
      <family val="2"/>
    </font>
    <font>
      <sz val="7"/>
      <color indexed="23"/>
      <name val="Arial"/>
      <family val="2"/>
    </font>
    <font>
      <b/>
      <sz val="6"/>
      <color indexed="8"/>
      <name val="Arial"/>
      <family val="2"/>
    </font>
    <font>
      <sz val="6"/>
      <color indexed="8"/>
      <name val="Arial"/>
      <family val="2"/>
    </font>
    <font>
      <sz val="10"/>
      <name val="Arial"/>
      <family val="2"/>
    </font>
    <font>
      <sz val="9"/>
      <name val="Helv"/>
    </font>
    <font>
      <sz val="11"/>
      <name val="Helv"/>
    </font>
    <font>
      <sz val="10"/>
      <name val="Helv"/>
    </font>
    <font>
      <b/>
      <sz val="10"/>
      <name val="Helv"/>
    </font>
    <font>
      <b/>
      <sz val="12"/>
      <name val="Helv"/>
    </font>
    <font>
      <b/>
      <vertAlign val="subscript"/>
      <sz val="12"/>
      <name val="Helv"/>
    </font>
    <font>
      <sz val="12"/>
      <name val="Helv"/>
    </font>
    <font>
      <vertAlign val="subscript"/>
      <sz val="12"/>
      <name val="Helv"/>
    </font>
    <font>
      <vertAlign val="subscript"/>
      <sz val="10"/>
      <name val="Arial"/>
      <family val="2"/>
    </font>
    <font>
      <vertAlign val="superscript"/>
      <sz val="10"/>
      <name val="Arial"/>
      <family val="2"/>
    </font>
    <font>
      <b/>
      <vertAlign val="superscript"/>
      <sz val="10"/>
      <name val="Arial"/>
      <family val="2"/>
    </font>
    <font>
      <i/>
      <sz val="10"/>
      <name val="Arial"/>
      <family val="2"/>
    </font>
    <font>
      <sz val="14"/>
      <name val="Helv"/>
    </font>
    <font>
      <sz val="9"/>
      <name val="Geneva"/>
      <family val="2"/>
    </font>
    <font>
      <sz val="10"/>
      <name val="Symbol"/>
      <family val="1"/>
    </font>
    <font>
      <sz val="9"/>
      <color indexed="22"/>
      <name val="Arial"/>
      <family val="2"/>
    </font>
    <font>
      <sz val="6"/>
      <color indexed="55"/>
      <name val="Arial"/>
      <family val="2"/>
    </font>
    <font>
      <vertAlign val="superscript"/>
      <sz val="8"/>
      <name val="Arial"/>
      <family val="2"/>
    </font>
    <font>
      <i/>
      <vertAlign val="subscript"/>
      <sz val="8"/>
      <name val="Arial"/>
      <family val="2"/>
    </font>
    <font>
      <b/>
      <vertAlign val="superscript"/>
      <sz val="8"/>
      <name val="Arial"/>
      <family val="2"/>
    </font>
    <font>
      <b/>
      <sz val="12"/>
      <name val="Arial"/>
      <family val="2"/>
    </font>
    <font>
      <b/>
      <sz val="9"/>
      <color indexed="22"/>
      <name val="Arial"/>
      <family val="2"/>
    </font>
    <font>
      <b/>
      <sz val="6"/>
      <color indexed="22"/>
      <name val="Arial"/>
      <family val="2"/>
    </font>
    <font>
      <b/>
      <sz val="22"/>
      <name val="Arial"/>
      <family val="2"/>
    </font>
    <font>
      <sz val="12"/>
      <name val="Arial"/>
      <family val="2"/>
    </font>
    <font>
      <vertAlign val="subscript"/>
      <sz val="12"/>
      <name val="Arial"/>
      <family val="2"/>
    </font>
    <font>
      <vertAlign val="superscript"/>
      <sz val="12"/>
      <name val="Arial"/>
      <family val="2"/>
    </font>
    <font>
      <b/>
      <vertAlign val="subscript"/>
      <sz val="12"/>
      <name val="Arial"/>
      <family val="2"/>
    </font>
    <font>
      <b/>
      <vertAlign val="superscript"/>
      <sz val="12"/>
      <name val="Arial"/>
      <family val="2"/>
    </font>
    <font>
      <b/>
      <sz val="12"/>
      <name val="Symbol"/>
      <family val="1"/>
    </font>
    <font>
      <b/>
      <vertAlign val="subscript"/>
      <sz val="15"/>
      <name val="Arial"/>
      <family val="2"/>
    </font>
    <font>
      <b/>
      <sz val="9"/>
      <color indexed="81"/>
      <name val="Geneva"/>
      <family val="2"/>
    </font>
    <font>
      <b/>
      <sz val="8"/>
      <color indexed="81"/>
      <name val="Arial"/>
      <family val="2"/>
    </font>
    <font>
      <sz val="9"/>
      <color indexed="81"/>
      <name val="Symbol"/>
      <charset val="2"/>
    </font>
    <font>
      <b/>
      <i/>
      <sz val="9"/>
      <color indexed="81"/>
      <name val="Arial"/>
      <family val="2"/>
    </font>
    <font>
      <sz val="9"/>
      <color indexed="23"/>
      <name val="Arial"/>
      <family val="2"/>
    </font>
    <font>
      <vertAlign val="subscript"/>
      <sz val="10"/>
      <name val="Helv"/>
    </font>
    <font>
      <sz val="9"/>
      <color indexed="81"/>
      <name val="Geneva"/>
      <family val="2"/>
    </font>
    <font>
      <b/>
      <sz val="6"/>
      <color indexed="55"/>
      <name val="Arial"/>
      <family val="2"/>
    </font>
    <font>
      <b/>
      <sz val="14"/>
      <name val="Arial"/>
      <family val="2"/>
    </font>
    <font>
      <b/>
      <i/>
      <sz val="14"/>
      <name val="Arial"/>
      <family val="2"/>
    </font>
    <font>
      <b/>
      <i/>
      <vertAlign val="subscript"/>
      <sz val="14"/>
      <name val="Arial"/>
      <family val="2"/>
    </font>
    <font>
      <b/>
      <i/>
      <vertAlign val="subscript"/>
      <sz val="10"/>
      <name val="Arial"/>
      <family val="2"/>
    </font>
    <font>
      <sz val="8"/>
      <color indexed="22"/>
      <name val="Helv"/>
    </font>
    <font>
      <sz val="8"/>
      <color indexed="22"/>
      <name val="Arial"/>
      <family val="2"/>
    </font>
    <font>
      <b/>
      <vertAlign val="subscript"/>
      <sz val="11"/>
      <name val="Arial"/>
      <family val="2"/>
    </font>
    <font>
      <sz val="10"/>
      <color indexed="8"/>
      <name val="Arial"/>
      <family val="2"/>
    </font>
    <font>
      <b/>
      <sz val="10"/>
      <color indexed="8"/>
      <name val="Symbol"/>
      <charset val="2"/>
    </font>
    <font>
      <sz val="10"/>
      <color indexed="10"/>
      <name val="Arial"/>
      <family val="2"/>
    </font>
    <font>
      <sz val="6"/>
      <color indexed="23"/>
      <name val="Arial"/>
      <family val="2"/>
    </font>
    <font>
      <i/>
      <vertAlign val="subscript"/>
      <sz val="10"/>
      <name val="Arial"/>
      <family val="2"/>
    </font>
    <font>
      <i/>
      <vertAlign val="subscript"/>
      <sz val="9"/>
      <name val="Arial"/>
      <family val="2"/>
    </font>
    <font>
      <b/>
      <i/>
      <sz val="15"/>
      <name val="Arial"/>
      <family val="2"/>
    </font>
    <font>
      <b/>
      <i/>
      <vertAlign val="subscript"/>
      <sz val="15"/>
      <name val="Arial"/>
      <family val="2"/>
    </font>
    <font>
      <sz val="9"/>
      <color rgb="FFFF0000"/>
      <name val="Arial"/>
      <family val="2"/>
    </font>
    <font>
      <sz val="9"/>
      <color theme="0" tint="-0.249977111117893"/>
      <name val="Arial"/>
      <family val="2"/>
    </font>
    <font>
      <b/>
      <vertAlign val="superscript"/>
      <sz val="9"/>
      <name val="Arial"/>
      <family val="2"/>
    </font>
    <font>
      <vertAlign val="superscript"/>
      <sz val="9"/>
      <color theme="0" tint="-0.249977111117893"/>
      <name val="Arial"/>
      <family val="2"/>
    </font>
    <font>
      <sz val="8"/>
      <color theme="0"/>
      <name val="Arial"/>
      <family val="2"/>
    </font>
    <font>
      <b/>
      <u/>
      <sz val="9"/>
      <color indexed="81"/>
      <name val="Arial"/>
      <family val="2"/>
    </font>
    <font>
      <sz val="12"/>
      <color rgb="FF000000"/>
      <name val="Lucida Grande"/>
      <family val="2"/>
    </font>
    <font>
      <b/>
      <i/>
      <sz val="9"/>
      <name val="Arial"/>
      <family val="2"/>
    </font>
    <font>
      <b/>
      <i/>
      <vertAlign val="subscript"/>
      <sz val="9"/>
      <name val="Arial"/>
      <family val="2"/>
    </font>
    <font>
      <b/>
      <vertAlign val="subscript"/>
      <sz val="16"/>
      <name val="Arial"/>
      <family val="2"/>
    </font>
    <font>
      <sz val="15"/>
      <name val="Arial"/>
      <family val="2"/>
    </font>
    <font>
      <b/>
      <i/>
      <vertAlign val="subscript"/>
      <sz val="12"/>
      <name val="Arial"/>
      <family val="2"/>
    </font>
    <font>
      <sz val="10"/>
      <color rgb="FF000000"/>
      <name val="Geneva"/>
    </font>
  </fonts>
  <fills count="23">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45"/>
        <bgColor indexed="64"/>
      </patternFill>
    </fill>
    <fill>
      <patternFill patternType="solid">
        <fgColor indexed="22"/>
        <bgColor indexed="64"/>
      </patternFill>
    </fill>
    <fill>
      <patternFill patternType="solid">
        <fgColor indexed="22"/>
        <bgColor indexed="22"/>
      </patternFill>
    </fill>
    <fill>
      <patternFill patternType="solid">
        <fgColor indexed="10"/>
        <bgColor indexed="64"/>
      </patternFill>
    </fill>
    <fill>
      <patternFill patternType="solid">
        <fgColor indexed="11"/>
        <bgColor indexed="64"/>
      </patternFill>
    </fill>
    <fill>
      <patternFill patternType="solid">
        <fgColor indexed="48"/>
        <bgColor indexed="64"/>
      </patternFill>
    </fill>
    <fill>
      <patternFill patternType="solid">
        <fgColor indexed="29"/>
        <bgColor indexed="64"/>
      </patternFill>
    </fill>
    <fill>
      <patternFill patternType="solid">
        <fgColor indexed="40"/>
        <bgColor indexed="64"/>
      </patternFill>
    </fill>
    <fill>
      <patternFill patternType="solid">
        <fgColor indexed="55"/>
        <bgColor indexed="64"/>
      </patternFill>
    </fill>
    <fill>
      <patternFill patternType="solid">
        <fgColor indexed="21"/>
        <bgColor indexed="64"/>
      </patternFill>
    </fill>
    <fill>
      <patternFill patternType="solid">
        <fgColor indexed="42"/>
        <bgColor indexed="64"/>
      </patternFill>
    </fill>
    <fill>
      <patternFill patternType="solid">
        <fgColor indexed="26"/>
        <bgColor indexed="64"/>
      </patternFill>
    </fill>
    <fill>
      <patternFill patternType="solid">
        <fgColor indexed="22"/>
        <bgColor indexed="42"/>
      </patternFill>
    </fill>
    <fill>
      <patternFill patternType="solid">
        <fgColor indexed="9"/>
        <bgColor indexed="64"/>
      </patternFill>
    </fill>
    <fill>
      <patternFill patternType="solid">
        <fgColor indexed="52"/>
        <bgColor indexed="64"/>
      </patternFill>
    </fill>
    <fill>
      <patternFill patternType="solid">
        <fgColor rgb="FFC0C0C0"/>
        <bgColor rgb="FF000000"/>
      </patternFill>
    </fill>
    <fill>
      <patternFill patternType="solid">
        <fgColor rgb="FFCCFFCC"/>
        <bgColor rgb="FF000000"/>
      </patternFill>
    </fill>
    <fill>
      <patternFill patternType="solid">
        <fgColor rgb="FFFFFF00"/>
        <bgColor indexed="64"/>
      </patternFill>
    </fill>
    <fill>
      <patternFill patternType="solid">
        <fgColor theme="0" tint="-0.24994659260841701"/>
        <bgColor indexed="64"/>
      </patternFill>
    </fill>
  </fills>
  <borders count="182">
    <border>
      <left/>
      <right/>
      <top/>
      <bottom/>
      <diagonal/>
    </border>
    <border>
      <left/>
      <right/>
      <top/>
      <bottom style="hair">
        <color auto="1"/>
      </bottom>
      <diagonal/>
    </border>
    <border>
      <left/>
      <right/>
      <top style="thin">
        <color indexed="9"/>
      </top>
      <bottom/>
      <diagonal/>
    </border>
    <border>
      <left style="thin">
        <color indexed="9"/>
      </left>
      <right/>
      <top style="thin">
        <color indexed="9"/>
      </top>
      <bottom/>
      <diagonal/>
    </border>
    <border>
      <left style="thin">
        <color indexed="9"/>
      </left>
      <right/>
      <top/>
      <bottom/>
      <diagonal/>
    </border>
    <border>
      <left/>
      <right style="thin">
        <color auto="1"/>
      </right>
      <top style="thin">
        <color indexed="9"/>
      </top>
      <bottom/>
      <diagonal/>
    </border>
    <border>
      <left/>
      <right style="thin">
        <color auto="1"/>
      </right>
      <top/>
      <bottom/>
      <diagonal/>
    </border>
    <border>
      <left style="thin">
        <color indexed="9"/>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hair">
        <color auto="1"/>
      </top>
      <bottom style="hair">
        <color auto="1"/>
      </bottom>
      <diagonal/>
    </border>
    <border>
      <left/>
      <right style="medium">
        <color auto="1"/>
      </right>
      <top/>
      <bottom/>
      <diagonal/>
    </border>
    <border>
      <left/>
      <right/>
      <top/>
      <bottom style="medium">
        <color auto="1"/>
      </bottom>
      <diagonal/>
    </border>
    <border>
      <left style="thin">
        <color indexed="9"/>
      </left>
      <right/>
      <top/>
      <bottom style="medium">
        <color auto="1"/>
      </bottom>
      <diagonal/>
    </border>
    <border>
      <left/>
      <right style="medium">
        <color auto="1"/>
      </right>
      <top/>
      <bottom style="medium">
        <color auto="1"/>
      </bottom>
      <diagonal/>
    </border>
    <border>
      <left/>
      <right style="medium">
        <color auto="1"/>
      </right>
      <top style="thin">
        <color indexed="9"/>
      </top>
      <bottom/>
      <diagonal/>
    </border>
    <border>
      <left style="thin">
        <color auto="1"/>
      </left>
      <right/>
      <top/>
      <bottom/>
      <diagonal/>
    </border>
    <border>
      <left/>
      <right style="thin">
        <color indexed="8"/>
      </right>
      <top/>
      <bottom/>
      <diagonal/>
    </border>
    <border>
      <left style="medium">
        <color indexed="8"/>
      </left>
      <right style="thin">
        <color auto="1"/>
      </right>
      <top/>
      <bottom style="thin">
        <color auto="1"/>
      </bottom>
      <diagonal/>
    </border>
    <border>
      <left style="thin">
        <color auto="1"/>
      </left>
      <right style="thin">
        <color indexed="9"/>
      </right>
      <top/>
      <bottom style="thin">
        <color auto="1"/>
      </bottom>
      <diagonal/>
    </border>
    <border>
      <left style="medium">
        <color indexed="8"/>
      </left>
      <right style="thin">
        <color auto="1"/>
      </right>
      <top style="thin">
        <color auto="1"/>
      </top>
      <bottom/>
      <diagonal/>
    </border>
    <border>
      <left style="thin">
        <color auto="1"/>
      </left>
      <right style="thin">
        <color indexed="9"/>
      </right>
      <top style="thin">
        <color auto="1"/>
      </top>
      <bottom/>
      <diagonal/>
    </border>
    <border>
      <left style="thin">
        <color indexed="8"/>
      </left>
      <right/>
      <top/>
      <bottom/>
      <diagonal/>
    </border>
    <border>
      <left/>
      <right style="thin">
        <color indexed="9"/>
      </right>
      <top/>
      <bottom/>
      <diagonal/>
    </border>
    <border>
      <left/>
      <right style="thin">
        <color indexed="8"/>
      </right>
      <top style="thin">
        <color indexed="9"/>
      </top>
      <bottom style="thin">
        <color indexed="55"/>
      </bottom>
      <diagonal/>
    </border>
    <border>
      <left style="thin">
        <color indexed="9"/>
      </left>
      <right style="thin">
        <color indexed="55"/>
      </right>
      <top style="thin">
        <color indexed="9"/>
      </top>
      <bottom style="thin">
        <color indexed="55"/>
      </bottom>
      <diagonal/>
    </border>
    <border>
      <left style="thin">
        <color indexed="9"/>
      </left>
      <right style="thin">
        <color indexed="55"/>
      </right>
      <top/>
      <bottom style="thin">
        <color indexed="55"/>
      </bottom>
      <diagonal/>
    </border>
    <border>
      <left/>
      <right style="thin">
        <color indexed="55"/>
      </right>
      <top/>
      <bottom style="thin">
        <color auto="1"/>
      </bottom>
      <diagonal/>
    </border>
    <border>
      <left/>
      <right style="thin">
        <color indexed="55"/>
      </right>
      <top/>
      <bottom/>
      <diagonal/>
    </border>
    <border>
      <left style="thin">
        <color auto="1"/>
      </left>
      <right/>
      <top style="thin">
        <color auto="1"/>
      </top>
      <bottom/>
      <diagonal/>
    </border>
    <border>
      <left style="thin">
        <color indexed="9"/>
      </left>
      <right style="thin">
        <color auto="1"/>
      </right>
      <top style="thin">
        <color indexed="9"/>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thin">
        <color auto="1"/>
      </left>
      <right style="medium">
        <color auto="1"/>
      </right>
      <top style="thin">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bottom style="thin">
        <color indexed="9"/>
      </bottom>
      <diagonal/>
    </border>
    <border>
      <left/>
      <right style="thin">
        <color indexed="8"/>
      </right>
      <top style="thin">
        <color auto="1"/>
      </top>
      <bottom/>
      <diagonal/>
    </border>
    <border>
      <left style="thin">
        <color auto="1"/>
      </left>
      <right style="medium">
        <color auto="1"/>
      </right>
      <top style="thin">
        <color indexed="9"/>
      </top>
      <bottom/>
      <diagonal/>
    </border>
    <border>
      <left style="thin">
        <color indexed="9"/>
      </left>
      <right/>
      <top/>
      <bottom style="thin">
        <color indexed="8"/>
      </bottom>
      <diagonal/>
    </border>
    <border>
      <left/>
      <right/>
      <top/>
      <bottom style="thin">
        <color indexed="8"/>
      </bottom>
      <diagonal/>
    </border>
    <border>
      <left/>
      <right style="thin">
        <color auto="1"/>
      </right>
      <top/>
      <bottom style="thin">
        <color indexed="8"/>
      </bottom>
      <diagonal/>
    </border>
    <border>
      <left style="thin">
        <color auto="1"/>
      </left>
      <right style="medium">
        <color auto="1"/>
      </right>
      <top/>
      <bottom style="thin">
        <color indexed="8"/>
      </bottom>
      <diagonal/>
    </border>
    <border>
      <left style="thin">
        <color auto="1"/>
      </left>
      <right style="medium">
        <color auto="1"/>
      </right>
      <top/>
      <bottom/>
      <diagonal/>
    </border>
    <border>
      <left style="thin">
        <color indexed="9"/>
      </left>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right style="thin">
        <color indexed="8"/>
      </right>
      <top/>
      <bottom style="thin">
        <color indexed="8"/>
      </bottom>
      <diagonal/>
    </border>
    <border>
      <left/>
      <right style="thin">
        <color indexed="55"/>
      </right>
      <top style="thin">
        <color indexed="9"/>
      </top>
      <bottom style="thin">
        <color indexed="55"/>
      </bottom>
      <diagonal/>
    </border>
    <border>
      <left style="thin">
        <color indexed="55"/>
      </left>
      <right style="thin">
        <color indexed="55"/>
      </right>
      <top style="thin">
        <color indexed="9"/>
      </top>
      <bottom style="thin">
        <color indexed="55"/>
      </bottom>
      <diagonal/>
    </border>
    <border>
      <left style="thin">
        <color indexed="55"/>
      </left>
      <right style="thin">
        <color indexed="55"/>
      </right>
      <top/>
      <bottom style="thin">
        <color auto="1"/>
      </bottom>
      <diagonal/>
    </border>
    <border>
      <left style="thin">
        <color indexed="9"/>
      </left>
      <right style="thin">
        <color indexed="55"/>
      </right>
      <top/>
      <bottom style="thin">
        <color auto="1"/>
      </bottom>
      <diagonal/>
    </border>
    <border>
      <left style="thin">
        <color indexed="55"/>
      </left>
      <right style="thin">
        <color indexed="55"/>
      </right>
      <top/>
      <bottom/>
      <diagonal/>
    </border>
    <border>
      <left style="thin">
        <color indexed="55"/>
      </left>
      <right style="thin">
        <color indexed="8"/>
      </right>
      <top style="thin">
        <color indexed="9"/>
      </top>
      <bottom style="thin">
        <color auto="1"/>
      </bottom>
      <diagonal/>
    </border>
    <border>
      <left style="thin">
        <color indexed="55"/>
      </left>
      <right style="thin">
        <color indexed="8"/>
      </right>
      <top style="thin">
        <color indexed="9"/>
      </top>
      <bottom style="thin">
        <color indexed="55"/>
      </bottom>
      <diagonal/>
    </border>
    <border>
      <left style="thin">
        <color indexed="9"/>
      </left>
      <right style="thin">
        <color indexed="8"/>
      </right>
      <top style="thin">
        <color indexed="9"/>
      </top>
      <bottom style="thin">
        <color auto="1"/>
      </bottom>
      <diagonal/>
    </border>
    <border>
      <left style="thin">
        <color indexed="9"/>
      </left>
      <right style="thin">
        <color auto="1"/>
      </right>
      <top/>
      <bottom/>
      <diagonal/>
    </border>
    <border>
      <left/>
      <right/>
      <top style="thin">
        <color indexed="23"/>
      </top>
      <bottom style="thin">
        <color indexed="9"/>
      </bottom>
      <diagonal/>
    </border>
    <border>
      <left/>
      <right/>
      <top style="thin">
        <color indexed="55"/>
      </top>
      <bottom style="thin">
        <color indexed="55"/>
      </bottom>
      <diagonal/>
    </border>
    <border>
      <left/>
      <right style="thin">
        <color indexed="8"/>
      </right>
      <top/>
      <bottom style="thin">
        <color indexed="55"/>
      </bottom>
      <diagonal/>
    </border>
    <border>
      <left style="thin">
        <color auto="1"/>
      </left>
      <right/>
      <top/>
      <bottom style="thin">
        <color indexed="8"/>
      </bottom>
      <diagonal/>
    </border>
    <border>
      <left style="medium">
        <color indexed="8"/>
      </left>
      <right/>
      <top/>
      <bottom style="thin">
        <color auto="1"/>
      </bottom>
      <diagonal/>
    </border>
    <border>
      <left style="thin">
        <color indexed="8"/>
      </left>
      <right style="thin">
        <color indexed="8"/>
      </right>
      <top/>
      <bottom style="thin">
        <color auto="1"/>
      </bottom>
      <diagonal/>
    </border>
    <border>
      <left style="thin">
        <color indexed="8"/>
      </left>
      <right style="thin">
        <color indexed="9"/>
      </right>
      <top/>
      <bottom style="thin">
        <color auto="1"/>
      </bottom>
      <diagonal/>
    </border>
    <border>
      <left style="medium">
        <color indexed="9"/>
      </left>
      <right/>
      <top/>
      <bottom style="medium">
        <color auto="1"/>
      </bottom>
      <diagonal/>
    </border>
    <border>
      <left style="medium">
        <color indexed="8"/>
      </left>
      <right style="thin">
        <color auto="1"/>
      </right>
      <top style="medium">
        <color indexed="8"/>
      </top>
      <bottom/>
      <diagonal/>
    </border>
    <border>
      <left style="thin">
        <color auto="1"/>
      </left>
      <right style="thin">
        <color auto="1"/>
      </right>
      <top style="medium">
        <color indexed="8"/>
      </top>
      <bottom/>
      <diagonal/>
    </border>
    <border>
      <left style="thin">
        <color auto="1"/>
      </left>
      <right style="thin">
        <color indexed="9"/>
      </right>
      <top style="medium">
        <color indexed="8"/>
      </top>
      <bottom/>
      <diagonal/>
    </border>
    <border>
      <left style="medium">
        <color indexed="8"/>
      </left>
      <right/>
      <top/>
      <bottom/>
      <diagonal/>
    </border>
    <border>
      <left style="thin">
        <color indexed="8"/>
      </left>
      <right/>
      <top style="thin">
        <color auto="1"/>
      </top>
      <bottom/>
      <diagonal/>
    </border>
    <border>
      <left style="thin">
        <color indexed="8"/>
      </left>
      <right style="thin">
        <color indexed="8"/>
      </right>
      <top style="thin">
        <color auto="1"/>
      </top>
      <bottom/>
      <diagonal/>
    </border>
    <border>
      <left style="thin">
        <color indexed="8"/>
      </left>
      <right style="thin">
        <color indexed="9"/>
      </right>
      <top style="thin">
        <color auto="1"/>
      </top>
      <bottom/>
      <diagonal/>
    </border>
    <border>
      <left style="medium">
        <color indexed="8"/>
      </left>
      <right/>
      <top style="thin">
        <color auto="1"/>
      </top>
      <bottom/>
      <diagonal/>
    </border>
    <border>
      <left style="medium">
        <color indexed="8"/>
      </left>
      <right style="thin">
        <color auto="1"/>
      </right>
      <top/>
      <bottom/>
      <diagonal/>
    </border>
    <border>
      <left style="thin">
        <color auto="1"/>
      </left>
      <right style="thin">
        <color indexed="9"/>
      </right>
      <top/>
      <bottom/>
      <diagonal/>
    </border>
    <border>
      <left style="medium">
        <color indexed="8"/>
      </left>
      <right style="thin">
        <color auto="1"/>
      </right>
      <top/>
      <bottom style="thin">
        <color indexed="9"/>
      </bottom>
      <diagonal/>
    </border>
    <border>
      <left style="thin">
        <color auto="1"/>
      </left>
      <right style="thin">
        <color auto="1"/>
      </right>
      <top/>
      <bottom style="thin">
        <color indexed="9"/>
      </bottom>
      <diagonal/>
    </border>
    <border>
      <left style="thin">
        <color auto="1"/>
      </left>
      <right style="thin">
        <color indexed="9"/>
      </right>
      <top/>
      <bottom style="thin">
        <color indexed="9"/>
      </bottom>
      <diagonal/>
    </border>
    <border>
      <left style="medium">
        <color auto="1"/>
      </left>
      <right style="medium">
        <color auto="1"/>
      </right>
      <top style="medium">
        <color auto="1"/>
      </top>
      <bottom style="thin">
        <color auto="1"/>
      </bottom>
      <diagonal/>
    </border>
    <border>
      <left style="thin">
        <color indexed="9"/>
      </left>
      <right/>
      <top style="thin">
        <color indexed="9"/>
      </top>
      <bottom style="thin">
        <color indexed="55"/>
      </bottom>
      <diagonal/>
    </border>
    <border>
      <left style="thin">
        <color indexed="9"/>
      </left>
      <right/>
      <top/>
      <bottom style="thin">
        <color indexed="55"/>
      </bottom>
      <diagonal/>
    </border>
    <border>
      <left style="thin">
        <color indexed="9"/>
      </left>
      <right/>
      <top style="thin">
        <color indexed="55"/>
      </top>
      <bottom style="thin">
        <color auto="1"/>
      </bottom>
      <diagonal/>
    </border>
    <border>
      <left/>
      <right/>
      <top style="thin">
        <color indexed="9"/>
      </top>
      <bottom style="thin">
        <color indexed="55"/>
      </bottom>
      <diagonal/>
    </border>
    <border>
      <left style="thin">
        <color indexed="55"/>
      </left>
      <right style="thin">
        <color indexed="55"/>
      </right>
      <top/>
      <bottom style="thin">
        <color indexed="55"/>
      </bottom>
      <diagonal/>
    </border>
    <border>
      <left/>
      <right/>
      <top/>
      <bottom style="thin">
        <color indexed="55"/>
      </bottom>
      <diagonal/>
    </border>
    <border>
      <left/>
      <right style="thin">
        <color indexed="55"/>
      </right>
      <top/>
      <bottom style="thin">
        <color indexed="55"/>
      </bottom>
      <diagonal/>
    </border>
    <border>
      <left style="thin">
        <color indexed="55"/>
      </left>
      <right style="thin">
        <color indexed="55"/>
      </right>
      <top style="thin">
        <color indexed="55"/>
      </top>
      <bottom style="thin">
        <color auto="1"/>
      </bottom>
      <diagonal/>
    </border>
    <border>
      <left style="thin">
        <color indexed="55"/>
      </left>
      <right style="thin">
        <color indexed="55"/>
      </right>
      <top style="thin">
        <color indexed="55"/>
      </top>
      <bottom style="thin">
        <color indexed="55"/>
      </bottom>
      <diagonal/>
    </border>
    <border>
      <left style="thin">
        <color indexed="55"/>
      </left>
      <right style="thin">
        <color auto="1"/>
      </right>
      <top/>
      <bottom style="thin">
        <color auto="1"/>
      </bottom>
      <diagonal/>
    </border>
    <border>
      <left style="thin">
        <color indexed="55"/>
      </left>
      <right style="thin">
        <color indexed="55"/>
      </right>
      <top style="thin">
        <color indexed="9"/>
      </top>
      <bottom/>
      <diagonal/>
    </border>
    <border>
      <left style="thin">
        <color indexed="55"/>
      </left>
      <right style="thin">
        <color indexed="55"/>
      </right>
      <top style="thin">
        <color indexed="55"/>
      </top>
      <bottom/>
      <diagonal/>
    </border>
    <border>
      <left style="thin">
        <color indexed="55"/>
      </left>
      <right/>
      <top style="thin">
        <color indexed="55"/>
      </top>
      <bottom style="thin">
        <color indexed="55"/>
      </bottom>
      <diagonal/>
    </border>
    <border>
      <left style="thin">
        <color indexed="55"/>
      </left>
      <right/>
      <top/>
      <bottom style="thin">
        <color indexed="55"/>
      </bottom>
      <diagonal/>
    </border>
    <border>
      <left style="thin">
        <color indexed="55"/>
      </left>
      <right/>
      <top/>
      <bottom/>
      <diagonal/>
    </border>
    <border>
      <left/>
      <right/>
      <top style="thin">
        <color indexed="55"/>
      </top>
      <bottom style="thin">
        <color auto="1"/>
      </bottom>
      <diagonal/>
    </border>
    <border>
      <left/>
      <right style="thin">
        <color indexed="8"/>
      </right>
      <top style="thin">
        <color indexed="55"/>
      </top>
      <bottom style="thin">
        <color auto="1"/>
      </bottom>
      <diagonal/>
    </border>
    <border>
      <left style="thin">
        <color indexed="55"/>
      </left>
      <right/>
      <top style="thin">
        <color auto="1"/>
      </top>
      <bottom/>
      <diagonal/>
    </border>
    <border>
      <left style="thin">
        <color indexed="55"/>
      </left>
      <right style="thin">
        <color auto="1"/>
      </right>
      <top style="thin">
        <color indexed="55"/>
      </top>
      <bottom/>
      <diagonal/>
    </border>
    <border>
      <left style="thin">
        <color indexed="55"/>
      </left>
      <right style="thin">
        <color auto="1"/>
      </right>
      <top/>
      <bottom/>
      <diagonal/>
    </border>
    <border>
      <left style="thin">
        <color indexed="55"/>
      </left>
      <right style="thin">
        <color auto="1"/>
      </right>
      <top style="thin">
        <color auto="1"/>
      </top>
      <bottom/>
      <diagonal/>
    </border>
    <border>
      <left style="thin">
        <color indexed="55"/>
      </left>
      <right style="thin">
        <color indexed="55"/>
      </right>
      <top style="thin">
        <color auto="1"/>
      </top>
      <bottom/>
      <diagonal/>
    </border>
    <border>
      <left/>
      <right/>
      <top style="thin">
        <color indexed="55"/>
      </top>
      <bottom/>
      <diagonal/>
    </border>
    <border>
      <left style="thin">
        <color indexed="55"/>
      </left>
      <right style="thin">
        <color indexed="8"/>
      </right>
      <top/>
      <bottom style="thin">
        <color indexed="55"/>
      </bottom>
      <diagonal/>
    </border>
    <border>
      <left style="thin">
        <color indexed="55"/>
      </left>
      <right style="thin">
        <color indexed="8"/>
      </right>
      <top/>
      <bottom style="thin">
        <color auto="1"/>
      </bottom>
      <diagonal/>
    </border>
    <border>
      <left/>
      <right style="thin">
        <color auto="1"/>
      </right>
      <top style="thin">
        <color indexed="55"/>
      </top>
      <bottom/>
      <diagonal/>
    </border>
    <border>
      <left style="thin">
        <color indexed="9"/>
      </left>
      <right/>
      <top style="thin">
        <color indexed="55"/>
      </top>
      <bottom/>
      <diagonal/>
    </border>
    <border>
      <left style="thin">
        <color indexed="9"/>
      </left>
      <right style="thin">
        <color auto="1"/>
      </right>
      <top style="thin">
        <color indexed="55"/>
      </top>
      <bottom/>
      <diagonal/>
    </border>
    <border>
      <left style="thin">
        <color indexed="9"/>
      </left>
      <right style="thin">
        <color indexed="8"/>
      </right>
      <top/>
      <bottom style="thin">
        <color auto="1"/>
      </bottom>
      <diagonal/>
    </border>
    <border>
      <left style="thin">
        <color indexed="9"/>
      </left>
      <right style="thin">
        <color indexed="8"/>
      </right>
      <top/>
      <bottom style="thin">
        <color indexed="55"/>
      </bottom>
      <diagonal/>
    </border>
    <border>
      <left style="thin">
        <color indexed="55"/>
      </left>
      <right style="thin">
        <color auto="1"/>
      </right>
      <top/>
      <bottom style="thin">
        <color indexed="55"/>
      </bottom>
      <diagonal/>
    </border>
    <border>
      <left style="thin">
        <color indexed="55"/>
      </left>
      <right style="thin">
        <color indexed="8"/>
      </right>
      <top/>
      <bottom/>
      <diagonal/>
    </border>
    <border>
      <left style="thin">
        <color indexed="9"/>
      </left>
      <right style="thin">
        <color indexed="55"/>
      </right>
      <top style="thin">
        <color indexed="55"/>
      </top>
      <bottom/>
      <diagonal/>
    </border>
    <border>
      <left style="thin">
        <color indexed="9"/>
      </left>
      <right style="thin">
        <color indexed="55"/>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diagonal/>
    </border>
    <border>
      <left/>
      <right/>
      <top style="hair">
        <color indexed="9"/>
      </top>
      <bottom/>
      <diagonal/>
    </border>
    <border>
      <left/>
      <right style="medium">
        <color auto="1"/>
      </right>
      <top style="hair">
        <color indexed="9"/>
      </top>
      <bottom/>
      <diagonal/>
    </border>
    <border>
      <left style="hair">
        <color indexed="9"/>
      </left>
      <right/>
      <top style="hair">
        <color indexed="9"/>
      </top>
      <bottom/>
      <diagonal/>
    </border>
    <border>
      <left style="hair">
        <color indexed="9"/>
      </left>
      <right/>
      <top/>
      <bottom/>
      <diagonal/>
    </border>
    <border>
      <left style="thin">
        <color auto="1"/>
      </left>
      <right style="medium">
        <color auto="1"/>
      </right>
      <top style="thin">
        <color indexed="9"/>
      </top>
      <bottom style="thin">
        <color indexed="9"/>
      </bottom>
      <diagonal/>
    </border>
    <border>
      <left style="thin">
        <color indexed="9"/>
      </left>
      <right style="hair">
        <color auto="1"/>
      </right>
      <top style="thin">
        <color indexed="9"/>
      </top>
      <bottom/>
      <diagonal/>
    </border>
    <border>
      <left style="thin">
        <color indexed="9"/>
      </left>
      <right style="hair">
        <color auto="1"/>
      </right>
      <top/>
      <bottom style="hair">
        <color auto="1"/>
      </bottom>
      <diagonal/>
    </border>
    <border>
      <left/>
      <right style="hair">
        <color auto="1"/>
      </right>
      <top style="thin">
        <color indexed="9"/>
      </top>
      <bottom/>
      <diagonal/>
    </border>
    <border>
      <left/>
      <right style="hair">
        <color auto="1"/>
      </right>
      <top/>
      <bottom/>
      <diagonal/>
    </border>
    <border>
      <left style="thin">
        <color indexed="9"/>
      </left>
      <right/>
      <top/>
      <bottom style="hair">
        <color auto="1"/>
      </bottom>
      <diagonal/>
    </border>
    <border>
      <left/>
      <right style="hair">
        <color auto="1"/>
      </right>
      <top/>
      <bottom style="hair">
        <color auto="1"/>
      </bottom>
      <diagonal/>
    </border>
    <border>
      <left style="thin">
        <color indexed="9"/>
      </left>
      <right style="hair">
        <color auto="1"/>
      </right>
      <top style="thin">
        <color indexed="9"/>
      </top>
      <bottom style="hair">
        <color auto="1"/>
      </bottom>
      <diagonal/>
    </border>
    <border>
      <left style="medium">
        <color auto="1"/>
      </left>
      <right style="thin">
        <color auto="1"/>
      </right>
      <top style="thin">
        <color auto="1"/>
      </top>
      <bottom/>
      <diagonal/>
    </border>
    <border>
      <left style="thin">
        <color auto="1"/>
      </left>
      <right/>
      <top style="thin">
        <color auto="1"/>
      </top>
      <bottom style="thin">
        <color indexed="8"/>
      </bottom>
      <diagonal/>
    </border>
    <border>
      <left/>
      <right style="thin">
        <color indexed="8"/>
      </right>
      <top style="thin">
        <color auto="1"/>
      </top>
      <bottom style="thin">
        <color indexed="8"/>
      </bottom>
      <diagonal/>
    </border>
    <border>
      <left/>
      <right style="thin">
        <color indexed="8"/>
      </right>
      <top style="thin">
        <color indexed="55"/>
      </top>
      <bottom style="thin">
        <color indexed="55"/>
      </bottom>
      <diagonal/>
    </border>
    <border>
      <left/>
      <right/>
      <top/>
      <bottom style="thin">
        <color indexed="23"/>
      </bottom>
      <diagonal/>
    </border>
    <border>
      <left style="thin">
        <color auto="1"/>
      </left>
      <right style="thin">
        <color indexed="8"/>
      </right>
      <top style="thin">
        <color auto="1"/>
      </top>
      <bottom/>
      <diagonal/>
    </border>
    <border>
      <left style="thin">
        <color auto="1"/>
      </left>
      <right style="thin">
        <color indexed="8"/>
      </right>
      <top/>
      <bottom/>
      <diagonal/>
    </border>
    <border>
      <left style="thin">
        <color auto="1"/>
      </left>
      <right style="thin">
        <color indexed="8"/>
      </right>
      <top/>
      <bottom style="thin">
        <color indexed="8"/>
      </bottom>
      <diagonal/>
    </border>
    <border>
      <left style="thin">
        <color indexed="8"/>
      </left>
      <right/>
      <top style="thin">
        <color indexed="8"/>
      </top>
      <bottom style="thin">
        <color indexed="9"/>
      </bottom>
      <diagonal/>
    </border>
    <border>
      <left/>
      <right style="thin">
        <color indexed="9"/>
      </right>
      <top style="thin">
        <color indexed="8"/>
      </top>
      <bottom style="thin">
        <color indexed="9"/>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auto="1"/>
      </right>
      <top style="thin">
        <color indexed="9"/>
      </top>
      <bottom style="thin">
        <color indexed="9"/>
      </bottom>
      <diagonal/>
    </border>
    <border>
      <left style="thin">
        <color indexed="9"/>
      </left>
      <right/>
      <top style="thin">
        <color indexed="8"/>
      </top>
      <bottom/>
      <diagonal/>
    </border>
    <border>
      <left/>
      <right/>
      <top style="thin">
        <color indexed="8"/>
      </top>
      <bottom/>
      <diagonal/>
    </border>
    <border>
      <left/>
      <right style="thin">
        <color auto="1"/>
      </right>
      <top style="thin">
        <color indexed="8"/>
      </top>
      <bottom/>
      <diagonal/>
    </border>
    <border>
      <left style="thin">
        <color indexed="9"/>
      </left>
      <right/>
      <top style="thin">
        <color indexed="9"/>
      </top>
      <bottom style="hair">
        <color auto="1"/>
      </bottom>
      <diagonal/>
    </border>
    <border>
      <left/>
      <right style="hair">
        <color auto="1"/>
      </right>
      <top style="thin">
        <color indexed="9"/>
      </top>
      <bottom style="hair">
        <color auto="1"/>
      </bottom>
      <diagonal/>
    </border>
    <border>
      <left/>
      <right/>
      <top style="thin">
        <color indexed="9"/>
      </top>
      <bottom style="hair">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top/>
      <bottom style="thin">
        <color theme="0"/>
      </bottom>
      <diagonal/>
    </border>
    <border>
      <left/>
      <right/>
      <top style="thin">
        <color theme="0" tint="-0.499984740745262"/>
      </top>
      <bottom style="thin">
        <color theme="0" tint="-0.499984740745262"/>
      </bottom>
      <diagonal/>
    </border>
    <border>
      <left/>
      <right/>
      <top/>
      <bottom style="thin">
        <color theme="0" tint="-0.499984740745262"/>
      </bottom>
      <diagonal/>
    </border>
    <border>
      <left/>
      <right/>
      <top style="thin">
        <color theme="0" tint="-0.499984740745262"/>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7" fillId="0" borderId="1">
      <alignment vertical="center"/>
    </xf>
  </cellStyleXfs>
  <cellXfs count="1408">
    <xf numFmtId="0" fontId="0" fillId="0" borderId="0" xfId="0"/>
    <xf numFmtId="0" fontId="2" fillId="0" borderId="0" xfId="0" applyFont="1" applyProtection="1">
      <protection hidden="1"/>
    </xf>
    <xf numFmtId="0" fontId="2" fillId="0" borderId="0" xfId="0" applyFont="1" applyAlignment="1" applyProtection="1">
      <alignment horizontal="center"/>
      <protection hidden="1"/>
    </xf>
    <xf numFmtId="0" fontId="4" fillId="0" borderId="0" xfId="0" applyFont="1" applyProtection="1">
      <protection hidden="1"/>
    </xf>
    <xf numFmtId="0" fontId="5" fillId="2" borderId="0" xfId="0" applyFont="1" applyFill="1" applyProtection="1">
      <protection hidden="1"/>
    </xf>
    <xf numFmtId="0" fontId="2" fillId="2" borderId="0" xfId="0" applyFont="1" applyFill="1" applyProtection="1">
      <protection hidden="1"/>
    </xf>
    <xf numFmtId="0" fontId="4" fillId="2" borderId="0" xfId="0" applyFont="1" applyFill="1" applyAlignment="1" applyProtection="1">
      <alignment horizontal="left" vertical="top"/>
      <protection hidden="1"/>
    </xf>
    <xf numFmtId="0" fontId="4" fillId="2" borderId="0" xfId="0" applyFont="1" applyFill="1" applyAlignment="1" applyProtection="1">
      <protection hidden="1"/>
    </xf>
    <xf numFmtId="0" fontId="2" fillId="2" borderId="0" xfId="0" applyFont="1" applyFill="1" applyAlignment="1" applyProtection="1">
      <alignment horizontal="center"/>
      <protection hidden="1"/>
    </xf>
    <xf numFmtId="0" fontId="5" fillId="3" borderId="0" xfId="0" applyFont="1" applyFill="1" applyProtection="1">
      <protection hidden="1"/>
    </xf>
    <xf numFmtId="0" fontId="2" fillId="3" borderId="0" xfId="0" applyFont="1" applyFill="1" applyProtection="1">
      <protection hidden="1"/>
    </xf>
    <xf numFmtId="0" fontId="5" fillId="4" borderId="0" xfId="0" applyFont="1" applyFill="1" applyProtection="1">
      <protection hidden="1"/>
    </xf>
    <xf numFmtId="0" fontId="2" fillId="4" borderId="0" xfId="0" applyFont="1" applyFill="1" applyProtection="1">
      <protection hidden="1"/>
    </xf>
    <xf numFmtId="0" fontId="7" fillId="5" borderId="0" xfId="0" applyFont="1" applyFill="1"/>
    <xf numFmtId="0" fontId="7" fillId="5" borderId="0" xfId="0" applyFont="1" applyFill="1" applyAlignment="1">
      <alignment horizontal="center"/>
    </xf>
    <xf numFmtId="0" fontId="2" fillId="5" borderId="0" xfId="0" applyFont="1" applyFill="1"/>
    <xf numFmtId="0" fontId="5" fillId="5" borderId="0" xfId="0" applyFont="1" applyFill="1" applyAlignment="1">
      <alignment horizontal="center"/>
    </xf>
    <xf numFmtId="0" fontId="2" fillId="5" borderId="0" xfId="0" applyFont="1" applyFill="1" applyBorder="1"/>
    <xf numFmtId="0" fontId="2" fillId="5" borderId="0" xfId="0" applyFont="1" applyFill="1" applyBorder="1" applyAlignment="1">
      <alignment horizontal="center"/>
    </xf>
    <xf numFmtId="0" fontId="5" fillId="5" borderId="0" xfId="0" applyFont="1" applyFill="1"/>
    <xf numFmtId="0" fontId="7" fillId="5" borderId="0" xfId="0" applyFont="1" applyFill="1" applyProtection="1"/>
    <xf numFmtId="0" fontId="4" fillId="5" borderId="0" xfId="0" applyFont="1" applyFill="1" applyBorder="1" applyAlignment="1">
      <alignment horizontal="center"/>
    </xf>
    <xf numFmtId="0" fontId="7" fillId="6" borderId="0" xfId="0" applyFont="1" applyFill="1"/>
    <xf numFmtId="0" fontId="10" fillId="6" borderId="0" xfId="0" applyFont="1" applyFill="1"/>
    <xf numFmtId="0" fontId="7" fillId="0" borderId="0" xfId="0" applyFont="1"/>
    <xf numFmtId="0" fontId="7" fillId="0" borderId="0" xfId="0" applyFont="1" applyAlignment="1">
      <alignment horizontal="center"/>
    </xf>
    <xf numFmtId="0" fontId="3" fillId="5" borderId="0" xfId="0" applyFont="1" applyFill="1" applyBorder="1" applyAlignment="1" applyProtection="1">
      <alignment horizontal="center"/>
      <protection locked="0"/>
    </xf>
    <xf numFmtId="0" fontId="7" fillId="0" borderId="0" xfId="0" applyFont="1" applyBorder="1" applyProtection="1">
      <protection hidden="1"/>
    </xf>
    <xf numFmtId="0" fontId="7" fillId="0" borderId="0" xfId="0" applyFont="1" applyBorder="1" applyAlignment="1" applyProtection="1">
      <alignment horizontal="center"/>
      <protection hidden="1"/>
    </xf>
    <xf numFmtId="0" fontId="8" fillId="0" borderId="0" xfId="0" applyFont="1" applyBorder="1" applyAlignment="1" applyProtection="1">
      <alignment horizontal="center"/>
      <protection hidden="1"/>
    </xf>
    <xf numFmtId="2" fontId="7" fillId="0" borderId="0" xfId="0" applyNumberFormat="1" applyFont="1" applyBorder="1" applyAlignment="1" applyProtection="1">
      <alignment horizontal="center"/>
      <protection hidden="1"/>
    </xf>
    <xf numFmtId="0" fontId="7" fillId="0" borderId="0" xfId="0" applyFont="1" applyBorder="1"/>
    <xf numFmtId="167" fontId="7" fillId="0" borderId="0" xfId="0" applyNumberFormat="1" applyFont="1" applyBorder="1" applyProtection="1">
      <protection hidden="1"/>
    </xf>
    <xf numFmtId="0" fontId="7" fillId="0" borderId="0" xfId="0" applyFont="1" applyFill="1" applyBorder="1" applyProtection="1">
      <protection hidden="1"/>
    </xf>
    <xf numFmtId="0" fontId="9" fillId="0" borderId="0" xfId="0" applyFont="1" applyBorder="1"/>
    <xf numFmtId="0" fontId="7" fillId="5" borderId="2" xfId="0" applyFont="1" applyFill="1" applyBorder="1" applyProtection="1">
      <protection hidden="1"/>
    </xf>
    <xf numFmtId="0" fontId="7" fillId="5" borderId="0" xfId="0" applyFont="1" applyFill="1" applyBorder="1" applyProtection="1">
      <protection hidden="1"/>
    </xf>
    <xf numFmtId="0" fontId="7" fillId="5" borderId="0" xfId="0" applyFont="1" applyFill="1" applyProtection="1">
      <protection hidden="1"/>
    </xf>
    <xf numFmtId="2" fontId="7" fillId="5" borderId="0" xfId="0" applyNumberFormat="1" applyFont="1" applyFill="1" applyProtection="1">
      <protection hidden="1"/>
    </xf>
    <xf numFmtId="0" fontId="8" fillId="5" borderId="0" xfId="0" applyFont="1" applyFill="1" applyProtection="1">
      <protection hidden="1"/>
    </xf>
    <xf numFmtId="0" fontId="7" fillId="5" borderId="0" xfId="0" applyFont="1" applyFill="1" applyAlignment="1" applyProtection="1">
      <alignment horizontal="center"/>
      <protection hidden="1"/>
    </xf>
    <xf numFmtId="0" fontId="10" fillId="5" borderId="0" xfId="0" applyFont="1" applyFill="1" applyAlignment="1" applyProtection="1">
      <alignment horizontal="center"/>
      <protection hidden="1"/>
    </xf>
    <xf numFmtId="0" fontId="7" fillId="5" borderId="3" xfId="0" applyFont="1" applyFill="1" applyBorder="1" applyProtection="1">
      <protection hidden="1"/>
    </xf>
    <xf numFmtId="0" fontId="7" fillId="5" borderId="4" xfId="0" applyFont="1" applyFill="1" applyBorder="1" applyProtection="1">
      <protection hidden="1"/>
    </xf>
    <xf numFmtId="0" fontId="7" fillId="5" borderId="0" xfId="0" applyFont="1" applyFill="1" applyBorder="1" applyAlignment="1" applyProtection="1">
      <alignment horizontal="center"/>
      <protection hidden="1"/>
    </xf>
    <xf numFmtId="0" fontId="8" fillId="5" borderId="0" xfId="0" applyFont="1" applyFill="1" applyBorder="1" applyProtection="1">
      <protection hidden="1"/>
    </xf>
    <xf numFmtId="1" fontId="7" fillId="5" borderId="0" xfId="0" applyNumberFormat="1" applyFont="1" applyFill="1" applyBorder="1" applyProtection="1">
      <protection hidden="1"/>
    </xf>
    <xf numFmtId="0" fontId="3" fillId="5" borderId="4" xfId="0" applyFont="1" applyFill="1" applyBorder="1" applyProtection="1">
      <protection hidden="1"/>
    </xf>
    <xf numFmtId="0" fontId="7" fillId="6" borderId="0" xfId="0" applyFont="1" applyFill="1" applyProtection="1">
      <protection hidden="1"/>
    </xf>
    <xf numFmtId="2" fontId="7" fillId="6" borderId="0" xfId="0" applyNumberFormat="1" applyFont="1" applyFill="1" applyProtection="1">
      <protection hidden="1"/>
    </xf>
    <xf numFmtId="0" fontId="7" fillId="6" borderId="3" xfId="0" applyFont="1" applyFill="1" applyBorder="1" applyProtection="1">
      <protection hidden="1"/>
    </xf>
    <xf numFmtId="2" fontId="7" fillId="6" borderId="2" xfId="0" applyNumberFormat="1" applyFont="1" applyFill="1" applyBorder="1" applyProtection="1">
      <protection hidden="1"/>
    </xf>
    <xf numFmtId="0" fontId="7" fillId="6" borderId="2" xfId="0" applyFont="1" applyFill="1" applyBorder="1" applyProtection="1">
      <protection hidden="1"/>
    </xf>
    <xf numFmtId="0" fontId="7" fillId="6" borderId="5" xfId="0" applyFont="1" applyFill="1" applyBorder="1" applyProtection="1">
      <protection hidden="1"/>
    </xf>
    <xf numFmtId="0" fontId="7" fillId="6" borderId="4" xfId="0" applyFont="1" applyFill="1" applyBorder="1" applyProtection="1">
      <protection hidden="1"/>
    </xf>
    <xf numFmtId="0" fontId="7" fillId="6" borderId="0" xfId="0" applyFont="1" applyFill="1" applyBorder="1" applyProtection="1">
      <protection hidden="1"/>
    </xf>
    <xf numFmtId="0" fontId="7" fillId="6" borderId="6" xfId="0" applyFont="1" applyFill="1" applyBorder="1" applyProtection="1">
      <protection hidden="1"/>
    </xf>
    <xf numFmtId="2" fontId="7" fillId="6" borderId="0" xfId="0" applyNumberFormat="1" applyFont="1" applyFill="1" applyBorder="1" applyProtection="1">
      <protection hidden="1"/>
    </xf>
    <xf numFmtId="0" fontId="7" fillId="6" borderId="7" xfId="0" applyFont="1" applyFill="1" applyBorder="1" applyProtection="1">
      <protection hidden="1"/>
    </xf>
    <xf numFmtId="2" fontId="7" fillId="6" borderId="8" xfId="0" applyNumberFormat="1" applyFont="1" applyFill="1" applyBorder="1" applyProtection="1">
      <protection hidden="1"/>
    </xf>
    <xf numFmtId="0" fontId="7" fillId="6" borderId="8" xfId="0" applyFont="1" applyFill="1" applyBorder="1" applyProtection="1">
      <protection hidden="1"/>
    </xf>
    <xf numFmtId="0" fontId="7" fillId="6" borderId="9" xfId="0" applyFont="1" applyFill="1" applyBorder="1" applyProtection="1">
      <protection hidden="1"/>
    </xf>
    <xf numFmtId="0" fontId="7" fillId="6" borderId="10" xfId="0" applyFont="1" applyFill="1" applyBorder="1" applyProtection="1">
      <protection hidden="1"/>
    </xf>
    <xf numFmtId="0" fontId="7" fillId="6" borderId="10" xfId="0" applyFont="1" applyFill="1" applyBorder="1" applyAlignment="1" applyProtection="1">
      <alignment horizontal="right"/>
      <protection hidden="1"/>
    </xf>
    <xf numFmtId="0" fontId="7" fillId="6" borderId="11" xfId="0" applyFont="1" applyFill="1" applyBorder="1" applyProtection="1">
      <protection hidden="1"/>
    </xf>
    <xf numFmtId="0" fontId="10" fillId="6" borderId="0" xfId="0" applyFont="1" applyFill="1" applyProtection="1">
      <protection hidden="1"/>
    </xf>
    <xf numFmtId="0" fontId="10" fillId="6" borderId="4" xfId="0" applyFont="1" applyFill="1" applyBorder="1" applyProtection="1">
      <protection hidden="1"/>
    </xf>
    <xf numFmtId="0" fontId="10" fillId="6" borderId="6" xfId="0" applyFont="1" applyFill="1" applyBorder="1" applyProtection="1">
      <protection hidden="1"/>
    </xf>
    <xf numFmtId="0" fontId="13" fillId="5" borderId="0" xfId="0" applyFont="1" applyFill="1" applyProtection="1">
      <protection hidden="1"/>
    </xf>
    <xf numFmtId="3" fontId="7" fillId="5" borderId="0" xfId="0" applyNumberFormat="1" applyFont="1" applyFill="1" applyBorder="1" applyProtection="1">
      <protection hidden="1"/>
    </xf>
    <xf numFmtId="0" fontId="7" fillId="5" borderId="0" xfId="0" applyFont="1" applyFill="1" applyBorder="1" applyAlignment="1" applyProtection="1">
      <alignment horizontal="right"/>
      <protection hidden="1"/>
    </xf>
    <xf numFmtId="3" fontId="7" fillId="5" borderId="0" xfId="0" applyNumberFormat="1" applyFont="1" applyFill="1" applyBorder="1" applyAlignment="1" applyProtection="1">
      <alignment horizontal="right"/>
      <protection hidden="1"/>
    </xf>
    <xf numFmtId="3" fontId="7" fillId="5" borderId="2" xfId="0" applyNumberFormat="1" applyFont="1" applyFill="1" applyBorder="1" applyProtection="1">
      <protection hidden="1"/>
    </xf>
    <xf numFmtId="2" fontId="7" fillId="5" borderId="0" xfId="0" applyNumberFormat="1" applyFont="1" applyFill="1" applyBorder="1" applyProtection="1">
      <protection hidden="1"/>
    </xf>
    <xf numFmtId="2" fontId="7" fillId="5" borderId="2" xfId="0" applyNumberFormat="1" applyFont="1" applyFill="1" applyBorder="1" applyProtection="1">
      <protection hidden="1"/>
    </xf>
    <xf numFmtId="0" fontId="4" fillId="5" borderId="0" xfId="0" applyFont="1" applyFill="1" applyBorder="1" applyProtection="1">
      <protection hidden="1"/>
    </xf>
    <xf numFmtId="2" fontId="4" fillId="5" borderId="0" xfId="0" applyNumberFormat="1" applyFont="1" applyFill="1" applyBorder="1" applyProtection="1">
      <protection hidden="1"/>
    </xf>
    <xf numFmtId="0" fontId="8" fillId="5" borderId="0" xfId="0" applyFont="1" applyFill="1" applyBorder="1" applyAlignment="1" applyProtection="1">
      <alignment horizontal="right"/>
      <protection hidden="1"/>
    </xf>
    <xf numFmtId="3" fontId="7" fillId="5" borderId="13" xfId="0" applyNumberFormat="1" applyFont="1" applyFill="1" applyBorder="1" applyProtection="1">
      <protection hidden="1"/>
    </xf>
    <xf numFmtId="3" fontId="7" fillId="5" borderId="14" xfId="0" applyNumberFormat="1" applyFont="1" applyFill="1" applyBorder="1" applyProtection="1">
      <protection hidden="1"/>
    </xf>
    <xf numFmtId="0" fontId="7" fillId="5" borderId="14" xfId="0" applyFont="1" applyFill="1" applyBorder="1" applyAlignment="1" applyProtection="1">
      <alignment horizontal="right"/>
      <protection hidden="1"/>
    </xf>
    <xf numFmtId="0" fontId="7" fillId="5" borderId="15" xfId="0" applyFont="1" applyFill="1" applyBorder="1" applyProtection="1">
      <protection hidden="1"/>
    </xf>
    <xf numFmtId="0" fontId="7" fillId="5" borderId="14" xfId="0" applyFont="1" applyFill="1" applyBorder="1" applyProtection="1">
      <protection hidden="1"/>
    </xf>
    <xf numFmtId="0" fontId="7" fillId="5" borderId="16" xfId="0" applyFont="1" applyFill="1" applyBorder="1" applyProtection="1">
      <protection hidden="1"/>
    </xf>
    <xf numFmtId="0" fontId="7" fillId="5" borderId="17" xfId="0" applyFont="1" applyFill="1" applyBorder="1" applyProtection="1">
      <protection hidden="1"/>
    </xf>
    <xf numFmtId="0" fontId="7" fillId="5" borderId="13" xfId="0" applyFont="1" applyFill="1" applyBorder="1" applyProtection="1">
      <protection hidden="1"/>
    </xf>
    <xf numFmtId="0" fontId="7" fillId="0" borderId="0" xfId="0" applyFont="1" applyProtection="1">
      <protection hidden="1"/>
    </xf>
    <xf numFmtId="0" fontId="7" fillId="0" borderId="0" xfId="0" applyFont="1" applyAlignment="1" applyProtection="1">
      <alignment horizontal="center"/>
      <protection hidden="1"/>
    </xf>
    <xf numFmtId="0" fontId="0" fillId="0" borderId="0" xfId="0" applyProtection="1">
      <protection hidden="1"/>
    </xf>
    <xf numFmtId="0" fontId="7" fillId="0" borderId="0" xfId="0" applyFont="1" applyAlignment="1" applyProtection="1">
      <alignment horizontal="left"/>
      <protection hidden="1"/>
    </xf>
    <xf numFmtId="0" fontId="8" fillId="0" borderId="0" xfId="0" applyFont="1" applyAlignment="1" applyProtection="1">
      <alignment horizontal="center"/>
      <protection hidden="1"/>
    </xf>
    <xf numFmtId="0" fontId="8" fillId="0" borderId="0" xfId="0" applyFont="1" applyBorder="1" applyProtection="1">
      <protection hidden="1"/>
    </xf>
    <xf numFmtId="0" fontId="7" fillId="0" borderId="0" xfId="0" applyFont="1" applyBorder="1" applyAlignment="1" applyProtection="1">
      <alignment horizontal="right" vertical="center"/>
      <protection hidden="1"/>
    </xf>
    <xf numFmtId="0" fontId="3" fillId="0" borderId="0" xfId="0" applyFont="1" applyAlignment="1" applyProtection="1">
      <alignment horizontal="center"/>
      <protection hidden="1"/>
    </xf>
    <xf numFmtId="1" fontId="7" fillId="0" borderId="0" xfId="0" applyNumberFormat="1" applyFont="1" applyAlignment="1" applyProtection="1">
      <alignment horizontal="center"/>
      <protection hidden="1"/>
    </xf>
    <xf numFmtId="2" fontId="7" fillId="0" borderId="0" xfId="0" applyNumberFormat="1" applyFont="1" applyAlignment="1" applyProtection="1">
      <alignment horizontal="center"/>
      <protection hidden="1"/>
    </xf>
    <xf numFmtId="9" fontId="7" fillId="0" borderId="0" xfId="2" applyNumberFormat="1" applyFont="1" applyAlignment="1" applyProtection="1">
      <alignment horizontal="center"/>
      <protection hidden="1"/>
    </xf>
    <xf numFmtId="9" fontId="7" fillId="0" borderId="0" xfId="0" applyNumberFormat="1" applyFont="1" applyProtection="1">
      <protection hidden="1"/>
    </xf>
    <xf numFmtId="9" fontId="7" fillId="0" borderId="0" xfId="2" applyFont="1" applyAlignment="1" applyProtection="1">
      <alignment horizontal="center"/>
      <protection hidden="1"/>
    </xf>
    <xf numFmtId="0" fontId="7" fillId="0" borderId="0" xfId="0" applyFont="1" applyFill="1" applyAlignment="1" applyProtection="1">
      <alignment horizontal="center"/>
      <protection hidden="1"/>
    </xf>
    <xf numFmtId="0" fontId="7" fillId="0" borderId="0" xfId="0" applyFont="1" applyFill="1" applyBorder="1" applyAlignment="1" applyProtection="1">
      <alignment horizontal="center"/>
      <protection hidden="1"/>
    </xf>
    <xf numFmtId="0" fontId="7" fillId="0" borderId="0" xfId="0" applyFont="1" applyFill="1" applyProtection="1">
      <protection hidden="1"/>
    </xf>
    <xf numFmtId="9" fontId="7" fillId="0" borderId="0" xfId="0" applyNumberFormat="1" applyFont="1" applyFill="1" applyProtection="1">
      <protection hidden="1"/>
    </xf>
    <xf numFmtId="0" fontId="2" fillId="0" borderId="0" xfId="0" applyFont="1" applyFill="1" applyProtection="1">
      <protection hidden="1"/>
    </xf>
    <xf numFmtId="0" fontId="2" fillId="0" borderId="0" xfId="0" applyFont="1" applyFill="1" applyAlignment="1" applyProtection="1">
      <alignment horizontal="center"/>
      <protection hidden="1"/>
    </xf>
    <xf numFmtId="0" fontId="2" fillId="0" borderId="0" xfId="0" applyFont="1" applyFill="1" applyAlignment="1" applyProtection="1">
      <alignment horizontal="left"/>
      <protection hidden="1"/>
    </xf>
    <xf numFmtId="168" fontId="2" fillId="0" borderId="0" xfId="0" applyNumberFormat="1" applyFont="1" applyFill="1" applyAlignment="1" applyProtection="1">
      <alignment horizontal="right"/>
      <protection hidden="1"/>
    </xf>
    <xf numFmtId="168" fontId="2" fillId="0" borderId="0" xfId="0" applyNumberFormat="1" applyFont="1" applyFill="1" applyProtection="1">
      <protection hidden="1"/>
    </xf>
    <xf numFmtId="168" fontId="24" fillId="0" borderId="0" xfId="0" applyNumberFormat="1" applyFont="1" applyFill="1" applyAlignment="1" applyProtection="1">
      <alignment horizontal="right"/>
      <protection hidden="1"/>
    </xf>
    <xf numFmtId="0" fontId="2" fillId="0" borderId="0" xfId="0" applyFont="1" applyFill="1" applyAlignment="1" applyProtection="1">
      <alignment horizontal="right"/>
      <protection hidden="1"/>
    </xf>
    <xf numFmtId="2" fontId="24" fillId="0" borderId="0" xfId="0" applyNumberFormat="1" applyFont="1" applyFill="1" applyAlignment="1" applyProtection="1">
      <alignment horizontal="right"/>
      <protection hidden="1"/>
    </xf>
    <xf numFmtId="9" fontId="2" fillId="0" borderId="0" xfId="2" applyFont="1" applyFill="1" applyProtection="1">
      <protection hidden="1"/>
    </xf>
    <xf numFmtId="0" fontId="4" fillId="0" borderId="0" xfId="0" applyFont="1" applyFill="1" applyProtection="1">
      <protection hidden="1"/>
    </xf>
    <xf numFmtId="0" fontId="2" fillId="5" borderId="0" xfId="0" applyFont="1" applyFill="1" applyProtection="1">
      <protection hidden="1"/>
    </xf>
    <xf numFmtId="0" fontId="2" fillId="5" borderId="0" xfId="0" applyFont="1" applyFill="1" applyAlignment="1" applyProtection="1">
      <alignment horizontal="center"/>
      <protection hidden="1"/>
    </xf>
    <xf numFmtId="0" fontId="2" fillId="5" borderId="0" xfId="0" applyFont="1" applyFill="1" applyBorder="1" applyProtection="1">
      <protection hidden="1"/>
    </xf>
    <xf numFmtId="0" fontId="2" fillId="5" borderId="0" xfId="0" applyFont="1" applyFill="1" applyBorder="1" applyAlignment="1" applyProtection="1">
      <alignment horizontal="center"/>
      <protection hidden="1"/>
    </xf>
    <xf numFmtId="0" fontId="7" fillId="5" borderId="0" xfId="0" applyFont="1" applyFill="1" applyBorder="1" applyProtection="1">
      <protection locked="0" hidden="1"/>
    </xf>
    <xf numFmtId="0" fontId="4" fillId="0" borderId="0" xfId="0" applyFont="1" applyAlignment="1" applyProtection="1">
      <alignment horizontal="center"/>
      <protection hidden="1"/>
    </xf>
    <xf numFmtId="0" fontId="13" fillId="5" borderId="0" xfId="0" applyFont="1" applyFill="1" applyAlignment="1" applyProtection="1">
      <alignment horizontal="center" vertical="center"/>
      <protection hidden="1"/>
    </xf>
    <xf numFmtId="167" fontId="4" fillId="0" borderId="0" xfId="0" applyNumberFormat="1" applyFont="1" applyAlignment="1" applyProtection="1">
      <alignment horizontal="center"/>
      <protection hidden="1"/>
    </xf>
    <xf numFmtId="167" fontId="2" fillId="0" borderId="0" xfId="0" applyNumberFormat="1" applyFont="1" applyAlignment="1" applyProtection="1">
      <alignment horizontal="center"/>
      <protection hidden="1"/>
    </xf>
    <xf numFmtId="0" fontId="2" fillId="5" borderId="0" xfId="0" applyFont="1" applyFill="1" applyBorder="1" applyAlignment="1" applyProtection="1">
      <alignment vertical="center"/>
      <protection hidden="1"/>
    </xf>
    <xf numFmtId="0" fontId="4" fillId="0" borderId="0" xfId="0" applyFont="1" applyAlignment="1" applyProtection="1">
      <alignment horizontal="left"/>
      <protection locked="0" hidden="1"/>
    </xf>
    <xf numFmtId="0" fontId="2" fillId="5" borderId="18" xfId="0" applyFont="1" applyFill="1" applyBorder="1" applyAlignment="1" applyProtection="1">
      <alignment vertical="center"/>
      <protection hidden="1"/>
    </xf>
    <xf numFmtId="0" fontId="2" fillId="5" borderId="0" xfId="0" applyFont="1" applyFill="1" applyBorder="1" applyAlignment="1" applyProtection="1">
      <alignment horizontal="left" vertical="center"/>
      <protection hidden="1"/>
    </xf>
    <xf numFmtId="0" fontId="2" fillId="5" borderId="19" xfId="0" applyFont="1" applyFill="1" applyBorder="1" applyAlignment="1" applyProtection="1">
      <alignment horizontal="left" vertical="center"/>
      <protection hidden="1"/>
    </xf>
    <xf numFmtId="0" fontId="8" fillId="0" borderId="0" xfId="0" applyFont="1" applyAlignment="1">
      <alignment horizontal="center"/>
    </xf>
    <xf numFmtId="0" fontId="3" fillId="0" borderId="0" xfId="0" applyFont="1" applyAlignment="1">
      <alignment horizontal="center"/>
    </xf>
    <xf numFmtId="0" fontId="5" fillId="0" borderId="0" xfId="0" applyFont="1" applyBorder="1" applyAlignment="1" applyProtection="1">
      <alignment horizontal="center"/>
      <protection hidden="1"/>
    </xf>
    <xf numFmtId="0" fontId="3" fillId="5" borderId="0" xfId="0" applyFont="1" applyFill="1" applyBorder="1" applyAlignment="1" applyProtection="1">
      <alignment horizontal="center"/>
      <protection locked="0" hidden="1"/>
    </xf>
    <xf numFmtId="0" fontId="0" fillId="0" borderId="0" xfId="0" applyFill="1" applyProtection="1">
      <protection hidden="1"/>
    </xf>
    <xf numFmtId="2" fontId="7" fillId="0" borderId="0" xfId="0" applyNumberFormat="1" applyFont="1" applyBorder="1" applyAlignment="1" applyProtection="1">
      <alignment horizontal="center" vertical="center"/>
      <protection hidden="1"/>
    </xf>
    <xf numFmtId="0" fontId="7" fillId="0" borderId="0" xfId="0" applyFont="1" applyAlignment="1" applyProtection="1">
      <alignment vertical="center"/>
      <protection hidden="1"/>
    </xf>
    <xf numFmtId="0" fontId="7" fillId="0" borderId="0" xfId="0" applyFont="1" applyBorder="1" applyAlignment="1" applyProtection="1">
      <alignment horizontal="center" vertical="center"/>
      <protection hidden="1"/>
    </xf>
    <xf numFmtId="0" fontId="7" fillId="0" borderId="0" xfId="0" applyFont="1" applyBorder="1" applyAlignment="1" applyProtection="1">
      <alignment vertical="center"/>
      <protection hidden="1"/>
    </xf>
    <xf numFmtId="0" fontId="2" fillId="7" borderId="0" xfId="0" applyFont="1" applyFill="1" applyProtection="1">
      <protection hidden="1"/>
    </xf>
    <xf numFmtId="0" fontId="2" fillId="7" borderId="0" xfId="0" applyFont="1" applyFill="1" applyBorder="1" applyAlignment="1" applyProtection="1">
      <alignment horizontal="center"/>
      <protection locked="0" hidden="1"/>
    </xf>
    <xf numFmtId="0" fontId="7" fillId="0" borderId="0" xfId="0" applyFont="1" applyAlignment="1">
      <alignment horizontal="right"/>
    </xf>
    <xf numFmtId="0" fontId="28" fillId="0" borderId="0" xfId="0" applyFont="1" applyAlignment="1">
      <alignment horizontal="right"/>
    </xf>
    <xf numFmtId="0" fontId="28" fillId="0" borderId="0" xfId="0" applyFont="1" applyAlignment="1" applyProtection="1">
      <alignment horizontal="right"/>
      <protection locked="0"/>
    </xf>
    <xf numFmtId="0" fontId="28" fillId="0" borderId="0" xfId="0" applyFont="1" applyProtection="1">
      <protection hidden="1"/>
    </xf>
    <xf numFmtId="0" fontId="28" fillId="0" borderId="0" xfId="0" applyFont="1" applyAlignment="1" applyProtection="1">
      <alignment horizontal="right"/>
      <protection hidden="1"/>
    </xf>
    <xf numFmtId="0" fontId="7" fillId="0" borderId="0" xfId="0" applyFont="1" applyAlignment="1" applyProtection="1">
      <alignment horizontal="right"/>
      <protection hidden="1"/>
    </xf>
    <xf numFmtId="0" fontId="7" fillId="0" borderId="0" xfId="0" applyFont="1" applyAlignment="1">
      <alignment vertical="center"/>
    </xf>
    <xf numFmtId="9" fontId="26" fillId="0" borderId="0" xfId="2" applyFont="1" applyBorder="1" applyAlignment="1" applyProtection="1">
      <alignment horizontal="center" vertical="center"/>
      <protection hidden="1"/>
    </xf>
    <xf numFmtId="0" fontId="29" fillId="8" borderId="0" xfId="0" applyFont="1" applyFill="1" applyProtection="1">
      <protection hidden="1"/>
    </xf>
    <xf numFmtId="0" fontId="30" fillId="8" borderId="0" xfId="0" applyFont="1" applyFill="1" applyProtection="1">
      <protection hidden="1"/>
    </xf>
    <xf numFmtId="0" fontId="31" fillId="0" borderId="0" xfId="0" applyFont="1" applyFill="1" applyAlignment="1" applyProtection="1">
      <alignment horizontal="center"/>
      <protection hidden="1"/>
    </xf>
    <xf numFmtId="0" fontId="32" fillId="0" borderId="0" xfId="0" applyFont="1" applyFill="1" applyProtection="1">
      <protection hidden="1"/>
    </xf>
    <xf numFmtId="0" fontId="32" fillId="0" borderId="0" xfId="0" applyFont="1" applyFill="1" applyBorder="1" applyProtection="1">
      <protection hidden="1"/>
    </xf>
    <xf numFmtId="0" fontId="32" fillId="0" borderId="0" xfId="0" applyFont="1" applyFill="1" applyBorder="1" applyAlignment="1" applyProtection="1">
      <alignment horizontal="center"/>
      <protection hidden="1"/>
    </xf>
    <xf numFmtId="168" fontId="32" fillId="0" borderId="0" xfId="0" applyNumberFormat="1" applyFont="1" applyFill="1" applyBorder="1" applyAlignment="1" applyProtection="1">
      <alignment horizontal="center"/>
      <protection hidden="1"/>
    </xf>
    <xf numFmtId="168" fontId="32" fillId="0" borderId="0" xfId="0" applyNumberFormat="1" applyFont="1" applyFill="1" applyBorder="1" applyProtection="1">
      <protection hidden="1"/>
    </xf>
    <xf numFmtId="2" fontId="32" fillId="0" borderId="0" xfId="0" applyNumberFormat="1" applyFont="1" applyFill="1" applyBorder="1" applyAlignment="1" applyProtection="1">
      <alignment horizontal="center"/>
      <protection hidden="1"/>
    </xf>
    <xf numFmtId="0" fontId="32" fillId="0" borderId="0" xfId="0" applyFont="1" applyFill="1" applyAlignment="1" applyProtection="1">
      <alignment horizontal="center"/>
      <protection hidden="1"/>
    </xf>
    <xf numFmtId="0" fontId="32" fillId="0" borderId="0" xfId="0" applyFont="1" applyFill="1" applyBorder="1" applyAlignment="1" applyProtection="1">
      <alignment horizontal="right"/>
      <protection hidden="1"/>
    </xf>
    <xf numFmtId="168" fontId="32" fillId="0" borderId="0" xfId="0" applyNumberFormat="1" applyFont="1" applyFill="1" applyProtection="1">
      <protection hidden="1"/>
    </xf>
    <xf numFmtId="166" fontId="32" fillId="0" borderId="0" xfId="0" applyNumberFormat="1" applyFont="1" applyFill="1" applyBorder="1" applyAlignment="1" applyProtection="1">
      <alignment horizontal="center"/>
      <protection hidden="1"/>
    </xf>
    <xf numFmtId="166" fontId="34" fillId="0" borderId="0" xfId="0" applyNumberFormat="1" applyFont="1" applyFill="1" applyBorder="1" applyAlignment="1" applyProtection="1">
      <alignment horizontal="center"/>
      <protection hidden="1"/>
    </xf>
    <xf numFmtId="169" fontId="32" fillId="0" borderId="0" xfId="0" applyNumberFormat="1" applyFont="1" applyFill="1" applyBorder="1" applyAlignment="1" applyProtection="1">
      <alignment horizontal="right"/>
      <protection hidden="1"/>
    </xf>
    <xf numFmtId="0" fontId="32" fillId="0" borderId="0" xfId="0" applyFont="1" applyFill="1" applyBorder="1" applyAlignment="1" applyProtection="1">
      <alignment horizontal="left"/>
      <protection hidden="1"/>
    </xf>
    <xf numFmtId="169" fontId="32" fillId="0" borderId="0" xfId="0" applyNumberFormat="1" applyFont="1" applyFill="1" applyAlignment="1" applyProtection="1">
      <alignment horizontal="right"/>
      <protection hidden="1"/>
    </xf>
    <xf numFmtId="0" fontId="32" fillId="0" borderId="0" xfId="0" applyFont="1" applyFill="1" applyAlignment="1" applyProtection="1">
      <alignment horizontal="left"/>
      <protection hidden="1"/>
    </xf>
    <xf numFmtId="166" fontId="32" fillId="0" borderId="0" xfId="0" applyNumberFormat="1" applyFont="1" applyFill="1" applyAlignment="1" applyProtection="1">
      <alignment horizontal="center"/>
      <protection hidden="1"/>
    </xf>
    <xf numFmtId="0" fontId="32" fillId="0" borderId="0" xfId="0" applyFont="1" applyFill="1" applyAlignment="1" applyProtection="1">
      <alignment horizontal="right"/>
      <protection hidden="1"/>
    </xf>
    <xf numFmtId="2" fontId="32" fillId="0" borderId="0" xfId="0" applyNumberFormat="1" applyFont="1" applyFill="1" applyAlignment="1" applyProtection="1">
      <alignment horizontal="center"/>
      <protection hidden="1"/>
    </xf>
    <xf numFmtId="0" fontId="34" fillId="0" borderId="0" xfId="0" applyFont="1" applyFill="1" applyProtection="1">
      <protection hidden="1"/>
    </xf>
    <xf numFmtId="2" fontId="34" fillId="0" borderId="0" xfId="0" applyNumberFormat="1" applyFont="1" applyFill="1" applyAlignment="1" applyProtection="1">
      <alignment horizontal="center"/>
      <protection hidden="1"/>
    </xf>
    <xf numFmtId="166" fontId="32" fillId="0" borderId="0" xfId="0" applyNumberFormat="1" applyFont="1" applyFill="1" applyBorder="1" applyAlignment="1" applyProtection="1">
      <alignment horizontal="right"/>
      <protection hidden="1"/>
    </xf>
    <xf numFmtId="0" fontId="4" fillId="5" borderId="0" xfId="0" applyFont="1" applyFill="1"/>
    <xf numFmtId="2" fontId="8" fillId="0" borderId="0" xfId="0" applyNumberFormat="1" applyFont="1" applyBorder="1" applyAlignment="1" applyProtection="1">
      <alignment horizontal="center"/>
      <protection hidden="1"/>
    </xf>
    <xf numFmtId="2" fontId="7" fillId="6" borderId="20" xfId="0" applyNumberFormat="1" applyFont="1" applyFill="1" applyBorder="1" applyProtection="1">
      <protection hidden="1"/>
    </xf>
    <xf numFmtId="0" fontId="7" fillId="6" borderId="21" xfId="0" applyFont="1" applyFill="1" applyBorder="1" applyProtection="1">
      <protection hidden="1"/>
    </xf>
    <xf numFmtId="2" fontId="7" fillId="6" borderId="20" xfId="0" applyNumberFormat="1" applyFont="1" applyFill="1" applyBorder="1" applyAlignment="1" applyProtection="1">
      <alignment horizontal="right"/>
      <protection hidden="1"/>
    </xf>
    <xf numFmtId="0" fontId="7" fillId="6" borderId="21" xfId="0" applyFont="1" applyFill="1" applyBorder="1" applyAlignment="1" applyProtection="1">
      <alignment horizontal="right"/>
      <protection hidden="1"/>
    </xf>
    <xf numFmtId="2" fontId="7" fillId="6" borderId="22" xfId="0" applyNumberFormat="1" applyFont="1" applyFill="1" applyBorder="1" applyProtection="1">
      <protection hidden="1"/>
    </xf>
    <xf numFmtId="0" fontId="7" fillId="6" borderId="23" xfId="0" applyFont="1" applyFill="1" applyBorder="1" applyProtection="1">
      <protection hidden="1"/>
    </xf>
    <xf numFmtId="2" fontId="8" fillId="5" borderId="0" xfId="0" applyNumberFormat="1" applyFont="1" applyFill="1" applyBorder="1" applyProtection="1">
      <protection locked="0" hidden="1"/>
    </xf>
    <xf numFmtId="0" fontId="30" fillId="9" borderId="0" xfId="0" applyFont="1" applyFill="1" applyProtection="1">
      <protection hidden="1"/>
    </xf>
    <xf numFmtId="0" fontId="30" fillId="9" borderId="0" xfId="0" applyFont="1" applyFill="1" applyProtection="1">
      <protection locked="0" hidden="1"/>
    </xf>
    <xf numFmtId="0" fontId="3" fillId="5" borderId="0" xfId="0" applyFont="1" applyFill="1" applyAlignment="1" applyProtection="1">
      <alignment horizontal="center"/>
      <protection locked="0" hidden="1"/>
    </xf>
    <xf numFmtId="0" fontId="7" fillId="0" borderId="0" xfId="0" applyFont="1" applyFill="1"/>
    <xf numFmtId="0" fontId="2" fillId="10" borderId="0" xfId="0" applyFont="1" applyFill="1" applyProtection="1">
      <protection hidden="1"/>
    </xf>
    <xf numFmtId="0" fontId="2" fillId="10" borderId="0" xfId="0" applyFont="1" applyFill="1" applyAlignment="1" applyProtection="1">
      <alignment horizontal="center"/>
      <protection hidden="1"/>
    </xf>
    <xf numFmtId="0" fontId="2" fillId="11" borderId="0" xfId="0" applyFont="1" applyFill="1" applyProtection="1">
      <protection hidden="1"/>
    </xf>
    <xf numFmtId="0" fontId="2" fillId="11" borderId="0" xfId="0" applyFont="1" applyFill="1" applyAlignment="1" applyProtection="1">
      <alignment horizontal="center"/>
      <protection hidden="1"/>
    </xf>
    <xf numFmtId="170" fontId="28" fillId="0" borderId="0" xfId="0" applyNumberFormat="1" applyFont="1" applyBorder="1" applyAlignment="1" applyProtection="1">
      <alignment horizontal="right"/>
      <protection hidden="1"/>
    </xf>
    <xf numFmtId="1" fontId="7" fillId="0" borderId="0" xfId="0" applyNumberFormat="1" applyFont="1" applyBorder="1" applyAlignment="1" applyProtection="1">
      <alignment horizontal="right" vertical="center"/>
      <protection hidden="1"/>
    </xf>
    <xf numFmtId="0" fontId="2" fillId="11" borderId="0" xfId="0" applyFont="1" applyFill="1" applyAlignment="1" applyProtection="1">
      <alignment horizontal="center"/>
      <protection locked="0" hidden="1"/>
    </xf>
    <xf numFmtId="2" fontId="7" fillId="0" borderId="0" xfId="0" applyNumberFormat="1" applyFont="1" applyBorder="1" applyAlignment="1" applyProtection="1">
      <alignment horizontal="right" vertical="center"/>
      <protection hidden="1"/>
    </xf>
    <xf numFmtId="9" fontId="30" fillId="9" borderId="0" xfId="0" applyNumberFormat="1" applyFont="1" applyFill="1" applyAlignment="1" applyProtection="1">
      <alignment horizontal="right"/>
      <protection hidden="1"/>
    </xf>
    <xf numFmtId="0" fontId="7" fillId="12" borderId="0" xfId="0" applyFont="1" applyFill="1"/>
    <xf numFmtId="0" fontId="10" fillId="12" borderId="0" xfId="0" applyFont="1" applyFill="1" applyAlignment="1">
      <alignment horizontal="center"/>
    </xf>
    <xf numFmtId="0" fontId="9" fillId="12" borderId="0" xfId="0" applyFont="1" applyFill="1"/>
    <xf numFmtId="0" fontId="11" fillId="12" borderId="0" xfId="0" applyFont="1" applyFill="1"/>
    <xf numFmtId="0" fontId="3" fillId="12" borderId="0" xfId="0" applyFont="1" applyFill="1"/>
    <xf numFmtId="0" fontId="3" fillId="12" borderId="0" xfId="0" applyFont="1" applyFill="1" applyAlignment="1">
      <alignment horizontal="center"/>
    </xf>
    <xf numFmtId="0" fontId="7" fillId="12" borderId="0" xfId="0" applyFont="1" applyFill="1" applyBorder="1"/>
    <xf numFmtId="0" fontId="7" fillId="12" borderId="0" xfId="0" applyFont="1" applyFill="1" applyProtection="1"/>
    <xf numFmtId="0" fontId="3" fillId="12" borderId="0" xfId="0" applyFont="1" applyFill="1" applyBorder="1" applyAlignment="1" applyProtection="1">
      <alignment horizontal="center"/>
      <protection hidden="1"/>
    </xf>
    <xf numFmtId="0" fontId="7" fillId="12" borderId="0" xfId="0" applyFont="1" applyFill="1" applyBorder="1" applyProtection="1"/>
    <xf numFmtId="0" fontId="3" fillId="12" borderId="0" xfId="0" applyFont="1" applyFill="1" applyProtection="1"/>
    <xf numFmtId="9" fontId="7" fillId="12" borderId="0" xfId="0" applyNumberFormat="1" applyFont="1" applyFill="1" applyAlignment="1" applyProtection="1">
      <alignment horizontal="center"/>
      <protection hidden="1"/>
    </xf>
    <xf numFmtId="0" fontId="7" fillId="12" borderId="0" xfId="0" applyFont="1" applyFill="1" applyProtection="1">
      <protection locked="0"/>
    </xf>
    <xf numFmtId="1" fontId="3" fillId="12" borderId="0" xfId="0" applyNumberFormat="1" applyFont="1" applyFill="1" applyAlignment="1" applyProtection="1">
      <alignment horizontal="center"/>
      <protection locked="0"/>
    </xf>
    <xf numFmtId="166" fontId="3" fillId="12" borderId="0" xfId="0" applyNumberFormat="1" applyFont="1" applyFill="1" applyAlignment="1" applyProtection="1">
      <alignment horizontal="center"/>
      <protection locked="0"/>
    </xf>
    <xf numFmtId="1" fontId="3" fillId="12" borderId="0" xfId="0" applyNumberFormat="1" applyFont="1" applyFill="1" applyAlignment="1">
      <alignment horizontal="center"/>
    </xf>
    <xf numFmtId="166" fontId="3" fillId="12" borderId="0" xfId="0" applyNumberFormat="1" applyFont="1" applyFill="1"/>
    <xf numFmtId="166" fontId="3" fillId="12" borderId="0" xfId="0" applyNumberFormat="1" applyFont="1" applyFill="1" applyBorder="1" applyAlignment="1" applyProtection="1">
      <alignment horizontal="center"/>
      <protection hidden="1"/>
    </xf>
    <xf numFmtId="0" fontId="7" fillId="12" borderId="24" xfId="0" applyFont="1" applyFill="1" applyBorder="1"/>
    <xf numFmtId="0" fontId="7" fillId="12" borderId="25" xfId="0" applyFont="1" applyFill="1" applyBorder="1"/>
    <xf numFmtId="0" fontId="7" fillId="12" borderId="25" xfId="0" applyFont="1" applyFill="1" applyBorder="1" applyProtection="1"/>
    <xf numFmtId="0" fontId="3" fillId="12" borderId="24" xfId="0" applyFont="1" applyFill="1" applyBorder="1" applyProtection="1"/>
    <xf numFmtId="2" fontId="7" fillId="12" borderId="24" xfId="0" applyNumberFormat="1" applyFont="1" applyFill="1" applyBorder="1" applyAlignment="1" applyProtection="1">
      <alignment horizontal="center"/>
      <protection hidden="1"/>
    </xf>
    <xf numFmtId="9" fontId="7" fillId="12" borderId="0" xfId="2" applyNumberFormat="1" applyFont="1" applyFill="1" applyBorder="1" applyAlignment="1" applyProtection="1">
      <alignment horizontal="center"/>
      <protection hidden="1"/>
    </xf>
    <xf numFmtId="9" fontId="3" fillId="12" borderId="24" xfId="0" applyNumberFormat="1" applyFont="1" applyFill="1" applyBorder="1" applyAlignment="1" applyProtection="1">
      <alignment horizontal="center"/>
      <protection hidden="1"/>
    </xf>
    <xf numFmtId="1" fontId="3" fillId="12" borderId="24" xfId="0" applyNumberFormat="1" applyFont="1" applyFill="1" applyBorder="1" applyAlignment="1" applyProtection="1">
      <alignment horizontal="center"/>
      <protection hidden="1"/>
    </xf>
    <xf numFmtId="0" fontId="7" fillId="5" borderId="26" xfId="0" applyFont="1" applyFill="1" applyBorder="1" applyAlignment="1" applyProtection="1">
      <alignment horizontal="center"/>
      <protection locked="0" hidden="1"/>
    </xf>
    <xf numFmtId="0" fontId="9" fillId="5" borderId="27" xfId="0" applyFont="1" applyFill="1" applyBorder="1" applyAlignment="1" applyProtection="1">
      <alignment horizontal="center"/>
      <protection locked="0" hidden="1"/>
    </xf>
    <xf numFmtId="0" fontId="9" fillId="5" borderId="28" xfId="0" applyFont="1" applyFill="1" applyBorder="1" applyAlignment="1" applyProtection="1">
      <alignment horizontal="center"/>
      <protection locked="0" hidden="1"/>
    </xf>
    <xf numFmtId="0" fontId="9" fillId="5" borderId="29" xfId="0" applyFont="1" applyFill="1" applyBorder="1" applyAlignment="1" applyProtection="1">
      <alignment horizontal="center"/>
      <protection locked="0" hidden="1"/>
    </xf>
    <xf numFmtId="0" fontId="9" fillId="5" borderId="30" xfId="0" applyFont="1" applyFill="1" applyBorder="1" applyAlignment="1" applyProtection="1">
      <alignment horizontal="center"/>
      <protection locked="0" hidden="1"/>
    </xf>
    <xf numFmtId="0" fontId="7" fillId="5" borderId="30" xfId="0" applyFont="1" applyFill="1" applyBorder="1" applyProtection="1">
      <protection locked="0" hidden="1"/>
    </xf>
    <xf numFmtId="167" fontId="3" fillId="5" borderId="30" xfId="0" applyNumberFormat="1" applyFont="1" applyFill="1" applyBorder="1" applyAlignment="1" applyProtection="1">
      <alignment horizontal="center"/>
      <protection locked="0" hidden="1"/>
    </xf>
    <xf numFmtId="0" fontId="3" fillId="5" borderId="30" xfId="0" applyFont="1" applyFill="1" applyBorder="1" applyAlignment="1" applyProtection="1">
      <alignment horizontal="center"/>
      <protection locked="0" hidden="1"/>
    </xf>
    <xf numFmtId="167" fontId="41" fillId="0" borderId="0" xfId="0" applyNumberFormat="1" applyFont="1" applyBorder="1" applyProtection="1">
      <protection hidden="1"/>
    </xf>
    <xf numFmtId="0" fontId="41" fillId="0" borderId="0" xfId="0" applyFont="1" applyBorder="1" applyProtection="1">
      <protection hidden="1"/>
    </xf>
    <xf numFmtId="0" fontId="41" fillId="0" borderId="0" xfId="0" applyFont="1" applyBorder="1" applyAlignment="1" applyProtection="1">
      <alignment vertical="center"/>
      <protection hidden="1"/>
    </xf>
    <xf numFmtId="2" fontId="2" fillId="0" borderId="0" xfId="0" applyNumberFormat="1" applyFont="1" applyFill="1" applyBorder="1" applyAlignment="1" applyProtection="1">
      <alignment horizontal="center"/>
      <protection hidden="1"/>
    </xf>
    <xf numFmtId="0" fontId="9" fillId="0" borderId="0" xfId="0" applyFont="1" applyFill="1"/>
    <xf numFmtId="0" fontId="11" fillId="0" borderId="0" xfId="0" applyFont="1" applyFill="1"/>
    <xf numFmtId="0" fontId="7" fillId="0" borderId="0" xfId="0" applyNumberFormat="1" applyFont="1" applyFill="1"/>
    <xf numFmtId="0" fontId="3" fillId="0" borderId="0" xfId="0" applyFont="1" applyFill="1"/>
    <xf numFmtId="0" fontId="7" fillId="0" borderId="0" xfId="0" applyFont="1" applyFill="1" applyProtection="1"/>
    <xf numFmtId="0" fontId="3" fillId="0" borderId="0" xfId="0" applyFont="1" applyFill="1" applyProtection="1"/>
    <xf numFmtId="0" fontId="7" fillId="0" borderId="0" xfId="0" applyFont="1" applyFill="1" applyProtection="1">
      <protection locked="0"/>
    </xf>
    <xf numFmtId="0" fontId="8" fillId="0" borderId="0" xfId="0" applyFont="1" applyFill="1"/>
    <xf numFmtId="0" fontId="7" fillId="0" borderId="0" xfId="0" applyFont="1" applyFill="1" applyAlignment="1">
      <alignment horizontal="center"/>
    </xf>
    <xf numFmtId="0" fontId="3" fillId="12" borderId="0" xfId="0" applyFont="1" applyFill="1" applyBorder="1" applyProtection="1"/>
    <xf numFmtId="0" fontId="3" fillId="12" borderId="25" xfId="0" applyFont="1" applyFill="1" applyBorder="1" applyProtection="1"/>
    <xf numFmtId="0" fontId="7" fillId="12" borderId="0" xfId="0" applyFont="1" applyFill="1" applyBorder="1" applyAlignment="1">
      <alignment horizontal="center"/>
    </xf>
    <xf numFmtId="166" fontId="3" fillId="12" borderId="0" xfId="0" applyNumberFormat="1" applyFont="1" applyFill="1" applyBorder="1" applyProtection="1"/>
    <xf numFmtId="0" fontId="8" fillId="12" borderId="0" xfId="0" applyFont="1" applyFill="1"/>
    <xf numFmtId="0" fontId="7" fillId="12" borderId="24" xfId="0" applyFont="1" applyFill="1" applyBorder="1" applyAlignment="1" applyProtection="1">
      <alignment horizontal="center"/>
      <protection hidden="1"/>
    </xf>
    <xf numFmtId="0" fontId="3" fillId="12" borderId="24" xfId="0" applyFont="1" applyFill="1" applyBorder="1" applyAlignment="1" applyProtection="1">
      <alignment horizontal="center"/>
      <protection hidden="1"/>
    </xf>
    <xf numFmtId="0" fontId="3" fillId="12" borderId="0" xfId="0" applyFont="1" applyFill="1" applyBorder="1" applyAlignment="1" applyProtection="1">
      <alignment horizontal="center"/>
    </xf>
    <xf numFmtId="2" fontId="7" fillId="12" borderId="0" xfId="0" applyNumberFormat="1" applyFont="1" applyFill="1" applyBorder="1" applyAlignment="1">
      <alignment horizontal="center"/>
    </xf>
    <xf numFmtId="0" fontId="7" fillId="12" borderId="25" xfId="0" applyFont="1" applyFill="1" applyBorder="1" applyProtection="1">
      <protection hidden="1"/>
    </xf>
    <xf numFmtId="167" fontId="3" fillId="12" borderId="25" xfId="0" applyNumberFormat="1" applyFont="1" applyFill="1" applyBorder="1" applyAlignment="1" applyProtection="1">
      <alignment horizontal="center"/>
      <protection hidden="1"/>
    </xf>
    <xf numFmtId="166" fontId="3" fillId="12" borderId="0" xfId="0" applyNumberFormat="1" applyFont="1" applyFill="1" applyBorder="1" applyProtection="1">
      <protection hidden="1"/>
    </xf>
    <xf numFmtId="2" fontId="7" fillId="12" borderId="0" xfId="0" applyNumberFormat="1" applyFont="1" applyFill="1" applyBorder="1" applyAlignment="1" applyProtection="1">
      <alignment horizontal="center"/>
      <protection hidden="1"/>
    </xf>
    <xf numFmtId="0" fontId="7" fillId="12" borderId="0" xfId="0" applyFont="1" applyFill="1" applyBorder="1" applyProtection="1">
      <protection hidden="1"/>
    </xf>
    <xf numFmtId="0" fontId="7" fillId="12" borderId="0" xfId="0" applyFont="1" applyFill="1" applyBorder="1" applyAlignment="1" applyProtection="1">
      <alignment horizontal="center"/>
      <protection hidden="1"/>
    </xf>
    <xf numFmtId="2" fontId="3" fillId="12" borderId="24" xfId="0" applyNumberFormat="1" applyFont="1" applyFill="1" applyBorder="1" applyAlignment="1" applyProtection="1">
      <alignment horizontal="center"/>
      <protection hidden="1"/>
    </xf>
    <xf numFmtId="0" fontId="3" fillId="12" borderId="0" xfId="0" applyFont="1" applyFill="1" applyBorder="1" applyProtection="1">
      <protection hidden="1"/>
    </xf>
    <xf numFmtId="167" fontId="7" fillId="12" borderId="25" xfId="0" applyNumberFormat="1" applyFont="1" applyFill="1" applyBorder="1" applyProtection="1">
      <protection hidden="1"/>
    </xf>
    <xf numFmtId="167" fontId="3" fillId="12" borderId="25" xfId="0" applyNumberFormat="1" applyFont="1" applyFill="1" applyBorder="1" applyProtection="1">
      <protection hidden="1"/>
    </xf>
    <xf numFmtId="0" fontId="7" fillId="12" borderId="0" xfId="0" applyFont="1" applyFill="1" applyAlignment="1">
      <alignment horizontal="center"/>
    </xf>
    <xf numFmtId="0" fontId="11" fillId="12" borderId="0" xfId="0" applyFont="1" applyFill="1" applyAlignment="1">
      <alignment horizontal="center"/>
    </xf>
    <xf numFmtId="0" fontId="7" fillId="12" borderId="0" xfId="0" applyFont="1" applyFill="1" applyProtection="1">
      <protection hidden="1"/>
    </xf>
    <xf numFmtId="9" fontId="7" fillId="12" borderId="0" xfId="2" applyNumberFormat="1" applyFont="1" applyFill="1"/>
    <xf numFmtId="4" fontId="14" fillId="12" borderId="0" xfId="0" applyNumberFormat="1" applyFont="1" applyFill="1" applyAlignment="1" applyProtection="1">
      <alignment horizontal="center"/>
      <protection hidden="1"/>
    </xf>
    <xf numFmtId="0" fontId="3" fillId="12" borderId="0" xfId="0" applyFont="1" applyFill="1" applyBorder="1" applyAlignment="1" applyProtection="1">
      <alignment horizontal="center"/>
      <protection locked="0" hidden="1"/>
    </xf>
    <xf numFmtId="1" fontId="3" fillId="12" borderId="0" xfId="0" applyNumberFormat="1" applyFont="1" applyFill="1" applyBorder="1" applyAlignment="1">
      <alignment horizontal="center"/>
    </xf>
    <xf numFmtId="0" fontId="3" fillId="12" borderId="25" xfId="0" applyFont="1" applyFill="1" applyBorder="1" applyAlignment="1" applyProtection="1">
      <alignment horizontal="center"/>
    </xf>
    <xf numFmtId="0" fontId="3" fillId="12" borderId="24" xfId="0" applyFont="1" applyFill="1" applyBorder="1" applyAlignment="1">
      <alignment horizontal="center"/>
    </xf>
    <xf numFmtId="0" fontId="3" fillId="12" borderId="0" xfId="0" applyFont="1" applyFill="1" applyBorder="1" applyAlignment="1">
      <alignment horizontal="center"/>
    </xf>
    <xf numFmtId="1" fontId="3" fillId="12" borderId="0" xfId="0" applyNumberFormat="1" applyFont="1" applyFill="1" applyBorder="1" applyAlignment="1" applyProtection="1">
      <alignment horizontal="center"/>
      <protection hidden="1"/>
    </xf>
    <xf numFmtId="166" fontId="3" fillId="12" borderId="0" xfId="0" applyNumberFormat="1" applyFont="1" applyFill="1" applyBorder="1" applyAlignment="1" applyProtection="1">
      <alignment horizontal="center"/>
    </xf>
    <xf numFmtId="166" fontId="3" fillId="12" borderId="0" xfId="0" applyNumberFormat="1" applyFont="1" applyFill="1" applyBorder="1" applyAlignment="1">
      <alignment horizontal="center"/>
    </xf>
    <xf numFmtId="0" fontId="3" fillId="12" borderId="24" xfId="0" applyFont="1" applyFill="1" applyBorder="1" applyAlignment="1" applyProtection="1">
      <alignment horizontal="center"/>
      <protection locked="0" hidden="1"/>
    </xf>
    <xf numFmtId="0" fontId="3" fillId="12" borderId="25" xfId="0" applyFont="1" applyFill="1" applyBorder="1" applyAlignment="1">
      <alignment horizontal="center"/>
    </xf>
    <xf numFmtId="1" fontId="7" fillId="12" borderId="0" xfId="0" applyNumberFormat="1" applyFont="1" applyFill="1" applyBorder="1" applyAlignment="1" applyProtection="1">
      <alignment horizontal="center"/>
      <protection hidden="1"/>
    </xf>
    <xf numFmtId="166" fontId="7" fillId="12" borderId="0" xfId="0" applyNumberFormat="1" applyFont="1" applyFill="1" applyBorder="1" applyProtection="1">
      <protection hidden="1"/>
    </xf>
    <xf numFmtId="0" fontId="7" fillId="12" borderId="24" xfId="0" applyFont="1" applyFill="1" applyBorder="1" applyAlignment="1">
      <alignment horizontal="center"/>
    </xf>
    <xf numFmtId="0" fontId="3" fillId="12" borderId="24" xfId="0" applyFont="1" applyFill="1" applyBorder="1" applyAlignment="1" applyProtection="1">
      <alignment horizontal="center"/>
    </xf>
    <xf numFmtId="0" fontId="7" fillId="12" borderId="24" xfId="0" applyFont="1" applyFill="1" applyBorder="1" applyAlignment="1" applyProtection="1">
      <alignment horizontal="center"/>
      <protection locked="0" hidden="1"/>
    </xf>
    <xf numFmtId="0" fontId="30" fillId="13" borderId="0" xfId="0" applyFont="1" applyFill="1" applyProtection="1">
      <protection hidden="1"/>
    </xf>
    <xf numFmtId="0" fontId="30" fillId="13" borderId="0" xfId="0" applyNumberFormat="1" applyFont="1" applyFill="1" applyProtection="1">
      <protection hidden="1"/>
    </xf>
    <xf numFmtId="0" fontId="28" fillId="0" borderId="0" xfId="0" applyFont="1" applyAlignment="1" applyProtection="1">
      <alignment horizontal="left"/>
      <protection hidden="1"/>
    </xf>
    <xf numFmtId="0" fontId="4" fillId="5" borderId="31" xfId="0" applyFont="1" applyFill="1" applyBorder="1" applyAlignment="1" applyProtection="1">
      <alignment vertical="center"/>
      <protection hidden="1"/>
    </xf>
    <xf numFmtId="0" fontId="14" fillId="0" borderId="0" xfId="0" applyFont="1" applyProtection="1">
      <protection hidden="1"/>
    </xf>
    <xf numFmtId="2" fontId="3" fillId="5" borderId="30" xfId="0" applyNumberFormat="1" applyFont="1" applyFill="1" applyBorder="1" applyAlignment="1" applyProtection="1">
      <alignment horizontal="center"/>
      <protection locked="0" hidden="1"/>
    </xf>
    <xf numFmtId="166" fontId="7" fillId="5" borderId="0" xfId="0" applyNumberFormat="1" applyFont="1" applyFill="1" applyBorder="1" applyAlignment="1" applyProtection="1">
      <alignment horizontal="center"/>
      <protection hidden="1"/>
    </xf>
    <xf numFmtId="2" fontId="3" fillId="5" borderId="0" xfId="0" applyNumberFormat="1" applyFont="1" applyFill="1" applyBorder="1" applyAlignment="1" applyProtection="1">
      <alignment horizontal="center"/>
      <protection locked="0" hidden="1"/>
    </xf>
    <xf numFmtId="4" fontId="38" fillId="12" borderId="0" xfId="0" applyNumberFormat="1" applyFont="1" applyFill="1" applyAlignment="1" applyProtection="1">
      <alignment horizontal="center"/>
      <protection hidden="1"/>
    </xf>
    <xf numFmtId="0" fontId="32" fillId="5" borderId="0" xfId="0" applyFont="1" applyFill="1" applyAlignment="1" applyProtection="1">
      <alignment horizontal="left"/>
      <protection hidden="1"/>
    </xf>
    <xf numFmtId="173" fontId="32" fillId="5" borderId="0" xfId="0" applyNumberFormat="1" applyFont="1" applyFill="1" applyBorder="1" applyAlignment="1" applyProtection="1">
      <alignment horizontal="left"/>
      <protection hidden="1"/>
    </xf>
    <xf numFmtId="0" fontId="7" fillId="5" borderId="0" xfId="0" applyFont="1" applyFill="1" applyAlignment="1" applyProtection="1">
      <alignment horizontal="left"/>
      <protection hidden="1"/>
    </xf>
    <xf numFmtId="0" fontId="3" fillId="5" borderId="0" xfId="0" applyFont="1" applyFill="1" applyAlignment="1" applyProtection="1">
      <alignment horizontal="left"/>
      <protection locked="0"/>
    </xf>
    <xf numFmtId="0" fontId="46" fillId="12" borderId="0" xfId="0" applyFont="1" applyFill="1"/>
    <xf numFmtId="0" fontId="46" fillId="0" borderId="0" xfId="0" applyFont="1" applyFill="1"/>
    <xf numFmtId="0" fontId="46" fillId="12" borderId="0" xfId="0" applyFont="1" applyFill="1" applyAlignment="1">
      <alignment horizontal="center"/>
    </xf>
    <xf numFmtId="2" fontId="46" fillId="12" borderId="0" xfId="0" applyNumberFormat="1" applyFont="1" applyFill="1" applyAlignment="1">
      <alignment horizontal="center"/>
    </xf>
    <xf numFmtId="167" fontId="46" fillId="12" borderId="0" xfId="0" applyNumberFormat="1" applyFont="1" applyFill="1" applyAlignment="1">
      <alignment horizontal="center"/>
    </xf>
    <xf numFmtId="2" fontId="3" fillId="12" borderId="0" xfId="0" applyNumberFormat="1" applyFont="1" applyFill="1" applyAlignment="1">
      <alignment horizontal="center"/>
    </xf>
    <xf numFmtId="167" fontId="3" fillId="12" borderId="0" xfId="0" applyNumberFormat="1" applyFont="1" applyFill="1" applyAlignment="1">
      <alignment horizontal="center"/>
    </xf>
    <xf numFmtId="0" fontId="47" fillId="0" borderId="0" xfId="0" applyFont="1" applyFill="1"/>
    <xf numFmtId="0" fontId="48" fillId="0" borderId="0" xfId="0" applyFont="1" applyFill="1"/>
    <xf numFmtId="0" fontId="46" fillId="0" borderId="0" xfId="0" applyFont="1" applyFill="1" applyProtection="1"/>
    <xf numFmtId="0" fontId="46" fillId="0" borderId="0" xfId="0" applyFont="1" applyFill="1" applyProtection="1">
      <protection locked="0"/>
    </xf>
    <xf numFmtId="0" fontId="49" fillId="0" borderId="0" xfId="0" applyFont="1" applyFill="1" applyProtection="1"/>
    <xf numFmtId="0" fontId="49" fillId="0" borderId="0" xfId="0" applyFont="1" applyFill="1"/>
    <xf numFmtId="0" fontId="50" fillId="0" borderId="0" xfId="0" applyFont="1" applyFill="1"/>
    <xf numFmtId="0" fontId="49" fillId="12" borderId="0" xfId="0" applyFont="1" applyFill="1"/>
    <xf numFmtId="2" fontId="51" fillId="0" borderId="0" xfId="0" applyNumberFormat="1" applyFont="1" applyFill="1" applyBorder="1" applyAlignment="1" applyProtection="1">
      <alignment horizontal="center"/>
      <protection hidden="1"/>
    </xf>
    <xf numFmtId="0" fontId="46" fillId="12" borderId="0" xfId="0" applyFont="1" applyFill="1" applyAlignment="1">
      <alignment horizontal="left"/>
    </xf>
    <xf numFmtId="0" fontId="13" fillId="5" borderId="0" xfId="0" applyFont="1" applyFill="1" applyAlignment="1">
      <alignment horizontal="center"/>
    </xf>
    <xf numFmtId="0" fontId="2" fillId="5" borderId="3" xfId="0" applyFont="1" applyFill="1" applyBorder="1" applyProtection="1">
      <protection hidden="1"/>
    </xf>
    <xf numFmtId="0" fontId="2" fillId="5" borderId="2" xfId="0" applyFont="1" applyFill="1" applyBorder="1" applyProtection="1">
      <protection hidden="1"/>
    </xf>
    <xf numFmtId="0" fontId="2" fillId="5" borderId="4" xfId="0" applyFont="1" applyFill="1" applyBorder="1" applyProtection="1">
      <protection hidden="1"/>
    </xf>
    <xf numFmtId="0" fontId="2" fillId="5" borderId="6" xfId="0" applyFont="1" applyFill="1" applyBorder="1" applyProtection="1">
      <protection hidden="1"/>
    </xf>
    <xf numFmtId="0" fontId="8" fillId="12" borderId="32" xfId="0" applyFont="1" applyFill="1" applyBorder="1" applyAlignment="1" applyProtection="1">
      <alignment horizontal="center"/>
      <protection locked="0"/>
    </xf>
    <xf numFmtId="0" fontId="8" fillId="5" borderId="0" xfId="0" applyFont="1" applyFill="1" applyBorder="1" applyAlignment="1" applyProtection="1">
      <alignment horizontal="center"/>
      <protection hidden="1"/>
    </xf>
    <xf numFmtId="0" fontId="28" fillId="0" borderId="0" xfId="0" applyFont="1"/>
    <xf numFmtId="0" fontId="56" fillId="0" borderId="0" xfId="0" applyFont="1"/>
    <xf numFmtId="0" fontId="56" fillId="0" borderId="0" xfId="0" applyFont="1" applyProtection="1">
      <protection hidden="1"/>
    </xf>
    <xf numFmtId="0" fontId="32" fillId="0" borderId="0" xfId="0" applyFont="1" applyFill="1"/>
    <xf numFmtId="0" fontId="43" fillId="0" borderId="0" xfId="0" applyFont="1" applyFill="1"/>
    <xf numFmtId="0" fontId="57" fillId="0" borderId="0" xfId="0" applyFont="1" applyFill="1"/>
    <xf numFmtId="0" fontId="32" fillId="0" borderId="0" xfId="0" applyFont="1" applyFill="1" applyProtection="1"/>
    <xf numFmtId="0" fontId="32" fillId="0" borderId="0" xfId="0" applyFont="1" applyFill="1" applyProtection="1">
      <protection locked="0"/>
    </xf>
    <xf numFmtId="0" fontId="58" fillId="0" borderId="0" xfId="0" applyFont="1" applyFill="1" applyProtection="1"/>
    <xf numFmtId="0" fontId="58" fillId="0" borderId="0" xfId="0" applyFont="1" applyFill="1"/>
    <xf numFmtId="0" fontId="34" fillId="0" borderId="0" xfId="0" applyFont="1" applyFill="1"/>
    <xf numFmtId="0" fontId="9" fillId="5" borderId="8" xfId="0" applyFont="1" applyFill="1" applyBorder="1" applyAlignment="1" applyProtection="1">
      <alignment horizontal="center"/>
      <protection locked="0" hidden="1"/>
    </xf>
    <xf numFmtId="0" fontId="2" fillId="0" borderId="0" xfId="0" applyFont="1"/>
    <xf numFmtId="0" fontId="7" fillId="5" borderId="13" xfId="0" applyFont="1" applyFill="1" applyBorder="1" applyAlignment="1" applyProtection="1">
      <alignment horizontal="left"/>
      <protection hidden="1"/>
    </xf>
    <xf numFmtId="1" fontId="7" fillId="5" borderId="0" xfId="2" applyNumberFormat="1" applyFont="1" applyFill="1" applyBorder="1" applyAlignment="1" applyProtection="1">
      <alignment horizontal="right"/>
      <protection hidden="1"/>
    </xf>
    <xf numFmtId="0" fontId="60" fillId="5" borderId="0" xfId="0" applyFont="1" applyFill="1" applyProtection="1">
      <protection hidden="1"/>
    </xf>
    <xf numFmtId="0" fontId="60" fillId="5" borderId="0" xfId="0" applyFont="1" applyFill="1" applyBorder="1" applyAlignment="1" applyProtection="1">
      <alignment horizontal="center" vertical="center" textRotation="90"/>
      <protection hidden="1"/>
    </xf>
    <xf numFmtId="0" fontId="60" fillId="5" borderId="16" xfId="0" applyFont="1" applyFill="1" applyBorder="1" applyAlignment="1" applyProtection="1">
      <alignment horizontal="left" wrapText="1"/>
      <protection hidden="1"/>
    </xf>
    <xf numFmtId="0" fontId="60" fillId="5" borderId="16" xfId="0" applyFont="1" applyFill="1" applyBorder="1" applyAlignment="1" applyProtection="1">
      <alignment horizontal="center" vertical="center" textRotation="90"/>
      <protection hidden="1"/>
    </xf>
    <xf numFmtId="2" fontId="62" fillId="5" borderId="33" xfId="0" applyNumberFormat="1" applyFont="1" applyFill="1" applyBorder="1" applyAlignment="1" applyProtection="1">
      <alignment horizontal="center" vertical="center"/>
      <protection hidden="1"/>
    </xf>
    <xf numFmtId="2" fontId="62" fillId="5" borderId="34" xfId="0" applyNumberFormat="1" applyFont="1" applyFill="1" applyBorder="1" applyAlignment="1" applyProtection="1">
      <alignment horizontal="center" vertical="center"/>
      <protection hidden="1"/>
    </xf>
    <xf numFmtId="2" fontId="62" fillId="5" borderId="35" xfId="0" applyNumberFormat="1" applyFont="1" applyFill="1" applyBorder="1" applyAlignment="1" applyProtection="1">
      <alignment horizontal="center" vertical="center"/>
      <protection hidden="1"/>
    </xf>
    <xf numFmtId="2" fontId="62" fillId="5" borderId="36" xfId="0" applyNumberFormat="1" applyFont="1" applyFill="1" applyBorder="1" applyAlignment="1" applyProtection="1">
      <alignment horizontal="center" vertical="center"/>
      <protection hidden="1"/>
    </xf>
    <xf numFmtId="2" fontId="62" fillId="5" borderId="37" xfId="0" applyNumberFormat="1" applyFont="1" applyFill="1" applyBorder="1" applyAlignment="1" applyProtection="1">
      <alignment horizontal="center" vertical="center"/>
      <protection hidden="1"/>
    </xf>
    <xf numFmtId="2" fontId="62" fillId="5" borderId="38" xfId="0" applyNumberFormat="1" applyFont="1" applyFill="1" applyBorder="1" applyAlignment="1" applyProtection="1">
      <alignment horizontal="center" vertical="center"/>
      <protection hidden="1"/>
    </xf>
    <xf numFmtId="2" fontId="62" fillId="5" borderId="39" xfId="0" applyNumberFormat="1" applyFont="1" applyFill="1" applyBorder="1" applyAlignment="1" applyProtection="1">
      <alignment horizontal="center" vertical="center"/>
      <protection hidden="1"/>
    </xf>
    <xf numFmtId="2" fontId="62" fillId="5" borderId="40" xfId="0" applyNumberFormat="1" applyFont="1" applyFill="1" applyBorder="1" applyAlignment="1" applyProtection="1">
      <alignment horizontal="center" vertical="center"/>
      <protection hidden="1"/>
    </xf>
    <xf numFmtId="0" fontId="61" fillId="5" borderId="0" xfId="0" applyFont="1" applyFill="1" applyProtection="1">
      <protection hidden="1"/>
    </xf>
    <xf numFmtId="0" fontId="62" fillId="5" borderId="0" xfId="0" applyFont="1" applyFill="1" applyProtection="1">
      <protection hidden="1"/>
    </xf>
    <xf numFmtId="0" fontId="62" fillId="5" borderId="0" xfId="0" applyFont="1" applyFill="1" applyAlignment="1" applyProtection="1">
      <alignment vertical="top" wrapText="1"/>
      <protection hidden="1"/>
    </xf>
    <xf numFmtId="0" fontId="62" fillId="5" borderId="0" xfId="0" applyFont="1" applyFill="1" applyBorder="1" applyProtection="1">
      <protection hidden="1"/>
    </xf>
    <xf numFmtId="0" fontId="62" fillId="5" borderId="31" xfId="0" applyFont="1" applyFill="1" applyBorder="1" applyProtection="1">
      <protection hidden="1"/>
    </xf>
    <xf numFmtId="0" fontId="62" fillId="5" borderId="41" xfId="0" applyFont="1" applyFill="1" applyBorder="1" applyProtection="1">
      <protection hidden="1"/>
    </xf>
    <xf numFmtId="0" fontId="62" fillId="5" borderId="42" xfId="0" applyFont="1" applyFill="1" applyBorder="1" applyProtection="1">
      <protection hidden="1"/>
    </xf>
    <xf numFmtId="0" fontId="62" fillId="5" borderId="18" xfId="0" applyFont="1" applyFill="1" applyBorder="1" applyProtection="1">
      <protection hidden="1"/>
    </xf>
    <xf numFmtId="0" fontId="60" fillId="5" borderId="6" xfId="0" applyFont="1" applyFill="1" applyBorder="1" applyProtection="1">
      <protection hidden="1"/>
    </xf>
    <xf numFmtId="0" fontId="62" fillId="5" borderId="43" xfId="0" applyFont="1" applyFill="1" applyBorder="1" applyProtection="1">
      <protection hidden="1"/>
    </xf>
    <xf numFmtId="0" fontId="62" fillId="5" borderId="8" xfId="0" applyFont="1" applyFill="1" applyBorder="1" applyProtection="1">
      <protection hidden="1"/>
    </xf>
    <xf numFmtId="0" fontId="60" fillId="5" borderId="9" xfId="0" applyFont="1" applyFill="1" applyBorder="1" applyProtection="1">
      <protection hidden="1"/>
    </xf>
    <xf numFmtId="0" fontId="62" fillId="5" borderId="6" xfId="0" applyFont="1" applyFill="1" applyBorder="1" applyProtection="1">
      <protection hidden="1"/>
    </xf>
    <xf numFmtId="0" fontId="62" fillId="5" borderId="9" xfId="0" applyFont="1" applyFill="1" applyBorder="1" applyProtection="1">
      <protection hidden="1"/>
    </xf>
    <xf numFmtId="0" fontId="62" fillId="5" borderId="41" xfId="0" applyFont="1" applyFill="1" applyBorder="1" applyAlignment="1" applyProtection="1">
      <alignment vertical="top" wrapText="1"/>
      <protection hidden="1"/>
    </xf>
    <xf numFmtId="0" fontId="62" fillId="5" borderId="18" xfId="0" applyFont="1" applyFill="1" applyBorder="1" applyAlignment="1" applyProtection="1">
      <alignment vertical="top" wrapText="1"/>
      <protection hidden="1"/>
    </xf>
    <xf numFmtId="0" fontId="62" fillId="5" borderId="0" xfId="0" applyFont="1" applyFill="1" applyBorder="1" applyAlignment="1" applyProtection="1">
      <alignment vertical="top" wrapText="1"/>
      <protection hidden="1"/>
    </xf>
    <xf numFmtId="0" fontId="62" fillId="5" borderId="6" xfId="0" applyFont="1" applyFill="1" applyBorder="1" applyAlignment="1" applyProtection="1">
      <alignment vertical="top" wrapText="1"/>
      <protection hidden="1"/>
    </xf>
    <xf numFmtId="0" fontId="62" fillId="5" borderId="43" xfId="0" applyFont="1" applyFill="1" applyBorder="1" applyAlignment="1" applyProtection="1">
      <alignment vertical="top" wrapText="1"/>
      <protection hidden="1"/>
    </xf>
    <xf numFmtId="0" fontId="62" fillId="5" borderId="8" xfId="0" applyFont="1" applyFill="1" applyBorder="1" applyAlignment="1" applyProtection="1">
      <alignment vertical="top" wrapText="1"/>
      <protection hidden="1"/>
    </xf>
    <xf numFmtId="0" fontId="62" fillId="5" borderId="9" xfId="0" applyFont="1" applyFill="1" applyBorder="1" applyAlignment="1" applyProtection="1">
      <alignment vertical="top" wrapText="1"/>
      <protection hidden="1"/>
    </xf>
    <xf numFmtId="0" fontId="62" fillId="5" borderId="31" xfId="0" applyFont="1" applyFill="1" applyBorder="1" applyAlignment="1" applyProtection="1">
      <alignment vertical="top" wrapText="1"/>
      <protection hidden="1"/>
    </xf>
    <xf numFmtId="0" fontId="62" fillId="5" borderId="42" xfId="0" applyFont="1" applyFill="1" applyBorder="1" applyAlignment="1" applyProtection="1">
      <alignment vertical="top" wrapText="1"/>
      <protection hidden="1"/>
    </xf>
    <xf numFmtId="0" fontId="60" fillId="5" borderId="42" xfId="0" applyFont="1" applyFill="1" applyBorder="1" applyProtection="1">
      <protection hidden="1"/>
    </xf>
    <xf numFmtId="0" fontId="63" fillId="5" borderId="18" xfId="0" applyFont="1" applyFill="1" applyBorder="1" applyProtection="1">
      <protection hidden="1"/>
    </xf>
    <xf numFmtId="0" fontId="60" fillId="5" borderId="11" xfId="0" applyFont="1" applyFill="1" applyBorder="1" applyAlignment="1" applyProtection="1">
      <alignment horizontal="center"/>
      <protection hidden="1"/>
    </xf>
    <xf numFmtId="0" fontId="62" fillId="5" borderId="44" xfId="0" applyFont="1" applyFill="1" applyBorder="1" applyAlignment="1" applyProtection="1">
      <alignment horizontal="center"/>
      <protection hidden="1"/>
    </xf>
    <xf numFmtId="0" fontId="62" fillId="5" borderId="10" xfId="0" applyFont="1" applyFill="1" applyBorder="1" applyAlignment="1" applyProtection="1">
      <alignment horizontal="center"/>
      <protection hidden="1"/>
    </xf>
    <xf numFmtId="0" fontId="62" fillId="5" borderId="11" xfId="0" applyFont="1" applyFill="1" applyBorder="1" applyAlignment="1" applyProtection="1">
      <alignment horizontal="center"/>
      <protection hidden="1"/>
    </xf>
    <xf numFmtId="0" fontId="61" fillId="5" borderId="0" xfId="0" applyFont="1" applyFill="1" applyAlignment="1" applyProtection="1">
      <alignment vertical="top" wrapText="1"/>
      <protection hidden="1"/>
    </xf>
    <xf numFmtId="167" fontId="2" fillId="2" borderId="0" xfId="0" applyNumberFormat="1" applyFont="1" applyFill="1" applyAlignment="1" applyProtection="1">
      <alignment horizontal="center"/>
      <protection hidden="1"/>
    </xf>
    <xf numFmtId="2" fontId="62" fillId="5" borderId="45" xfId="0" applyNumberFormat="1" applyFont="1" applyFill="1" applyBorder="1" applyAlignment="1" applyProtection="1">
      <alignment horizontal="center" vertical="center"/>
      <protection hidden="1"/>
    </xf>
    <xf numFmtId="2" fontId="62" fillId="5" borderId="46" xfId="0" applyNumberFormat="1" applyFont="1" applyFill="1" applyBorder="1" applyAlignment="1" applyProtection="1">
      <alignment horizontal="center" vertical="center"/>
      <protection hidden="1"/>
    </xf>
    <xf numFmtId="0" fontId="66" fillId="5" borderId="47" xfId="0" applyFont="1" applyFill="1" applyBorder="1" applyProtection="1">
      <protection hidden="1"/>
    </xf>
    <xf numFmtId="0" fontId="66" fillId="5" borderId="8" xfId="0" applyFont="1" applyFill="1" applyBorder="1" applyProtection="1">
      <protection hidden="1"/>
    </xf>
    <xf numFmtId="0" fontId="66" fillId="5" borderId="48" xfId="0" applyFont="1" applyFill="1" applyBorder="1" applyProtection="1">
      <protection hidden="1"/>
    </xf>
    <xf numFmtId="0" fontId="66" fillId="5" borderId="0" xfId="0" applyFont="1" applyFill="1" applyProtection="1">
      <protection hidden="1"/>
    </xf>
    <xf numFmtId="167" fontId="63" fillId="5" borderId="49" xfId="0" applyNumberFormat="1" applyFont="1" applyFill="1" applyBorder="1" applyAlignment="1" applyProtection="1">
      <alignment horizontal="center" vertical="center"/>
      <protection hidden="1"/>
    </xf>
    <xf numFmtId="167" fontId="63" fillId="5" borderId="31" xfId="0" applyNumberFormat="1" applyFont="1" applyFill="1" applyBorder="1" applyAlignment="1" applyProtection="1">
      <alignment horizontal="center" vertical="center"/>
      <protection hidden="1"/>
    </xf>
    <xf numFmtId="167" fontId="63" fillId="5" borderId="42" xfId="0" applyNumberFormat="1" applyFont="1" applyFill="1" applyBorder="1" applyAlignment="1" applyProtection="1">
      <alignment horizontal="center" vertical="center"/>
      <protection hidden="1"/>
    </xf>
    <xf numFmtId="0" fontId="63" fillId="5" borderId="50" xfId="0" applyFont="1" applyFill="1" applyBorder="1" applyAlignment="1" applyProtection="1">
      <alignment horizontal="center" vertical="center"/>
      <protection hidden="1"/>
    </xf>
    <xf numFmtId="0" fontId="63" fillId="5" borderId="51" xfId="0" applyFont="1" applyFill="1" applyBorder="1" applyAlignment="1" applyProtection="1">
      <alignment horizontal="center" vertical="center"/>
      <protection hidden="1"/>
    </xf>
    <xf numFmtId="0" fontId="64" fillId="5" borderId="0" xfId="0" applyFont="1" applyFill="1" applyAlignment="1" applyProtection="1">
      <alignment horizontal="center"/>
      <protection hidden="1"/>
    </xf>
    <xf numFmtId="0" fontId="2" fillId="14" borderId="0" xfId="0" applyFont="1" applyFill="1" applyProtection="1">
      <protection hidden="1"/>
    </xf>
    <xf numFmtId="2" fontId="2" fillId="14" borderId="0" xfId="0" applyNumberFormat="1" applyFont="1" applyFill="1" applyAlignment="1" applyProtection="1">
      <alignment horizontal="center"/>
      <protection hidden="1"/>
    </xf>
    <xf numFmtId="0" fontId="27" fillId="14" borderId="0" xfId="0" applyFont="1" applyFill="1" applyProtection="1">
      <protection hidden="1"/>
    </xf>
    <xf numFmtId="2" fontId="27" fillId="14" borderId="0" xfId="0" applyNumberFormat="1" applyFont="1" applyFill="1" applyAlignment="1" applyProtection="1">
      <alignment horizontal="center"/>
      <protection hidden="1"/>
    </xf>
    <xf numFmtId="0" fontId="4" fillId="14" borderId="0" xfId="0" applyFont="1" applyFill="1" applyProtection="1">
      <protection hidden="1"/>
    </xf>
    <xf numFmtId="0" fontId="13" fillId="5" borderId="52" xfId="0" applyFont="1" applyFill="1" applyBorder="1" applyAlignment="1">
      <alignment horizontal="center"/>
    </xf>
    <xf numFmtId="0" fontId="13" fillId="5" borderId="0" xfId="0" applyFont="1" applyFill="1" applyBorder="1" applyAlignment="1">
      <alignment horizontal="center"/>
    </xf>
    <xf numFmtId="0" fontId="59" fillId="5" borderId="4" xfId="0" applyFont="1" applyFill="1" applyBorder="1" applyProtection="1">
      <protection hidden="1"/>
    </xf>
    <xf numFmtId="0" fontId="59" fillId="5" borderId="0" xfId="0" applyFont="1" applyFill="1" applyBorder="1" applyProtection="1">
      <protection hidden="1"/>
    </xf>
    <xf numFmtId="0" fontId="59" fillId="5" borderId="0" xfId="0" applyFont="1" applyFill="1" applyBorder="1" applyAlignment="1" applyProtection="1">
      <alignment horizontal="center"/>
      <protection hidden="1"/>
    </xf>
    <xf numFmtId="0" fontId="59" fillId="5" borderId="13" xfId="0" applyFont="1" applyFill="1" applyBorder="1" applyProtection="1">
      <protection hidden="1"/>
    </xf>
    <xf numFmtId="0" fontId="10" fillId="5" borderId="0" xfId="0" applyFont="1" applyFill="1" applyBorder="1" applyProtection="1">
      <protection hidden="1"/>
    </xf>
    <xf numFmtId="167" fontId="10" fillId="5" borderId="0" xfId="0" applyNumberFormat="1" applyFont="1" applyFill="1" applyBorder="1" applyProtection="1">
      <protection hidden="1"/>
    </xf>
    <xf numFmtId="0" fontId="59" fillId="5" borderId="15" xfId="0" applyFont="1" applyFill="1" applyBorder="1" applyProtection="1">
      <protection hidden="1"/>
    </xf>
    <xf numFmtId="0" fontId="10" fillId="5" borderId="14" xfId="0" applyFont="1" applyFill="1" applyBorder="1" applyProtection="1">
      <protection hidden="1"/>
    </xf>
    <xf numFmtId="167" fontId="10" fillId="5" borderId="14" xfId="0" applyNumberFormat="1" applyFont="1" applyFill="1" applyBorder="1" applyProtection="1">
      <protection hidden="1"/>
    </xf>
    <xf numFmtId="0" fontId="59" fillId="5" borderId="14" xfId="0" applyFont="1" applyFill="1" applyBorder="1" applyAlignment="1" applyProtection="1">
      <alignment horizontal="center"/>
      <protection hidden="1"/>
    </xf>
    <xf numFmtId="0" fontId="59" fillId="5" borderId="16" xfId="0" applyFont="1" applyFill="1" applyBorder="1" applyProtection="1">
      <protection hidden="1"/>
    </xf>
    <xf numFmtId="0" fontId="59" fillId="5" borderId="0" xfId="0" applyFont="1" applyFill="1" applyProtection="1">
      <protection hidden="1"/>
    </xf>
    <xf numFmtId="0" fontId="59" fillId="5" borderId="0" xfId="0" applyFont="1" applyFill="1" applyAlignment="1" applyProtection="1">
      <alignment horizontal="center"/>
      <protection hidden="1"/>
    </xf>
    <xf numFmtId="0" fontId="59" fillId="5" borderId="3" xfId="0" applyFont="1" applyFill="1" applyBorder="1" applyProtection="1">
      <protection hidden="1"/>
    </xf>
    <xf numFmtId="0" fontId="59" fillId="5" borderId="2" xfId="0" applyFont="1" applyFill="1" applyBorder="1" applyProtection="1">
      <protection hidden="1"/>
    </xf>
    <xf numFmtId="0" fontId="59" fillId="5" borderId="2" xfId="0" applyFont="1" applyFill="1" applyBorder="1" applyAlignment="1" applyProtection="1">
      <alignment horizontal="center"/>
      <protection hidden="1"/>
    </xf>
    <xf numFmtId="0" fontId="59" fillId="5" borderId="17" xfId="0" applyFont="1" applyFill="1" applyBorder="1" applyProtection="1">
      <protection hidden="1"/>
    </xf>
    <xf numFmtId="0" fontId="59" fillId="5" borderId="0" xfId="0" applyFont="1" applyFill="1" applyBorder="1" applyAlignment="1" applyProtection="1">
      <alignment horizontal="left"/>
      <protection hidden="1"/>
    </xf>
    <xf numFmtId="2" fontId="59" fillId="5" borderId="0" xfId="0" applyNumberFormat="1" applyFont="1" applyFill="1" applyBorder="1" applyAlignment="1" applyProtection="1">
      <alignment horizontal="center"/>
      <protection hidden="1"/>
    </xf>
    <xf numFmtId="166" fontId="59" fillId="5" borderId="0" xfId="0" applyNumberFormat="1" applyFont="1" applyFill="1" applyBorder="1" applyAlignment="1" applyProtection="1">
      <alignment horizontal="center"/>
      <protection hidden="1"/>
    </xf>
    <xf numFmtId="0" fontId="59" fillId="5" borderId="14" xfId="0" applyFont="1" applyFill="1" applyBorder="1" applyProtection="1">
      <protection hidden="1"/>
    </xf>
    <xf numFmtId="0" fontId="59" fillId="5" borderId="0" xfId="0" applyFont="1" applyFill="1" applyAlignment="1">
      <alignment horizontal="center"/>
    </xf>
    <xf numFmtId="0" fontId="46" fillId="5" borderId="0" xfId="0" applyFont="1" applyFill="1" applyProtection="1">
      <protection hidden="1"/>
    </xf>
    <xf numFmtId="0" fontId="46" fillId="5" borderId="0" xfId="0" applyFont="1" applyFill="1" applyProtection="1"/>
    <xf numFmtId="1" fontId="46" fillId="5" borderId="0" xfId="0" applyNumberFormat="1" applyFont="1" applyFill="1" applyProtection="1">
      <protection hidden="1"/>
    </xf>
    <xf numFmtId="2" fontId="46" fillId="5" borderId="0" xfId="0" applyNumberFormat="1" applyFont="1" applyFill="1" applyProtection="1">
      <protection hidden="1"/>
    </xf>
    <xf numFmtId="0" fontId="46" fillId="5" borderId="8" xfId="0" applyFont="1" applyFill="1" applyBorder="1" applyProtection="1">
      <protection hidden="1"/>
    </xf>
    <xf numFmtId="2" fontId="46" fillId="5" borderId="8" xfId="0" applyNumberFormat="1" applyFont="1" applyFill="1" applyBorder="1" applyProtection="1">
      <protection hidden="1"/>
    </xf>
    <xf numFmtId="0" fontId="50" fillId="5" borderId="0" xfId="0" applyFont="1" applyFill="1" applyProtection="1">
      <protection hidden="1"/>
    </xf>
    <xf numFmtId="2" fontId="50" fillId="5" borderId="0" xfId="0" applyNumberFormat="1" applyFont="1" applyFill="1" applyProtection="1">
      <protection hidden="1"/>
    </xf>
    <xf numFmtId="0" fontId="51" fillId="5" borderId="0" xfId="0" applyFont="1" applyFill="1"/>
    <xf numFmtId="0" fontId="51" fillId="5" borderId="0" xfId="0" applyFont="1" applyFill="1" applyProtection="1">
      <protection hidden="1"/>
    </xf>
    <xf numFmtId="0" fontId="51" fillId="5" borderId="0" xfId="0" applyFont="1" applyFill="1" applyProtection="1"/>
    <xf numFmtId="0" fontId="51" fillId="5" borderId="0" xfId="0" applyFont="1" applyFill="1" applyBorder="1" applyProtection="1">
      <protection hidden="1"/>
    </xf>
    <xf numFmtId="0" fontId="51" fillId="5" borderId="0" xfId="0" applyFont="1" applyFill="1" applyBorder="1"/>
    <xf numFmtId="0" fontId="51" fillId="5" borderId="0" xfId="0" applyFont="1" applyFill="1" applyBorder="1" applyAlignment="1" applyProtection="1">
      <alignment horizontal="center"/>
      <protection hidden="1"/>
    </xf>
    <xf numFmtId="0" fontId="51" fillId="5" borderId="41" xfId="0" applyFont="1" applyFill="1" applyBorder="1" applyProtection="1">
      <protection hidden="1"/>
    </xf>
    <xf numFmtId="0" fontId="51" fillId="5" borderId="53" xfId="0" applyFont="1" applyFill="1" applyBorder="1" applyProtection="1">
      <protection hidden="1"/>
    </xf>
    <xf numFmtId="0" fontId="51" fillId="5" borderId="18" xfId="0" applyFont="1" applyFill="1" applyBorder="1" applyAlignment="1" applyProtection="1">
      <alignment vertical="center"/>
      <protection hidden="1"/>
    </xf>
    <xf numFmtId="0" fontId="51" fillId="5" borderId="0" xfId="0" applyFont="1" applyFill="1" applyBorder="1" applyAlignment="1" applyProtection="1">
      <alignment horizontal="left" vertical="center"/>
      <protection hidden="1"/>
    </xf>
    <xf numFmtId="0" fontId="51" fillId="5" borderId="19" xfId="0" applyFont="1" applyFill="1" applyBorder="1" applyAlignment="1" applyProtection="1">
      <alignment horizontal="left" vertical="center"/>
      <protection hidden="1"/>
    </xf>
    <xf numFmtId="0" fontId="66" fillId="5" borderId="0" xfId="0" applyFont="1" applyFill="1" applyBorder="1" applyAlignment="1" applyProtection="1">
      <alignment horizontal="center"/>
      <protection hidden="1"/>
    </xf>
    <xf numFmtId="0" fontId="4" fillId="5" borderId="0" xfId="0" applyFont="1" applyFill="1" applyBorder="1" applyAlignment="1" applyProtection="1">
      <alignment horizontal="center" vertical="center"/>
      <protection hidden="1"/>
    </xf>
    <xf numFmtId="0" fontId="72" fillId="5" borderId="0" xfId="0" applyFont="1" applyFill="1" applyAlignment="1" applyProtection="1">
      <alignment horizontal="right"/>
      <protection hidden="1"/>
    </xf>
    <xf numFmtId="0" fontId="73" fillId="5" borderId="0" xfId="0" applyFont="1" applyFill="1"/>
    <xf numFmtId="0" fontId="51" fillId="5" borderId="0" xfId="0" applyFont="1" applyFill="1" applyAlignment="1" applyProtection="1">
      <alignment horizontal="center"/>
      <protection hidden="1"/>
    </xf>
    <xf numFmtId="0" fontId="73" fillId="5" borderId="0" xfId="0" applyFont="1" applyFill="1" applyProtection="1">
      <protection hidden="1"/>
    </xf>
    <xf numFmtId="0" fontId="17" fillId="5" borderId="0" xfId="0" applyFont="1" applyFill="1" applyProtection="1">
      <protection hidden="1"/>
    </xf>
    <xf numFmtId="0" fontId="17" fillId="5" borderId="0" xfId="0" applyFont="1" applyFill="1"/>
    <xf numFmtId="0" fontId="51" fillId="5" borderId="3" xfId="0" applyFont="1" applyFill="1" applyBorder="1"/>
    <xf numFmtId="0" fontId="51" fillId="5" borderId="2" xfId="0" applyFont="1" applyFill="1" applyBorder="1"/>
    <xf numFmtId="0" fontId="51" fillId="5" borderId="5" xfId="0" applyFont="1" applyFill="1" applyBorder="1"/>
    <xf numFmtId="0" fontId="51" fillId="5" borderId="54" xfId="0" applyFont="1" applyFill="1" applyBorder="1"/>
    <xf numFmtId="0" fontId="51" fillId="5" borderId="55" xfId="0" applyFont="1" applyFill="1" applyBorder="1"/>
    <xf numFmtId="0" fontId="51" fillId="5" borderId="56" xfId="0" applyFont="1" applyFill="1" applyBorder="1"/>
    <xf numFmtId="0" fontId="51" fillId="5" borderId="57" xfId="0" applyFont="1" applyFill="1" applyBorder="1"/>
    <xf numFmtId="0" fontId="51" fillId="5" borderId="58" xfId="0" applyFont="1" applyFill="1" applyBorder="1"/>
    <xf numFmtId="3" fontId="51" fillId="6" borderId="59" xfId="0" applyNumberFormat="1" applyFont="1" applyFill="1" applyBorder="1" applyAlignment="1" applyProtection="1">
      <alignment horizontal="center"/>
      <protection locked="0"/>
    </xf>
    <xf numFmtId="2" fontId="51" fillId="6" borderId="0" xfId="0" applyNumberFormat="1" applyFont="1" applyFill="1" applyBorder="1" applyAlignment="1" applyProtection="1">
      <alignment horizontal="center"/>
      <protection hidden="1"/>
    </xf>
    <xf numFmtId="0" fontId="51" fillId="6" borderId="4" xfId="0" applyFont="1" applyFill="1" applyBorder="1" applyAlignment="1" applyProtection="1">
      <alignment horizontal="left"/>
      <protection hidden="1"/>
    </xf>
    <xf numFmtId="0" fontId="51" fillId="6" borderId="0" xfId="0" applyFont="1" applyFill="1" applyBorder="1" applyAlignment="1" applyProtection="1">
      <alignment horizontal="left"/>
      <protection hidden="1"/>
    </xf>
    <xf numFmtId="0" fontId="51" fillId="6" borderId="6" xfId="0" applyFont="1" applyFill="1" applyBorder="1" applyAlignment="1" applyProtection="1">
      <alignment horizontal="left"/>
      <protection hidden="1"/>
    </xf>
    <xf numFmtId="3" fontId="51" fillId="6" borderId="59" xfId="0" applyNumberFormat="1" applyFont="1" applyFill="1" applyBorder="1" applyAlignment="1" applyProtection="1">
      <alignment horizontal="center"/>
      <protection hidden="1"/>
    </xf>
    <xf numFmtId="2" fontId="51" fillId="15" borderId="0" xfId="0" applyNumberFormat="1" applyFont="1" applyFill="1" applyBorder="1" applyAlignment="1" applyProtection="1">
      <alignment horizontal="center"/>
      <protection hidden="1"/>
    </xf>
    <xf numFmtId="0" fontId="51" fillId="5" borderId="60" xfId="0" applyFont="1" applyFill="1" applyBorder="1"/>
    <xf numFmtId="0" fontId="51" fillId="5" borderId="41" xfId="0" applyFont="1" applyFill="1" applyBorder="1"/>
    <xf numFmtId="0" fontId="51" fillId="5" borderId="42" xfId="0" applyFont="1" applyFill="1" applyBorder="1"/>
    <xf numFmtId="3" fontId="51" fillId="5" borderId="49" xfId="0" applyNumberFormat="1" applyFont="1" applyFill="1" applyBorder="1"/>
    <xf numFmtId="0" fontId="51" fillId="5" borderId="0" xfId="0" applyFont="1" applyFill="1" applyBorder="1" applyAlignment="1">
      <alignment horizontal="center"/>
    </xf>
    <xf numFmtId="0" fontId="51" fillId="5" borderId="15" xfId="0" applyFont="1" applyFill="1" applyBorder="1"/>
    <xf numFmtId="0" fontId="51" fillId="5" borderId="14" xfId="0" applyFont="1" applyFill="1" applyBorder="1"/>
    <xf numFmtId="0" fontId="51" fillId="5" borderId="61" xfId="0" applyFont="1" applyFill="1" applyBorder="1"/>
    <xf numFmtId="0" fontId="51" fillId="5" borderId="62" xfId="0" applyFont="1" applyFill="1" applyBorder="1"/>
    <xf numFmtId="0" fontId="46" fillId="6" borderId="0" xfId="0" applyFont="1" applyFill="1" applyProtection="1">
      <protection hidden="1"/>
    </xf>
    <xf numFmtId="0" fontId="46" fillId="6" borderId="0" xfId="0" applyFont="1" applyFill="1"/>
    <xf numFmtId="2" fontId="46" fillId="6" borderId="0" xfId="0" applyNumberFormat="1" applyFont="1" applyFill="1" applyProtection="1">
      <protection hidden="1"/>
    </xf>
    <xf numFmtId="0" fontId="50" fillId="6" borderId="0" xfId="0" applyFont="1" applyFill="1" applyProtection="1">
      <protection hidden="1"/>
    </xf>
    <xf numFmtId="0" fontId="46" fillId="6" borderId="6" xfId="0" applyFont="1" applyFill="1" applyBorder="1" applyProtection="1">
      <protection hidden="1"/>
    </xf>
    <xf numFmtId="0" fontId="46" fillId="6" borderId="7" xfId="0" applyFont="1" applyFill="1" applyBorder="1" applyProtection="1">
      <protection hidden="1"/>
    </xf>
    <xf numFmtId="2" fontId="46" fillId="6" borderId="8" xfId="0" applyNumberFormat="1" applyFont="1" applyFill="1" applyBorder="1" applyProtection="1">
      <protection hidden="1"/>
    </xf>
    <xf numFmtId="0" fontId="46" fillId="6" borderId="8" xfId="0" applyFont="1" applyFill="1" applyBorder="1" applyProtection="1">
      <protection hidden="1"/>
    </xf>
    <xf numFmtId="0" fontId="46" fillId="6" borderId="9" xfId="0" applyFont="1" applyFill="1" applyBorder="1" applyProtection="1">
      <protection hidden="1"/>
    </xf>
    <xf numFmtId="0" fontId="46" fillId="6" borderId="3" xfId="0" applyFont="1" applyFill="1" applyBorder="1" applyProtection="1">
      <protection hidden="1"/>
    </xf>
    <xf numFmtId="2" fontId="46" fillId="6" borderId="2" xfId="0" applyNumberFormat="1" applyFont="1" applyFill="1" applyBorder="1" applyProtection="1">
      <protection hidden="1"/>
    </xf>
    <xf numFmtId="0" fontId="46" fillId="6" borderId="2" xfId="0" applyFont="1" applyFill="1" applyBorder="1" applyProtection="1">
      <protection hidden="1"/>
    </xf>
    <xf numFmtId="0" fontId="46" fillId="6" borderId="5" xfId="0" applyFont="1" applyFill="1" applyBorder="1" applyProtection="1">
      <protection hidden="1"/>
    </xf>
    <xf numFmtId="0" fontId="46" fillId="6" borderId="4" xfId="0" applyFont="1" applyFill="1" applyBorder="1" applyProtection="1">
      <protection hidden="1"/>
    </xf>
    <xf numFmtId="0" fontId="49" fillId="6" borderId="4" xfId="0" applyFont="1" applyFill="1" applyBorder="1" applyProtection="1">
      <protection hidden="1"/>
    </xf>
    <xf numFmtId="2" fontId="49" fillId="6" borderId="22" xfId="0" applyNumberFormat="1" applyFont="1" applyFill="1" applyBorder="1" applyAlignment="1" applyProtection="1">
      <alignment horizontal="center"/>
      <protection hidden="1"/>
    </xf>
    <xf numFmtId="2" fontId="49" fillId="6" borderId="11" xfId="0" applyNumberFormat="1" applyFont="1" applyFill="1" applyBorder="1" applyAlignment="1" applyProtection="1">
      <alignment horizontal="center"/>
      <protection hidden="1"/>
    </xf>
    <xf numFmtId="2" fontId="49" fillId="6" borderId="23" xfId="0" applyNumberFormat="1" applyFont="1" applyFill="1" applyBorder="1" applyAlignment="1" applyProtection="1">
      <alignment horizontal="center"/>
      <protection hidden="1"/>
    </xf>
    <xf numFmtId="2" fontId="49" fillId="6" borderId="20" xfId="0" applyNumberFormat="1" applyFont="1" applyFill="1" applyBorder="1" applyAlignment="1" applyProtection="1">
      <alignment horizontal="center"/>
      <protection hidden="1"/>
    </xf>
    <xf numFmtId="2" fontId="49" fillId="6" borderId="10" xfId="0" applyNumberFormat="1" applyFont="1" applyFill="1" applyBorder="1" applyAlignment="1" applyProtection="1">
      <alignment horizontal="center"/>
      <protection hidden="1"/>
    </xf>
    <xf numFmtId="2" fontId="49" fillId="6" borderId="21" xfId="0" applyNumberFormat="1" applyFont="1" applyFill="1" applyBorder="1" applyAlignment="1" applyProtection="1">
      <alignment horizontal="center"/>
      <protection hidden="1"/>
    </xf>
    <xf numFmtId="0" fontId="49" fillId="6" borderId="11" xfId="0" applyFont="1" applyFill="1" applyBorder="1" applyAlignment="1" applyProtection="1">
      <alignment horizontal="center"/>
      <protection hidden="1"/>
    </xf>
    <xf numFmtId="0" fontId="49" fillId="6" borderId="23" xfId="0" applyFont="1" applyFill="1" applyBorder="1" applyProtection="1">
      <protection hidden="1"/>
    </xf>
    <xf numFmtId="0" fontId="49" fillId="6" borderId="10" xfId="0" applyFont="1" applyFill="1" applyBorder="1" applyAlignment="1" applyProtection="1">
      <alignment horizontal="center"/>
      <protection hidden="1"/>
    </xf>
    <xf numFmtId="0" fontId="49" fillId="6" borderId="21" xfId="0" applyFont="1" applyFill="1" applyBorder="1" applyAlignment="1" applyProtection="1">
      <alignment horizontal="center"/>
      <protection hidden="1"/>
    </xf>
    <xf numFmtId="2" fontId="49" fillId="6" borderId="20" xfId="0" applyNumberFormat="1" applyFont="1" applyFill="1" applyBorder="1" applyAlignment="1" applyProtection="1">
      <alignment horizontal="right"/>
      <protection hidden="1"/>
    </xf>
    <xf numFmtId="0" fontId="49" fillId="6" borderId="10" xfId="0" applyFont="1" applyFill="1" applyBorder="1" applyAlignment="1" applyProtection="1">
      <alignment horizontal="right"/>
      <protection hidden="1"/>
    </xf>
    <xf numFmtId="0" fontId="49" fillId="6" borderId="21" xfId="0" applyFont="1" applyFill="1" applyBorder="1" applyAlignment="1" applyProtection="1">
      <alignment horizontal="right"/>
      <protection hidden="1"/>
    </xf>
    <xf numFmtId="2" fontId="49" fillId="6" borderId="20" xfId="0" applyNumberFormat="1" applyFont="1" applyFill="1" applyBorder="1" applyProtection="1">
      <protection hidden="1"/>
    </xf>
    <xf numFmtId="0" fontId="49" fillId="6" borderId="4" xfId="0" applyFont="1" applyFill="1" applyBorder="1" applyAlignment="1" applyProtection="1">
      <alignment horizontal="right"/>
      <protection hidden="1"/>
    </xf>
    <xf numFmtId="2" fontId="46" fillId="6" borderId="0" xfId="0" applyNumberFormat="1" applyFont="1" applyFill="1"/>
    <xf numFmtId="0" fontId="46" fillId="5" borderId="0" xfId="0" applyFont="1" applyFill="1"/>
    <xf numFmtId="0" fontId="46" fillId="5" borderId="0" xfId="0" applyFont="1" applyFill="1" applyAlignment="1" applyProtection="1">
      <alignment horizontal="center"/>
      <protection hidden="1"/>
    </xf>
    <xf numFmtId="0" fontId="49" fillId="5" borderId="0" xfId="0" applyFont="1" applyFill="1" applyProtection="1">
      <protection hidden="1"/>
    </xf>
    <xf numFmtId="0" fontId="49" fillId="5" borderId="0" xfId="0" applyFont="1" applyFill="1"/>
    <xf numFmtId="0" fontId="49" fillId="5" borderId="0" xfId="0" applyFont="1" applyFill="1" applyAlignment="1" applyProtection="1">
      <alignment horizontal="center"/>
      <protection hidden="1"/>
    </xf>
    <xf numFmtId="0" fontId="2" fillId="5" borderId="63" xfId="0" applyFont="1" applyFill="1" applyBorder="1"/>
    <xf numFmtId="0" fontId="50" fillId="5" borderId="0" xfId="0" applyFont="1" applyFill="1" applyBorder="1" applyAlignment="1" applyProtection="1">
      <alignment horizontal="center"/>
      <protection hidden="1"/>
    </xf>
    <xf numFmtId="0" fontId="10" fillId="5" borderId="0" xfId="0" applyFont="1" applyFill="1" applyBorder="1" applyAlignment="1" applyProtection="1">
      <alignment horizontal="center"/>
      <protection hidden="1"/>
    </xf>
    <xf numFmtId="0" fontId="10" fillId="5" borderId="14" xfId="0" applyFont="1" applyFill="1" applyBorder="1" applyAlignment="1" applyProtection="1">
      <alignment horizontal="center"/>
      <protection hidden="1"/>
    </xf>
    <xf numFmtId="0" fontId="50" fillId="5" borderId="0" xfId="0" applyFont="1" applyFill="1" applyAlignment="1" applyProtection="1">
      <alignment horizontal="center"/>
      <protection hidden="1"/>
    </xf>
    <xf numFmtId="0" fontId="10" fillId="5" borderId="0" xfId="0" applyFont="1" applyFill="1" applyAlignment="1">
      <alignment horizontal="center"/>
    </xf>
    <xf numFmtId="0" fontId="59" fillId="6" borderId="4" xfId="0" applyFont="1" applyFill="1" applyBorder="1" applyProtection="1">
      <protection hidden="1"/>
    </xf>
    <xf numFmtId="0" fontId="59" fillId="6" borderId="0" xfId="0" applyFont="1" applyFill="1" applyBorder="1" applyProtection="1">
      <protection hidden="1"/>
    </xf>
    <xf numFmtId="1" fontId="59" fillId="6" borderId="0" xfId="0" applyNumberFormat="1" applyFont="1" applyFill="1" applyBorder="1" applyProtection="1">
      <protection hidden="1"/>
    </xf>
    <xf numFmtId="0" fontId="59" fillId="6" borderId="6" xfId="0" applyFont="1" applyFill="1" applyBorder="1" applyProtection="1">
      <protection hidden="1"/>
    </xf>
    <xf numFmtId="168" fontId="59" fillId="6" borderId="0" xfId="0" applyNumberFormat="1" applyFont="1" applyFill="1" applyBorder="1" applyProtection="1">
      <protection hidden="1"/>
    </xf>
    <xf numFmtId="2" fontId="59" fillId="6" borderId="0" xfId="0" applyNumberFormat="1" applyFont="1" applyFill="1" applyBorder="1" applyProtection="1">
      <protection hidden="1"/>
    </xf>
    <xf numFmtId="0" fontId="59" fillId="6" borderId="0" xfId="0" applyFont="1" applyFill="1" applyBorder="1" applyAlignment="1" applyProtection="1">
      <alignment horizontal="left"/>
      <protection hidden="1"/>
    </xf>
    <xf numFmtId="0" fontId="10" fillId="6" borderId="0" xfId="0" applyFont="1" applyFill="1" applyBorder="1" applyProtection="1">
      <protection hidden="1"/>
    </xf>
    <xf numFmtId="9" fontId="59" fillId="6" borderId="0" xfId="2" applyFont="1" applyFill="1" applyBorder="1" applyProtection="1">
      <protection hidden="1"/>
    </xf>
    <xf numFmtId="0" fontId="59" fillId="6" borderId="7" xfId="0" applyFont="1" applyFill="1" applyBorder="1" applyProtection="1">
      <protection hidden="1"/>
    </xf>
    <xf numFmtId="2" fontId="59" fillId="6" borderId="8" xfId="0" applyNumberFormat="1" applyFont="1" applyFill="1" applyBorder="1" applyProtection="1">
      <protection hidden="1"/>
    </xf>
    <xf numFmtId="0" fontId="59" fillId="6" borderId="8" xfId="0" applyFont="1" applyFill="1" applyBorder="1" applyProtection="1">
      <protection hidden="1"/>
    </xf>
    <xf numFmtId="9" fontId="59" fillId="6" borderId="8" xfId="2" applyFont="1" applyFill="1" applyBorder="1" applyProtection="1">
      <protection hidden="1"/>
    </xf>
    <xf numFmtId="0" fontId="59" fillId="6" borderId="9" xfId="0" applyFont="1" applyFill="1" applyBorder="1" applyProtection="1">
      <protection hidden="1"/>
    </xf>
    <xf numFmtId="0" fontId="59" fillId="6" borderId="0" xfId="0" applyFont="1" applyFill="1" applyProtection="1">
      <protection hidden="1"/>
    </xf>
    <xf numFmtId="168" fontId="49" fillId="6" borderId="22" xfId="0" applyNumberFormat="1" applyFont="1" applyFill="1" applyBorder="1" applyAlignment="1" applyProtection="1">
      <alignment horizontal="center"/>
      <protection hidden="1"/>
    </xf>
    <xf numFmtId="168" fontId="49" fillId="6" borderId="11" xfId="0" applyNumberFormat="1" applyFont="1" applyFill="1" applyBorder="1" applyAlignment="1" applyProtection="1">
      <alignment horizontal="center"/>
      <protection hidden="1"/>
    </xf>
    <xf numFmtId="168" fontId="49" fillId="6" borderId="23" xfId="0" applyNumberFormat="1" applyFont="1" applyFill="1" applyBorder="1" applyAlignment="1" applyProtection="1">
      <alignment horizontal="center"/>
      <protection hidden="1"/>
    </xf>
    <xf numFmtId="0" fontId="2" fillId="5" borderId="56" xfId="0" applyFont="1" applyFill="1" applyBorder="1" applyAlignment="1" applyProtection="1">
      <alignment horizontal="left"/>
      <protection hidden="1"/>
    </xf>
    <xf numFmtId="0" fontId="2" fillId="5" borderId="56" xfId="0" applyFont="1" applyFill="1" applyBorder="1"/>
    <xf numFmtId="0" fontId="2" fillId="5" borderId="18" xfId="0" applyFont="1" applyFill="1" applyBorder="1" applyProtection="1">
      <protection hidden="1"/>
    </xf>
    <xf numFmtId="0" fontId="2" fillId="5" borderId="55" xfId="0" applyFont="1" applyFill="1" applyBorder="1"/>
    <xf numFmtId="0" fontId="75" fillId="5" borderId="0" xfId="0" applyFont="1" applyFill="1" applyBorder="1" applyAlignment="1" applyProtection="1">
      <alignment horizontal="center"/>
      <protection hidden="1"/>
    </xf>
    <xf numFmtId="0" fontId="13" fillId="12" borderId="0" xfId="0" applyFont="1" applyFill="1" applyAlignment="1">
      <alignment horizontal="center"/>
    </xf>
    <xf numFmtId="1" fontId="10" fillId="5" borderId="0" xfId="0" applyNumberFormat="1" applyFont="1" applyFill="1" applyBorder="1" applyAlignment="1" applyProtection="1">
      <alignment horizontal="center"/>
      <protection hidden="1"/>
    </xf>
    <xf numFmtId="0" fontId="9" fillId="5" borderId="64" xfId="0" applyFont="1" applyFill="1" applyBorder="1" applyAlignment="1" applyProtection="1">
      <alignment horizontal="center"/>
      <protection locked="0" hidden="1"/>
    </xf>
    <xf numFmtId="2" fontId="7" fillId="12" borderId="0" xfId="0" applyNumberFormat="1" applyFont="1" applyFill="1" applyAlignment="1">
      <alignment horizontal="center"/>
    </xf>
    <xf numFmtId="167" fontId="7" fillId="12" borderId="0" xfId="0" applyNumberFormat="1" applyFont="1" applyFill="1" applyAlignment="1">
      <alignment horizontal="center"/>
    </xf>
    <xf numFmtId="0" fontId="9" fillId="5" borderId="67" xfId="0" applyFont="1" applyFill="1" applyBorder="1" applyAlignment="1" applyProtection="1">
      <alignment horizontal="center"/>
      <protection locked="0" hidden="1"/>
    </xf>
    <xf numFmtId="0" fontId="3" fillId="5" borderId="68" xfId="0" applyFont="1" applyFill="1" applyBorder="1" applyAlignment="1" applyProtection="1">
      <alignment horizontal="center"/>
      <protection locked="0" hidden="1"/>
    </xf>
    <xf numFmtId="2" fontId="3" fillId="5" borderId="68" xfId="0" applyNumberFormat="1" applyFont="1" applyFill="1" applyBorder="1" applyAlignment="1" applyProtection="1">
      <alignment horizontal="center"/>
      <protection locked="0" hidden="1"/>
    </xf>
    <xf numFmtId="1" fontId="3" fillId="5" borderId="68" xfId="0" applyNumberFormat="1" applyFont="1" applyFill="1" applyBorder="1" applyAlignment="1" applyProtection="1">
      <alignment horizontal="center"/>
      <protection locked="0" hidden="1"/>
    </xf>
    <xf numFmtId="0" fontId="7" fillId="5" borderId="0" xfId="0" applyFont="1" applyFill="1" applyBorder="1" applyAlignment="1" applyProtection="1">
      <alignment horizontal="center"/>
      <protection locked="0" hidden="1"/>
    </xf>
    <xf numFmtId="0" fontId="7" fillId="5" borderId="69" xfId="0" applyFont="1" applyFill="1" applyBorder="1" applyAlignment="1" applyProtection="1">
      <alignment horizontal="center"/>
      <protection locked="0" hidden="1"/>
    </xf>
    <xf numFmtId="0" fontId="9" fillId="5" borderId="0" xfId="0" applyFont="1" applyFill="1" applyBorder="1" applyAlignment="1" applyProtection="1">
      <alignment horizontal="center"/>
      <protection locked="0" hidden="1"/>
    </xf>
    <xf numFmtId="1" fontId="9" fillId="5" borderId="65" xfId="0" applyNumberFormat="1" applyFont="1" applyFill="1" applyBorder="1" applyAlignment="1" applyProtection="1">
      <alignment horizontal="center"/>
      <protection locked="0" hidden="1"/>
    </xf>
    <xf numFmtId="1" fontId="3" fillId="5" borderId="30" xfId="0" applyNumberFormat="1" applyFont="1" applyFill="1" applyBorder="1" applyAlignment="1" applyProtection="1">
      <alignment horizontal="center"/>
      <protection locked="0" hidden="1"/>
    </xf>
    <xf numFmtId="166" fontId="3" fillId="5" borderId="0" xfId="0" applyNumberFormat="1" applyFont="1" applyFill="1" applyBorder="1" applyAlignment="1" applyProtection="1">
      <alignment horizontal="center"/>
      <protection locked="0" hidden="1"/>
    </xf>
    <xf numFmtId="0" fontId="7" fillId="5" borderId="70" xfId="0" applyFont="1" applyFill="1" applyBorder="1" applyAlignment="1" applyProtection="1">
      <alignment horizontal="center"/>
      <protection locked="0" hidden="1"/>
    </xf>
    <xf numFmtId="1" fontId="3" fillId="5" borderId="0" xfId="0" applyNumberFormat="1" applyFont="1" applyFill="1" applyBorder="1" applyAlignment="1" applyProtection="1">
      <alignment horizontal="center"/>
      <protection locked="0" hidden="1"/>
    </xf>
    <xf numFmtId="0" fontId="7" fillId="5" borderId="71" xfId="0" applyFont="1" applyFill="1" applyBorder="1" applyAlignment="1" applyProtection="1">
      <alignment horizontal="center"/>
      <protection locked="0" hidden="1"/>
    </xf>
    <xf numFmtId="0" fontId="7" fillId="5" borderId="0" xfId="0" applyFont="1" applyFill="1" applyAlignment="1" applyProtection="1">
      <alignment horizontal="center"/>
      <protection locked="0" hidden="1"/>
    </xf>
    <xf numFmtId="0" fontId="7" fillId="5" borderId="72" xfId="0" applyFont="1" applyFill="1" applyBorder="1" applyAlignment="1" applyProtection="1">
      <alignment horizontal="center"/>
      <protection locked="0" hidden="1"/>
    </xf>
    <xf numFmtId="0" fontId="7" fillId="5" borderId="0" xfId="0" applyFont="1" applyFill="1" applyProtection="1">
      <protection locked="0" hidden="1"/>
    </xf>
    <xf numFmtId="2" fontId="3" fillId="5" borderId="30" xfId="0" applyNumberFormat="1" applyFont="1" applyFill="1" applyBorder="1" applyProtection="1">
      <protection locked="0" hidden="1"/>
    </xf>
    <xf numFmtId="2" fontId="7" fillId="5" borderId="30" xfId="0" applyNumberFormat="1" applyFont="1" applyFill="1" applyBorder="1" applyProtection="1">
      <protection locked="0" hidden="1"/>
    </xf>
    <xf numFmtId="2" fontId="76" fillId="12" borderId="68" xfId="0" applyNumberFormat="1" applyFont="1" applyFill="1" applyBorder="1" applyAlignment="1" applyProtection="1">
      <alignment horizontal="center"/>
      <protection locked="0" hidden="1"/>
    </xf>
    <xf numFmtId="0" fontId="76" fillId="12" borderId="68" xfId="0" applyFont="1" applyFill="1" applyBorder="1" applyAlignment="1" applyProtection="1">
      <alignment horizontal="center"/>
      <protection locked="0" hidden="1"/>
    </xf>
    <xf numFmtId="0" fontId="51" fillId="16" borderId="0" xfId="0" applyFont="1" applyFill="1"/>
    <xf numFmtId="0" fontId="2" fillId="16" borderId="0" xfId="0" applyFont="1" applyFill="1" applyProtection="1">
      <protection hidden="1"/>
    </xf>
    <xf numFmtId="0" fontId="45" fillId="16" borderId="73" xfId="0" applyFont="1" applyFill="1" applyBorder="1" applyAlignment="1" applyProtection="1">
      <alignment horizontal="center"/>
      <protection hidden="1"/>
    </xf>
    <xf numFmtId="0" fontId="51" fillId="16" borderId="0" xfId="0" applyFont="1" applyFill="1" applyProtection="1">
      <protection hidden="1"/>
    </xf>
    <xf numFmtId="0" fontId="45" fillId="16" borderId="0" xfId="0" applyFont="1" applyFill="1" applyBorder="1" applyAlignment="1" applyProtection="1">
      <alignment horizontal="center"/>
      <protection hidden="1"/>
    </xf>
    <xf numFmtId="0" fontId="13" fillId="16" borderId="0" xfId="0" applyFont="1" applyFill="1" applyAlignment="1" applyProtection="1">
      <alignment horizontal="center" vertical="center"/>
      <protection hidden="1"/>
    </xf>
    <xf numFmtId="0" fontId="4" fillId="16" borderId="0" xfId="0" applyFont="1" applyFill="1" applyAlignment="1" applyProtection="1">
      <protection hidden="1"/>
    </xf>
    <xf numFmtId="0" fontId="51" fillId="16" borderId="0" xfId="0" applyFont="1" applyFill="1" applyBorder="1" applyProtection="1">
      <protection hidden="1"/>
    </xf>
    <xf numFmtId="0" fontId="4" fillId="16" borderId="0" xfId="0" applyFont="1" applyFill="1" applyBorder="1" applyAlignment="1" applyProtection="1">
      <alignment vertical="center"/>
      <protection hidden="1"/>
    </xf>
    <xf numFmtId="0" fontId="51" fillId="16" borderId="0" xfId="0" applyFont="1" applyFill="1" applyBorder="1"/>
    <xf numFmtId="0" fontId="41" fillId="16" borderId="31" xfId="0" applyFont="1" applyFill="1" applyBorder="1" applyProtection="1">
      <protection hidden="1"/>
    </xf>
    <xf numFmtId="0" fontId="41" fillId="16" borderId="41" xfId="0" applyFont="1" applyFill="1" applyBorder="1" applyProtection="1">
      <protection hidden="1"/>
    </xf>
    <xf numFmtId="0" fontId="41" fillId="16" borderId="53" xfId="0" applyFont="1" applyFill="1" applyBorder="1"/>
    <xf numFmtId="0" fontId="41" fillId="16" borderId="0" xfId="0" applyFont="1" applyFill="1" applyProtection="1">
      <protection hidden="1"/>
    </xf>
    <xf numFmtId="0" fontId="41" fillId="16" borderId="0" xfId="0" applyFont="1" applyFill="1"/>
    <xf numFmtId="0" fontId="41" fillId="16" borderId="18" xfId="0" applyFont="1" applyFill="1" applyBorder="1" applyProtection="1">
      <protection hidden="1"/>
    </xf>
    <xf numFmtId="0" fontId="41" fillId="16" borderId="75" xfId="0" applyFont="1" applyFill="1" applyBorder="1" applyProtection="1">
      <protection locked="0"/>
    </xf>
    <xf numFmtId="0" fontId="41" fillId="16" borderId="76" xfId="0" applyFont="1" applyFill="1" applyBorder="1" applyProtection="1">
      <protection hidden="1"/>
    </xf>
    <xf numFmtId="0" fontId="41" fillId="16" borderId="56" xfId="0" applyFont="1" applyFill="1" applyBorder="1" applyProtection="1">
      <protection hidden="1"/>
    </xf>
    <xf numFmtId="0" fontId="41" fillId="16" borderId="63" xfId="0" applyFont="1" applyFill="1" applyBorder="1" applyProtection="1">
      <protection hidden="1"/>
    </xf>
    <xf numFmtId="0" fontId="51" fillId="16" borderId="0" xfId="0" applyFont="1" applyFill="1" applyBorder="1" applyAlignment="1" applyProtection="1">
      <alignment horizontal="center"/>
      <protection hidden="1"/>
    </xf>
    <xf numFmtId="0" fontId="8" fillId="12" borderId="0" xfId="0" applyFont="1" applyFill="1" applyAlignment="1">
      <alignment horizontal="center"/>
    </xf>
    <xf numFmtId="2" fontId="49" fillId="6" borderId="77" xfId="0" applyNumberFormat="1" applyFont="1" applyFill="1" applyBorder="1" applyAlignment="1" applyProtection="1">
      <alignment horizontal="center"/>
      <protection hidden="1"/>
    </xf>
    <xf numFmtId="2" fontId="49" fillId="6" borderId="78" xfId="0" applyNumberFormat="1" applyFont="1" applyFill="1" applyBorder="1" applyAlignment="1" applyProtection="1">
      <alignment horizontal="center"/>
      <protection hidden="1"/>
    </xf>
    <xf numFmtId="2" fontId="49" fillId="6" borderId="79" xfId="0" applyNumberFormat="1" applyFont="1" applyFill="1" applyBorder="1" applyAlignment="1" applyProtection="1">
      <alignment horizontal="center"/>
      <protection hidden="1"/>
    </xf>
    <xf numFmtId="1" fontId="50" fillId="5" borderId="0" xfId="0" applyNumberFormat="1" applyFont="1" applyFill="1" applyBorder="1" applyAlignment="1" applyProtection="1">
      <alignment horizontal="center"/>
      <protection hidden="1"/>
    </xf>
    <xf numFmtId="1" fontId="10" fillId="5" borderId="0" xfId="0" applyNumberFormat="1" applyFont="1" applyFill="1" applyAlignment="1">
      <alignment horizontal="center"/>
    </xf>
    <xf numFmtId="2" fontId="49" fillId="5" borderId="0" xfId="0" applyNumberFormat="1" applyFont="1" applyFill="1"/>
    <xf numFmtId="2" fontId="49" fillId="5" borderId="0" xfId="0" applyNumberFormat="1" applyFont="1" applyFill="1" applyAlignment="1">
      <alignment horizontal="center"/>
    </xf>
    <xf numFmtId="2" fontId="59" fillId="5" borderId="0" xfId="0" applyNumberFormat="1" applyFont="1" applyFill="1" applyAlignment="1">
      <alignment horizontal="center"/>
    </xf>
    <xf numFmtId="167" fontId="7" fillId="5" borderId="0" xfId="0" applyNumberFormat="1" applyFont="1" applyFill="1" applyProtection="1">
      <protection hidden="1"/>
    </xf>
    <xf numFmtId="0" fontId="59" fillId="17" borderId="0" xfId="0" applyFont="1" applyFill="1" applyAlignment="1" applyProtection="1">
      <alignment horizontal="right" vertical="top"/>
      <protection hidden="1"/>
    </xf>
    <xf numFmtId="0" fontId="59" fillId="0" borderId="0" xfId="0" applyFont="1" applyAlignment="1" applyProtection="1">
      <alignment horizontal="right" vertical="top"/>
      <protection hidden="1"/>
    </xf>
    <xf numFmtId="0" fontId="59" fillId="5" borderId="80" xfId="0" applyFont="1" applyFill="1" applyBorder="1" applyProtection="1">
      <protection hidden="1"/>
    </xf>
    <xf numFmtId="0" fontId="46" fillId="5" borderId="0" xfId="0" applyFont="1" applyFill="1" applyBorder="1" applyProtection="1">
      <protection hidden="1"/>
    </xf>
    <xf numFmtId="0" fontId="46" fillId="5" borderId="0" xfId="0" applyFont="1" applyFill="1" applyBorder="1" applyProtection="1"/>
    <xf numFmtId="171" fontId="7" fillId="0" borderId="0" xfId="0" applyNumberFormat="1" applyFont="1" applyBorder="1" applyAlignment="1" applyProtection="1">
      <alignment horizontal="center" vertical="center"/>
      <protection hidden="1"/>
    </xf>
    <xf numFmtId="9" fontId="7" fillId="0" borderId="0" xfId="2" applyNumberFormat="1" applyFont="1" applyBorder="1" applyAlignment="1" applyProtection="1">
      <alignment horizontal="center" vertical="center"/>
      <protection hidden="1"/>
    </xf>
    <xf numFmtId="9" fontId="7" fillId="0" borderId="0" xfId="2" applyFont="1" applyBorder="1" applyAlignment="1" applyProtection="1">
      <alignment horizontal="center" vertical="center"/>
      <protection hidden="1"/>
    </xf>
    <xf numFmtId="0" fontId="37" fillId="0" borderId="0" xfId="0" applyFont="1" applyProtection="1">
      <protection hidden="1"/>
    </xf>
    <xf numFmtId="172" fontId="7" fillId="0" borderId="0" xfId="0" applyNumberFormat="1" applyFont="1" applyBorder="1" applyAlignment="1" applyProtection="1">
      <alignment horizontal="center" vertical="center"/>
      <protection hidden="1"/>
    </xf>
    <xf numFmtId="0" fontId="7" fillId="0" borderId="0" xfId="0" applyFont="1" applyFill="1" applyBorder="1" applyAlignment="1" applyProtection="1">
      <alignment horizontal="right" vertical="center"/>
      <protection hidden="1"/>
    </xf>
    <xf numFmtId="9" fontId="7" fillId="0" borderId="0" xfId="0" applyNumberFormat="1" applyFont="1" applyFill="1" applyBorder="1" applyAlignment="1" applyProtection="1">
      <alignment horizontal="center" vertical="center"/>
      <protection hidden="1"/>
    </xf>
    <xf numFmtId="0" fontId="7" fillId="0" borderId="0" xfId="0" applyNumberFormat="1" applyFont="1" applyBorder="1" applyAlignment="1" applyProtection="1">
      <alignment horizontal="center" vertical="center"/>
      <protection hidden="1"/>
    </xf>
    <xf numFmtId="9" fontId="7" fillId="0" borderId="0" xfId="0" applyNumberFormat="1" applyFont="1" applyBorder="1" applyAlignment="1" applyProtection="1">
      <alignment horizontal="center" vertical="center"/>
      <protection hidden="1"/>
    </xf>
    <xf numFmtId="9" fontId="7" fillId="0" borderId="0" xfId="2" applyFont="1" applyBorder="1" applyAlignment="1" applyProtection="1">
      <alignment horizontal="center"/>
      <protection hidden="1"/>
    </xf>
    <xf numFmtId="9" fontId="7" fillId="0" borderId="0" xfId="0" applyNumberFormat="1" applyFont="1" applyBorder="1" applyProtection="1">
      <protection hidden="1"/>
    </xf>
    <xf numFmtId="0" fontId="75" fillId="16" borderId="0" xfId="0" applyFont="1" applyFill="1"/>
    <xf numFmtId="2" fontId="3" fillId="6" borderId="81" xfId="0" applyNumberFormat="1" applyFont="1" applyFill="1" applyBorder="1" applyAlignment="1" applyProtection="1">
      <alignment horizontal="center"/>
      <protection hidden="1"/>
    </xf>
    <xf numFmtId="2" fontId="3" fillId="6" borderId="82" xfId="0" applyNumberFormat="1" applyFont="1" applyFill="1" applyBorder="1" applyAlignment="1" applyProtection="1">
      <alignment horizontal="center"/>
      <protection hidden="1"/>
    </xf>
    <xf numFmtId="2" fontId="3" fillId="6" borderId="83" xfId="0" applyNumberFormat="1" applyFont="1" applyFill="1" applyBorder="1" applyAlignment="1" applyProtection="1">
      <alignment horizontal="center"/>
      <protection hidden="1"/>
    </xf>
    <xf numFmtId="2" fontId="49" fillId="6" borderId="84" xfId="0" applyNumberFormat="1" applyFont="1" applyFill="1" applyBorder="1" applyAlignment="1" applyProtection="1">
      <alignment horizontal="center"/>
      <protection hidden="1"/>
    </xf>
    <xf numFmtId="2" fontId="49" fillId="6" borderId="85" xfId="0" applyNumberFormat="1" applyFont="1" applyFill="1" applyBorder="1" applyAlignment="1" applyProtection="1">
      <alignment horizontal="center"/>
      <protection hidden="1"/>
    </xf>
    <xf numFmtId="2" fontId="49" fillId="6" borderId="86" xfId="0" applyNumberFormat="1" applyFont="1" applyFill="1" applyBorder="1" applyAlignment="1" applyProtection="1">
      <alignment horizontal="center"/>
      <protection hidden="1"/>
    </xf>
    <xf numFmtId="2" fontId="49" fillId="6" borderId="53" xfId="0" applyNumberFormat="1" applyFont="1" applyFill="1" applyBorder="1" applyAlignment="1" applyProtection="1">
      <alignment horizontal="center"/>
      <protection hidden="1"/>
    </xf>
    <xf numFmtId="2" fontId="49" fillId="6" borderId="87" xfId="0" applyNumberFormat="1" applyFont="1" applyFill="1" applyBorder="1" applyAlignment="1" applyProtection="1">
      <alignment horizontal="center"/>
      <protection hidden="1"/>
    </xf>
    <xf numFmtId="2" fontId="49" fillId="6" borderId="88" xfId="0" applyNumberFormat="1" applyFont="1" applyFill="1" applyBorder="1" applyAlignment="1" applyProtection="1">
      <alignment horizontal="center"/>
      <protection hidden="1"/>
    </xf>
    <xf numFmtId="168" fontId="49" fillId="6" borderId="89" xfId="0" applyNumberFormat="1" applyFont="1" applyFill="1" applyBorder="1" applyAlignment="1" applyProtection="1">
      <alignment horizontal="center"/>
      <protection hidden="1"/>
    </xf>
    <xf numFmtId="168" fontId="49" fillId="6" borderId="44" xfId="0" applyNumberFormat="1" applyFont="1" applyFill="1" applyBorder="1" applyAlignment="1" applyProtection="1">
      <alignment horizontal="center"/>
      <protection hidden="1"/>
    </xf>
    <xf numFmtId="168" fontId="49" fillId="6" borderId="90" xfId="0" applyNumberFormat="1" applyFont="1" applyFill="1" applyBorder="1" applyAlignment="1" applyProtection="1">
      <alignment horizontal="center"/>
      <protection hidden="1"/>
    </xf>
    <xf numFmtId="2" fontId="49" fillId="6" borderId="91" xfId="0" applyNumberFormat="1" applyFont="1" applyFill="1" applyBorder="1" applyAlignment="1" applyProtection="1">
      <alignment horizontal="center"/>
      <protection hidden="1"/>
    </xf>
    <xf numFmtId="2" fontId="49" fillId="6" borderId="92" xfId="0" applyNumberFormat="1" applyFont="1" applyFill="1" applyBorder="1" applyAlignment="1" applyProtection="1">
      <alignment horizontal="center"/>
      <protection hidden="1"/>
    </xf>
    <xf numFmtId="2" fontId="49" fillId="6" borderId="93" xfId="0" applyNumberFormat="1" applyFont="1" applyFill="1" applyBorder="1" applyAlignment="1" applyProtection="1">
      <alignment horizontal="center"/>
      <protection hidden="1"/>
    </xf>
    <xf numFmtId="2" fontId="49" fillId="6" borderId="91" xfId="0" applyNumberFormat="1" applyFont="1" applyFill="1" applyBorder="1" applyAlignment="1" applyProtection="1">
      <alignment horizontal="right"/>
      <protection hidden="1"/>
    </xf>
    <xf numFmtId="2" fontId="49" fillId="6" borderId="92" xfId="0" applyNumberFormat="1" applyFont="1" applyFill="1" applyBorder="1" applyAlignment="1" applyProtection="1">
      <alignment horizontal="right"/>
      <protection hidden="1"/>
    </xf>
    <xf numFmtId="2" fontId="49" fillId="6" borderId="93" xfId="0" applyNumberFormat="1" applyFont="1" applyFill="1" applyBorder="1" applyAlignment="1" applyProtection="1">
      <alignment horizontal="right"/>
      <protection hidden="1"/>
    </xf>
    <xf numFmtId="0" fontId="10" fillId="6" borderId="0" xfId="0" applyFont="1" applyFill="1" applyAlignment="1" applyProtection="1">
      <alignment vertical="center"/>
      <protection hidden="1"/>
    </xf>
    <xf numFmtId="2" fontId="82" fillId="6" borderId="6" xfId="0" applyNumberFormat="1" applyFont="1" applyFill="1" applyBorder="1" applyAlignment="1" applyProtection="1">
      <alignment horizontal="center"/>
      <protection hidden="1"/>
    </xf>
    <xf numFmtId="0" fontId="84" fillId="5" borderId="0" xfId="0" applyFont="1" applyFill="1" applyBorder="1" applyProtection="1">
      <protection hidden="1"/>
    </xf>
    <xf numFmtId="0" fontId="84" fillId="5" borderId="0" xfId="0" applyFont="1" applyFill="1" applyBorder="1" applyAlignment="1" applyProtection="1">
      <alignment horizontal="center"/>
      <protection hidden="1"/>
    </xf>
    <xf numFmtId="0" fontId="84" fillId="5" borderId="13" xfId="0" applyFont="1" applyFill="1" applyBorder="1" applyProtection="1">
      <protection hidden="1"/>
    </xf>
    <xf numFmtId="165" fontId="84" fillId="5" borderId="0" xfId="1" applyNumberFormat="1" applyFont="1" applyFill="1" applyBorder="1" applyProtection="1">
      <protection hidden="1"/>
    </xf>
    <xf numFmtId="0" fontId="80" fillId="5" borderId="0" xfId="0" applyFont="1" applyFill="1" applyBorder="1" applyProtection="1">
      <protection hidden="1"/>
    </xf>
    <xf numFmtId="167" fontId="80" fillId="5" borderId="0" xfId="0" applyNumberFormat="1" applyFont="1" applyFill="1" applyBorder="1" applyProtection="1">
      <protection hidden="1"/>
    </xf>
    <xf numFmtId="0" fontId="84" fillId="5" borderId="4" xfId="0" applyFont="1" applyFill="1" applyBorder="1" applyProtection="1">
      <protection hidden="1"/>
    </xf>
    <xf numFmtId="3" fontId="84" fillId="5" borderId="0" xfId="0" applyNumberFormat="1" applyFont="1" applyFill="1" applyBorder="1" applyProtection="1">
      <protection hidden="1"/>
    </xf>
    <xf numFmtId="2" fontId="59" fillId="5" borderId="0" xfId="0" applyNumberFormat="1" applyFont="1" applyFill="1" applyBorder="1" applyProtection="1">
      <protection hidden="1"/>
    </xf>
    <xf numFmtId="2" fontId="7" fillId="5" borderId="0" xfId="0" applyNumberFormat="1" applyFont="1" applyFill="1" applyBorder="1" applyAlignment="1" applyProtection="1">
      <alignment horizontal="center"/>
      <protection hidden="1"/>
    </xf>
    <xf numFmtId="0" fontId="49" fillId="5" borderId="13" xfId="0" applyFont="1" applyFill="1" applyBorder="1" applyProtection="1">
      <protection hidden="1"/>
    </xf>
    <xf numFmtId="0" fontId="3" fillId="5" borderId="13" xfId="0" applyFont="1" applyFill="1" applyBorder="1" applyProtection="1">
      <protection hidden="1"/>
    </xf>
    <xf numFmtId="0" fontId="46" fillId="5" borderId="13" xfId="0" applyFont="1" applyFill="1" applyBorder="1" applyProtection="1">
      <protection hidden="1"/>
    </xf>
    <xf numFmtId="0" fontId="21" fillId="0" borderId="0" xfId="0" applyFont="1" applyAlignment="1">
      <alignment horizontal="right" textRotation="90"/>
    </xf>
    <xf numFmtId="0" fontId="14" fillId="0" borderId="0" xfId="0" applyFont="1" applyAlignment="1" applyProtection="1">
      <protection hidden="1"/>
    </xf>
    <xf numFmtId="0" fontId="59" fillId="5" borderId="0" xfId="0" applyFont="1" applyFill="1" applyBorder="1" applyAlignment="1" applyProtection="1">
      <alignment horizontal="right"/>
      <protection hidden="1"/>
    </xf>
    <xf numFmtId="0" fontId="89" fillId="5" borderId="0" xfId="0" applyFont="1" applyFill="1" applyBorder="1" applyAlignment="1" applyProtection="1">
      <alignment horizontal="right"/>
      <protection hidden="1"/>
    </xf>
    <xf numFmtId="2" fontId="80" fillId="5" borderId="0" xfId="0" applyNumberFormat="1" applyFont="1" applyFill="1" applyBorder="1" applyAlignment="1" applyProtection="1">
      <alignment horizontal="right"/>
      <protection hidden="1"/>
    </xf>
    <xf numFmtId="1" fontId="7" fillId="0" borderId="0" xfId="0" applyNumberFormat="1" applyFont="1" applyFill="1"/>
    <xf numFmtId="0" fontId="59" fillId="5" borderId="0" xfId="0" applyFont="1" applyFill="1" applyAlignment="1" applyProtection="1">
      <alignment horizontal="left"/>
      <protection hidden="1"/>
    </xf>
    <xf numFmtId="0" fontId="7" fillId="0" borderId="0" xfId="0" applyFont="1" applyBorder="1" applyAlignment="1">
      <alignment vertical="center"/>
    </xf>
    <xf numFmtId="0" fontId="30" fillId="0" borderId="0" xfId="0" applyFont="1" applyFill="1" applyProtection="1">
      <protection hidden="1"/>
    </xf>
    <xf numFmtId="0" fontId="62" fillId="5" borderId="94" xfId="0" applyFont="1" applyFill="1" applyBorder="1" applyAlignment="1" applyProtection="1">
      <alignment horizontal="center" vertical="center" wrapText="1"/>
      <protection hidden="1"/>
    </xf>
    <xf numFmtId="0" fontId="7" fillId="5" borderId="95" xfId="0" applyFont="1" applyFill="1" applyBorder="1" applyAlignment="1" applyProtection="1">
      <alignment horizontal="left"/>
      <protection locked="0"/>
    </xf>
    <xf numFmtId="0" fontId="3" fillId="5" borderId="4" xfId="0" applyFont="1" applyFill="1" applyBorder="1" applyAlignment="1" applyProtection="1">
      <alignment horizontal="left"/>
      <protection locked="0"/>
    </xf>
    <xf numFmtId="0" fontId="7" fillId="5" borderId="96" xfId="0" applyFont="1" applyFill="1" applyBorder="1" applyAlignment="1" applyProtection="1">
      <alignment horizontal="left"/>
      <protection locked="0"/>
    </xf>
    <xf numFmtId="0" fontId="7" fillId="5" borderId="7" xfId="0" applyFont="1" applyFill="1" applyBorder="1" applyAlignment="1" applyProtection="1">
      <alignment horizontal="left"/>
      <protection locked="0"/>
    </xf>
    <xf numFmtId="0" fontId="3" fillId="5" borderId="4" xfId="0" applyFont="1" applyFill="1" applyBorder="1" applyProtection="1">
      <protection locked="0"/>
    </xf>
    <xf numFmtId="0" fontId="7" fillId="5" borderId="97" xfId="0" applyFont="1" applyFill="1" applyBorder="1" applyAlignment="1" applyProtection="1">
      <alignment horizontal="left"/>
      <protection locked="0"/>
    </xf>
    <xf numFmtId="0" fontId="7" fillId="5" borderId="65" xfId="0" applyFont="1" applyFill="1" applyBorder="1" applyAlignment="1" applyProtection="1">
      <alignment horizontal="center"/>
      <protection locked="0"/>
    </xf>
    <xf numFmtId="0" fontId="7" fillId="5" borderId="98" xfId="0" applyFont="1" applyFill="1" applyBorder="1" applyAlignment="1" applyProtection="1">
      <alignment horizontal="center"/>
      <protection locked="0"/>
    </xf>
    <xf numFmtId="2" fontId="7" fillId="5" borderId="65" xfId="0" applyNumberFormat="1" applyFont="1" applyFill="1" applyBorder="1" applyAlignment="1" applyProtection="1">
      <alignment horizontal="center"/>
      <protection locked="0"/>
    </xf>
    <xf numFmtId="0" fontId="7" fillId="5" borderId="26" xfId="0" applyFont="1" applyFill="1" applyBorder="1" applyAlignment="1" applyProtection="1">
      <alignment horizontal="center"/>
      <protection locked="0"/>
    </xf>
    <xf numFmtId="0" fontId="7" fillId="5" borderId="99" xfId="0" applyFont="1" applyFill="1" applyBorder="1" applyAlignment="1" applyProtection="1">
      <alignment horizontal="center"/>
      <protection locked="0"/>
    </xf>
    <xf numFmtId="0" fontId="7" fillId="5" borderId="100" xfId="0" applyFont="1" applyFill="1" applyBorder="1" applyAlignment="1" applyProtection="1">
      <alignment horizontal="center"/>
      <protection locked="0"/>
    </xf>
    <xf numFmtId="2" fontId="7" fillId="5" borderId="99" xfId="0" applyNumberFormat="1" applyFont="1" applyFill="1" applyBorder="1" applyAlignment="1" applyProtection="1">
      <alignment horizontal="center"/>
      <protection locked="0"/>
    </xf>
    <xf numFmtId="0" fontId="7" fillId="5" borderId="75" xfId="0" applyFont="1" applyFill="1" applyBorder="1" applyAlignment="1" applyProtection="1">
      <alignment horizontal="center"/>
      <protection locked="0"/>
    </xf>
    <xf numFmtId="0" fontId="7" fillId="5" borderId="66" xfId="0" applyFont="1" applyFill="1" applyBorder="1" applyAlignment="1" applyProtection="1">
      <alignment horizontal="center"/>
      <protection locked="0"/>
    </xf>
    <xf numFmtId="0" fontId="7" fillId="5" borderId="8" xfId="0" applyFont="1" applyFill="1" applyBorder="1" applyAlignment="1" applyProtection="1">
      <alignment horizontal="center"/>
      <protection locked="0"/>
    </xf>
    <xf numFmtId="2" fontId="7" fillId="5" borderId="66" xfId="0" applyNumberFormat="1" applyFont="1" applyFill="1" applyBorder="1" applyAlignment="1" applyProtection="1">
      <alignment horizontal="center"/>
      <protection locked="0"/>
    </xf>
    <xf numFmtId="2" fontId="7" fillId="5" borderId="64" xfId="0" applyNumberFormat="1" applyFont="1" applyFill="1" applyBorder="1" applyAlignment="1" applyProtection="1">
      <alignment horizontal="center"/>
      <protection locked="0"/>
    </xf>
    <xf numFmtId="2" fontId="7" fillId="5" borderId="101" xfId="0" applyNumberFormat="1" applyFont="1" applyFill="1" applyBorder="1" applyAlignment="1" applyProtection="1">
      <alignment horizontal="center"/>
      <protection locked="0"/>
    </xf>
    <xf numFmtId="2" fontId="7" fillId="5" borderId="29" xfId="0" applyNumberFormat="1" applyFont="1" applyFill="1" applyBorder="1" applyAlignment="1" applyProtection="1">
      <alignment horizontal="center"/>
      <protection locked="0"/>
    </xf>
    <xf numFmtId="2" fontId="7" fillId="5" borderId="98" xfId="0" applyNumberFormat="1" applyFont="1" applyFill="1" applyBorder="1" applyAlignment="1" applyProtection="1">
      <alignment horizontal="center"/>
      <protection locked="0"/>
    </xf>
    <xf numFmtId="1" fontId="7" fillId="5" borderId="65" xfId="0" applyNumberFormat="1" applyFont="1" applyFill="1" applyBorder="1" applyAlignment="1" applyProtection="1">
      <alignment horizontal="center"/>
      <protection locked="0"/>
    </xf>
    <xf numFmtId="1" fontId="7" fillId="5" borderId="99" xfId="0" applyNumberFormat="1" applyFont="1" applyFill="1" applyBorder="1" applyAlignment="1" applyProtection="1">
      <alignment horizontal="center"/>
      <protection locked="0"/>
    </xf>
    <xf numFmtId="1" fontId="7" fillId="5" borderId="66" xfId="0" applyNumberFormat="1" applyFont="1" applyFill="1" applyBorder="1" applyAlignment="1" applyProtection="1">
      <alignment horizontal="center"/>
      <protection locked="0"/>
    </xf>
    <xf numFmtId="1" fontId="7" fillId="5" borderId="8" xfId="0" applyNumberFormat="1" applyFont="1" applyFill="1" applyBorder="1" applyAlignment="1" applyProtection="1">
      <alignment horizontal="center"/>
      <protection locked="0"/>
    </xf>
    <xf numFmtId="1" fontId="7" fillId="5" borderId="100" xfId="0" applyNumberFormat="1" applyFont="1" applyFill="1" applyBorder="1" applyAlignment="1" applyProtection="1">
      <alignment horizontal="center"/>
      <protection locked="0"/>
    </xf>
    <xf numFmtId="1" fontId="7" fillId="5" borderId="98" xfId="0" applyNumberFormat="1" applyFont="1" applyFill="1" applyBorder="1" applyAlignment="1" applyProtection="1">
      <alignment horizontal="center"/>
      <protection locked="0"/>
    </xf>
    <xf numFmtId="0" fontId="7" fillId="5" borderId="64" xfId="0" applyFont="1" applyFill="1" applyBorder="1" applyAlignment="1" applyProtection="1">
      <alignment horizontal="center"/>
      <protection locked="0"/>
    </xf>
    <xf numFmtId="0" fontId="7" fillId="5" borderId="101" xfId="0" applyFont="1" applyFill="1" applyBorder="1" applyAlignment="1" applyProtection="1">
      <alignment horizontal="center"/>
      <protection locked="0"/>
    </xf>
    <xf numFmtId="0" fontId="7" fillId="5" borderId="29" xfId="0" applyFont="1" applyFill="1" applyBorder="1" applyAlignment="1" applyProtection="1">
      <alignment horizontal="center"/>
      <protection locked="0"/>
    </xf>
    <xf numFmtId="2" fontId="7" fillId="5" borderId="75" xfId="0" applyNumberFormat="1" applyFont="1" applyFill="1" applyBorder="1" applyAlignment="1" applyProtection="1">
      <alignment horizontal="center"/>
      <protection locked="0"/>
    </xf>
    <xf numFmtId="2" fontId="7" fillId="5" borderId="26" xfId="0" applyNumberFormat="1" applyFont="1" applyFill="1" applyBorder="1" applyAlignment="1" applyProtection="1">
      <alignment horizontal="center"/>
      <protection locked="0"/>
    </xf>
    <xf numFmtId="0" fontId="7" fillId="5" borderId="102" xfId="0" applyFont="1" applyFill="1" applyBorder="1" applyAlignment="1" applyProtection="1">
      <alignment horizontal="center"/>
      <protection locked="0"/>
    </xf>
    <xf numFmtId="2" fontId="7" fillId="5" borderId="102" xfId="0" applyNumberFormat="1" applyFont="1" applyFill="1" applyBorder="1" applyAlignment="1" applyProtection="1">
      <alignment horizontal="center"/>
      <protection locked="0"/>
    </xf>
    <xf numFmtId="1" fontId="3" fillId="5" borderId="0" xfId="0" applyNumberFormat="1" applyFont="1" applyFill="1" applyBorder="1" applyAlignment="1" applyProtection="1">
      <alignment horizontal="center"/>
      <protection locked="0"/>
    </xf>
    <xf numFmtId="0" fontId="3" fillId="5" borderId="0" xfId="0" applyFont="1" applyFill="1" applyAlignment="1" applyProtection="1">
      <alignment horizontal="center"/>
      <protection locked="0"/>
    </xf>
    <xf numFmtId="0" fontId="7" fillId="5" borderId="103" xfId="0" applyFont="1" applyFill="1" applyBorder="1" applyAlignment="1" applyProtection="1">
      <alignment horizontal="center"/>
      <protection locked="0"/>
    </xf>
    <xf numFmtId="2" fontId="3" fillId="5" borderId="0" xfId="0" applyNumberFormat="1" applyFont="1" applyFill="1" applyBorder="1" applyAlignment="1" applyProtection="1">
      <alignment horizontal="center"/>
      <protection locked="0"/>
    </xf>
    <xf numFmtId="2" fontId="3" fillId="5" borderId="6" xfId="0" applyNumberFormat="1" applyFont="1" applyFill="1" applyBorder="1" applyAlignment="1" applyProtection="1">
      <alignment horizontal="center"/>
      <protection locked="0"/>
    </xf>
    <xf numFmtId="167" fontId="3" fillId="5" borderId="0" xfId="0" applyNumberFormat="1" applyFont="1" applyFill="1" applyAlignment="1" applyProtection="1">
      <alignment horizontal="center"/>
      <protection locked="0"/>
    </xf>
    <xf numFmtId="0" fontId="7" fillId="5" borderId="0" xfId="0" applyFont="1" applyFill="1" applyAlignment="1" applyProtection="1">
      <alignment horizontal="center"/>
      <protection locked="0"/>
    </xf>
    <xf numFmtId="2" fontId="7" fillId="5" borderId="0" xfId="0" applyNumberFormat="1" applyFont="1" applyFill="1" applyAlignment="1" applyProtection="1">
      <alignment horizontal="center"/>
      <protection locked="0"/>
    </xf>
    <xf numFmtId="0" fontId="7" fillId="5" borderId="6" xfId="0" applyFont="1" applyFill="1" applyBorder="1" applyAlignment="1" applyProtection="1">
      <alignment horizontal="center"/>
      <protection locked="0"/>
    </xf>
    <xf numFmtId="167" fontId="3" fillId="5" borderId="0" xfId="0" applyNumberFormat="1" applyFont="1" applyFill="1" applyBorder="1" applyAlignment="1" applyProtection="1">
      <alignment horizontal="center"/>
      <protection locked="0"/>
    </xf>
    <xf numFmtId="0" fontId="3" fillId="5" borderId="4" xfId="0" applyFont="1" applyFill="1" applyBorder="1" applyAlignment="1" applyProtection="1">
      <alignment horizontal="left"/>
      <protection hidden="1"/>
    </xf>
    <xf numFmtId="0" fontId="3" fillId="5" borderId="0" xfId="0" applyFont="1" applyFill="1" applyProtection="1">
      <protection hidden="1"/>
    </xf>
    <xf numFmtId="0" fontId="3" fillId="5" borderId="0" xfId="0" applyFont="1" applyFill="1" applyBorder="1" applyAlignment="1" applyProtection="1">
      <alignment horizontal="center"/>
    </xf>
    <xf numFmtId="0" fontId="7" fillId="5" borderId="0" xfId="0" applyFont="1" applyFill="1" applyProtection="1">
      <protection locked="0"/>
    </xf>
    <xf numFmtId="0" fontId="3" fillId="12" borderId="68" xfId="0" applyFont="1" applyFill="1" applyBorder="1" applyAlignment="1" applyProtection="1">
      <alignment horizontal="center"/>
      <protection locked="0" hidden="1"/>
    </xf>
    <xf numFmtId="0" fontId="7" fillId="5" borderId="104" xfId="0" applyFont="1" applyFill="1" applyBorder="1" applyAlignment="1" applyProtection="1">
      <alignment horizontal="center"/>
      <protection locked="0"/>
    </xf>
    <xf numFmtId="0" fontId="7" fillId="5" borderId="105" xfId="0" applyFont="1" applyFill="1" applyBorder="1" applyAlignment="1" applyProtection="1">
      <alignment horizontal="center"/>
      <protection locked="0"/>
    </xf>
    <xf numFmtId="0" fontId="7" fillId="5" borderId="103" xfId="0" applyFont="1" applyFill="1" applyBorder="1" applyProtection="1"/>
    <xf numFmtId="0" fontId="3" fillId="5" borderId="103" xfId="0" applyFont="1" applyFill="1" applyBorder="1" applyAlignment="1" applyProtection="1">
      <alignment horizontal="center"/>
    </xf>
    <xf numFmtId="0" fontId="3" fillId="5" borderId="103" xfId="0" applyFont="1" applyFill="1" applyBorder="1" applyAlignment="1" applyProtection="1">
      <alignment horizontal="center"/>
      <protection locked="0" hidden="1"/>
    </xf>
    <xf numFmtId="0" fontId="7" fillId="5" borderId="106" xfId="0" applyFont="1" applyFill="1" applyBorder="1" applyAlignment="1" applyProtection="1">
      <alignment horizontal="center"/>
      <protection locked="0"/>
    </xf>
    <xf numFmtId="0" fontId="3" fillId="5" borderId="106" xfId="0" applyFont="1" applyFill="1" applyBorder="1" applyAlignment="1" applyProtection="1">
      <alignment horizontal="center"/>
      <protection locked="0" hidden="1"/>
    </xf>
    <xf numFmtId="0" fontId="3" fillId="5" borderId="103" xfId="0" applyFont="1" applyFill="1" applyBorder="1" applyAlignment="1" applyProtection="1">
      <alignment horizontal="center"/>
      <protection locked="0"/>
    </xf>
    <xf numFmtId="0" fontId="3" fillId="5" borderId="107" xfId="0" applyFont="1" applyFill="1" applyBorder="1" applyAlignment="1" applyProtection="1">
      <alignment horizontal="center"/>
      <protection locked="0"/>
    </xf>
    <xf numFmtId="0" fontId="3" fillId="12" borderId="30" xfId="0" applyFont="1" applyFill="1" applyBorder="1" applyAlignment="1" applyProtection="1">
      <alignment horizontal="center"/>
      <protection locked="0" hidden="1"/>
    </xf>
    <xf numFmtId="0" fontId="3" fillId="5" borderId="108" xfId="0" applyFont="1" applyFill="1" applyBorder="1" applyAlignment="1" applyProtection="1">
      <alignment horizontal="center"/>
      <protection locked="0"/>
    </xf>
    <xf numFmtId="0" fontId="7" fillId="5" borderId="103" xfId="0" applyFont="1" applyFill="1" applyBorder="1" applyAlignment="1" applyProtection="1">
      <alignment horizontal="left"/>
      <protection locked="0"/>
    </xf>
    <xf numFmtId="0" fontId="3" fillId="12" borderId="109" xfId="0" applyFont="1" applyFill="1" applyBorder="1" applyAlignment="1" applyProtection="1">
      <alignment horizontal="center"/>
      <protection hidden="1"/>
    </xf>
    <xf numFmtId="0" fontId="3" fillId="12" borderId="109" xfId="0" applyFont="1" applyFill="1" applyBorder="1" applyAlignment="1" applyProtection="1">
      <alignment horizontal="center"/>
      <protection locked="0" hidden="1"/>
    </xf>
    <xf numFmtId="2" fontId="3" fillId="12" borderId="0" xfId="0" applyNumberFormat="1" applyFont="1" applyFill="1" applyBorder="1" applyAlignment="1" applyProtection="1">
      <alignment horizontal="center"/>
      <protection hidden="1"/>
    </xf>
    <xf numFmtId="0" fontId="3" fillId="5" borderId="95" xfId="0" applyFont="1" applyFill="1" applyBorder="1" applyAlignment="1" applyProtection="1">
      <alignment horizontal="left"/>
      <protection hidden="1"/>
    </xf>
    <xf numFmtId="0" fontId="3" fillId="12" borderId="0" xfId="0" applyFont="1" applyFill="1" applyAlignment="1" applyProtection="1">
      <alignment horizontal="center"/>
    </xf>
    <xf numFmtId="0" fontId="3" fillId="5" borderId="99" xfId="0" applyFont="1" applyFill="1" applyBorder="1" applyAlignment="1" applyProtection="1">
      <alignment horizontal="center"/>
    </xf>
    <xf numFmtId="0" fontId="3" fillId="5" borderId="99" xfId="0" applyFont="1" applyFill="1" applyBorder="1" applyAlignment="1" applyProtection="1">
      <alignment horizontal="center"/>
      <protection locked="0"/>
    </xf>
    <xf numFmtId="0" fontId="7" fillId="5" borderId="110" xfId="0" applyFont="1" applyFill="1" applyBorder="1" applyAlignment="1" applyProtection="1">
      <alignment horizontal="center"/>
      <protection locked="0"/>
    </xf>
    <xf numFmtId="0" fontId="7" fillId="5" borderId="111" xfId="0" applyFont="1" applyFill="1" applyBorder="1" applyAlignment="1" applyProtection="1">
      <alignment horizontal="center"/>
      <protection locked="0"/>
    </xf>
    <xf numFmtId="0" fontId="3" fillId="5" borderId="0" xfId="0" applyFont="1" applyFill="1"/>
    <xf numFmtId="0" fontId="3" fillId="5" borderId="0" xfId="0" applyFont="1" applyFill="1" applyAlignment="1">
      <alignment horizontal="center"/>
    </xf>
    <xf numFmtId="0" fontId="3" fillId="5" borderId="0" xfId="0" applyFont="1" applyFill="1" applyAlignment="1" applyProtection="1">
      <alignment horizontal="center"/>
    </xf>
    <xf numFmtId="167" fontId="3" fillId="5" borderId="0" xfId="0" applyNumberFormat="1" applyFont="1" applyFill="1" applyAlignment="1">
      <alignment horizontal="center"/>
    </xf>
    <xf numFmtId="1" fontId="3" fillId="5" borderId="0" xfId="0" applyNumberFormat="1" applyFont="1" applyFill="1" applyAlignment="1">
      <alignment horizontal="center"/>
    </xf>
    <xf numFmtId="0" fontId="3" fillId="5" borderId="0" xfId="0" applyFont="1" applyFill="1" applyProtection="1"/>
    <xf numFmtId="1" fontId="3" fillId="12" borderId="68" xfId="0" applyNumberFormat="1" applyFont="1" applyFill="1" applyBorder="1" applyAlignment="1" applyProtection="1">
      <alignment horizontal="center"/>
      <protection locked="0" hidden="1"/>
    </xf>
    <xf numFmtId="166" fontId="3" fillId="12" borderId="0" xfId="0" applyNumberFormat="1" applyFont="1" applyFill="1" applyAlignment="1">
      <alignment horizontal="center"/>
    </xf>
    <xf numFmtId="0" fontId="3" fillId="5" borderId="106" xfId="0" applyFont="1" applyFill="1" applyBorder="1" applyProtection="1"/>
    <xf numFmtId="0" fontId="3" fillId="5" borderId="68" xfId="0" applyFont="1" applyFill="1" applyBorder="1" applyProtection="1"/>
    <xf numFmtId="0" fontId="3" fillId="5" borderId="106" xfId="0" applyFont="1" applyFill="1" applyBorder="1"/>
    <xf numFmtId="0" fontId="3" fillId="5" borderId="68" xfId="0" applyFont="1" applyFill="1" applyBorder="1" applyAlignment="1">
      <alignment horizontal="center"/>
    </xf>
    <xf numFmtId="0" fontId="3" fillId="5" borderId="106" xfId="0" applyFont="1" applyFill="1" applyBorder="1" applyAlignment="1">
      <alignment horizontal="center"/>
    </xf>
    <xf numFmtId="0" fontId="3" fillId="5" borderId="112" xfId="0" applyFont="1" applyFill="1" applyBorder="1"/>
    <xf numFmtId="0" fontId="3" fillId="5" borderId="109" xfId="0" applyFont="1" applyFill="1" applyBorder="1"/>
    <xf numFmtId="0" fontId="3" fillId="5" borderId="113" xfId="0" applyFont="1" applyFill="1" applyBorder="1" applyProtection="1"/>
    <xf numFmtId="1" fontId="3" fillId="5" borderId="113" xfId="0" applyNumberFormat="1" applyFont="1" applyFill="1" applyBorder="1" applyAlignment="1" applyProtection="1">
      <alignment horizontal="center"/>
      <protection locked="0" hidden="1"/>
    </xf>
    <xf numFmtId="0" fontId="3" fillId="5" borderId="114" xfId="0" applyFont="1" applyFill="1" applyBorder="1" applyAlignment="1">
      <alignment horizontal="center"/>
    </xf>
    <xf numFmtId="0" fontId="3" fillId="5" borderId="115" xfId="0" applyFont="1" applyFill="1" applyBorder="1" applyAlignment="1">
      <alignment horizontal="center"/>
    </xf>
    <xf numFmtId="0" fontId="3" fillId="5" borderId="116" xfId="0" applyFont="1" applyFill="1" applyBorder="1"/>
    <xf numFmtId="2" fontId="7" fillId="5" borderId="104" xfId="0" applyNumberFormat="1" applyFont="1" applyFill="1" applyBorder="1" applyAlignment="1" applyProtection="1">
      <alignment horizontal="center"/>
      <protection locked="0"/>
    </xf>
    <xf numFmtId="0" fontId="3" fillId="5" borderId="116" xfId="0" applyFont="1" applyFill="1" applyBorder="1" applyAlignment="1">
      <alignment horizontal="center"/>
    </xf>
    <xf numFmtId="0" fontId="3" fillId="12" borderId="0" xfId="0" applyFont="1" applyFill="1" applyAlignment="1" applyProtection="1">
      <alignment horizontal="center"/>
      <protection locked="0"/>
    </xf>
    <xf numFmtId="0" fontId="3" fillId="12" borderId="68" xfId="0" applyFont="1" applyFill="1" applyBorder="1" applyAlignment="1" applyProtection="1">
      <alignment horizontal="center"/>
      <protection locked="0"/>
    </xf>
    <xf numFmtId="0" fontId="3" fillId="12" borderId="0" xfId="0" applyFont="1" applyFill="1" applyBorder="1" applyAlignment="1" applyProtection="1">
      <alignment horizontal="center"/>
      <protection locked="0"/>
    </xf>
    <xf numFmtId="1" fontId="3" fillId="12" borderId="68" xfId="0" applyNumberFormat="1" applyFont="1" applyFill="1" applyBorder="1" applyAlignment="1" applyProtection="1">
      <alignment horizontal="center"/>
      <protection locked="0"/>
    </xf>
    <xf numFmtId="2" fontId="7" fillId="5" borderId="19" xfId="0" applyNumberFormat="1" applyFont="1" applyFill="1" applyBorder="1" applyAlignment="1" applyProtection="1">
      <alignment horizontal="center"/>
      <protection locked="0"/>
    </xf>
    <xf numFmtId="0" fontId="3" fillId="5" borderId="0" xfId="0" applyFont="1" applyFill="1" applyBorder="1" applyProtection="1"/>
    <xf numFmtId="0" fontId="3" fillId="5" borderId="0" xfId="0" applyFont="1" applyFill="1" applyBorder="1"/>
    <xf numFmtId="0" fontId="3" fillId="5" borderId="117" xfId="0" applyFont="1" applyFill="1" applyBorder="1" applyAlignment="1" applyProtection="1">
      <alignment horizontal="center"/>
      <protection locked="0"/>
    </xf>
    <xf numFmtId="2" fontId="7" fillId="5" borderId="118" xfId="0" applyNumberFormat="1" applyFont="1" applyFill="1" applyBorder="1" applyAlignment="1" applyProtection="1">
      <alignment horizontal="center"/>
      <protection locked="0"/>
    </xf>
    <xf numFmtId="0" fontId="7" fillId="5" borderId="28" xfId="0" applyFont="1" applyFill="1" applyBorder="1" applyAlignment="1" applyProtection="1">
      <alignment horizontal="left"/>
      <protection locked="0"/>
    </xf>
    <xf numFmtId="0" fontId="46" fillId="5" borderId="99" xfId="0" applyFont="1" applyFill="1" applyBorder="1" applyAlignment="1" applyProtection="1">
      <alignment horizontal="center"/>
      <protection locked="0"/>
    </xf>
    <xf numFmtId="2" fontId="46" fillId="5" borderId="99" xfId="0" applyNumberFormat="1" applyFont="1" applyFill="1" applyBorder="1" applyAlignment="1" applyProtection="1">
      <alignment horizontal="center"/>
      <protection locked="0"/>
    </xf>
    <xf numFmtId="0" fontId="7" fillId="5" borderId="67" xfId="0" applyFont="1" applyFill="1" applyBorder="1" applyAlignment="1" applyProtection="1">
      <alignment horizontal="left"/>
      <protection locked="0"/>
    </xf>
    <xf numFmtId="2" fontId="7" fillId="5" borderId="119" xfId="0" applyNumberFormat="1" applyFont="1" applyFill="1" applyBorder="1" applyAlignment="1" applyProtection="1">
      <alignment horizontal="center"/>
      <protection locked="0"/>
    </xf>
    <xf numFmtId="1" fontId="3" fillId="5" borderId="120" xfId="0" applyNumberFormat="1" applyFont="1" applyFill="1" applyBorder="1" applyAlignment="1" applyProtection="1">
      <alignment horizontal="center"/>
      <protection locked="0"/>
    </xf>
    <xf numFmtId="1" fontId="3" fillId="5" borderId="6" xfId="0" applyNumberFormat="1" applyFont="1" applyFill="1" applyBorder="1" applyAlignment="1" applyProtection="1">
      <alignment horizontal="center"/>
      <protection locked="0"/>
    </xf>
    <xf numFmtId="0" fontId="3" fillId="5" borderId="120" xfId="0" applyFont="1" applyFill="1" applyBorder="1" applyAlignment="1" applyProtection="1">
      <alignment horizontal="center"/>
      <protection locked="0"/>
    </xf>
    <xf numFmtId="0" fontId="3" fillId="5" borderId="6" xfId="0" applyFont="1" applyFill="1" applyBorder="1" applyAlignment="1" applyProtection="1">
      <alignment horizontal="center"/>
      <protection locked="0"/>
    </xf>
    <xf numFmtId="0" fontId="3" fillId="5" borderId="121" xfId="0" applyFont="1" applyFill="1" applyBorder="1" applyProtection="1">
      <protection hidden="1"/>
    </xf>
    <xf numFmtId="0" fontId="3" fillId="5" borderId="122" xfId="0" applyFont="1" applyFill="1" applyBorder="1" applyProtection="1">
      <protection locked="0" hidden="1"/>
    </xf>
    <xf numFmtId="0" fontId="3" fillId="5" borderId="72" xfId="0" applyFont="1" applyFill="1" applyBorder="1" applyProtection="1">
      <protection locked="0" hidden="1"/>
    </xf>
    <xf numFmtId="0" fontId="7" fillId="5" borderId="123" xfId="0" applyFont="1" applyFill="1" applyBorder="1" applyAlignment="1" applyProtection="1">
      <alignment horizontal="center"/>
      <protection locked="0" hidden="1"/>
    </xf>
    <xf numFmtId="0" fontId="7" fillId="5" borderId="124" xfId="0" applyFont="1" applyFill="1" applyBorder="1" applyAlignment="1" applyProtection="1">
      <alignment horizontal="center"/>
      <protection locked="0" hidden="1"/>
    </xf>
    <xf numFmtId="0" fontId="3" fillId="12" borderId="0" xfId="0" applyFont="1" applyFill="1" applyAlignment="1" applyProtection="1">
      <alignment horizontal="center"/>
      <protection locked="0" hidden="1"/>
    </xf>
    <xf numFmtId="1" fontId="3" fillId="5" borderId="120" xfId="0" applyNumberFormat="1" applyFont="1" applyFill="1" applyBorder="1" applyAlignment="1" applyProtection="1">
      <alignment horizontal="center"/>
      <protection locked="0" hidden="1"/>
    </xf>
    <xf numFmtId="1" fontId="3" fillId="5" borderId="6" xfId="0" applyNumberFormat="1" applyFont="1" applyFill="1" applyBorder="1" applyAlignment="1" applyProtection="1">
      <alignment horizontal="center"/>
      <protection locked="0" hidden="1"/>
    </xf>
    <xf numFmtId="0" fontId="3" fillId="5" borderId="120" xfId="0" applyFont="1" applyFill="1" applyBorder="1" applyAlignment="1" applyProtection="1">
      <alignment horizontal="center"/>
      <protection locked="0" hidden="1"/>
    </xf>
    <xf numFmtId="0" fontId="3" fillId="5" borderId="6" xfId="0" applyFont="1" applyFill="1" applyBorder="1" applyAlignment="1" applyProtection="1">
      <alignment horizontal="center"/>
      <protection locked="0" hidden="1"/>
    </xf>
    <xf numFmtId="167" fontId="3" fillId="5" borderId="120" xfId="0" applyNumberFormat="1" applyFont="1" applyFill="1" applyBorder="1" applyAlignment="1" applyProtection="1">
      <alignment horizontal="center"/>
      <protection locked="0"/>
    </xf>
    <xf numFmtId="167" fontId="3" fillId="5" borderId="6" xfId="0" applyNumberFormat="1" applyFont="1" applyFill="1" applyBorder="1" applyAlignment="1" applyProtection="1">
      <alignment horizontal="center"/>
      <protection locked="0"/>
    </xf>
    <xf numFmtId="0" fontId="7" fillId="5" borderId="119" xfId="0" applyFont="1" applyFill="1" applyBorder="1" applyAlignment="1" applyProtection="1">
      <alignment horizontal="center"/>
      <protection locked="0" hidden="1"/>
    </xf>
    <xf numFmtId="0" fontId="7" fillId="5" borderId="121" xfId="0" applyFont="1" applyFill="1" applyBorder="1" applyProtection="1">
      <protection locked="0" hidden="1"/>
    </xf>
    <xf numFmtId="0" fontId="7" fillId="5" borderId="4" xfId="0" applyFont="1" applyFill="1" applyBorder="1" applyProtection="1">
      <protection locked="0" hidden="1"/>
    </xf>
    <xf numFmtId="0" fontId="7" fillId="5" borderId="118" xfId="0" applyFont="1" applyFill="1" applyBorder="1" applyAlignment="1" applyProtection="1">
      <alignment horizontal="center"/>
      <protection locked="0" hidden="1"/>
    </xf>
    <xf numFmtId="0" fontId="3" fillId="5" borderId="0" xfId="0" applyFont="1" applyFill="1" applyBorder="1" applyProtection="1">
      <protection hidden="1"/>
    </xf>
    <xf numFmtId="0" fontId="3" fillId="12" borderId="30" xfId="0" applyFont="1" applyFill="1" applyBorder="1" applyAlignment="1" applyProtection="1">
      <alignment horizontal="center"/>
      <protection locked="0"/>
    </xf>
    <xf numFmtId="167" fontId="3" fillId="5" borderId="117" xfId="0" applyNumberFormat="1" applyFont="1" applyFill="1" applyBorder="1" applyAlignment="1" applyProtection="1">
      <alignment horizontal="center"/>
      <protection locked="0"/>
    </xf>
    <xf numFmtId="2" fontId="3" fillId="5" borderId="117" xfId="0" applyNumberFormat="1" applyFont="1" applyFill="1" applyBorder="1" applyAlignment="1" applyProtection="1">
      <alignment horizontal="center"/>
      <protection locked="0"/>
    </xf>
    <xf numFmtId="0" fontId="7" fillId="5" borderId="125" xfId="0" applyFont="1" applyFill="1" applyBorder="1" applyAlignment="1" applyProtection="1">
      <alignment horizontal="center"/>
      <protection locked="0"/>
    </xf>
    <xf numFmtId="0" fontId="7" fillId="5" borderId="113" xfId="0" applyFont="1" applyFill="1" applyBorder="1" applyProtection="1">
      <protection locked="0" hidden="1"/>
    </xf>
    <xf numFmtId="0" fontId="7" fillId="5" borderId="114" xfId="0" applyFont="1" applyFill="1" applyBorder="1" applyProtection="1">
      <protection locked="0" hidden="1"/>
    </xf>
    <xf numFmtId="2" fontId="7" fillId="5" borderId="125" xfId="0" applyNumberFormat="1" applyFont="1" applyFill="1" applyBorder="1" applyAlignment="1" applyProtection="1">
      <alignment horizontal="center"/>
      <protection locked="0"/>
    </xf>
    <xf numFmtId="0" fontId="7" fillId="5" borderId="75" xfId="0" applyFont="1" applyFill="1" applyBorder="1" applyAlignment="1" applyProtection="1">
      <alignment horizontal="center"/>
      <protection locked="0" hidden="1"/>
    </xf>
    <xf numFmtId="0" fontId="9" fillId="5" borderId="96" xfId="0" applyFont="1" applyFill="1" applyBorder="1" applyAlignment="1" applyProtection="1">
      <alignment horizontal="center"/>
      <protection locked="0" hidden="1"/>
    </xf>
    <xf numFmtId="0" fontId="7" fillId="5" borderId="126" xfId="0" applyFont="1" applyFill="1" applyBorder="1" applyProtection="1">
      <protection locked="0" hidden="1"/>
    </xf>
    <xf numFmtId="0" fontId="7" fillId="5" borderId="122" xfId="0" applyFont="1" applyFill="1" applyBorder="1" applyAlignment="1" applyProtection="1">
      <alignment horizontal="center"/>
      <protection locked="0" hidden="1"/>
    </xf>
    <xf numFmtId="0" fontId="3" fillId="5" borderId="0" xfId="0" applyFont="1" applyFill="1" applyAlignment="1" applyProtection="1">
      <alignment horizontal="center"/>
      <protection hidden="1"/>
    </xf>
    <xf numFmtId="166" fontId="3" fillId="5" borderId="0" xfId="0" applyNumberFormat="1" applyFont="1" applyFill="1" applyBorder="1" applyAlignment="1" applyProtection="1">
      <alignment horizontal="center"/>
      <protection hidden="1"/>
    </xf>
    <xf numFmtId="2" fontId="3" fillId="5" borderId="0" xfId="0" applyNumberFormat="1" applyFont="1" applyFill="1" applyAlignment="1">
      <alignment horizontal="center"/>
    </xf>
    <xf numFmtId="2" fontId="3" fillId="5" borderId="0" xfId="0" applyNumberFormat="1" applyFont="1" applyFill="1" applyBorder="1" applyAlignment="1" applyProtection="1">
      <alignment horizontal="center"/>
    </xf>
    <xf numFmtId="0" fontId="3" fillId="5" borderId="117" xfId="0" applyFont="1" applyFill="1" applyBorder="1" applyAlignment="1" applyProtection="1">
      <alignment horizontal="center"/>
      <protection locked="0" hidden="1"/>
    </xf>
    <xf numFmtId="166" fontId="3" fillId="12" borderId="0" xfId="0" applyNumberFormat="1" applyFont="1" applyFill="1" applyBorder="1" applyAlignment="1" applyProtection="1">
      <alignment horizontal="center"/>
      <protection locked="0" hidden="1"/>
    </xf>
    <xf numFmtId="2" fontId="3" fillId="12" borderId="0" xfId="0" applyNumberFormat="1" applyFont="1" applyFill="1" applyAlignment="1" applyProtection="1">
      <alignment horizontal="center"/>
      <protection locked="0" hidden="1"/>
    </xf>
    <xf numFmtId="2" fontId="3" fillId="12" borderId="0" xfId="0" applyNumberFormat="1" applyFont="1" applyFill="1" applyBorder="1" applyAlignment="1" applyProtection="1">
      <alignment horizontal="center"/>
      <protection locked="0" hidden="1"/>
    </xf>
    <xf numFmtId="2" fontId="3" fillId="12" borderId="0" xfId="0" applyNumberFormat="1" applyFont="1" applyFill="1" applyBorder="1" applyAlignment="1" applyProtection="1">
      <alignment horizontal="center"/>
    </xf>
    <xf numFmtId="0" fontId="7" fillId="5" borderId="4" xfId="0" applyFont="1" applyFill="1" applyBorder="1" applyAlignment="1" applyProtection="1">
      <alignment horizontal="left"/>
      <protection hidden="1"/>
    </xf>
    <xf numFmtId="0" fontId="7" fillId="5" borderId="68" xfId="0" applyFont="1" applyFill="1" applyBorder="1" applyAlignment="1" applyProtection="1">
      <alignment horizontal="center"/>
      <protection hidden="1"/>
    </xf>
    <xf numFmtId="2" fontId="7" fillId="5" borderId="68" xfId="0" applyNumberFormat="1" applyFont="1" applyFill="1" applyBorder="1" applyAlignment="1" applyProtection="1">
      <alignment horizontal="center"/>
      <protection hidden="1"/>
    </xf>
    <xf numFmtId="2" fontId="7" fillId="5" borderId="30" xfId="0" applyNumberFormat="1" applyFont="1" applyFill="1" applyBorder="1" applyAlignment="1" applyProtection="1">
      <alignment horizontal="center"/>
      <protection hidden="1"/>
    </xf>
    <xf numFmtId="1" fontId="7" fillId="5" borderId="0" xfId="0" applyNumberFormat="1" applyFont="1" applyFill="1" applyBorder="1" applyAlignment="1" applyProtection="1">
      <alignment horizontal="center"/>
      <protection hidden="1"/>
    </xf>
    <xf numFmtId="0" fontId="9" fillId="5" borderId="30" xfId="0" applyFont="1" applyFill="1" applyBorder="1" applyAlignment="1" applyProtection="1">
      <alignment horizontal="center"/>
      <protection hidden="1"/>
    </xf>
    <xf numFmtId="0" fontId="7" fillId="5" borderId="0" xfId="0" applyFont="1" applyFill="1" applyBorder="1" applyAlignment="1" applyProtection="1">
      <alignment horizontal="left"/>
      <protection hidden="1"/>
    </xf>
    <xf numFmtId="2" fontId="11" fillId="5" borderId="127" xfId="0" applyNumberFormat="1" applyFont="1" applyFill="1" applyBorder="1" applyAlignment="1" applyProtection="1">
      <alignment horizontal="left"/>
      <protection hidden="1"/>
    </xf>
    <xf numFmtId="0" fontId="3" fillId="5" borderId="128" xfId="0" applyFont="1" applyFill="1" applyBorder="1" applyAlignment="1" applyProtection="1">
      <alignment horizontal="left"/>
      <protection locked="0" hidden="1"/>
    </xf>
    <xf numFmtId="2" fontId="98" fillId="12" borderId="128" xfId="0" applyNumberFormat="1" applyFont="1" applyFill="1" applyBorder="1" applyAlignment="1" applyProtection="1">
      <alignment horizontal="left"/>
      <protection hidden="1"/>
    </xf>
    <xf numFmtId="1" fontId="76" fillId="12" borderId="128" xfId="0" applyNumberFormat="1" applyFont="1" applyFill="1" applyBorder="1" applyAlignment="1" applyProtection="1">
      <alignment horizontal="left"/>
      <protection locked="0" hidden="1"/>
    </xf>
    <xf numFmtId="2" fontId="11" fillId="5" borderId="128" xfId="0" applyNumberFormat="1" applyFont="1" applyFill="1" applyBorder="1" applyAlignment="1" applyProtection="1">
      <alignment horizontal="left"/>
      <protection hidden="1"/>
    </xf>
    <xf numFmtId="1" fontId="3" fillId="5" borderId="128" xfId="0" applyNumberFormat="1" applyFont="1" applyFill="1" applyBorder="1" applyAlignment="1" applyProtection="1">
      <alignment horizontal="left"/>
      <protection hidden="1"/>
    </xf>
    <xf numFmtId="0" fontId="3" fillId="5" borderId="128" xfId="0" applyFont="1" applyFill="1" applyBorder="1" applyProtection="1"/>
    <xf numFmtId="0" fontId="7" fillId="5" borderId="127" xfId="0" applyFont="1" applyFill="1" applyBorder="1" applyAlignment="1" applyProtection="1">
      <alignment horizontal="left"/>
      <protection hidden="1"/>
    </xf>
    <xf numFmtId="0" fontId="3" fillId="5" borderId="128" xfId="0" applyFont="1" applyFill="1" applyBorder="1" applyProtection="1">
      <protection locked="0"/>
    </xf>
    <xf numFmtId="2" fontId="11" fillId="5" borderId="68" xfId="0" applyNumberFormat="1" applyFont="1" applyFill="1" applyBorder="1" applyAlignment="1" applyProtection="1">
      <alignment horizontal="center"/>
      <protection hidden="1"/>
    </xf>
    <xf numFmtId="0" fontId="11" fillId="5" borderId="0" xfId="0" applyFont="1" applyFill="1" applyBorder="1" applyAlignment="1" applyProtection="1">
      <alignment horizontal="center"/>
      <protection hidden="1"/>
    </xf>
    <xf numFmtId="1" fontId="11" fillId="5" borderId="30" xfId="0" applyNumberFormat="1" applyFont="1" applyFill="1" applyBorder="1" applyAlignment="1" applyProtection="1">
      <alignment horizontal="center"/>
      <protection hidden="1"/>
    </xf>
    <xf numFmtId="0" fontId="7" fillId="5" borderId="106" xfId="0" applyFont="1" applyFill="1" applyBorder="1" applyAlignment="1" applyProtection="1">
      <alignment horizontal="center"/>
      <protection hidden="1"/>
    </xf>
    <xf numFmtId="2" fontId="7" fillId="5" borderId="106" xfId="0" applyNumberFormat="1" applyFont="1" applyFill="1" applyBorder="1" applyAlignment="1" applyProtection="1">
      <alignment horizontal="center"/>
      <protection hidden="1"/>
    </xf>
    <xf numFmtId="0" fontId="11" fillId="5" borderId="106" xfId="0" applyFont="1" applyFill="1" applyBorder="1" applyAlignment="1" applyProtection="1">
      <alignment horizontal="center"/>
      <protection hidden="1"/>
    </xf>
    <xf numFmtId="2" fontId="11" fillId="5" borderId="106" xfId="0" applyNumberFormat="1" applyFont="1" applyFill="1" applyBorder="1" applyAlignment="1" applyProtection="1">
      <alignment horizontal="center"/>
      <protection hidden="1"/>
    </xf>
    <xf numFmtId="1" fontId="7" fillId="5" borderId="106" xfId="0" applyNumberFormat="1" applyFont="1" applyFill="1" applyBorder="1" applyAlignment="1" applyProtection="1">
      <alignment horizontal="center"/>
      <protection hidden="1"/>
    </xf>
    <xf numFmtId="0" fontId="3" fillId="5" borderId="68" xfId="0" applyFont="1" applyFill="1" applyBorder="1" applyAlignment="1" applyProtection="1">
      <alignment horizontal="center"/>
    </xf>
    <xf numFmtId="166" fontId="3" fillId="5" borderId="68" xfId="0" applyNumberFormat="1" applyFont="1" applyFill="1" applyBorder="1" applyAlignment="1" applyProtection="1">
      <alignment horizontal="center"/>
      <protection locked="0" hidden="1"/>
    </xf>
    <xf numFmtId="0" fontId="9" fillId="5" borderId="106" xfId="0" applyFont="1" applyFill="1" applyBorder="1" applyAlignment="1" applyProtection="1">
      <alignment horizontal="center"/>
      <protection hidden="1"/>
    </xf>
    <xf numFmtId="0" fontId="11" fillId="5" borderId="113" xfId="0" applyFont="1" applyFill="1" applyBorder="1" applyAlignment="1" applyProtection="1">
      <alignment horizontal="center"/>
      <protection hidden="1"/>
    </xf>
    <xf numFmtId="2" fontId="3" fillId="5" borderId="114" xfId="0" applyNumberFormat="1" applyFont="1" applyFill="1" applyBorder="1" applyAlignment="1" applyProtection="1">
      <alignment horizontal="center"/>
      <protection locked="0" hidden="1"/>
    </xf>
    <xf numFmtId="0" fontId="9" fillId="5" borderId="114" xfId="0" applyFont="1" applyFill="1" applyBorder="1" applyAlignment="1" applyProtection="1">
      <alignment horizontal="center"/>
      <protection locked="0" hidden="1"/>
    </xf>
    <xf numFmtId="0" fontId="7" fillId="5" borderId="113" xfId="0" applyFont="1" applyFill="1" applyBorder="1" applyAlignment="1" applyProtection="1">
      <alignment horizontal="center"/>
      <protection hidden="1"/>
    </xf>
    <xf numFmtId="0" fontId="3" fillId="5" borderId="114" xfId="0" applyFont="1" applyFill="1" applyBorder="1" applyAlignment="1" applyProtection="1">
      <alignment horizontal="center"/>
      <protection locked="0" hidden="1"/>
    </xf>
    <xf numFmtId="0" fontId="9" fillId="5" borderId="41" xfId="0" applyFont="1" applyFill="1" applyBorder="1" applyAlignment="1" applyProtection="1">
      <alignment horizontal="center"/>
      <protection hidden="1"/>
    </xf>
    <xf numFmtId="0" fontId="11" fillId="5" borderId="68" xfId="0" applyFont="1" applyFill="1" applyBorder="1" applyAlignment="1" applyProtection="1">
      <alignment horizontal="center"/>
      <protection hidden="1"/>
    </xf>
    <xf numFmtId="0" fontId="50" fillId="5" borderId="106" xfId="0" applyFont="1" applyFill="1" applyBorder="1" applyAlignment="1" applyProtection="1">
      <alignment horizontal="center"/>
      <protection hidden="1"/>
    </xf>
    <xf numFmtId="2" fontId="11" fillId="5" borderId="30" xfId="0" applyNumberFormat="1" applyFont="1" applyFill="1" applyBorder="1" applyAlignment="1" applyProtection="1">
      <alignment horizontal="center"/>
      <protection hidden="1"/>
    </xf>
    <xf numFmtId="0" fontId="56" fillId="5" borderId="6" xfId="0" applyFont="1" applyFill="1" applyBorder="1" applyAlignment="1" applyProtection="1">
      <alignment horizontal="left" textRotation="90" wrapText="1"/>
      <protection hidden="1"/>
    </xf>
    <xf numFmtId="0" fontId="51" fillId="5" borderId="0" xfId="0" applyFont="1" applyFill="1" applyBorder="1" applyProtection="1">
      <protection locked="0"/>
    </xf>
    <xf numFmtId="0" fontId="4" fillId="5" borderId="0" xfId="0" applyFont="1" applyFill="1" applyBorder="1" applyProtection="1">
      <protection locked="0"/>
    </xf>
    <xf numFmtId="0" fontId="51" fillId="5" borderId="0" xfId="0" applyFont="1" applyFill="1" applyProtection="1">
      <protection locked="0"/>
    </xf>
    <xf numFmtId="0" fontId="4" fillId="5" borderId="0" xfId="0" applyFont="1" applyFill="1" applyProtection="1">
      <protection locked="0"/>
    </xf>
    <xf numFmtId="0" fontId="51" fillId="16" borderId="74" xfId="0" applyFont="1" applyFill="1" applyBorder="1" applyProtection="1">
      <protection hidden="1"/>
    </xf>
    <xf numFmtId="49" fontId="28" fillId="0" borderId="0" xfId="0" applyNumberFormat="1" applyFont="1" applyProtection="1">
      <protection locked="0" hidden="1"/>
    </xf>
    <xf numFmtId="0" fontId="9" fillId="0" borderId="0" xfId="0" applyFont="1" applyFill="1" applyBorder="1" applyAlignment="1" applyProtection="1">
      <alignment horizontal="left"/>
      <protection hidden="1"/>
    </xf>
    <xf numFmtId="0" fontId="46" fillId="0" borderId="129" xfId="0" applyFont="1" applyFill="1" applyBorder="1" applyProtection="1">
      <protection hidden="1"/>
    </xf>
    <xf numFmtId="0" fontId="4" fillId="16" borderId="0" xfId="0" applyFont="1" applyFill="1" applyBorder="1" applyAlignment="1" applyProtection="1">
      <alignment horizontal="left"/>
      <protection hidden="1"/>
    </xf>
    <xf numFmtId="0" fontId="46" fillId="0" borderId="0" xfId="0" applyFont="1" applyFill="1" applyBorder="1" applyProtection="1">
      <protection hidden="1"/>
    </xf>
    <xf numFmtId="0" fontId="0" fillId="0" borderId="0" xfId="0" applyFill="1" applyBorder="1"/>
    <xf numFmtId="0" fontId="8" fillId="0" borderId="0" xfId="0" applyFont="1" applyFill="1" applyBorder="1" applyAlignment="1" applyProtection="1">
      <alignment horizontal="center"/>
      <protection hidden="1"/>
    </xf>
    <xf numFmtId="0" fontId="8" fillId="0" borderId="0" xfId="0" applyFont="1" applyFill="1" applyBorder="1" applyProtection="1">
      <protection hidden="1"/>
    </xf>
    <xf numFmtId="2" fontId="8" fillId="0" borderId="0" xfId="0" applyNumberFormat="1" applyFont="1" applyFill="1" applyBorder="1" applyAlignment="1" applyProtection="1">
      <alignment horizontal="center"/>
      <protection hidden="1"/>
    </xf>
    <xf numFmtId="0" fontId="46" fillId="0" borderId="0" xfId="0" applyFont="1" applyFill="1" applyBorder="1" applyAlignment="1" applyProtection="1">
      <alignment horizontal="left"/>
      <protection hidden="1"/>
    </xf>
    <xf numFmtId="0" fontId="7" fillId="0" borderId="0" xfId="0" applyFont="1" applyFill="1" applyBorder="1" applyAlignment="1" applyProtection="1">
      <alignment horizontal="left"/>
      <protection hidden="1"/>
    </xf>
    <xf numFmtId="0" fontId="50" fillId="0" borderId="0" xfId="0" applyFont="1" applyFill="1" applyBorder="1" applyAlignment="1" applyProtection="1">
      <alignment horizontal="right"/>
      <protection hidden="1"/>
    </xf>
    <xf numFmtId="0" fontId="12" fillId="0" borderId="0" xfId="0" applyFont="1" applyFill="1" applyBorder="1" applyAlignment="1" applyProtection="1">
      <alignment horizontal="right"/>
      <protection hidden="1"/>
    </xf>
    <xf numFmtId="0" fontId="16" fillId="0" borderId="0" xfId="0" applyFont="1" applyFill="1" applyBorder="1" applyAlignment="1" applyProtection="1">
      <alignment horizontal="right"/>
      <protection hidden="1"/>
    </xf>
    <xf numFmtId="0" fontId="7" fillId="0" borderId="1" xfId="0" applyFont="1" applyFill="1" applyBorder="1" applyProtection="1">
      <protection hidden="1"/>
    </xf>
    <xf numFmtId="2" fontId="8" fillId="0" borderId="0" xfId="0" applyNumberFormat="1" applyFont="1" applyFill="1" applyBorder="1" applyAlignment="1" applyProtection="1">
      <alignment horizontal="right"/>
      <protection hidden="1"/>
    </xf>
    <xf numFmtId="0" fontId="8" fillId="0" borderId="0" xfId="0" applyFont="1" applyFill="1" applyBorder="1" applyAlignment="1" applyProtection="1">
      <alignment horizontal="right"/>
      <protection hidden="1"/>
    </xf>
    <xf numFmtId="0" fontId="8" fillId="0" borderId="0" xfId="0" applyFont="1" applyFill="1" applyBorder="1" applyAlignment="1" applyProtection="1">
      <alignment horizontal="left"/>
      <protection hidden="1"/>
    </xf>
    <xf numFmtId="0" fontId="8" fillId="0" borderId="129" xfId="0" applyFont="1" applyFill="1" applyBorder="1" applyAlignment="1" applyProtection="1">
      <alignment horizontal="left"/>
      <protection hidden="1"/>
    </xf>
    <xf numFmtId="2" fontId="8" fillId="0" borderId="130" xfId="0" applyNumberFormat="1" applyFont="1" applyFill="1" applyBorder="1" applyAlignment="1" applyProtection="1">
      <alignment horizontal="right"/>
      <protection hidden="1"/>
    </xf>
    <xf numFmtId="2" fontId="7" fillId="0" borderId="1" xfId="0" applyNumberFormat="1" applyFont="1" applyFill="1" applyBorder="1" applyAlignment="1" applyProtection="1">
      <alignment horizontal="right"/>
      <protection hidden="1"/>
    </xf>
    <xf numFmtId="0" fontId="46" fillId="5" borderId="130" xfId="0" applyFont="1" applyFill="1" applyBorder="1" applyAlignment="1" applyProtection="1">
      <alignment horizontal="right"/>
      <protection locked="0"/>
    </xf>
    <xf numFmtId="168" fontId="7" fillId="0" borderId="0" xfId="0" applyNumberFormat="1" applyFont="1" applyFill="1" applyBorder="1" applyAlignment="1" applyProtection="1">
      <alignment horizontal="right"/>
      <protection locked="0"/>
    </xf>
    <xf numFmtId="168" fontId="47" fillId="0" borderId="0" xfId="0" applyNumberFormat="1" applyFont="1" applyFill="1" applyBorder="1" applyAlignment="1" applyProtection="1">
      <alignment horizontal="right"/>
      <protection locked="0"/>
    </xf>
    <xf numFmtId="0" fontId="8" fillId="0" borderId="131" xfId="0" applyFont="1" applyFill="1" applyBorder="1" applyProtection="1">
      <protection hidden="1"/>
    </xf>
    <xf numFmtId="2" fontId="8" fillId="0" borderId="131" xfId="0" applyNumberFormat="1" applyFont="1" applyFill="1" applyBorder="1" applyAlignment="1" applyProtection="1">
      <alignment horizontal="center"/>
      <protection hidden="1"/>
    </xf>
    <xf numFmtId="0" fontId="8" fillId="0" borderId="131" xfId="0" applyFont="1" applyFill="1" applyBorder="1" applyAlignment="1" applyProtection="1">
      <alignment horizontal="center"/>
      <protection hidden="1"/>
    </xf>
    <xf numFmtId="0" fontId="46" fillId="5" borderId="132" xfId="0" applyFont="1" applyFill="1" applyBorder="1" applyProtection="1">
      <protection hidden="1"/>
    </xf>
    <xf numFmtId="0" fontId="46" fillId="5" borderId="132" xfId="0" applyFont="1" applyFill="1" applyBorder="1" applyAlignment="1" applyProtection="1">
      <alignment horizontal="center"/>
      <protection hidden="1"/>
    </xf>
    <xf numFmtId="0" fontId="46" fillId="5" borderId="133" xfId="0" applyFont="1" applyFill="1" applyBorder="1" applyProtection="1">
      <protection hidden="1"/>
    </xf>
    <xf numFmtId="0" fontId="46" fillId="5" borderId="134" xfId="0" applyFont="1" applyFill="1" applyBorder="1" applyProtection="1">
      <protection hidden="1"/>
    </xf>
    <xf numFmtId="0" fontId="84" fillId="5" borderId="135" xfId="0" applyFont="1" applyFill="1" applyBorder="1" applyProtection="1">
      <protection hidden="1"/>
    </xf>
    <xf numFmtId="0" fontId="51" fillId="5" borderId="4" xfId="0" applyFont="1" applyFill="1" applyBorder="1" applyAlignment="1" applyProtection="1">
      <alignment horizontal="left"/>
      <protection hidden="1"/>
    </xf>
    <xf numFmtId="0" fontId="51" fillId="5" borderId="0" xfId="0" applyFont="1" applyFill="1" applyBorder="1" applyAlignment="1" applyProtection="1">
      <alignment horizontal="left"/>
      <protection hidden="1"/>
    </xf>
    <xf numFmtId="0" fontId="51" fillId="5" borderId="6" xfId="0" applyFont="1" applyFill="1" applyBorder="1" applyAlignment="1" applyProtection="1">
      <alignment horizontal="left"/>
      <protection hidden="1"/>
    </xf>
    <xf numFmtId="3" fontId="51" fillId="5" borderId="59" xfId="0" applyNumberFormat="1" applyFont="1" applyFill="1" applyBorder="1" applyAlignment="1" applyProtection="1">
      <alignment horizontal="center"/>
      <protection hidden="1"/>
    </xf>
    <xf numFmtId="3" fontId="51" fillId="5" borderId="136" xfId="0" applyNumberFormat="1" applyFont="1" applyFill="1" applyBorder="1" applyAlignment="1" applyProtection="1">
      <alignment horizontal="center"/>
      <protection locked="0"/>
    </xf>
    <xf numFmtId="0" fontId="2" fillId="0" borderId="18" xfId="0" applyFont="1" applyFill="1" applyBorder="1" applyProtection="1">
      <protection hidden="1"/>
    </xf>
    <xf numFmtId="2" fontId="7" fillId="5" borderId="100" xfId="0" applyNumberFormat="1" applyFont="1" applyFill="1" applyBorder="1" applyAlignment="1" applyProtection="1">
      <alignment horizontal="center"/>
      <protection locked="0" hidden="1"/>
    </xf>
    <xf numFmtId="2" fontId="7" fillId="5" borderId="8" xfId="0" applyNumberFormat="1" applyFont="1" applyFill="1" applyBorder="1" applyAlignment="1" applyProtection="1">
      <alignment horizontal="center"/>
      <protection locked="0" hidden="1"/>
    </xf>
    <xf numFmtId="168" fontId="7" fillId="0" borderId="0" xfId="0" applyNumberFormat="1" applyFont="1" applyFill="1" applyBorder="1" applyAlignment="1" applyProtection="1">
      <alignment horizontal="right"/>
      <protection locked="0" hidden="1"/>
    </xf>
    <xf numFmtId="0" fontId="41" fillId="0" borderId="0" xfId="0" applyFont="1" applyBorder="1" applyAlignment="1">
      <alignment vertical="center"/>
    </xf>
    <xf numFmtId="0" fontId="42" fillId="0" borderId="0" xfId="0" applyFont="1" applyBorder="1" applyAlignment="1" applyProtection="1">
      <alignment horizontal="left" vertical="center"/>
      <protection hidden="1"/>
    </xf>
    <xf numFmtId="167" fontId="8" fillId="0" borderId="0" xfId="0" applyNumberFormat="1" applyFont="1" applyBorder="1" applyProtection="1">
      <protection hidden="1"/>
    </xf>
    <xf numFmtId="9" fontId="7" fillId="0" borderId="0" xfId="2" applyFont="1" applyBorder="1" applyProtection="1">
      <protection hidden="1"/>
    </xf>
    <xf numFmtId="0" fontId="10" fillId="0" borderId="0" xfId="0" applyFont="1" applyFill="1" applyBorder="1" applyAlignment="1" applyProtection="1">
      <alignment vertical="center"/>
      <protection hidden="1"/>
    </xf>
    <xf numFmtId="0" fontId="80" fillId="5" borderId="0" xfId="0" applyFont="1" applyFill="1" applyBorder="1"/>
    <xf numFmtId="0" fontId="80" fillId="5" borderId="0" xfId="0" applyFont="1" applyFill="1" applyBorder="1" applyAlignment="1" applyProtection="1">
      <alignment horizontal="left"/>
      <protection hidden="1"/>
    </xf>
    <xf numFmtId="0" fontId="7" fillId="8" borderId="0" xfId="0" applyFont="1" applyFill="1" applyAlignment="1">
      <alignment horizontal="center"/>
    </xf>
    <xf numFmtId="0" fontId="7" fillId="8" borderId="0" xfId="0" applyFont="1" applyFill="1"/>
    <xf numFmtId="0" fontId="15" fillId="8" borderId="0" xfId="0" applyFont="1" applyFill="1"/>
    <xf numFmtId="0" fontId="14" fillId="8" borderId="0" xfId="0" applyFont="1" applyFill="1" applyAlignment="1">
      <alignment horizontal="center"/>
    </xf>
    <xf numFmtId="0" fontId="14" fillId="8" borderId="0" xfId="0" applyFont="1" applyFill="1"/>
    <xf numFmtId="0" fontId="14" fillId="8" borderId="0" xfId="0" applyFont="1" applyFill="1" applyBorder="1"/>
    <xf numFmtId="0" fontId="15" fillId="8" borderId="0" xfId="0" applyFont="1" applyFill="1" applyAlignment="1">
      <alignment horizontal="center"/>
    </xf>
    <xf numFmtId="0" fontId="14" fillId="18" borderId="0" xfId="0" applyFont="1" applyFill="1" applyAlignment="1">
      <alignment horizontal="center"/>
    </xf>
    <xf numFmtId="0" fontId="15" fillId="18" borderId="0" xfId="0" applyFont="1" applyFill="1" applyBorder="1"/>
    <xf numFmtId="0" fontId="8" fillId="18" borderId="0" xfId="0" applyFont="1" applyFill="1"/>
    <xf numFmtId="0" fontId="15" fillId="18" borderId="0" xfId="0" applyFont="1" applyFill="1"/>
    <xf numFmtId="0" fontId="3" fillId="18" borderId="0" xfId="0" applyFont="1" applyFill="1"/>
    <xf numFmtId="0" fontId="3" fillId="18" borderId="0" xfId="0" applyFont="1" applyFill="1" applyBorder="1"/>
    <xf numFmtId="0" fontId="7" fillId="5" borderId="0" xfId="0" applyFont="1" applyFill="1" applyAlignment="1">
      <alignment vertical="top" wrapText="1"/>
    </xf>
    <xf numFmtId="0" fontId="8" fillId="5" borderId="0" xfId="0" applyFont="1" applyFill="1"/>
    <xf numFmtId="0" fontId="8" fillId="5" borderId="0" xfId="0" applyFont="1" applyFill="1" applyAlignment="1">
      <alignment vertical="top" wrapText="1"/>
    </xf>
    <xf numFmtId="0" fontId="10" fillId="5" borderId="59" xfId="0" applyFont="1" applyFill="1" applyBorder="1" applyAlignment="1">
      <alignment horizontal="center"/>
    </xf>
    <xf numFmtId="0" fontId="10" fillId="5" borderId="4" xfId="0" applyFont="1" applyFill="1" applyBorder="1"/>
    <xf numFmtId="0" fontId="10" fillId="5" borderId="0" xfId="0" applyFont="1" applyFill="1" applyBorder="1"/>
    <xf numFmtId="0" fontId="10" fillId="5" borderId="6" xfId="0" applyFont="1" applyFill="1" applyBorder="1"/>
    <xf numFmtId="3" fontId="10" fillId="5" borderId="59" xfId="0" applyNumberFormat="1" applyFont="1" applyFill="1" applyBorder="1" applyAlignment="1" applyProtection="1">
      <alignment horizontal="center"/>
      <protection hidden="1"/>
    </xf>
    <xf numFmtId="0" fontId="14" fillId="9" borderId="0" xfId="0" applyFont="1" applyFill="1" applyAlignment="1">
      <alignment horizontal="center"/>
    </xf>
    <xf numFmtId="0" fontId="15" fillId="9" borderId="0" xfId="0" applyFont="1" applyFill="1"/>
    <xf numFmtId="0" fontId="11" fillId="9" borderId="0" xfId="0" applyFont="1" applyFill="1"/>
    <xf numFmtId="0" fontId="15" fillId="9" borderId="0" xfId="0" applyFont="1" applyFill="1" applyAlignment="1" applyProtection="1">
      <alignment horizontal="left"/>
      <protection hidden="1"/>
    </xf>
    <xf numFmtId="0" fontId="8" fillId="9" borderId="0" xfId="0" applyFont="1" applyFill="1"/>
    <xf numFmtId="0" fontId="2" fillId="0" borderId="0" xfId="0" applyFont="1" applyFill="1" applyBorder="1" applyProtection="1">
      <protection hidden="1"/>
    </xf>
    <xf numFmtId="0" fontId="4" fillId="5" borderId="0" xfId="0" applyFont="1" applyFill="1" applyBorder="1" applyAlignment="1" applyProtection="1">
      <alignment horizontal="left"/>
      <protection hidden="1"/>
    </xf>
    <xf numFmtId="0" fontId="4" fillId="5" borderId="0" xfId="0" applyFont="1" applyFill="1" applyBorder="1" applyAlignment="1" applyProtection="1">
      <alignment horizontal="center"/>
      <protection hidden="1"/>
    </xf>
    <xf numFmtId="168" fontId="2" fillId="5" borderId="0" xfId="0" applyNumberFormat="1" applyFont="1" applyFill="1" applyBorder="1" applyAlignment="1" applyProtection="1">
      <alignment horizontal="center"/>
      <protection hidden="1"/>
    </xf>
    <xf numFmtId="2" fontId="2" fillId="5" borderId="0" xfId="0" applyNumberFormat="1" applyFont="1" applyFill="1" applyBorder="1" applyAlignment="1" applyProtection="1">
      <alignment horizontal="center"/>
      <protection hidden="1"/>
    </xf>
    <xf numFmtId="0" fontId="25" fillId="5" borderId="0" xfId="0" applyFont="1" applyFill="1" applyBorder="1" applyAlignment="1" applyProtection="1">
      <alignment horizontal="center" vertical="center"/>
      <protection hidden="1"/>
    </xf>
    <xf numFmtId="9" fontId="2" fillId="5" borderId="0" xfId="2" applyFont="1" applyFill="1" applyBorder="1" applyAlignment="1" applyProtection="1">
      <alignment horizontal="center"/>
      <protection hidden="1"/>
    </xf>
    <xf numFmtId="0" fontId="2" fillId="5" borderId="8" xfId="0" applyFont="1" applyFill="1" applyBorder="1" applyProtection="1">
      <protection hidden="1"/>
    </xf>
    <xf numFmtId="0" fontId="2" fillId="5" borderId="9" xfId="0" applyFont="1" applyFill="1" applyBorder="1" applyProtection="1">
      <protection hidden="1"/>
    </xf>
    <xf numFmtId="0" fontId="2" fillId="5" borderId="44" xfId="0" applyFont="1" applyFill="1" applyBorder="1" applyProtection="1">
      <protection hidden="1"/>
    </xf>
    <xf numFmtId="0" fontId="2" fillId="5" borderId="42" xfId="0" applyFont="1" applyFill="1" applyBorder="1" applyProtection="1">
      <protection hidden="1"/>
    </xf>
    <xf numFmtId="2" fontId="2" fillId="5" borderId="137" xfId="0" applyNumberFormat="1" applyFont="1" applyFill="1" applyBorder="1" applyAlignment="1" applyProtection="1">
      <alignment horizontal="center"/>
      <protection locked="0"/>
    </xf>
    <xf numFmtId="2" fontId="2" fillId="5" borderId="138" xfId="0" applyNumberFormat="1" applyFont="1" applyFill="1" applyBorder="1" applyAlignment="1" applyProtection="1">
      <alignment horizontal="center"/>
      <protection locked="0"/>
    </xf>
    <xf numFmtId="0" fontId="2" fillId="5" borderId="31" xfId="0" applyFont="1" applyFill="1" applyBorder="1" applyProtection="1">
      <protection hidden="1"/>
    </xf>
    <xf numFmtId="0" fontId="2" fillId="5" borderId="41" xfId="0" applyFont="1" applyFill="1" applyBorder="1" applyProtection="1">
      <protection hidden="1"/>
    </xf>
    <xf numFmtId="0" fontId="2" fillId="5" borderId="43" xfId="0" applyFont="1" applyFill="1" applyBorder="1" applyProtection="1">
      <protection hidden="1"/>
    </xf>
    <xf numFmtId="0" fontId="2" fillId="0" borderId="11" xfId="0" applyFont="1" applyFill="1" applyBorder="1" applyProtection="1">
      <protection hidden="1"/>
    </xf>
    <xf numFmtId="0" fontId="2" fillId="0" borderId="44" xfId="0" applyFont="1" applyFill="1" applyBorder="1" applyProtection="1">
      <protection hidden="1"/>
    </xf>
    <xf numFmtId="0" fontId="2" fillId="0" borderId="10" xfId="0" applyFont="1" applyFill="1" applyBorder="1" applyProtection="1">
      <protection hidden="1"/>
    </xf>
    <xf numFmtId="0" fontId="2" fillId="0" borderId="42" xfId="0" applyFont="1" applyFill="1" applyBorder="1" applyProtection="1">
      <protection hidden="1"/>
    </xf>
    <xf numFmtId="0" fontId="2" fillId="0" borderId="6" xfId="0" applyFont="1" applyFill="1" applyBorder="1" applyProtection="1">
      <protection hidden="1"/>
    </xf>
    <xf numFmtId="0" fontId="2" fillId="0" borderId="6" xfId="0" applyFont="1" applyFill="1" applyBorder="1" applyAlignment="1" applyProtection="1">
      <alignment horizontal="center"/>
      <protection hidden="1"/>
    </xf>
    <xf numFmtId="0" fontId="2" fillId="0" borderId="9" xfId="0" applyFont="1" applyFill="1" applyBorder="1" applyProtection="1">
      <protection hidden="1"/>
    </xf>
    <xf numFmtId="0" fontId="2" fillId="5" borderId="139" xfId="0" applyFont="1" applyFill="1" applyBorder="1" applyProtection="1">
      <protection hidden="1"/>
    </xf>
    <xf numFmtId="0" fontId="4" fillId="5" borderId="140" xfId="0" applyFont="1" applyFill="1" applyBorder="1" applyAlignment="1" applyProtection="1">
      <alignment horizontal="center"/>
      <protection hidden="1"/>
    </xf>
    <xf numFmtId="168" fontId="2" fillId="5" borderId="140" xfId="0" applyNumberFormat="1" applyFont="1" applyFill="1" applyBorder="1" applyAlignment="1" applyProtection="1">
      <alignment horizontal="center"/>
      <protection hidden="1"/>
    </xf>
    <xf numFmtId="168" fontId="24" fillId="5" borderId="140" xfId="0" applyNumberFormat="1" applyFont="1" applyFill="1" applyBorder="1" applyAlignment="1" applyProtection="1">
      <alignment horizontal="center"/>
      <protection hidden="1"/>
    </xf>
    <xf numFmtId="0" fontId="2" fillId="5" borderId="140" xfId="0" applyFont="1" applyFill="1" applyBorder="1" applyAlignment="1" applyProtection="1">
      <alignment horizontal="center"/>
      <protection hidden="1"/>
    </xf>
    <xf numFmtId="2" fontId="24" fillId="5" borderId="140" xfId="0" applyNumberFormat="1" applyFont="1" applyFill="1" applyBorder="1" applyAlignment="1" applyProtection="1">
      <alignment horizontal="center"/>
      <protection hidden="1"/>
    </xf>
    <xf numFmtId="9" fontId="2" fillId="5" borderId="140" xfId="2" applyFont="1" applyFill="1" applyBorder="1" applyAlignment="1" applyProtection="1">
      <alignment horizontal="center"/>
      <protection hidden="1"/>
    </xf>
    <xf numFmtId="0" fontId="2" fillId="5" borderId="141" xfId="0" applyFont="1" applyFill="1" applyBorder="1" applyProtection="1">
      <protection hidden="1"/>
    </xf>
    <xf numFmtId="0" fontId="2" fillId="5" borderId="1" xfId="0" applyFont="1" applyFill="1" applyBorder="1" applyProtection="1">
      <protection hidden="1"/>
    </xf>
    <xf numFmtId="0" fontId="2" fillId="5" borderId="1" xfId="0" applyFont="1" applyFill="1" applyBorder="1" applyAlignment="1" applyProtection="1">
      <alignment horizontal="center"/>
      <protection hidden="1"/>
    </xf>
    <xf numFmtId="0" fontId="2" fillId="5" borderId="142" xfId="0" applyFont="1" applyFill="1" applyBorder="1" applyAlignment="1" applyProtection="1">
      <alignment horizontal="center"/>
      <protection hidden="1"/>
    </xf>
    <xf numFmtId="0" fontId="2" fillId="5" borderId="2" xfId="0" applyFont="1" applyFill="1" applyBorder="1" applyAlignment="1" applyProtection="1">
      <alignment horizontal="center"/>
      <protection hidden="1"/>
    </xf>
    <xf numFmtId="0" fontId="2" fillId="5" borderId="139" xfId="0" applyFont="1" applyFill="1" applyBorder="1" applyAlignment="1" applyProtection="1">
      <alignment horizontal="center"/>
      <protection hidden="1"/>
    </xf>
    <xf numFmtId="0" fontId="2" fillId="5" borderId="140" xfId="0" applyFont="1" applyFill="1" applyBorder="1" applyProtection="1">
      <protection hidden="1"/>
    </xf>
    <xf numFmtId="0" fontId="2" fillId="5" borderId="142" xfId="0" applyFont="1" applyFill="1" applyBorder="1" applyProtection="1">
      <protection hidden="1"/>
    </xf>
    <xf numFmtId="0" fontId="2" fillId="17" borderId="11" xfId="0" applyFont="1" applyFill="1" applyBorder="1" applyProtection="1">
      <protection hidden="1"/>
    </xf>
    <xf numFmtId="0" fontId="2" fillId="17" borderId="44" xfId="0" applyFont="1" applyFill="1" applyBorder="1" applyProtection="1">
      <protection hidden="1"/>
    </xf>
    <xf numFmtId="0" fontId="2" fillId="17" borderId="10" xfId="0" applyFont="1" applyFill="1" applyBorder="1" applyProtection="1">
      <protection hidden="1"/>
    </xf>
    <xf numFmtId="0" fontId="2" fillId="17" borderId="42" xfId="0" applyFont="1" applyFill="1" applyBorder="1" applyProtection="1">
      <protection hidden="1"/>
    </xf>
    <xf numFmtId="0" fontId="2" fillId="17" borderId="6" xfId="0" applyFont="1" applyFill="1" applyBorder="1" applyProtection="1">
      <protection hidden="1"/>
    </xf>
    <xf numFmtId="0" fontId="2" fillId="17" borderId="6" xfId="0" applyFont="1" applyFill="1" applyBorder="1" applyAlignment="1" applyProtection="1">
      <alignment horizontal="center"/>
      <protection hidden="1"/>
    </xf>
    <xf numFmtId="0" fontId="2" fillId="17" borderId="9" xfId="0" applyFont="1" applyFill="1" applyBorder="1" applyProtection="1">
      <protection hidden="1"/>
    </xf>
    <xf numFmtId="0" fontId="2" fillId="0" borderId="31" xfId="0" applyFont="1" applyFill="1" applyBorder="1" applyProtection="1">
      <protection hidden="1"/>
    </xf>
    <xf numFmtId="0" fontId="2" fillId="0" borderId="41" xfId="0" applyFont="1" applyFill="1" applyBorder="1" applyProtection="1">
      <protection hidden="1"/>
    </xf>
    <xf numFmtId="0" fontId="2" fillId="0" borderId="43" xfId="0" applyFont="1" applyFill="1" applyBorder="1" applyProtection="1">
      <protection hidden="1"/>
    </xf>
    <xf numFmtId="0" fontId="2" fillId="0" borderId="8" xfId="0" applyFont="1" applyFill="1" applyBorder="1" applyProtection="1">
      <protection hidden="1"/>
    </xf>
    <xf numFmtId="0" fontId="14" fillId="12" borderId="0" xfId="0" applyFont="1" applyFill="1" applyAlignment="1">
      <alignment horizontal="center"/>
    </xf>
    <xf numFmtId="0" fontId="37" fillId="9" borderId="0" xfId="0" applyFont="1" applyFill="1" applyAlignment="1">
      <alignment horizontal="left" vertical="center"/>
    </xf>
    <xf numFmtId="0" fontId="37" fillId="18" borderId="0" xfId="0" applyFont="1" applyFill="1" applyBorder="1" applyAlignment="1">
      <alignment horizontal="left" vertical="center"/>
    </xf>
    <xf numFmtId="0" fontId="37" fillId="8" borderId="0" xfId="0" applyFont="1" applyFill="1" applyAlignment="1">
      <alignment vertical="center"/>
    </xf>
    <xf numFmtId="168" fontId="2" fillId="5" borderId="0" xfId="0" applyNumberFormat="1" applyFont="1" applyFill="1" applyBorder="1" applyAlignment="1" applyProtection="1">
      <alignment horizontal="center" vertical="center"/>
      <protection hidden="1"/>
    </xf>
    <xf numFmtId="2" fontId="2" fillId="5" borderId="0" xfId="0" applyNumberFormat="1" applyFont="1" applyFill="1" applyBorder="1" applyAlignment="1" applyProtection="1">
      <alignment horizontal="center" vertical="center"/>
      <protection hidden="1"/>
    </xf>
    <xf numFmtId="0" fontId="2" fillId="5" borderId="0" xfId="0" applyFont="1" applyFill="1" applyBorder="1" applyAlignment="1" applyProtection="1">
      <alignment horizontal="center" vertical="center"/>
      <protection hidden="1"/>
    </xf>
    <xf numFmtId="9" fontId="2" fillId="5" borderId="0" xfId="2" applyFont="1" applyFill="1" applyBorder="1" applyAlignment="1" applyProtection="1">
      <alignment horizontal="center" vertical="center"/>
      <protection hidden="1"/>
    </xf>
    <xf numFmtId="0" fontId="4" fillId="5" borderId="0" xfId="0" applyFont="1" applyFill="1" applyBorder="1" applyAlignment="1" applyProtection="1">
      <alignment vertical="center"/>
      <protection hidden="1"/>
    </xf>
    <xf numFmtId="0" fontId="4" fillId="5" borderId="0" xfId="0" applyFont="1" applyFill="1" applyBorder="1" applyAlignment="1" applyProtection="1">
      <alignment horizontal="left" vertical="center"/>
      <protection hidden="1"/>
    </xf>
    <xf numFmtId="2" fontId="2" fillId="5" borderId="143" xfId="2" applyNumberFormat="1" applyFont="1" applyFill="1" applyBorder="1" applyAlignment="1" applyProtection="1">
      <alignment vertical="center"/>
      <protection locked="0" hidden="1"/>
    </xf>
    <xf numFmtId="2" fontId="2" fillId="5" borderId="0" xfId="2" applyNumberFormat="1" applyFont="1" applyFill="1" applyBorder="1" applyAlignment="1" applyProtection="1">
      <alignment vertical="center"/>
      <protection hidden="1"/>
    </xf>
    <xf numFmtId="9" fontId="2" fillId="5" borderId="0" xfId="2" applyFont="1" applyFill="1" applyBorder="1" applyAlignment="1" applyProtection="1">
      <alignment vertical="center"/>
      <protection hidden="1"/>
    </xf>
    <xf numFmtId="0" fontId="2" fillId="5" borderId="143" xfId="0" applyFont="1" applyFill="1" applyBorder="1" applyAlignment="1" applyProtection="1">
      <alignment vertical="center"/>
      <protection locked="0" hidden="1"/>
    </xf>
    <xf numFmtId="0" fontId="5" fillId="5" borderId="0" xfId="0" applyFont="1" applyFill="1" applyBorder="1" applyAlignment="1" applyProtection="1">
      <alignment vertical="center"/>
      <protection hidden="1"/>
    </xf>
    <xf numFmtId="2" fontId="5" fillId="5" borderId="0" xfId="0" applyNumberFormat="1" applyFont="1" applyFill="1" applyBorder="1" applyAlignment="1" applyProtection="1">
      <alignment vertical="center"/>
      <protection hidden="1"/>
    </xf>
    <xf numFmtId="0" fontId="2" fillId="5" borderId="3" xfId="0" applyFont="1" applyFill="1" applyBorder="1" applyAlignment="1" applyProtection="1">
      <alignment vertical="center"/>
      <protection hidden="1"/>
    </xf>
    <xf numFmtId="0" fontId="2" fillId="5" borderId="2" xfId="0" applyFont="1" applyFill="1" applyBorder="1" applyAlignment="1" applyProtection="1">
      <alignment vertical="center"/>
      <protection hidden="1"/>
    </xf>
    <xf numFmtId="0" fontId="2" fillId="5" borderId="2" xfId="0" applyFont="1" applyFill="1" applyBorder="1" applyAlignment="1" applyProtection="1">
      <alignment horizontal="center" vertical="center"/>
      <protection hidden="1"/>
    </xf>
    <xf numFmtId="0" fontId="2" fillId="5" borderId="139" xfId="0" applyFont="1" applyFill="1" applyBorder="1" applyAlignment="1" applyProtection="1">
      <alignment horizontal="center" vertical="center"/>
      <protection hidden="1"/>
    </xf>
    <xf numFmtId="0" fontId="2" fillId="5" borderId="4" xfId="0" applyFont="1" applyFill="1" applyBorder="1" applyAlignment="1" applyProtection="1">
      <alignment vertical="center"/>
      <protection hidden="1"/>
    </xf>
    <xf numFmtId="0" fontId="4" fillId="5" borderId="140" xfId="0" applyFont="1" applyFill="1" applyBorder="1" applyAlignment="1" applyProtection="1">
      <alignment horizontal="center" vertical="center"/>
      <protection hidden="1"/>
    </xf>
    <xf numFmtId="168" fontId="2" fillId="5" borderId="140" xfId="0" applyNumberFormat="1" applyFont="1" applyFill="1" applyBorder="1" applyAlignment="1" applyProtection="1">
      <alignment horizontal="center" vertical="center"/>
      <protection hidden="1"/>
    </xf>
    <xf numFmtId="2" fontId="2" fillId="5" borderId="137" xfId="0" applyNumberFormat="1" applyFont="1" applyFill="1" applyBorder="1" applyAlignment="1" applyProtection="1">
      <alignment horizontal="center" vertical="center"/>
      <protection locked="0"/>
    </xf>
    <xf numFmtId="168" fontId="24" fillId="5" borderId="140" xfId="0" applyNumberFormat="1" applyFont="1" applyFill="1" applyBorder="1" applyAlignment="1" applyProtection="1">
      <alignment horizontal="center" vertical="center"/>
      <protection hidden="1"/>
    </xf>
    <xf numFmtId="2" fontId="2" fillId="5" borderId="138" xfId="0" applyNumberFormat="1" applyFont="1" applyFill="1" applyBorder="1" applyAlignment="1" applyProtection="1">
      <alignment horizontal="center" vertical="center"/>
      <protection locked="0"/>
    </xf>
    <xf numFmtId="0" fontId="2" fillId="5" borderId="140" xfId="0" applyFont="1" applyFill="1" applyBorder="1" applyAlignment="1" applyProtection="1">
      <alignment horizontal="center" vertical="center"/>
      <protection hidden="1"/>
    </xf>
    <xf numFmtId="2" fontId="24" fillId="5" borderId="140" xfId="0" applyNumberFormat="1" applyFont="1" applyFill="1" applyBorder="1" applyAlignment="1" applyProtection="1">
      <alignment horizontal="center" vertical="center"/>
      <protection hidden="1"/>
    </xf>
    <xf numFmtId="9" fontId="2" fillId="5" borderId="140" xfId="2" applyFont="1" applyFill="1" applyBorder="1" applyAlignment="1" applyProtection="1">
      <alignment horizontal="center" vertical="center"/>
      <protection hidden="1"/>
    </xf>
    <xf numFmtId="0" fontId="2" fillId="5" borderId="141" xfId="0" applyFont="1" applyFill="1" applyBorder="1" applyAlignment="1" applyProtection="1">
      <alignment vertical="center"/>
      <protection hidden="1"/>
    </xf>
    <xf numFmtId="0" fontId="2" fillId="5" borderId="1" xfId="0" applyFont="1" applyFill="1" applyBorder="1" applyAlignment="1" applyProtection="1">
      <alignment vertical="center"/>
      <protection hidden="1"/>
    </xf>
    <xf numFmtId="0" fontId="2" fillId="5" borderId="1" xfId="0" applyFont="1" applyFill="1" applyBorder="1" applyAlignment="1" applyProtection="1">
      <alignment horizontal="center" vertical="center"/>
      <protection hidden="1"/>
    </xf>
    <xf numFmtId="0" fontId="2" fillId="5" borderId="142" xfId="0" applyFont="1" applyFill="1" applyBorder="1" applyAlignment="1" applyProtection="1">
      <alignment horizontal="center" vertical="center"/>
      <protection hidden="1"/>
    </xf>
    <xf numFmtId="0" fontId="2" fillId="5" borderId="139" xfId="0" applyFont="1" applyFill="1" applyBorder="1" applyAlignment="1" applyProtection="1">
      <alignment vertical="center"/>
      <protection hidden="1"/>
    </xf>
    <xf numFmtId="0" fontId="2" fillId="5" borderId="140" xfId="0" applyFont="1" applyFill="1" applyBorder="1" applyAlignment="1" applyProtection="1">
      <alignment vertical="center"/>
      <protection hidden="1"/>
    </xf>
    <xf numFmtId="0" fontId="2" fillId="5" borderId="142" xfId="0" applyFont="1" applyFill="1" applyBorder="1" applyAlignment="1" applyProtection="1">
      <alignment vertical="center"/>
      <protection hidden="1"/>
    </xf>
    <xf numFmtId="0" fontId="39" fillId="0" borderId="0" xfId="0" applyFont="1" applyAlignment="1" applyProtection="1">
      <alignment horizontal="left"/>
      <protection hidden="1"/>
    </xf>
    <xf numFmtId="0" fontId="39" fillId="0" borderId="0" xfId="0" applyFont="1" applyAlignment="1" applyProtection="1">
      <alignment horizontal="center"/>
      <protection hidden="1"/>
    </xf>
    <xf numFmtId="0" fontId="36" fillId="0" borderId="0" xfId="0" applyFont="1" applyFill="1" applyBorder="1" applyAlignment="1" applyProtection="1">
      <alignment horizontal="center"/>
      <protection hidden="1"/>
    </xf>
    <xf numFmtId="0" fontId="106" fillId="0" borderId="0" xfId="0" applyFont="1" applyFill="1" applyBorder="1" applyProtection="1">
      <protection hidden="1"/>
    </xf>
    <xf numFmtId="0" fontId="106" fillId="0" borderId="0" xfId="0" applyFont="1" applyFill="1" applyBorder="1" applyAlignment="1" applyProtection="1">
      <alignment horizontal="left"/>
      <protection hidden="1"/>
    </xf>
    <xf numFmtId="0" fontId="106" fillId="0" borderId="0" xfId="0" applyFont="1" applyFill="1" applyProtection="1">
      <protection hidden="1"/>
    </xf>
    <xf numFmtId="0" fontId="36" fillId="0" borderId="0" xfId="0" applyFont="1" applyFill="1" applyProtection="1">
      <protection hidden="1"/>
    </xf>
    <xf numFmtId="2" fontId="106" fillId="0" borderId="0" xfId="0" applyNumberFormat="1" applyFont="1" applyFill="1" applyBorder="1" applyAlignment="1" applyProtection="1">
      <alignment horizontal="center"/>
      <protection locked="0"/>
    </xf>
    <xf numFmtId="0" fontId="106" fillId="0" borderId="0" xfId="0" applyFont="1" applyFill="1" applyBorder="1" applyAlignment="1" applyProtection="1">
      <alignment horizontal="center"/>
      <protection hidden="1"/>
    </xf>
    <xf numFmtId="0" fontId="36" fillId="0" borderId="0" xfId="0" applyFont="1" applyFill="1" applyBorder="1" applyProtection="1">
      <protection hidden="1"/>
    </xf>
    <xf numFmtId="0" fontId="107" fillId="0" borderId="0" xfId="0" applyFont="1" applyFill="1" applyBorder="1" applyAlignment="1" applyProtection="1">
      <alignment horizontal="center"/>
      <protection hidden="1"/>
    </xf>
    <xf numFmtId="0" fontId="106" fillId="0" borderId="0" xfId="0" applyFont="1" applyFill="1" applyBorder="1" applyProtection="1">
      <protection locked="0"/>
    </xf>
    <xf numFmtId="168" fontId="106" fillId="0" borderId="0" xfId="0" applyNumberFormat="1" applyFont="1" applyFill="1" applyBorder="1" applyAlignment="1" applyProtection="1">
      <alignment horizontal="center"/>
      <protection locked="0"/>
    </xf>
    <xf numFmtId="168" fontId="106" fillId="0" borderId="0" xfId="0" applyNumberFormat="1" applyFont="1" applyFill="1" applyBorder="1" applyAlignment="1" applyProtection="1">
      <alignment horizontal="center"/>
      <protection hidden="1"/>
    </xf>
    <xf numFmtId="0" fontId="36" fillId="0" borderId="0" xfId="0" applyFont="1" applyFill="1" applyBorder="1" applyProtection="1">
      <protection locked="0"/>
    </xf>
    <xf numFmtId="168" fontId="36" fillId="0" borderId="0" xfId="0" applyNumberFormat="1" applyFont="1" applyFill="1" applyBorder="1" applyAlignment="1" applyProtection="1">
      <alignment horizontal="center"/>
      <protection locked="0"/>
    </xf>
    <xf numFmtId="168" fontId="36" fillId="0" borderId="0" xfId="0" applyNumberFormat="1" applyFont="1" applyFill="1" applyBorder="1" applyAlignment="1" applyProtection="1">
      <alignment horizontal="center"/>
      <protection hidden="1"/>
    </xf>
    <xf numFmtId="0" fontId="36" fillId="0" borderId="0" xfId="0" applyFont="1" applyFill="1" applyBorder="1" applyAlignment="1" applyProtection="1">
      <alignment horizontal="center" vertical="center"/>
      <protection hidden="1"/>
    </xf>
    <xf numFmtId="0" fontId="107" fillId="0" borderId="0" xfId="0" applyFont="1" applyFill="1" applyBorder="1" applyAlignment="1" applyProtection="1">
      <alignment horizontal="center" vertical="center"/>
      <protection hidden="1"/>
    </xf>
    <xf numFmtId="2" fontId="10" fillId="5" borderId="0" xfId="0" applyNumberFormat="1" applyFont="1" applyFill="1" applyBorder="1" applyAlignment="1" applyProtection="1">
      <alignment horizontal="center"/>
      <protection hidden="1"/>
    </xf>
    <xf numFmtId="0" fontId="51" fillId="16" borderId="100" xfId="0" applyFont="1" applyFill="1" applyBorder="1" applyAlignment="1" applyProtection="1">
      <alignment horizontal="left"/>
      <protection locked="0"/>
    </xf>
    <xf numFmtId="0" fontId="8" fillId="19" borderId="0" xfId="0" applyFont="1" applyFill="1"/>
    <xf numFmtId="168" fontId="47" fillId="0" borderId="0" xfId="0" applyNumberFormat="1" applyFont="1" applyFill="1" applyBorder="1" applyAlignment="1" applyProtection="1">
      <alignment horizontal="right"/>
    </xf>
    <xf numFmtId="0" fontId="114" fillId="14" borderId="0" xfId="0" applyFont="1" applyFill="1" applyProtection="1">
      <protection hidden="1"/>
    </xf>
    <xf numFmtId="2" fontId="114" fillId="14" borderId="0" xfId="0" applyNumberFormat="1" applyFont="1" applyFill="1" applyAlignment="1" applyProtection="1">
      <alignment horizontal="center"/>
      <protection hidden="1"/>
    </xf>
    <xf numFmtId="0" fontId="4" fillId="14" borderId="0" xfId="0" applyFont="1" applyFill="1" applyAlignment="1" applyProtection="1">
      <alignment horizontal="center"/>
      <protection hidden="1"/>
    </xf>
    <xf numFmtId="2" fontId="63" fillId="5" borderId="144" xfId="0" applyNumberFormat="1" applyFont="1" applyFill="1" applyBorder="1" applyAlignment="1" applyProtection="1">
      <alignment horizontal="center" vertical="center"/>
      <protection hidden="1"/>
    </xf>
    <xf numFmtId="2" fontId="63" fillId="5" borderId="42" xfId="0" applyNumberFormat="1" applyFont="1" applyFill="1" applyBorder="1" applyAlignment="1" applyProtection="1">
      <alignment horizontal="center" vertical="center"/>
      <protection hidden="1"/>
    </xf>
    <xf numFmtId="2" fontId="63" fillId="5" borderId="11" xfId="0" applyNumberFormat="1" applyFont="1" applyFill="1" applyBorder="1" applyAlignment="1" applyProtection="1">
      <alignment horizontal="center" vertical="center"/>
      <protection hidden="1"/>
    </xf>
    <xf numFmtId="2" fontId="63" fillId="5" borderId="31" xfId="0" applyNumberFormat="1" applyFont="1" applyFill="1" applyBorder="1" applyAlignment="1" applyProtection="1">
      <alignment horizontal="center" vertical="center"/>
      <protection hidden="1"/>
    </xf>
    <xf numFmtId="2" fontId="63" fillId="5" borderId="34" xfId="0" applyNumberFormat="1" applyFont="1" applyFill="1" applyBorder="1" applyAlignment="1" applyProtection="1">
      <alignment horizontal="center" vertical="center"/>
      <protection hidden="1"/>
    </xf>
    <xf numFmtId="0" fontId="95" fillId="0" borderId="0" xfId="0" applyFont="1" applyFill="1" applyAlignment="1" applyProtection="1">
      <alignment horizontal="right"/>
      <protection locked="0"/>
    </xf>
    <xf numFmtId="0" fontId="32" fillId="0" borderId="0" xfId="0" applyFont="1" applyFill="1" applyAlignment="1" applyProtection="1">
      <alignment horizontal="center"/>
      <protection locked="0" hidden="1"/>
    </xf>
    <xf numFmtId="0" fontId="32" fillId="0" borderId="167" xfId="0" applyFont="1" applyFill="1" applyBorder="1" applyProtection="1">
      <protection hidden="1"/>
    </xf>
    <xf numFmtId="0" fontId="32" fillId="0" borderId="168" xfId="0" applyFont="1" applyFill="1" applyBorder="1" applyProtection="1">
      <protection hidden="1"/>
    </xf>
    <xf numFmtId="0" fontId="32" fillId="0" borderId="169" xfId="0" applyFont="1" applyFill="1" applyBorder="1" applyProtection="1">
      <protection hidden="1"/>
    </xf>
    <xf numFmtId="0" fontId="32" fillId="0" borderId="170" xfId="0" applyFont="1" applyFill="1" applyBorder="1" applyProtection="1">
      <protection hidden="1"/>
    </xf>
    <xf numFmtId="0" fontId="32" fillId="0" borderId="171" xfId="0" applyFont="1" applyFill="1" applyBorder="1" applyProtection="1">
      <protection hidden="1"/>
    </xf>
    <xf numFmtId="0" fontId="34" fillId="0" borderId="0" xfId="0" applyFont="1" applyFill="1" applyAlignment="1" applyProtection="1">
      <alignment horizontal="left"/>
      <protection hidden="1"/>
    </xf>
    <xf numFmtId="168" fontId="34" fillId="0" borderId="0" xfId="0" applyNumberFormat="1" applyFont="1" applyFill="1" applyAlignment="1" applyProtection="1">
      <alignment horizontal="center"/>
      <protection hidden="1"/>
    </xf>
    <xf numFmtId="168" fontId="34" fillId="0" borderId="0" xfId="0" applyNumberFormat="1" applyFont="1" applyFill="1" applyProtection="1">
      <protection hidden="1"/>
    </xf>
    <xf numFmtId="1" fontId="32" fillId="0" borderId="0" xfId="0" applyNumberFormat="1" applyFont="1" applyFill="1" applyProtection="1">
      <protection hidden="1"/>
    </xf>
    <xf numFmtId="0" fontId="32" fillId="0" borderId="171" xfId="0" applyFont="1" applyFill="1" applyBorder="1" applyAlignment="1" applyProtection="1">
      <alignment horizontal="left"/>
      <protection hidden="1"/>
    </xf>
    <xf numFmtId="168" fontId="32" fillId="0" borderId="0" xfId="0" applyNumberFormat="1" applyFont="1" applyFill="1" applyAlignment="1" applyProtection="1">
      <alignment horizontal="center"/>
      <protection hidden="1"/>
    </xf>
    <xf numFmtId="2" fontId="106" fillId="0" borderId="0" xfId="0" applyNumberFormat="1" applyFont="1" applyFill="1" applyBorder="1" applyAlignment="1" applyProtection="1">
      <alignment horizontal="center"/>
      <protection hidden="1"/>
    </xf>
    <xf numFmtId="0" fontId="106" fillId="0" borderId="170" xfId="0" applyFont="1" applyFill="1" applyBorder="1" applyProtection="1">
      <protection hidden="1"/>
    </xf>
    <xf numFmtId="0" fontId="106" fillId="0" borderId="0" xfId="0" applyFont="1" applyFill="1" applyBorder="1" applyProtection="1">
      <protection locked="0" hidden="1"/>
    </xf>
    <xf numFmtId="0" fontId="36" fillId="0" borderId="170" xfId="0" applyFont="1" applyFill="1" applyBorder="1" applyProtection="1">
      <protection hidden="1"/>
    </xf>
    <xf numFmtId="0" fontId="36" fillId="0" borderId="172" xfId="0" applyFont="1" applyFill="1" applyBorder="1" applyAlignment="1" applyProtection="1">
      <alignment vertical="center" shrinkToFit="1"/>
      <protection hidden="1"/>
    </xf>
    <xf numFmtId="2" fontId="36" fillId="0" borderId="173" xfId="0" applyNumberFormat="1" applyFont="1" applyFill="1" applyBorder="1" applyAlignment="1" applyProtection="1">
      <alignment horizontal="center" vertical="center" shrinkToFit="1"/>
      <protection hidden="1"/>
    </xf>
    <xf numFmtId="0" fontId="36" fillId="0" borderId="173" xfId="0" applyFont="1" applyFill="1" applyBorder="1" applyAlignment="1" applyProtection="1">
      <alignment horizontal="center" vertical="center" shrinkToFit="1"/>
      <protection hidden="1"/>
    </xf>
    <xf numFmtId="0" fontId="108" fillId="0" borderId="174" xfId="0" applyFont="1" applyFill="1" applyBorder="1" applyAlignment="1" applyProtection="1">
      <alignment horizontal="center" vertical="center" shrinkToFit="1"/>
      <protection hidden="1"/>
    </xf>
    <xf numFmtId="0" fontId="33" fillId="0" borderId="170" xfId="0" applyFont="1" applyFill="1" applyBorder="1" applyAlignment="1" applyProtection="1">
      <alignment horizontal="center"/>
      <protection hidden="1"/>
    </xf>
    <xf numFmtId="0" fontId="32" fillId="0" borderId="175" xfId="0" applyFont="1" applyFill="1" applyBorder="1" applyProtection="1">
      <protection hidden="1"/>
    </xf>
    <xf numFmtId="0" fontId="32" fillId="0" borderId="176" xfId="0" applyFont="1" applyFill="1" applyBorder="1" applyProtection="1">
      <protection hidden="1"/>
    </xf>
    <xf numFmtId="0" fontId="32" fillId="0" borderId="177" xfId="0" applyFont="1" applyFill="1" applyBorder="1" applyProtection="1">
      <protection hidden="1"/>
    </xf>
    <xf numFmtId="0" fontId="32" fillId="0" borderId="171" xfId="0" applyFont="1" applyFill="1" applyBorder="1" applyAlignment="1" applyProtection="1">
      <alignment horizontal="left" vertical="center"/>
      <protection hidden="1"/>
    </xf>
    <xf numFmtId="0" fontId="32" fillId="0" borderId="170" xfId="0" applyFont="1" applyFill="1" applyBorder="1" applyAlignment="1" applyProtection="1">
      <alignment horizontal="right"/>
      <protection hidden="1"/>
    </xf>
    <xf numFmtId="0" fontId="34" fillId="0" borderId="170" xfId="0" applyFont="1" applyFill="1" applyBorder="1" applyAlignment="1" applyProtection="1">
      <alignment horizontal="right"/>
      <protection hidden="1"/>
    </xf>
    <xf numFmtId="169" fontId="32" fillId="0" borderId="176" xfId="0" applyNumberFormat="1" applyFont="1" applyFill="1" applyBorder="1" applyAlignment="1" applyProtection="1">
      <alignment horizontal="right"/>
      <protection hidden="1"/>
    </xf>
    <xf numFmtId="0" fontId="32" fillId="0" borderId="176" xfId="0" applyFont="1" applyFill="1" applyBorder="1" applyAlignment="1" applyProtection="1">
      <alignment horizontal="left"/>
      <protection hidden="1"/>
    </xf>
    <xf numFmtId="0" fontId="32" fillId="0" borderId="176" xfId="0" applyFont="1" applyFill="1" applyBorder="1" applyAlignment="1" applyProtection="1">
      <alignment horizontal="center"/>
      <protection hidden="1"/>
    </xf>
    <xf numFmtId="0" fontId="32" fillId="0" borderId="176" xfId="0" applyFont="1" applyFill="1" applyBorder="1" applyAlignment="1" applyProtection="1">
      <alignment horizontal="right"/>
      <protection hidden="1"/>
    </xf>
    <xf numFmtId="166" fontId="32" fillId="0" borderId="176" xfId="0" applyNumberFormat="1" applyFont="1" applyFill="1" applyBorder="1" applyAlignment="1" applyProtection="1">
      <alignment horizontal="center"/>
      <protection hidden="1"/>
    </xf>
    <xf numFmtId="168" fontId="32" fillId="0" borderId="176" xfId="0" applyNumberFormat="1" applyFont="1" applyFill="1" applyBorder="1" applyProtection="1">
      <protection hidden="1"/>
    </xf>
    <xf numFmtId="0" fontId="28" fillId="0" borderId="0" xfId="0" applyFont="1" applyFill="1"/>
    <xf numFmtId="0" fontId="28" fillId="0" borderId="0" xfId="0" applyFont="1" applyFill="1" applyProtection="1">
      <protection hidden="1"/>
    </xf>
    <xf numFmtId="2" fontId="32" fillId="0" borderId="0" xfId="0" applyNumberFormat="1" applyFont="1" applyFill="1" applyProtection="1">
      <protection hidden="1"/>
    </xf>
    <xf numFmtId="0" fontId="83" fillId="5" borderId="0" xfId="0" applyFont="1" applyFill="1" applyAlignment="1" applyProtection="1">
      <alignment horizontal="center"/>
      <protection hidden="1"/>
    </xf>
    <xf numFmtId="166" fontId="46" fillId="5" borderId="0" xfId="0" applyNumberFormat="1" applyFont="1" applyFill="1" applyProtection="1">
      <protection hidden="1"/>
    </xf>
    <xf numFmtId="167" fontId="59" fillId="6" borderId="0" xfId="0" applyNumberFormat="1" applyFont="1" applyFill="1" applyBorder="1" applyProtection="1">
      <protection hidden="1"/>
    </xf>
    <xf numFmtId="0" fontId="8" fillId="5" borderId="0" xfId="0" applyFont="1" applyFill="1" applyAlignment="1" applyProtection="1">
      <alignment horizontal="center"/>
      <protection hidden="1"/>
    </xf>
    <xf numFmtId="0" fontId="11" fillId="5" borderId="0" xfId="0" applyFont="1" applyFill="1" applyAlignment="1" applyProtection="1">
      <alignment horizontal="center"/>
      <protection hidden="1"/>
    </xf>
    <xf numFmtId="0" fontId="11" fillId="5" borderId="0" xfId="0" applyFont="1" applyFill="1" applyProtection="1">
      <protection hidden="1"/>
    </xf>
    <xf numFmtId="0" fontId="49" fillId="5" borderId="0" xfId="0" applyFont="1" applyFill="1" applyBorder="1" applyProtection="1">
      <protection hidden="1"/>
    </xf>
    <xf numFmtId="0" fontId="4" fillId="20" borderId="0" xfId="0" applyFont="1" applyFill="1" applyAlignment="1" applyProtection="1">
      <alignment horizontal="center"/>
      <protection hidden="1"/>
    </xf>
    <xf numFmtId="167" fontId="59" fillId="5" borderId="0" xfId="0" applyNumberFormat="1" applyFont="1" applyFill="1" applyBorder="1" applyAlignment="1" applyProtection="1">
      <alignment horizontal="center"/>
      <protection hidden="1"/>
    </xf>
    <xf numFmtId="167" fontId="59" fillId="5" borderId="0" xfId="0" applyNumberFormat="1" applyFont="1" applyFill="1" applyBorder="1" applyProtection="1">
      <protection hidden="1"/>
    </xf>
    <xf numFmtId="0" fontId="2" fillId="0" borderId="0" xfId="0" applyFont="1" applyAlignment="1" applyProtection="1">
      <alignment horizontal="left"/>
      <protection hidden="1"/>
    </xf>
    <xf numFmtId="0" fontId="115" fillId="5" borderId="18" xfId="0" applyFont="1" applyFill="1" applyBorder="1" applyProtection="1">
      <protection hidden="1"/>
    </xf>
    <xf numFmtId="0" fontId="115" fillId="5" borderId="0" xfId="0" applyFont="1" applyFill="1" applyBorder="1" applyAlignment="1" applyProtection="1">
      <alignment horizontal="left"/>
      <protection hidden="1"/>
    </xf>
    <xf numFmtId="0" fontId="115" fillId="5" borderId="19" xfId="0" applyFont="1" applyFill="1" applyBorder="1" applyAlignment="1" applyProtection="1">
      <alignment horizontal="left"/>
      <protection hidden="1"/>
    </xf>
    <xf numFmtId="0" fontId="7" fillId="5" borderId="0" xfId="0" applyFont="1" applyFill="1" applyBorder="1" applyAlignment="1" applyProtection="1">
      <alignment vertical="center"/>
      <protection hidden="1"/>
    </xf>
    <xf numFmtId="0" fontId="7" fillId="5" borderId="4" xfId="0" applyFont="1" applyFill="1" applyBorder="1" applyAlignment="1" applyProtection="1">
      <protection hidden="1"/>
    </xf>
    <xf numFmtId="0" fontId="7" fillId="5" borderId="0" xfId="0" applyFont="1" applyFill="1" applyBorder="1" applyAlignment="1" applyProtection="1">
      <protection hidden="1"/>
    </xf>
    <xf numFmtId="2" fontId="7" fillId="5" borderId="0" xfId="0" applyNumberFormat="1" applyFont="1" applyFill="1" applyBorder="1" applyAlignment="1" applyProtection="1">
      <protection hidden="1"/>
    </xf>
    <xf numFmtId="0" fontId="7" fillId="5" borderId="13" xfId="0" applyFont="1" applyFill="1" applyBorder="1" applyAlignment="1" applyProtection="1">
      <protection hidden="1"/>
    </xf>
    <xf numFmtId="0" fontId="7" fillId="5" borderId="0" xfId="0" applyFont="1" applyFill="1" applyAlignment="1" applyProtection="1">
      <protection hidden="1"/>
    </xf>
    <xf numFmtId="0" fontId="2" fillId="16" borderId="74" xfId="0" applyFont="1" applyFill="1" applyBorder="1" applyProtection="1">
      <protection locked="0"/>
    </xf>
    <xf numFmtId="0" fontId="115" fillId="5" borderId="18" xfId="0" applyFont="1" applyFill="1" applyBorder="1" applyAlignment="1" applyProtection="1">
      <alignment vertical="center"/>
      <protection hidden="1"/>
    </xf>
    <xf numFmtId="0" fontId="115" fillId="5" borderId="0" xfId="0" applyFont="1" applyFill="1" applyBorder="1" applyAlignment="1" applyProtection="1">
      <alignment horizontal="left" vertical="center"/>
      <protection hidden="1"/>
    </xf>
    <xf numFmtId="0" fontId="4" fillId="2" borderId="0" xfId="0" applyFont="1" applyFill="1" applyAlignment="1" applyProtection="1">
      <alignment horizontal="center" vertical="top"/>
      <protection hidden="1"/>
    </xf>
    <xf numFmtId="0" fontId="4" fillId="2" borderId="0" xfId="0" applyFont="1" applyFill="1" applyAlignment="1" applyProtection="1">
      <alignment horizontal="center"/>
      <protection hidden="1"/>
    </xf>
    <xf numFmtId="0" fontId="120" fillId="0" borderId="0" xfId="0" applyFont="1"/>
    <xf numFmtId="0" fontId="7" fillId="5" borderId="0" xfId="0" applyFont="1" applyFill="1" applyAlignment="1">
      <alignment vertical="top" wrapText="1"/>
    </xf>
    <xf numFmtId="0" fontId="10" fillId="6" borderId="0" xfId="0" applyFont="1" applyFill="1" applyBorder="1" applyAlignment="1" applyProtection="1">
      <alignment vertical="center"/>
      <protection hidden="1"/>
    </xf>
    <xf numFmtId="167" fontId="10" fillId="6" borderId="0" xfId="0" applyNumberFormat="1" applyFont="1" applyFill="1" applyBorder="1" applyAlignment="1" applyProtection="1">
      <protection hidden="1"/>
    </xf>
    <xf numFmtId="0" fontId="7" fillId="5" borderId="8" xfId="0" applyFont="1" applyFill="1" applyBorder="1" applyProtection="1">
      <protection hidden="1"/>
    </xf>
    <xf numFmtId="166" fontId="7" fillId="5" borderId="0" xfId="0" applyNumberFormat="1" applyFont="1" applyFill="1" applyBorder="1" applyAlignment="1" applyProtection="1">
      <alignment horizontal="right"/>
      <protection hidden="1"/>
    </xf>
    <xf numFmtId="0" fontId="7" fillId="22" borderId="0" xfId="0" applyFont="1" applyFill="1" applyProtection="1">
      <protection hidden="1"/>
    </xf>
    <xf numFmtId="0" fontId="45" fillId="22" borderId="0" xfId="0" applyFont="1" applyFill="1" applyProtection="1">
      <protection hidden="1"/>
    </xf>
    <xf numFmtId="0" fontId="84" fillId="22" borderId="0" xfId="0" applyFont="1" applyFill="1" applyProtection="1">
      <protection hidden="1"/>
    </xf>
    <xf numFmtId="3" fontId="84" fillId="22" borderId="0" xfId="0" applyNumberFormat="1" applyFont="1" applyFill="1" applyProtection="1">
      <protection hidden="1"/>
    </xf>
    <xf numFmtId="2" fontId="84" fillId="22" borderId="0" xfId="0" applyNumberFormat="1" applyFont="1" applyFill="1" applyProtection="1">
      <protection hidden="1"/>
    </xf>
    <xf numFmtId="167" fontId="84" fillId="22" borderId="0" xfId="0" applyNumberFormat="1" applyFont="1" applyFill="1" applyProtection="1">
      <protection hidden="1"/>
    </xf>
    <xf numFmtId="0" fontId="84" fillId="22" borderId="0" xfId="0" applyFont="1" applyFill="1" applyAlignment="1" applyProtection="1">
      <alignment horizontal="left"/>
      <protection hidden="1"/>
    </xf>
    <xf numFmtId="0" fontId="84" fillId="22" borderId="0" xfId="0" applyFont="1" applyFill="1" applyProtection="1">
      <protection locked="0"/>
    </xf>
    <xf numFmtId="0" fontId="124" fillId="22" borderId="0" xfId="0" applyFont="1" applyFill="1" applyProtection="1">
      <protection locked="0"/>
    </xf>
    <xf numFmtId="2" fontId="124" fillId="22" borderId="0" xfId="0" applyNumberFormat="1" applyFont="1" applyFill="1" applyProtection="1">
      <protection locked="0"/>
    </xf>
    <xf numFmtId="0" fontId="80" fillId="22" borderId="8" xfId="0" applyFont="1" applyFill="1" applyBorder="1" applyProtection="1">
      <protection hidden="1"/>
    </xf>
    <xf numFmtId="167" fontId="80" fillId="22" borderId="8" xfId="0" applyNumberFormat="1" applyFont="1" applyFill="1" applyBorder="1" applyProtection="1">
      <protection hidden="1"/>
    </xf>
    <xf numFmtId="0" fontId="4" fillId="5" borderId="0" xfId="0" applyFont="1" applyFill="1" applyBorder="1" applyAlignment="1" applyProtection="1">
      <alignment vertical="top" wrapText="1"/>
      <protection hidden="1"/>
    </xf>
    <xf numFmtId="0" fontId="10" fillId="5" borderId="179" xfId="0" applyFont="1" applyFill="1" applyBorder="1" applyProtection="1">
      <protection hidden="1"/>
    </xf>
    <xf numFmtId="0" fontId="7" fillId="0" borderId="179" xfId="0" applyFont="1" applyBorder="1" applyProtection="1">
      <protection hidden="1"/>
    </xf>
    <xf numFmtId="0" fontId="39" fillId="0" borderId="179" xfId="0" applyFont="1" applyBorder="1" applyAlignment="1" applyProtection="1">
      <alignment horizontal="right"/>
      <protection hidden="1"/>
    </xf>
    <xf numFmtId="0" fontId="7" fillId="0" borderId="179" xfId="0" applyFont="1" applyBorder="1" applyAlignment="1" applyProtection="1">
      <alignment horizontal="left"/>
      <protection hidden="1"/>
    </xf>
    <xf numFmtId="0" fontId="7" fillId="0" borderId="179" xfId="0" applyFont="1" applyBorder="1"/>
    <xf numFmtId="0" fontId="8" fillId="5" borderId="179" xfId="0" applyFont="1" applyFill="1" applyBorder="1"/>
    <xf numFmtId="0" fontId="7" fillId="5" borderId="179" xfId="0" applyFont="1" applyFill="1" applyBorder="1" applyProtection="1">
      <protection hidden="1"/>
    </xf>
    <xf numFmtId="0" fontId="7" fillId="5" borderId="179" xfId="0" applyFont="1" applyFill="1" applyBorder="1"/>
    <xf numFmtId="0" fontId="7" fillId="0" borderId="180" xfId="0" applyFont="1" applyBorder="1" applyAlignment="1" applyProtection="1">
      <alignment horizontal="center"/>
      <protection hidden="1"/>
    </xf>
    <xf numFmtId="0" fontId="7" fillId="0" borderId="180" xfId="0" applyFont="1" applyBorder="1" applyProtection="1">
      <protection hidden="1"/>
    </xf>
    <xf numFmtId="0" fontId="7" fillId="0" borderId="180" xfId="0" applyFont="1" applyBorder="1"/>
    <xf numFmtId="0" fontId="7" fillId="0" borderId="180" xfId="0" applyFont="1" applyBorder="1" applyAlignment="1" applyProtection="1">
      <alignment horizontal="center" vertical="center"/>
      <protection hidden="1"/>
    </xf>
    <xf numFmtId="0" fontId="7" fillId="0" borderId="180" xfId="0" applyFont="1" applyBorder="1" applyAlignment="1" applyProtection="1">
      <alignment vertical="center"/>
      <protection hidden="1"/>
    </xf>
    <xf numFmtId="0" fontId="7" fillId="5" borderId="181" xfId="0" applyFont="1" applyFill="1" applyBorder="1" applyProtection="1">
      <protection hidden="1"/>
    </xf>
    <xf numFmtId="0" fontId="7" fillId="5" borderId="180" xfId="0" applyFont="1" applyFill="1" applyBorder="1"/>
    <xf numFmtId="0" fontId="7" fillId="5" borderId="180" xfId="0" applyFont="1" applyFill="1" applyBorder="1" applyProtection="1">
      <protection hidden="1"/>
    </xf>
    <xf numFmtId="0" fontId="10" fillId="5" borderId="179" xfId="0" applyFont="1" applyFill="1" applyBorder="1" applyAlignment="1" applyProtection="1">
      <alignment horizontal="center"/>
      <protection hidden="1"/>
    </xf>
    <xf numFmtId="0" fontId="10" fillId="0" borderId="179" xfId="0" applyFont="1" applyBorder="1" applyProtection="1">
      <protection hidden="1"/>
    </xf>
    <xf numFmtId="0" fontId="10" fillId="0" borderId="179" xfId="0" applyFont="1" applyBorder="1" applyAlignment="1" applyProtection="1">
      <alignment horizontal="center"/>
      <protection hidden="1"/>
    </xf>
    <xf numFmtId="0" fontId="8" fillId="0" borderId="179" xfId="0" applyFont="1" applyFill="1" applyBorder="1" applyAlignment="1" applyProtection="1">
      <alignment horizontal="left"/>
      <protection hidden="1"/>
    </xf>
    <xf numFmtId="0" fontId="26" fillId="0" borderId="179" xfId="0" applyFont="1" applyBorder="1"/>
    <xf numFmtId="0" fontId="26" fillId="0" borderId="179" xfId="0" applyFont="1" applyBorder="1" applyProtection="1">
      <protection hidden="1"/>
    </xf>
    <xf numFmtId="0" fontId="8" fillId="0" borderId="179" xfId="0" applyFont="1" applyBorder="1" applyAlignment="1" applyProtection="1">
      <alignment horizontal="left"/>
      <protection hidden="1"/>
    </xf>
    <xf numFmtId="0" fontId="46" fillId="0" borderId="179" xfId="0" applyFont="1" applyBorder="1"/>
    <xf numFmtId="9" fontId="7" fillId="0" borderId="179" xfId="2" applyFont="1" applyBorder="1" applyAlignment="1" applyProtection="1">
      <alignment horizontal="left"/>
      <protection hidden="1"/>
    </xf>
    <xf numFmtId="0" fontId="7" fillId="0" borderId="179" xfId="0" applyFont="1" applyBorder="1" applyAlignment="1">
      <alignment horizontal="center"/>
    </xf>
    <xf numFmtId="0" fontId="50" fillId="0" borderId="179" xfId="0" applyFont="1" applyBorder="1" applyProtection="1">
      <protection hidden="1"/>
    </xf>
    <xf numFmtId="0" fontId="7" fillId="0" borderId="179" xfId="0" applyFont="1" applyFill="1" applyBorder="1" applyAlignment="1" applyProtection="1">
      <alignment horizontal="left"/>
      <protection hidden="1"/>
    </xf>
    <xf numFmtId="0" fontId="41" fillId="0" borderId="179" xfId="0" applyFont="1" applyBorder="1" applyProtection="1">
      <protection hidden="1"/>
    </xf>
    <xf numFmtId="0" fontId="41" fillId="0" borderId="179" xfId="0" applyFont="1" applyBorder="1"/>
    <xf numFmtId="2" fontId="39" fillId="0" borderId="179" xfId="0" applyNumberFormat="1" applyFont="1" applyBorder="1" applyProtection="1">
      <protection hidden="1"/>
    </xf>
    <xf numFmtId="0" fontId="39" fillId="0" borderId="179" xfId="0" applyFont="1" applyBorder="1" applyProtection="1">
      <protection hidden="1"/>
    </xf>
    <xf numFmtId="2" fontId="39" fillId="0" borderId="179" xfId="0" applyNumberFormat="1" applyFont="1" applyBorder="1" applyAlignment="1" applyProtection="1">
      <alignment vertical="center"/>
      <protection hidden="1"/>
    </xf>
    <xf numFmtId="0" fontId="10" fillId="5" borderId="181" xfId="0" applyNumberFormat="1" applyFont="1" applyFill="1" applyBorder="1" applyAlignment="1" applyProtection="1">
      <alignment vertical="center"/>
      <protection hidden="1"/>
    </xf>
    <xf numFmtId="0" fontId="10" fillId="5" borderId="181" xfId="0" applyFont="1" applyFill="1" applyBorder="1" applyAlignment="1" applyProtection="1">
      <alignment vertical="center"/>
      <protection hidden="1"/>
    </xf>
    <xf numFmtId="0" fontId="10" fillId="5" borderId="181" xfId="0" applyFont="1" applyFill="1" applyBorder="1" applyProtection="1">
      <protection hidden="1"/>
    </xf>
    <xf numFmtId="0" fontId="7" fillId="5" borderId="181" xfId="0" applyFont="1" applyFill="1" applyBorder="1" applyAlignment="1" applyProtection="1">
      <alignment horizontal="right" vertical="center"/>
      <protection hidden="1"/>
    </xf>
    <xf numFmtId="167" fontId="10" fillId="5" borderId="181" xfId="0" applyNumberFormat="1" applyFont="1" applyFill="1" applyBorder="1" applyAlignment="1" applyProtection="1">
      <alignment horizontal="right" vertical="center"/>
      <protection hidden="1"/>
    </xf>
    <xf numFmtId="9" fontId="7" fillId="5" borderId="181" xfId="2" applyFont="1" applyFill="1" applyBorder="1" applyAlignment="1" applyProtection="1">
      <alignment horizontal="center" vertical="center"/>
      <protection hidden="1"/>
    </xf>
    <xf numFmtId="0" fontId="7" fillId="5" borderId="181" xfId="0" applyFont="1" applyFill="1" applyBorder="1"/>
    <xf numFmtId="0" fontId="10" fillId="5" borderId="180" xfId="0" applyFont="1" applyFill="1" applyBorder="1" applyAlignment="1" applyProtection="1">
      <alignment vertical="center"/>
      <protection hidden="1"/>
    </xf>
    <xf numFmtId="0" fontId="10" fillId="5" borderId="180" xfId="0" applyFont="1" applyFill="1" applyBorder="1" applyProtection="1">
      <protection hidden="1"/>
    </xf>
    <xf numFmtId="0" fontId="7" fillId="5" borderId="180" xfId="0" applyFont="1" applyFill="1" applyBorder="1" applyAlignment="1" applyProtection="1">
      <alignment horizontal="right" vertical="center"/>
      <protection hidden="1"/>
    </xf>
    <xf numFmtId="167" fontId="10" fillId="5" borderId="180" xfId="0" applyNumberFormat="1" applyFont="1" applyFill="1" applyBorder="1" applyAlignment="1" applyProtection="1">
      <alignment vertical="center"/>
      <protection hidden="1"/>
    </xf>
    <xf numFmtId="9" fontId="7" fillId="5" borderId="180" xfId="2" applyFont="1" applyFill="1" applyBorder="1" applyAlignment="1" applyProtection="1">
      <alignment horizontal="center" vertical="center"/>
      <protection hidden="1"/>
    </xf>
    <xf numFmtId="0" fontId="7" fillId="0" borderId="179" xfId="0" applyFont="1" applyBorder="1" applyAlignment="1" applyProtection="1">
      <alignment horizontal="center"/>
      <protection hidden="1"/>
    </xf>
    <xf numFmtId="0" fontId="7" fillId="0" borderId="179" xfId="0" applyFont="1" applyFill="1" applyBorder="1" applyProtection="1">
      <protection hidden="1"/>
    </xf>
    <xf numFmtId="167" fontId="7" fillId="0" borderId="179" xfId="0" applyNumberFormat="1" applyFont="1" applyBorder="1" applyProtection="1">
      <protection hidden="1"/>
    </xf>
    <xf numFmtId="9" fontId="3" fillId="0" borderId="179" xfId="2" applyFont="1" applyBorder="1" applyAlignment="1" applyProtection="1">
      <alignment horizontal="center"/>
      <protection hidden="1"/>
    </xf>
    <xf numFmtId="0" fontId="46" fillId="0" borderId="179" xfId="0" applyFont="1" applyBorder="1" applyProtection="1">
      <protection hidden="1"/>
    </xf>
    <xf numFmtId="0" fontId="7" fillId="0" borderId="179" xfId="0" applyFont="1" applyFill="1" applyBorder="1" applyAlignment="1" applyProtection="1">
      <alignment horizontal="right" vertical="center"/>
      <protection hidden="1"/>
    </xf>
    <xf numFmtId="167" fontId="7" fillId="0" borderId="179" xfId="0" applyNumberFormat="1" applyFont="1" applyFill="1" applyBorder="1" applyAlignment="1" applyProtection="1">
      <alignment horizontal="right" vertical="center"/>
      <protection hidden="1"/>
    </xf>
    <xf numFmtId="1" fontId="32" fillId="0" borderId="179" xfId="2" applyNumberFormat="1" applyFont="1" applyFill="1" applyBorder="1" applyAlignment="1" applyProtection="1">
      <alignment horizontal="right" vertical="center"/>
      <protection hidden="1"/>
    </xf>
    <xf numFmtId="0" fontId="10" fillId="5" borderId="179" xfId="0" applyFont="1" applyFill="1" applyBorder="1" applyAlignment="1" applyProtection="1">
      <alignment vertical="center"/>
      <protection hidden="1"/>
    </xf>
    <xf numFmtId="0" fontId="8" fillId="5" borderId="179" xfId="0" applyFont="1" applyFill="1" applyBorder="1" applyAlignment="1" applyProtection="1">
      <alignment vertical="center"/>
      <protection hidden="1"/>
    </xf>
    <xf numFmtId="0" fontId="8" fillId="5" borderId="179" xfId="0" applyFont="1" applyFill="1" applyBorder="1" applyAlignment="1" applyProtection="1">
      <alignment horizontal="center"/>
      <protection hidden="1"/>
    </xf>
    <xf numFmtId="0" fontId="8" fillId="5" borderId="179" xfId="0" applyFont="1" applyFill="1" applyBorder="1" applyProtection="1">
      <protection hidden="1"/>
    </xf>
    <xf numFmtId="167" fontId="40" fillId="5" borderId="179" xfId="0" applyNumberFormat="1" applyFont="1" applyFill="1" applyBorder="1" applyAlignment="1" applyProtection="1">
      <alignment vertical="center"/>
      <protection hidden="1"/>
    </xf>
    <xf numFmtId="9" fontId="3" fillId="5" borderId="179" xfId="2" applyFont="1" applyFill="1" applyBorder="1" applyAlignment="1" applyProtection="1">
      <alignment horizontal="center" vertical="center"/>
      <protection hidden="1"/>
    </xf>
    <xf numFmtId="0" fontId="3" fillId="0" borderId="179" xfId="0" applyFont="1" applyBorder="1" applyProtection="1">
      <protection hidden="1"/>
    </xf>
    <xf numFmtId="167" fontId="3" fillId="0" borderId="179" xfId="0" applyNumberFormat="1" applyFont="1" applyBorder="1" applyAlignment="1" applyProtection="1">
      <alignment horizontal="right"/>
      <protection hidden="1"/>
    </xf>
    <xf numFmtId="0" fontId="7" fillId="5" borderId="179" xfId="0" applyFont="1" applyFill="1" applyBorder="1" applyAlignment="1" applyProtection="1">
      <alignment horizontal="center"/>
      <protection hidden="1"/>
    </xf>
    <xf numFmtId="0" fontId="3" fillId="0" borderId="179" xfId="0" applyFont="1" applyBorder="1" applyAlignment="1" applyProtection="1">
      <alignment vertical="center"/>
      <protection hidden="1"/>
    </xf>
    <xf numFmtId="0" fontId="7" fillId="0" borderId="179" xfId="0" applyFont="1" applyBorder="1" applyAlignment="1">
      <alignment vertical="center"/>
    </xf>
    <xf numFmtId="0" fontId="40" fillId="0" borderId="179" xfId="0" applyFont="1" applyBorder="1" applyAlignment="1" applyProtection="1">
      <alignment vertical="center"/>
      <protection hidden="1"/>
    </xf>
    <xf numFmtId="167" fontId="40" fillId="0" borderId="179" xfId="0" applyNumberFormat="1" applyFont="1" applyBorder="1" applyAlignment="1" applyProtection="1">
      <alignment vertical="center"/>
      <protection hidden="1"/>
    </xf>
    <xf numFmtId="0" fontId="7" fillId="0" borderId="179" xfId="0" applyFont="1" applyBorder="1" applyAlignment="1" applyProtection="1">
      <alignment vertical="center"/>
      <protection hidden="1"/>
    </xf>
    <xf numFmtId="2" fontId="7" fillId="0" borderId="179" xfId="0" applyNumberFormat="1" applyFont="1" applyBorder="1" applyAlignment="1" applyProtection="1">
      <alignment vertical="center"/>
      <protection hidden="1"/>
    </xf>
    <xf numFmtId="1" fontId="7" fillId="0" borderId="179" xfId="0" applyNumberFormat="1" applyFont="1" applyBorder="1" applyAlignment="1" applyProtection="1">
      <alignment vertical="center"/>
      <protection hidden="1"/>
    </xf>
    <xf numFmtId="2" fontId="7" fillId="0" borderId="179" xfId="0" applyNumberFormat="1" applyFont="1" applyBorder="1" applyAlignment="1" applyProtection="1">
      <alignment horizontal="center"/>
      <protection hidden="1"/>
    </xf>
    <xf numFmtId="3" fontId="7" fillId="0" borderId="179" xfId="0" applyNumberFormat="1" applyFont="1" applyBorder="1" applyAlignment="1" applyProtection="1">
      <alignment horizontal="right"/>
      <protection hidden="1"/>
    </xf>
    <xf numFmtId="3" fontId="7" fillId="5" borderId="179" xfId="0" applyNumberFormat="1" applyFont="1" applyFill="1" applyBorder="1" applyAlignment="1" applyProtection="1">
      <alignment horizontal="right"/>
      <protection hidden="1"/>
    </xf>
    <xf numFmtId="3" fontId="8" fillId="5" borderId="179" xfId="0" applyNumberFormat="1" applyFont="1" applyFill="1" applyBorder="1" applyAlignment="1" applyProtection="1">
      <alignment horizontal="right"/>
      <protection hidden="1"/>
    </xf>
    <xf numFmtId="0" fontId="7" fillId="5" borderId="179" xfId="0" applyFont="1" applyFill="1" applyBorder="1" applyAlignment="1" applyProtection="1">
      <alignment horizontal="left"/>
      <protection hidden="1"/>
    </xf>
    <xf numFmtId="2" fontId="7" fillId="5" borderId="179" xfId="0" applyNumberFormat="1" applyFont="1" applyFill="1" applyBorder="1" applyAlignment="1" applyProtection="1">
      <alignment horizontal="center"/>
      <protection hidden="1"/>
    </xf>
    <xf numFmtId="0" fontId="8" fillId="0" borderId="179" xfId="0" applyFont="1" applyBorder="1" applyAlignment="1" applyProtection="1">
      <alignment horizontal="center"/>
      <protection hidden="1"/>
    </xf>
    <xf numFmtId="3" fontId="7" fillId="0" borderId="179" xfId="0" applyNumberFormat="1" applyFont="1" applyBorder="1" applyAlignment="1" applyProtection="1">
      <alignment horizontal="right" vertical="center"/>
      <protection hidden="1"/>
    </xf>
    <xf numFmtId="0" fontId="7" fillId="0" borderId="179" xfId="0" applyFont="1" applyBorder="1" applyAlignment="1" applyProtection="1">
      <alignment horizontal="left" vertical="center"/>
      <protection hidden="1"/>
    </xf>
    <xf numFmtId="0" fontId="7" fillId="0" borderId="179" xfId="0" applyFont="1" applyBorder="1" applyAlignment="1" applyProtection="1">
      <alignment horizontal="center" vertical="center"/>
      <protection hidden="1"/>
    </xf>
    <xf numFmtId="167" fontId="7" fillId="0" borderId="179" xfId="2" applyNumberFormat="1" applyFont="1" applyBorder="1" applyAlignment="1" applyProtection="1">
      <alignment horizontal="right" vertical="center"/>
      <protection hidden="1"/>
    </xf>
    <xf numFmtId="2" fontId="7" fillId="0" borderId="179" xfId="0" applyNumberFormat="1" applyFont="1" applyBorder="1" applyAlignment="1" applyProtection="1">
      <alignment horizontal="right" vertical="center"/>
      <protection hidden="1"/>
    </xf>
    <xf numFmtId="0" fontId="7" fillId="0" borderId="179" xfId="0" applyFont="1" applyFill="1" applyBorder="1"/>
    <xf numFmtId="0" fontId="118" fillId="0" borderId="179" xfId="0" applyFont="1" applyFill="1" applyBorder="1" applyAlignment="1" applyProtection="1">
      <alignment horizontal="left"/>
      <protection hidden="1"/>
    </xf>
    <xf numFmtId="0" fontId="118" fillId="0" borderId="179" xfId="0" applyFont="1" applyFill="1" applyBorder="1" applyProtection="1">
      <protection hidden="1"/>
    </xf>
    <xf numFmtId="2" fontId="7" fillId="0" borderId="179" xfId="0" applyNumberFormat="1" applyFont="1" applyFill="1" applyBorder="1" applyProtection="1">
      <protection hidden="1"/>
    </xf>
    <xf numFmtId="2" fontId="7" fillId="0" borderId="179" xfId="0" applyNumberFormat="1" applyFont="1" applyBorder="1" applyProtection="1">
      <protection hidden="1"/>
    </xf>
    <xf numFmtId="0" fontId="7" fillId="17" borderId="179" xfId="0" applyFont="1" applyFill="1" applyBorder="1" applyProtection="1">
      <protection hidden="1"/>
    </xf>
    <xf numFmtId="0" fontId="4" fillId="0" borderId="181" xfId="0" applyFont="1" applyFill="1" applyBorder="1" applyProtection="1">
      <protection hidden="1"/>
    </xf>
    <xf numFmtId="0" fontId="7" fillId="0" borderId="181" xfId="0" applyFont="1" applyFill="1" applyBorder="1" applyAlignment="1" applyProtection="1">
      <alignment horizontal="center"/>
      <protection hidden="1"/>
    </xf>
    <xf numFmtId="0" fontId="8" fillId="0" borderId="181" xfId="0" applyFont="1" applyFill="1" applyBorder="1" applyAlignment="1" applyProtection="1">
      <alignment horizontal="center"/>
      <protection hidden="1"/>
    </xf>
    <xf numFmtId="0" fontId="4" fillId="0" borderId="181" xfId="0" applyFont="1" applyFill="1" applyBorder="1" applyAlignment="1" applyProtection="1">
      <alignment horizontal="left"/>
      <protection hidden="1"/>
    </xf>
    <xf numFmtId="0" fontId="7" fillId="0" borderId="181" xfId="0" applyFont="1" applyFill="1" applyBorder="1" applyAlignment="1" applyProtection="1">
      <alignment horizontal="left"/>
      <protection hidden="1"/>
    </xf>
    <xf numFmtId="0" fontId="8" fillId="0" borderId="181" xfId="0" applyFont="1" applyFill="1" applyBorder="1" applyAlignment="1">
      <alignment horizontal="center"/>
    </xf>
    <xf numFmtId="0" fontId="3" fillId="0" borderId="0" xfId="0" applyFont="1" applyFill="1" applyBorder="1" applyAlignment="1" applyProtection="1">
      <alignment horizontal="center"/>
      <protection hidden="1"/>
    </xf>
    <xf numFmtId="0" fontId="7" fillId="0" borderId="179" xfId="0" applyFont="1" applyFill="1" applyBorder="1" applyAlignment="1" applyProtection="1">
      <alignment horizontal="center"/>
      <protection hidden="1"/>
    </xf>
    <xf numFmtId="1" fontId="7" fillId="0" borderId="179" xfId="2" applyNumberFormat="1" applyFont="1" applyFill="1" applyBorder="1" applyAlignment="1" applyProtection="1">
      <alignment horizontal="center" vertical="center"/>
      <protection hidden="1"/>
    </xf>
    <xf numFmtId="9" fontId="7" fillId="0" borderId="179" xfId="2" applyFont="1" applyFill="1" applyBorder="1" applyAlignment="1" applyProtection="1">
      <alignment horizontal="center" vertical="center"/>
      <protection hidden="1"/>
    </xf>
    <xf numFmtId="1" fontId="7" fillId="0" borderId="179" xfId="2" applyNumberFormat="1" applyFont="1" applyBorder="1" applyAlignment="1" applyProtection="1">
      <alignment horizontal="center" vertical="center"/>
      <protection hidden="1"/>
    </xf>
    <xf numFmtId="9" fontId="7" fillId="0" borderId="179" xfId="2" applyFont="1" applyBorder="1" applyAlignment="1" applyProtection="1">
      <alignment horizontal="center" vertical="center"/>
      <protection hidden="1"/>
    </xf>
    <xf numFmtId="3" fontId="7" fillId="0" borderId="179" xfId="0" applyNumberFormat="1" applyFont="1" applyBorder="1" applyProtection="1">
      <protection hidden="1"/>
    </xf>
    <xf numFmtId="0" fontId="8" fillId="0" borderId="179" xfId="0" applyFont="1" applyBorder="1" applyProtection="1">
      <protection hidden="1"/>
    </xf>
    <xf numFmtId="0" fontId="8" fillId="0" borderId="179" xfId="0" applyFont="1" applyFill="1" applyBorder="1" applyAlignment="1" applyProtection="1">
      <alignment horizontal="right" vertical="center"/>
      <protection hidden="1"/>
    </xf>
    <xf numFmtId="9" fontId="8" fillId="0" borderId="179" xfId="0" applyNumberFormat="1" applyFont="1" applyBorder="1" applyProtection="1">
      <protection hidden="1"/>
    </xf>
    <xf numFmtId="1" fontId="7" fillId="0" borderId="179" xfId="0" applyNumberFormat="1" applyFont="1" applyBorder="1" applyAlignment="1" applyProtection="1">
      <alignment horizontal="center"/>
      <protection hidden="1"/>
    </xf>
    <xf numFmtId="3" fontId="7" fillId="0" borderId="179" xfId="0" applyNumberFormat="1" applyFont="1" applyBorder="1" applyAlignment="1" applyProtection="1">
      <alignment horizontal="center"/>
      <protection hidden="1"/>
    </xf>
    <xf numFmtId="9" fontId="7" fillId="0" borderId="179" xfId="2" applyFont="1" applyBorder="1" applyAlignment="1" applyProtection="1">
      <alignment horizontal="center"/>
      <protection hidden="1"/>
    </xf>
    <xf numFmtId="1" fontId="8" fillId="0" borderId="179" xfId="0" applyNumberFormat="1" applyFont="1" applyBorder="1" applyAlignment="1" applyProtection="1">
      <alignment horizontal="center"/>
      <protection hidden="1"/>
    </xf>
    <xf numFmtId="2" fontId="8" fillId="0" borderId="179" xfId="0" applyNumberFormat="1" applyFont="1" applyBorder="1" applyAlignment="1" applyProtection="1">
      <alignment horizontal="center"/>
      <protection hidden="1"/>
    </xf>
    <xf numFmtId="9" fontId="8" fillId="0" borderId="179" xfId="2" applyFont="1" applyBorder="1" applyAlignment="1" applyProtection="1">
      <alignment horizontal="center"/>
      <protection hidden="1"/>
    </xf>
    <xf numFmtId="1" fontId="7" fillId="17" borderId="179" xfId="2" applyNumberFormat="1" applyFont="1" applyFill="1" applyBorder="1" applyAlignment="1" applyProtection="1">
      <alignment horizontal="center" vertical="center"/>
      <protection hidden="1"/>
    </xf>
    <xf numFmtId="9" fontId="7" fillId="17" borderId="179" xfId="2" applyFont="1" applyFill="1" applyBorder="1" applyAlignment="1" applyProtection="1">
      <alignment horizontal="center" vertical="center"/>
      <protection hidden="1"/>
    </xf>
    <xf numFmtId="0" fontId="59" fillId="0" borderId="179" xfId="0" applyFont="1" applyFill="1" applyBorder="1" applyAlignment="1" applyProtection="1">
      <alignment horizontal="left" vertical="center"/>
      <protection hidden="1"/>
    </xf>
    <xf numFmtId="0" fontId="3" fillId="0" borderId="0" xfId="0" applyFont="1" applyFill="1" applyBorder="1" applyAlignment="1">
      <alignment horizontal="center"/>
    </xf>
    <xf numFmtId="0" fontId="8" fillId="0" borderId="179" xfId="0" applyFont="1" applyBorder="1"/>
    <xf numFmtId="9" fontId="8" fillId="0" borderId="179" xfId="0" applyNumberFormat="1" applyFont="1" applyBorder="1" applyAlignment="1" applyProtection="1">
      <alignment horizontal="center" vertical="center"/>
      <protection hidden="1"/>
    </xf>
    <xf numFmtId="1" fontId="7" fillId="0" borderId="179" xfId="0" applyNumberFormat="1" applyFont="1" applyFill="1" applyBorder="1" applyAlignment="1" applyProtection="1">
      <alignment horizontal="center"/>
      <protection hidden="1"/>
    </xf>
    <xf numFmtId="3" fontId="7" fillId="0" borderId="179" xfId="0" applyNumberFormat="1" applyFont="1" applyFill="1" applyBorder="1" applyAlignment="1" applyProtection="1">
      <alignment horizontal="center"/>
      <protection hidden="1"/>
    </xf>
    <xf numFmtId="2" fontId="7" fillId="0" borderId="179" xfId="0" applyNumberFormat="1" applyFont="1" applyFill="1" applyBorder="1" applyAlignment="1" applyProtection="1">
      <alignment horizontal="center"/>
      <protection hidden="1"/>
    </xf>
    <xf numFmtId="9" fontId="7" fillId="0" borderId="179" xfId="2" applyFont="1" applyFill="1" applyBorder="1" applyAlignment="1" applyProtection="1">
      <alignment horizontal="center"/>
      <protection hidden="1"/>
    </xf>
    <xf numFmtId="0" fontId="8" fillId="0" borderId="179" xfId="0" applyFont="1" applyFill="1" applyBorder="1" applyAlignment="1" applyProtection="1">
      <alignment horizontal="center"/>
      <protection hidden="1"/>
    </xf>
    <xf numFmtId="0" fontId="8" fillId="0" borderId="179" xfId="0" applyFont="1" applyFill="1" applyBorder="1" applyProtection="1">
      <protection hidden="1"/>
    </xf>
    <xf numFmtId="9" fontId="8" fillId="0" borderId="179" xfId="0" applyNumberFormat="1" applyFont="1" applyFill="1" applyBorder="1" applyAlignment="1" applyProtection="1">
      <alignment horizontal="center" vertical="center"/>
      <protection hidden="1"/>
    </xf>
    <xf numFmtId="0" fontId="7" fillId="0" borderId="179" xfId="0" applyFont="1" applyFill="1" applyBorder="1" applyAlignment="1" applyProtection="1">
      <alignment horizontal="left" vertical="center"/>
      <protection hidden="1"/>
    </xf>
    <xf numFmtId="1" fontId="7" fillId="0" borderId="179" xfId="0" applyNumberFormat="1" applyFont="1" applyFill="1" applyBorder="1" applyAlignment="1" applyProtection="1">
      <alignment horizontal="center" vertical="center"/>
      <protection hidden="1"/>
    </xf>
    <xf numFmtId="2" fontId="7" fillId="0" borderId="179" xfId="0" applyNumberFormat="1" applyFont="1" applyFill="1" applyBorder="1" applyAlignment="1" applyProtection="1">
      <alignment horizontal="center" vertical="center"/>
      <protection hidden="1"/>
    </xf>
    <xf numFmtId="1" fontId="7" fillId="17" borderId="179" xfId="0" applyNumberFormat="1" applyFont="1" applyFill="1" applyBorder="1" applyAlignment="1" applyProtection="1">
      <alignment horizontal="center" vertical="center"/>
      <protection hidden="1"/>
    </xf>
    <xf numFmtId="2" fontId="7" fillId="0" borderId="179" xfId="0" applyNumberFormat="1" applyFont="1" applyBorder="1" applyAlignment="1" applyProtection="1">
      <alignment horizontal="center" vertical="center"/>
      <protection hidden="1"/>
    </xf>
    <xf numFmtId="1" fontId="7" fillId="0" borderId="179" xfId="0" applyNumberFormat="1" applyFont="1" applyBorder="1" applyAlignment="1" applyProtection="1">
      <alignment horizontal="center" vertical="center"/>
      <protection hidden="1"/>
    </xf>
    <xf numFmtId="1" fontId="8" fillId="0" borderId="179" xfId="0" applyNumberFormat="1" applyFont="1" applyBorder="1" applyAlignment="1" applyProtection="1">
      <alignment horizontal="right" vertical="center"/>
      <protection hidden="1"/>
    </xf>
    <xf numFmtId="9" fontId="8" fillId="0" borderId="179" xfId="2" applyFont="1" applyBorder="1" applyAlignment="1" applyProtection="1">
      <alignment horizontal="center" vertical="center"/>
      <protection hidden="1"/>
    </xf>
    <xf numFmtId="0" fontId="7" fillId="0" borderId="180" xfId="0" applyFont="1" applyFill="1" applyBorder="1" applyProtection="1">
      <protection hidden="1"/>
    </xf>
    <xf numFmtId="0" fontId="7" fillId="0" borderId="180" xfId="0" applyFont="1" applyFill="1" applyBorder="1" applyAlignment="1" applyProtection="1">
      <alignment horizontal="center"/>
      <protection hidden="1"/>
    </xf>
    <xf numFmtId="0" fontId="3" fillId="0" borderId="180" xfId="0" applyFont="1" applyFill="1" applyBorder="1" applyAlignment="1" applyProtection="1">
      <alignment horizontal="center"/>
      <protection hidden="1"/>
    </xf>
    <xf numFmtId="0" fontId="7" fillId="0" borderId="179" xfId="0" applyFont="1" applyFill="1" applyBorder="1" applyAlignment="1" applyProtection="1">
      <alignment horizontal="center" vertical="center"/>
      <protection hidden="1"/>
    </xf>
    <xf numFmtId="9" fontId="7" fillId="0" borderId="179" xfId="2" applyNumberFormat="1" applyFont="1" applyFill="1" applyBorder="1" applyAlignment="1" applyProtection="1">
      <alignment horizontal="center" vertical="center"/>
      <protection hidden="1"/>
    </xf>
    <xf numFmtId="9" fontId="7" fillId="0" borderId="179" xfId="2" applyNumberFormat="1" applyFont="1" applyBorder="1" applyAlignment="1" applyProtection="1">
      <alignment horizontal="center" vertical="center"/>
      <protection hidden="1"/>
    </xf>
    <xf numFmtId="9" fontId="7" fillId="0" borderId="179" xfId="2" applyNumberFormat="1" applyFont="1" applyBorder="1" applyAlignment="1" applyProtection="1">
      <alignment horizontal="center"/>
      <protection hidden="1"/>
    </xf>
    <xf numFmtId="0" fontId="8" fillId="0" borderId="179" xfId="0" applyFont="1" applyBorder="1" applyAlignment="1" applyProtection="1">
      <alignment horizontal="right" vertical="center"/>
      <protection hidden="1"/>
    </xf>
    <xf numFmtId="9" fontId="8" fillId="0" borderId="179" xfId="2" applyNumberFormat="1" applyFont="1" applyBorder="1" applyAlignment="1" applyProtection="1">
      <alignment horizontal="center" vertical="center"/>
      <protection hidden="1"/>
    </xf>
    <xf numFmtId="2" fontId="7" fillId="0" borderId="179" xfId="0" applyNumberFormat="1" applyFont="1" applyFill="1" applyBorder="1" applyAlignment="1" applyProtection="1">
      <alignment horizontal="center" vertical="center"/>
      <protection hidden="1"/>
    </xf>
    <xf numFmtId="2" fontId="7" fillId="0" borderId="179" xfId="0" applyNumberFormat="1" applyFont="1" applyBorder="1" applyAlignment="1" applyProtection="1">
      <alignment horizontal="center" vertical="center"/>
      <protection hidden="1"/>
    </xf>
    <xf numFmtId="49" fontId="2" fillId="16" borderId="0" xfId="0" applyNumberFormat="1" applyFont="1" applyFill="1" applyAlignment="1" applyProtection="1">
      <protection hidden="1"/>
    </xf>
    <xf numFmtId="0" fontId="52" fillId="16" borderId="148" xfId="0" applyFont="1" applyFill="1" applyBorder="1" applyAlignment="1" applyProtection="1">
      <alignment horizontal="center" vertical="center"/>
      <protection hidden="1"/>
    </xf>
    <xf numFmtId="0" fontId="59" fillId="16" borderId="0" xfId="0" applyFont="1" applyFill="1" applyBorder="1" applyAlignment="1" applyProtection="1">
      <alignment horizontal="center"/>
      <protection hidden="1"/>
    </xf>
    <xf numFmtId="0" fontId="4" fillId="16" borderId="145" xfId="0" applyFont="1" applyFill="1" applyBorder="1" applyAlignment="1" applyProtection="1">
      <alignment vertical="center"/>
      <protection hidden="1"/>
    </xf>
    <xf numFmtId="0" fontId="4" fillId="16" borderId="146" xfId="0" applyFont="1" applyFill="1" applyBorder="1" applyAlignment="1" applyProtection="1">
      <alignment vertical="center"/>
      <protection hidden="1"/>
    </xf>
    <xf numFmtId="49" fontId="2" fillId="16" borderId="100" xfId="0" applyNumberFormat="1" applyFont="1" applyFill="1" applyBorder="1" applyProtection="1">
      <protection locked="0"/>
    </xf>
    <xf numFmtId="49" fontId="51" fillId="16" borderId="100" xfId="0" applyNumberFormat="1" applyFont="1" applyFill="1" applyBorder="1" applyProtection="1">
      <protection locked="0"/>
    </xf>
    <xf numFmtId="0" fontId="4" fillId="5" borderId="145" xfId="0" applyFont="1" applyFill="1" applyBorder="1" applyAlignment="1" applyProtection="1">
      <alignment vertical="center"/>
      <protection hidden="1"/>
    </xf>
    <xf numFmtId="0" fontId="4" fillId="5" borderId="146" xfId="0" applyFont="1" applyFill="1" applyBorder="1" applyAlignment="1" applyProtection="1">
      <alignment vertical="center"/>
      <protection hidden="1"/>
    </xf>
    <xf numFmtId="0" fontId="41" fillId="16" borderId="100" xfId="0" applyFont="1" applyFill="1" applyBorder="1" applyProtection="1">
      <protection locked="0"/>
    </xf>
    <xf numFmtId="0" fontId="41" fillId="16" borderId="75" xfId="0" applyFont="1" applyFill="1" applyBorder="1" applyProtection="1">
      <protection locked="0"/>
    </xf>
    <xf numFmtId="0" fontId="2" fillId="16" borderId="100" xfId="0" applyFont="1" applyFill="1" applyBorder="1" applyProtection="1">
      <protection locked="0"/>
    </xf>
    <xf numFmtId="0" fontId="51" fillId="16" borderId="100" xfId="0" applyFont="1" applyFill="1" applyBorder="1" applyProtection="1">
      <protection locked="0"/>
    </xf>
    <xf numFmtId="0" fontId="2" fillId="5" borderId="0" xfId="0" applyFont="1" applyFill="1" applyAlignment="1" applyProtection="1">
      <alignment vertical="center" wrapText="1"/>
      <protection hidden="1"/>
    </xf>
    <xf numFmtId="0" fontId="81" fillId="16" borderId="0" xfId="0" applyFont="1" applyFill="1" applyBorder="1" applyAlignment="1" applyProtection="1">
      <alignment horizontal="justify" vertical="center" wrapText="1"/>
      <protection hidden="1"/>
    </xf>
    <xf numFmtId="0" fontId="75" fillId="16" borderId="0" xfId="0" applyFont="1" applyFill="1" applyBorder="1" applyAlignment="1" applyProtection="1">
      <alignment horizontal="justify" vertical="center" wrapText="1"/>
      <protection hidden="1"/>
    </xf>
    <xf numFmtId="0" fontId="51" fillId="5" borderId="0" xfId="0" applyFont="1" applyFill="1" applyBorder="1"/>
    <xf numFmtId="0" fontId="41" fillId="16" borderId="74" xfId="0" applyFont="1" applyFill="1" applyBorder="1" applyProtection="1">
      <protection locked="0"/>
    </xf>
    <xf numFmtId="0" fontId="41" fillId="16" borderId="147" xfId="0" applyFont="1" applyFill="1" applyBorder="1" applyProtection="1">
      <protection locked="0"/>
    </xf>
    <xf numFmtId="0" fontId="109" fillId="5" borderId="149" xfId="0" applyFont="1" applyFill="1" applyBorder="1" applyAlignment="1" applyProtection="1">
      <alignment horizontal="left" textRotation="90" wrapText="1"/>
      <protection hidden="1"/>
    </xf>
    <xf numFmtId="0" fontId="109" fillId="5" borderId="150" xfId="0" applyFont="1" applyFill="1" applyBorder="1" applyAlignment="1" applyProtection="1">
      <alignment horizontal="left" textRotation="90" wrapText="1"/>
      <protection hidden="1"/>
    </xf>
    <xf numFmtId="0" fontId="109" fillId="5" borderId="151" xfId="0" applyFont="1" applyFill="1" applyBorder="1" applyAlignment="1" applyProtection="1">
      <alignment horizontal="left" textRotation="90" wrapText="1"/>
      <protection hidden="1"/>
    </xf>
    <xf numFmtId="0" fontId="4" fillId="5" borderId="152" xfId="0" applyFont="1" applyFill="1" applyBorder="1" applyAlignment="1" applyProtection="1">
      <alignment vertical="center"/>
      <protection hidden="1"/>
    </xf>
    <xf numFmtId="0" fontId="4" fillId="5" borderId="153" xfId="0" applyFont="1" applyFill="1" applyBorder="1" applyAlignment="1" applyProtection="1">
      <alignment vertical="center"/>
      <protection hidden="1"/>
    </xf>
    <xf numFmtId="0" fontId="99" fillId="5" borderId="100" xfId="0" applyFont="1" applyFill="1" applyBorder="1" applyAlignment="1">
      <alignment horizontal="center" vertical="center"/>
    </xf>
    <xf numFmtId="0" fontId="7" fillId="5" borderId="0" xfId="0" applyFont="1" applyFill="1" applyAlignment="1">
      <alignment vertical="top" wrapText="1"/>
    </xf>
    <xf numFmtId="0" fontId="51" fillId="6" borderId="4" xfId="0" applyFont="1" applyFill="1" applyBorder="1" applyAlignment="1" applyProtection="1">
      <alignment horizontal="left"/>
      <protection locked="0"/>
    </xf>
    <xf numFmtId="0" fontId="51" fillId="6" borderId="0" xfId="0" applyFont="1" applyFill="1" applyBorder="1" applyAlignment="1" applyProtection="1">
      <alignment horizontal="left"/>
      <protection locked="0"/>
    </xf>
    <xf numFmtId="0" fontId="51" fillId="6" borderId="6" xfId="0" applyFont="1" applyFill="1" applyBorder="1" applyAlignment="1" applyProtection="1">
      <alignment horizontal="left"/>
      <protection locked="0"/>
    </xf>
    <xf numFmtId="0" fontId="51" fillId="5" borderId="154" xfId="0" applyFont="1" applyFill="1" applyBorder="1" applyAlignment="1" applyProtection="1">
      <alignment horizontal="left"/>
      <protection locked="0"/>
    </xf>
    <xf numFmtId="0" fontId="51" fillId="5" borderId="155" xfId="0" applyFont="1" applyFill="1" applyBorder="1" applyAlignment="1" applyProtection="1">
      <alignment horizontal="left"/>
      <protection locked="0"/>
    </xf>
    <xf numFmtId="0" fontId="51" fillId="5" borderId="156" xfId="0" applyFont="1" applyFill="1" applyBorder="1" applyAlignment="1" applyProtection="1">
      <alignment horizontal="left"/>
      <protection locked="0"/>
    </xf>
    <xf numFmtId="0" fontId="51" fillId="6" borderId="7" xfId="0" applyFont="1" applyFill="1" applyBorder="1" applyAlignment="1" applyProtection="1">
      <alignment horizontal="left"/>
      <protection locked="0"/>
    </xf>
    <xf numFmtId="0" fontId="51" fillId="6" borderId="8" xfId="0" applyFont="1" applyFill="1" applyBorder="1" applyAlignment="1" applyProtection="1">
      <alignment horizontal="left"/>
      <protection locked="0"/>
    </xf>
    <xf numFmtId="0" fontId="51" fillId="6" borderId="9" xfId="0" applyFont="1" applyFill="1" applyBorder="1" applyAlignment="1" applyProtection="1">
      <alignment horizontal="left"/>
      <protection locked="0"/>
    </xf>
    <xf numFmtId="0" fontId="10" fillId="5" borderId="4" xfId="0" applyFont="1" applyFill="1" applyBorder="1" applyAlignment="1">
      <alignment horizontal="center"/>
    </xf>
    <xf numFmtId="0" fontId="10" fillId="5" borderId="0" xfId="0" applyFont="1" applyFill="1" applyBorder="1" applyAlignment="1">
      <alignment horizontal="center"/>
    </xf>
    <xf numFmtId="0" fontId="10" fillId="5" borderId="6" xfId="0" applyFont="1" applyFill="1" applyBorder="1" applyAlignment="1">
      <alignment horizontal="center"/>
    </xf>
    <xf numFmtId="0" fontId="51" fillId="6" borderId="157" xfId="0" applyFont="1" applyFill="1" applyBorder="1" applyAlignment="1" applyProtection="1">
      <alignment horizontal="left"/>
      <protection locked="0"/>
    </xf>
    <xf numFmtId="0" fontId="51" fillId="6" borderId="158" xfId="0" applyFont="1" applyFill="1" applyBorder="1" applyAlignment="1" applyProtection="1">
      <alignment horizontal="left"/>
      <protection locked="0"/>
    </xf>
    <xf numFmtId="0" fontId="51" fillId="6" borderId="159" xfId="0" applyFont="1" applyFill="1" applyBorder="1" applyAlignment="1" applyProtection="1">
      <alignment horizontal="left"/>
      <protection locked="0"/>
    </xf>
    <xf numFmtId="0" fontId="8" fillId="5" borderId="0" xfId="0" applyFont="1" applyFill="1" applyAlignment="1">
      <alignment vertical="top" wrapText="1"/>
    </xf>
    <xf numFmtId="0" fontId="8" fillId="5" borderId="0" xfId="0" applyFont="1" applyFill="1"/>
    <xf numFmtId="0" fontId="46" fillId="12" borderId="0" xfId="0" applyFont="1" applyFill="1"/>
    <xf numFmtId="0" fontId="13" fillId="12" borderId="178" xfId="0" applyFont="1" applyFill="1" applyBorder="1" applyAlignment="1">
      <alignment horizontal="center"/>
    </xf>
    <xf numFmtId="166" fontId="46" fillId="12" borderId="0" xfId="0" applyNumberFormat="1" applyFont="1" applyFill="1"/>
    <xf numFmtId="0" fontId="80" fillId="5" borderId="0" xfId="0" applyFont="1" applyFill="1" applyBorder="1" applyAlignment="1" applyProtection="1">
      <alignment vertical="top" wrapText="1"/>
      <protection hidden="1"/>
    </xf>
    <xf numFmtId="0" fontId="4" fillId="5" borderId="0" xfId="0" applyFont="1" applyFill="1" applyBorder="1" applyAlignment="1" applyProtection="1">
      <alignment vertical="top" wrapText="1"/>
      <protection hidden="1"/>
    </xf>
    <xf numFmtId="0" fontId="13" fillId="5" borderId="0" xfId="0" applyFont="1" applyFill="1" applyBorder="1" applyAlignment="1" applyProtection="1">
      <alignment horizontal="center"/>
      <protection hidden="1"/>
    </xf>
    <xf numFmtId="0" fontId="7" fillId="5" borderId="0" xfId="0" applyFont="1" applyFill="1" applyBorder="1" applyAlignment="1" applyProtection="1">
      <alignment horizontal="center"/>
      <protection hidden="1"/>
    </xf>
    <xf numFmtId="0" fontId="7" fillId="5" borderId="0" xfId="0" applyFont="1" applyFill="1" applyBorder="1" applyAlignment="1" applyProtection="1">
      <alignment horizontal="right"/>
      <protection hidden="1"/>
    </xf>
    <xf numFmtId="0" fontId="7" fillId="5" borderId="25" xfId="0" applyFont="1" applyFill="1" applyBorder="1" applyAlignment="1" applyProtection="1">
      <alignment horizontal="right"/>
      <protection hidden="1"/>
    </xf>
    <xf numFmtId="0" fontId="7" fillId="0" borderId="179" xfId="0" applyFont="1" applyBorder="1" applyAlignment="1">
      <alignment horizontal="left"/>
    </xf>
    <xf numFmtId="0" fontId="21" fillId="0" borderId="0" xfId="0" applyFont="1" applyAlignment="1">
      <alignment horizontal="right" textRotation="90" wrapText="1"/>
    </xf>
    <xf numFmtId="3" fontId="8" fillId="0" borderId="179" xfId="0" applyNumberFormat="1" applyFont="1" applyBorder="1" applyAlignment="1" applyProtection="1">
      <alignment horizontal="center" vertical="center"/>
      <protection hidden="1"/>
    </xf>
    <xf numFmtId="1" fontId="7" fillId="0" borderId="179" xfId="0" applyNumberFormat="1" applyFont="1" applyFill="1" applyBorder="1" applyAlignment="1" applyProtection="1">
      <alignment horizontal="center" vertical="center"/>
      <protection hidden="1"/>
    </xf>
    <xf numFmtId="3" fontId="7" fillId="0" borderId="179" xfId="0" applyNumberFormat="1" applyFont="1" applyFill="1" applyBorder="1" applyAlignment="1" applyProtection="1">
      <alignment horizontal="center" vertical="center"/>
      <protection hidden="1"/>
    </xf>
    <xf numFmtId="3" fontId="7" fillId="0" borderId="179" xfId="0" applyNumberFormat="1" applyFont="1" applyBorder="1" applyAlignment="1" applyProtection="1">
      <alignment horizontal="center" vertical="center"/>
      <protection hidden="1"/>
    </xf>
    <xf numFmtId="0" fontId="8" fillId="0" borderId="181" xfId="0" applyFont="1" applyFill="1" applyBorder="1" applyAlignment="1" applyProtection="1">
      <alignment horizontal="center"/>
      <protection hidden="1"/>
    </xf>
    <xf numFmtId="0" fontId="39" fillId="0" borderId="179" xfId="0" applyFont="1" applyBorder="1" applyAlignment="1" applyProtection="1">
      <alignment horizontal="right"/>
      <protection hidden="1"/>
    </xf>
    <xf numFmtId="2" fontId="7" fillId="0" borderId="179" xfId="0" applyNumberFormat="1" applyFont="1" applyFill="1" applyBorder="1" applyAlignment="1" applyProtection="1">
      <alignment horizontal="center" vertical="center"/>
      <protection hidden="1"/>
    </xf>
    <xf numFmtId="0" fontId="8" fillId="0" borderId="181" xfId="0" applyFont="1" applyFill="1" applyBorder="1" applyAlignment="1">
      <alignment horizontal="center"/>
    </xf>
    <xf numFmtId="0" fontId="7" fillId="0" borderId="179" xfId="0" applyFont="1" applyFill="1" applyBorder="1" applyAlignment="1" applyProtection="1">
      <alignment horizontal="center" vertical="center"/>
      <protection hidden="1"/>
    </xf>
    <xf numFmtId="0" fontId="3" fillId="0" borderId="0" xfId="0" applyFont="1" applyFill="1" applyBorder="1" applyAlignment="1" applyProtection="1">
      <alignment horizontal="center"/>
      <protection hidden="1"/>
    </xf>
    <xf numFmtId="2" fontId="7" fillId="0" borderId="179" xfId="0" applyNumberFormat="1" applyFont="1" applyBorder="1" applyAlignment="1" applyProtection="1">
      <alignment horizontal="center" vertical="center"/>
      <protection hidden="1"/>
    </xf>
    <xf numFmtId="170" fontId="7" fillId="0" borderId="0" xfId="0" applyNumberFormat="1" applyFont="1" applyBorder="1" applyAlignment="1" applyProtection="1">
      <alignment horizontal="right"/>
      <protection hidden="1"/>
    </xf>
    <xf numFmtId="0" fontId="7" fillId="0" borderId="0" xfId="0" applyFont="1" applyAlignment="1" applyProtection="1">
      <alignment horizontal="right"/>
      <protection hidden="1"/>
    </xf>
    <xf numFmtId="2" fontId="7" fillId="17" borderId="179" xfId="0" applyNumberFormat="1" applyFont="1" applyFill="1" applyBorder="1" applyAlignment="1" applyProtection="1">
      <alignment horizontal="center" vertical="center"/>
      <protection hidden="1"/>
    </xf>
    <xf numFmtId="0" fontId="7" fillId="0" borderId="179" xfId="0" applyFont="1" applyBorder="1" applyProtection="1">
      <protection hidden="1"/>
    </xf>
    <xf numFmtId="0" fontId="7" fillId="0" borderId="179" xfId="0" applyFont="1" applyFill="1" applyBorder="1" applyAlignment="1" applyProtection="1">
      <alignment horizontal="left" vertical="center"/>
      <protection hidden="1"/>
    </xf>
    <xf numFmtId="0" fontId="3" fillId="0" borderId="0" xfId="0" applyFont="1" applyFill="1" applyBorder="1" applyAlignment="1">
      <alignment horizontal="center"/>
    </xf>
    <xf numFmtId="1" fontId="7" fillId="0" borderId="179" xfId="0" applyNumberFormat="1" applyFont="1" applyBorder="1" applyAlignment="1" applyProtection="1">
      <alignment horizontal="center" vertical="center"/>
      <protection hidden="1"/>
    </xf>
    <xf numFmtId="3" fontId="7" fillId="17" borderId="179" xfId="0" applyNumberFormat="1" applyFont="1" applyFill="1" applyBorder="1" applyAlignment="1" applyProtection="1">
      <alignment horizontal="center" vertical="center"/>
      <protection hidden="1"/>
    </xf>
    <xf numFmtId="1" fontId="7" fillId="17" borderId="179" xfId="0" applyNumberFormat="1" applyFont="1" applyFill="1" applyBorder="1" applyAlignment="1" applyProtection="1">
      <alignment horizontal="center" vertical="center"/>
      <protection hidden="1"/>
    </xf>
    <xf numFmtId="0" fontId="3" fillId="0" borderId="180" xfId="0" applyFont="1" applyFill="1" applyBorder="1" applyAlignment="1" applyProtection="1">
      <alignment horizontal="center"/>
      <protection hidden="1"/>
    </xf>
    <xf numFmtId="0" fontId="7" fillId="0" borderId="179" xfId="0" applyFont="1" applyBorder="1" applyAlignment="1" applyProtection="1">
      <alignment horizontal="center" vertical="center"/>
      <protection hidden="1"/>
    </xf>
    <xf numFmtId="0" fontId="4" fillId="0" borderId="181" xfId="0" applyFont="1" applyFill="1" applyBorder="1" applyProtection="1">
      <protection hidden="1"/>
    </xf>
    <xf numFmtId="0" fontId="7" fillId="0" borderId="179" xfId="0" applyFont="1" applyBorder="1" applyAlignment="1" applyProtection="1">
      <alignment horizontal="left" vertical="center"/>
      <protection hidden="1"/>
    </xf>
    <xf numFmtId="0" fontId="41" fillId="0" borderId="0" xfId="0" applyFont="1" applyBorder="1" applyAlignment="1" applyProtection="1">
      <alignment horizontal="left" vertical="center"/>
      <protection hidden="1"/>
    </xf>
    <xf numFmtId="2" fontId="39" fillId="0" borderId="179" xfId="0" applyNumberFormat="1" applyFont="1" applyBorder="1" applyProtection="1">
      <protection hidden="1"/>
    </xf>
    <xf numFmtId="0" fontId="7" fillId="17" borderId="179" xfId="0" applyFont="1" applyFill="1" applyBorder="1" applyAlignment="1" applyProtection="1">
      <alignment horizontal="left" vertical="center"/>
      <protection hidden="1"/>
    </xf>
    <xf numFmtId="0" fontId="8" fillId="5" borderId="179" xfId="0" applyFont="1" applyFill="1" applyBorder="1" applyAlignment="1" applyProtection="1">
      <alignment horizontal="right"/>
      <protection hidden="1"/>
    </xf>
    <xf numFmtId="0" fontId="7" fillId="0" borderId="0" xfId="0" applyFont="1"/>
    <xf numFmtId="0" fontId="10" fillId="5" borderId="179" xfId="0" applyFont="1" applyFill="1" applyBorder="1" applyAlignment="1">
      <alignment horizontal="left"/>
    </xf>
    <xf numFmtId="0" fontId="7" fillId="17" borderId="179" xfId="0" applyFont="1" applyFill="1" applyBorder="1" applyProtection="1">
      <protection hidden="1"/>
    </xf>
    <xf numFmtId="0" fontId="7" fillId="0" borderId="179" xfId="0" applyFont="1" applyFill="1" applyBorder="1" applyProtection="1">
      <protection hidden="1"/>
    </xf>
    <xf numFmtId="2" fontId="8" fillId="0" borderId="179" xfId="0" applyNumberFormat="1" applyFont="1" applyBorder="1" applyAlignment="1" applyProtection="1">
      <alignment horizontal="right" vertical="center"/>
      <protection hidden="1"/>
    </xf>
    <xf numFmtId="0" fontId="80" fillId="5" borderId="0" xfId="0" applyFont="1" applyFill="1" applyBorder="1" applyAlignment="1" applyProtection="1">
      <alignment horizontal="right"/>
      <protection hidden="1"/>
    </xf>
    <xf numFmtId="0" fontId="8" fillId="5" borderId="179" xfId="0" applyFont="1" applyFill="1" applyBorder="1" applyProtection="1">
      <protection hidden="1"/>
    </xf>
    <xf numFmtId="2" fontId="8" fillId="0" borderId="179" xfId="0" applyNumberFormat="1" applyFont="1" applyBorder="1" applyAlignment="1" applyProtection="1">
      <alignment horizontal="left"/>
      <protection hidden="1"/>
    </xf>
    <xf numFmtId="1" fontId="8" fillId="0" borderId="179" xfId="0" applyNumberFormat="1" applyFont="1" applyBorder="1" applyAlignment="1" applyProtection="1">
      <alignment horizontal="left"/>
      <protection hidden="1"/>
    </xf>
    <xf numFmtId="170" fontId="7" fillId="0" borderId="0" xfId="0" applyNumberFormat="1" applyFont="1" applyBorder="1" applyProtection="1">
      <protection hidden="1"/>
    </xf>
    <xf numFmtId="0" fontId="7" fillId="0" borderId="179" xfId="0" applyFont="1" applyBorder="1"/>
    <xf numFmtId="174" fontId="7" fillId="0" borderId="179" xfId="0" applyNumberFormat="1" applyFont="1" applyBorder="1" applyAlignment="1" applyProtection="1">
      <alignment horizontal="right"/>
      <protection hidden="1"/>
    </xf>
    <xf numFmtId="175" fontId="28" fillId="0" borderId="0" xfId="0" applyNumberFormat="1" applyFont="1" applyBorder="1" applyAlignment="1" applyProtection="1">
      <alignment horizontal="right"/>
      <protection hidden="1"/>
    </xf>
    <xf numFmtId="49" fontId="28" fillId="0" borderId="0" xfId="0" applyNumberFormat="1" applyFont="1" applyProtection="1">
      <protection locked="0" hidden="1"/>
    </xf>
    <xf numFmtId="0" fontId="28" fillId="0" borderId="0" xfId="0" applyFont="1" applyProtection="1">
      <protection hidden="1"/>
    </xf>
    <xf numFmtId="0" fontId="7" fillId="0" borderId="0" xfId="0" applyFont="1" applyFill="1" applyBorder="1" applyAlignment="1" applyProtection="1">
      <alignment horizontal="left"/>
      <protection locked="0"/>
    </xf>
    <xf numFmtId="0" fontId="8" fillId="5" borderId="12" xfId="0" applyFont="1" applyFill="1" applyBorder="1" applyProtection="1">
      <protection locked="0"/>
    </xf>
    <xf numFmtId="0" fontId="8" fillId="5" borderId="130" xfId="0" applyFont="1" applyFill="1" applyBorder="1" applyProtection="1">
      <protection locked="0"/>
    </xf>
    <xf numFmtId="0" fontId="7" fillId="0" borderId="129" xfId="0" applyFont="1" applyFill="1" applyBorder="1" applyProtection="1">
      <protection hidden="1"/>
    </xf>
    <xf numFmtId="0" fontId="7" fillId="0" borderId="130" xfId="0" applyFont="1" applyFill="1" applyBorder="1" applyProtection="1">
      <protection hidden="1"/>
    </xf>
    <xf numFmtId="0" fontId="46" fillId="0" borderId="130" xfId="0" applyFont="1" applyFill="1" applyBorder="1" applyProtection="1">
      <protection hidden="1"/>
    </xf>
    <xf numFmtId="0" fontId="9" fillId="0" borderId="0" xfId="0" applyFont="1" applyFill="1" applyBorder="1" applyAlignment="1" applyProtection="1">
      <alignment horizontal="left"/>
      <protection hidden="1"/>
    </xf>
    <xf numFmtId="0" fontId="13" fillId="0" borderId="0" xfId="0" applyFont="1" applyBorder="1" applyAlignment="1">
      <alignment horizontal="center" vertical="center"/>
    </xf>
    <xf numFmtId="0" fontId="50" fillId="0" borderId="0" xfId="0" applyFont="1" applyFill="1" applyBorder="1" applyAlignment="1" applyProtection="1">
      <alignment horizontal="left"/>
      <protection hidden="1"/>
    </xf>
    <xf numFmtId="0" fontId="32" fillId="0" borderId="0" xfId="0" applyFont="1" applyFill="1" applyAlignment="1" applyProtection="1">
      <alignment horizontal="center"/>
      <protection hidden="1"/>
    </xf>
    <xf numFmtId="0" fontId="31" fillId="0" borderId="0" xfId="0" applyFont="1" applyFill="1" applyAlignment="1" applyProtection="1">
      <alignment horizontal="center"/>
      <protection hidden="1"/>
    </xf>
    <xf numFmtId="0" fontId="106" fillId="0" borderId="0" xfId="0" applyFont="1" applyFill="1" applyBorder="1" applyAlignment="1" applyProtection="1">
      <alignment horizontal="left"/>
      <protection locked="0"/>
    </xf>
    <xf numFmtId="0" fontId="36" fillId="0" borderId="0" xfId="0" applyFont="1" applyFill="1" applyBorder="1" applyAlignment="1" applyProtection="1">
      <alignment horizontal="center"/>
      <protection hidden="1"/>
    </xf>
    <xf numFmtId="0" fontId="36" fillId="0" borderId="171" xfId="0" applyFont="1" applyFill="1" applyBorder="1" applyAlignment="1" applyProtection="1">
      <alignment horizontal="center"/>
      <protection hidden="1"/>
    </xf>
    <xf numFmtId="0" fontId="28" fillId="0" borderId="0" xfId="0" applyFont="1" applyFill="1" applyAlignment="1">
      <alignment horizontal="right"/>
    </xf>
    <xf numFmtId="49" fontId="30" fillId="0" borderId="0" xfId="0" applyNumberFormat="1" applyFont="1" applyFill="1" applyProtection="1">
      <protection hidden="1"/>
    </xf>
    <xf numFmtId="0" fontId="95" fillId="0" borderId="0" xfId="0" applyFont="1" applyFill="1" applyAlignment="1" applyProtection="1">
      <alignment horizontal="left"/>
      <protection hidden="1"/>
    </xf>
    <xf numFmtId="49" fontId="95" fillId="0" borderId="0" xfId="0" applyNumberFormat="1" applyFont="1" applyFill="1" applyProtection="1">
      <protection hidden="1"/>
    </xf>
    <xf numFmtId="0" fontId="2" fillId="0" borderId="0" xfId="0" applyFont="1" applyFill="1" applyAlignment="1" applyProtection="1">
      <alignment horizontal="right"/>
      <protection hidden="1"/>
    </xf>
    <xf numFmtId="0" fontId="7" fillId="0" borderId="0" xfId="0" applyFont="1" applyFill="1" applyAlignment="1" applyProtection="1">
      <alignment horizontal="center"/>
      <protection hidden="1"/>
    </xf>
    <xf numFmtId="0" fontId="2" fillId="0" borderId="0" xfId="0" applyFont="1" applyFill="1" applyProtection="1">
      <protection hidden="1"/>
    </xf>
    <xf numFmtId="0" fontId="2" fillId="5" borderId="160" xfId="0" applyFont="1" applyFill="1" applyBorder="1" applyAlignment="1" applyProtection="1">
      <alignment vertical="center"/>
      <protection locked="0" hidden="1"/>
    </xf>
    <xf numFmtId="0" fontId="2" fillId="5" borderId="161" xfId="0" applyFont="1" applyFill="1" applyBorder="1" applyAlignment="1" applyProtection="1">
      <alignment vertical="center"/>
      <protection locked="0" hidden="1"/>
    </xf>
    <xf numFmtId="0" fontId="2" fillId="5" borderId="160" xfId="0" applyFont="1" applyFill="1" applyBorder="1" applyAlignment="1" applyProtection="1">
      <alignment vertical="center"/>
      <protection locked="0"/>
    </xf>
    <xf numFmtId="0" fontId="2" fillId="5" borderId="162" xfId="0" applyFont="1" applyFill="1" applyBorder="1" applyAlignment="1" applyProtection="1">
      <alignment vertical="center"/>
      <protection locked="0"/>
    </xf>
    <xf numFmtId="0" fontId="2" fillId="5" borderId="161" xfId="0" applyFont="1" applyFill="1" applyBorder="1" applyAlignment="1" applyProtection="1">
      <alignment vertical="center"/>
      <protection locked="0"/>
    </xf>
    <xf numFmtId="0" fontId="13" fillId="0" borderId="0" xfId="0" applyFont="1" applyFill="1" applyAlignment="1" applyProtection="1">
      <alignment horizontal="center"/>
      <protection hidden="1"/>
    </xf>
    <xf numFmtId="0" fontId="2" fillId="0" borderId="0" xfId="0" applyFont="1" applyFill="1" applyAlignment="1" applyProtection="1">
      <alignment horizontal="center"/>
      <protection hidden="1"/>
    </xf>
    <xf numFmtId="0" fontId="2" fillId="0" borderId="25" xfId="0" applyFont="1" applyFill="1" applyBorder="1" applyProtection="1">
      <protection hidden="1"/>
    </xf>
    <xf numFmtId="0" fontId="2" fillId="0" borderId="0" xfId="0" applyFont="1" applyFill="1" applyAlignment="1" applyProtection="1">
      <alignment horizontal="right"/>
      <protection locked="0" hidden="1"/>
    </xf>
    <xf numFmtId="0" fontId="2" fillId="0" borderId="0" xfId="0" applyFont="1" applyFill="1" applyBorder="1" applyProtection="1">
      <protection hidden="1"/>
    </xf>
    <xf numFmtId="0" fontId="2" fillId="0" borderId="0" xfId="0" applyFont="1"/>
    <xf numFmtId="175" fontId="28" fillId="0" borderId="0" xfId="0" applyNumberFormat="1" applyFont="1"/>
    <xf numFmtId="0" fontId="13" fillId="5" borderId="0" xfId="0" applyFont="1" applyFill="1" applyAlignment="1" applyProtection="1">
      <alignment horizontal="center"/>
      <protection hidden="1"/>
    </xf>
    <xf numFmtId="0" fontId="83" fillId="5" borderId="0" xfId="0" applyFont="1" applyFill="1" applyAlignment="1" applyProtection="1">
      <alignment horizontal="center"/>
      <protection hidden="1"/>
    </xf>
    <xf numFmtId="0" fontId="84" fillId="21" borderId="0" xfId="0" applyFont="1" applyFill="1" applyAlignment="1" applyProtection="1">
      <alignment horizontal="center"/>
      <protection hidden="1"/>
    </xf>
    <xf numFmtId="0" fontId="10" fillId="6" borderId="4" xfId="0" applyFont="1" applyFill="1" applyBorder="1" applyProtection="1">
      <protection hidden="1"/>
    </xf>
    <xf numFmtId="0" fontId="10" fillId="6" borderId="0" xfId="0" applyFont="1" applyFill="1" applyBorder="1" applyProtection="1">
      <protection hidden="1"/>
    </xf>
    <xf numFmtId="0" fontId="13" fillId="6" borderId="0" xfId="0" applyFont="1" applyFill="1" applyAlignment="1" applyProtection="1">
      <alignment horizontal="center"/>
      <protection hidden="1"/>
    </xf>
    <xf numFmtId="0" fontId="59" fillId="6" borderId="4" xfId="0" applyFont="1" applyFill="1" applyBorder="1" applyProtection="1">
      <protection hidden="1"/>
    </xf>
    <xf numFmtId="0" fontId="59" fillId="6" borderId="0" xfId="0" applyFont="1" applyFill="1" applyBorder="1" applyProtection="1">
      <protection hidden="1"/>
    </xf>
    <xf numFmtId="0" fontId="59" fillId="6" borderId="0" xfId="0" applyFont="1" applyFill="1" applyBorder="1" applyAlignment="1" applyProtection="1">
      <alignment horizontal="left"/>
      <protection hidden="1"/>
    </xf>
    <xf numFmtId="3" fontId="59" fillId="6" borderId="0" xfId="0" applyNumberFormat="1" applyFont="1" applyFill="1" applyBorder="1" applyProtection="1">
      <protection hidden="1"/>
    </xf>
    <xf numFmtId="1" fontId="59" fillId="6" borderId="0" xfId="0" applyNumberFormat="1" applyFont="1" applyFill="1" applyBorder="1" applyProtection="1">
      <protection hidden="1"/>
    </xf>
    <xf numFmtId="0" fontId="2" fillId="0" borderId="0" xfId="0" applyFont="1" applyAlignment="1" applyProtection="1">
      <alignment horizontal="center"/>
      <protection hidden="1"/>
    </xf>
    <xf numFmtId="0" fontId="66" fillId="5" borderId="0" xfId="0" applyFont="1" applyFill="1" applyAlignment="1" applyProtection="1">
      <alignment vertical="top" wrapText="1"/>
      <protection hidden="1"/>
    </xf>
    <xf numFmtId="0" fontId="64" fillId="5" borderId="0" xfId="0" applyFont="1" applyFill="1" applyAlignment="1" applyProtection="1">
      <alignment horizontal="center"/>
      <protection hidden="1"/>
    </xf>
    <xf numFmtId="0" fontId="61" fillId="5" borderId="163" xfId="0" applyFont="1" applyFill="1" applyBorder="1" applyAlignment="1" applyProtection="1">
      <alignment horizontal="center" vertical="center" textRotation="90" wrapText="1"/>
      <protection hidden="1"/>
    </xf>
    <xf numFmtId="0" fontId="61" fillId="5" borderId="50" xfId="0" applyFont="1" applyFill="1" applyBorder="1" applyAlignment="1" applyProtection="1">
      <alignment horizontal="center" vertical="center" textRotation="90" wrapText="1"/>
      <protection hidden="1"/>
    </xf>
    <xf numFmtId="0" fontId="61" fillId="5" borderId="51" xfId="0" applyFont="1" applyFill="1" applyBorder="1" applyAlignment="1" applyProtection="1">
      <alignment horizontal="center" vertical="center" textRotation="90" wrapText="1"/>
      <protection hidden="1"/>
    </xf>
    <xf numFmtId="0" fontId="64" fillId="5" borderId="164" xfId="0" applyFont="1" applyFill="1" applyBorder="1" applyAlignment="1" applyProtection="1">
      <alignment horizontal="center" vertical="center"/>
      <protection hidden="1"/>
    </xf>
    <xf numFmtId="0" fontId="64" fillId="5" borderId="165" xfId="0" applyFont="1" applyFill="1" applyBorder="1" applyAlignment="1" applyProtection="1">
      <alignment horizontal="center" vertical="center"/>
      <protection hidden="1"/>
    </xf>
    <xf numFmtId="0" fontId="64" fillId="5" borderId="166" xfId="0" applyFont="1" applyFill="1" applyBorder="1" applyAlignment="1" applyProtection="1">
      <alignment horizontal="center" vertical="center"/>
      <protection hidden="1"/>
    </xf>
    <xf numFmtId="0" fontId="66" fillId="5" borderId="47" xfId="0" applyFont="1" applyFill="1" applyBorder="1" applyAlignment="1" applyProtection="1">
      <alignment horizontal="center" vertical="center"/>
      <protection hidden="1"/>
    </xf>
    <xf numFmtId="0" fontId="66" fillId="5" borderId="8" xfId="0" applyFont="1" applyFill="1" applyBorder="1" applyAlignment="1" applyProtection="1">
      <alignment horizontal="center" vertical="center"/>
      <protection hidden="1"/>
    </xf>
    <xf numFmtId="0" fontId="66" fillId="5" borderId="9" xfId="0" applyFont="1" applyFill="1" applyBorder="1" applyAlignment="1" applyProtection="1">
      <alignment horizontal="center" vertical="center"/>
      <protection hidden="1"/>
    </xf>
    <xf numFmtId="0" fontId="66" fillId="5" borderId="43" xfId="0" applyFont="1" applyFill="1" applyBorder="1" applyAlignment="1" applyProtection="1">
      <alignment horizontal="center" vertical="center"/>
      <protection hidden="1"/>
    </xf>
    <xf numFmtId="0" fontId="66" fillId="5" borderId="48" xfId="0" applyFont="1" applyFill="1" applyBorder="1" applyAlignment="1" applyProtection="1">
      <alignment horizontal="center" vertical="center"/>
      <protection hidden="1"/>
    </xf>
    <xf numFmtId="0" fontId="62" fillId="5" borderId="18" xfId="0" applyFont="1" applyFill="1" applyBorder="1" applyAlignment="1" applyProtection="1">
      <alignment vertical="top" wrapText="1"/>
      <protection hidden="1"/>
    </xf>
    <xf numFmtId="0" fontId="62" fillId="5" borderId="0" xfId="0" applyFont="1" applyFill="1" applyBorder="1" applyAlignment="1" applyProtection="1">
      <alignment vertical="top" wrapText="1"/>
      <protection hidden="1"/>
    </xf>
    <xf numFmtId="0" fontId="62" fillId="5" borderId="6" xfId="0" applyFont="1" applyFill="1" applyBorder="1" applyAlignment="1" applyProtection="1">
      <alignment vertical="top" wrapText="1"/>
      <protection hidden="1"/>
    </xf>
    <xf numFmtId="0" fontId="62" fillId="5" borderId="18" xfId="0" applyFont="1" applyFill="1" applyBorder="1" applyProtection="1">
      <protection hidden="1"/>
    </xf>
    <xf numFmtId="0" fontId="62" fillId="5" borderId="0" xfId="0" applyFont="1" applyFill="1" applyBorder="1" applyProtection="1">
      <protection hidden="1"/>
    </xf>
    <xf numFmtId="0" fontId="62" fillId="5" borderId="6" xfId="0" applyFont="1" applyFill="1" applyBorder="1" applyProtection="1">
      <protection hidden="1"/>
    </xf>
  </cellXfs>
  <cellStyles count="4">
    <cellStyle name="Komma" xfId="1" builtinId="3"/>
    <cellStyle name="Prozent" xfId="2" builtinId="5"/>
    <cellStyle name="Standard" xfId="0" builtinId="0"/>
    <cellStyle name="Text" xfId="3" xr:uid="{00000000-0005-0000-0000-000003000000}"/>
  </cellStyles>
  <dxfs count="145">
    <dxf>
      <font>
        <color rgb="FF9C0006"/>
      </font>
      <fill>
        <patternFill>
          <bgColor rgb="FFFFC7CE"/>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ont>
        <condense val="0"/>
        <extend val="0"/>
        <color indexed="23"/>
      </font>
    </dxf>
    <dxf>
      <fill>
        <patternFill>
          <bgColor indexed="22"/>
        </patternFill>
      </fill>
    </dxf>
    <dxf>
      <font>
        <condense val="0"/>
        <extend val="0"/>
        <color indexed="23"/>
      </font>
    </dxf>
    <dxf>
      <font>
        <condense val="0"/>
        <extend val="0"/>
        <color indexed="23"/>
      </font>
    </dxf>
    <dxf>
      <font>
        <condense val="0"/>
        <extend val="0"/>
        <color indexed="23"/>
      </font>
    </dxf>
    <dxf>
      <font>
        <condense val="0"/>
        <extend val="0"/>
        <color indexed="23"/>
      </font>
    </dxf>
    <dxf>
      <font>
        <condense val="0"/>
        <extend val="0"/>
        <color indexed="23"/>
      </font>
    </dxf>
    <dxf>
      <font>
        <condense val="0"/>
        <extend val="0"/>
        <color indexed="23"/>
      </font>
    </dxf>
    <dxf>
      <font>
        <condense val="0"/>
        <extend val="0"/>
        <color indexed="23"/>
      </font>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ont>
        <condense val="0"/>
        <extend val="0"/>
        <color indexed="23"/>
      </font>
    </dxf>
    <dxf>
      <fill>
        <patternFill>
          <bgColor indexed="22"/>
        </patternFill>
      </fill>
    </dxf>
    <dxf>
      <font>
        <condense val="0"/>
        <extend val="0"/>
        <color indexed="23"/>
      </font>
    </dxf>
    <dxf>
      <font>
        <condense val="0"/>
        <extend val="0"/>
        <color indexed="23"/>
      </font>
    </dxf>
    <dxf>
      <fill>
        <patternFill>
          <bgColor indexed="22"/>
        </patternFill>
      </fill>
    </dxf>
    <dxf>
      <font>
        <condense val="0"/>
        <extend val="0"/>
        <color indexed="23"/>
      </font>
    </dxf>
    <dxf>
      <font>
        <condense val="0"/>
        <extend val="0"/>
        <color indexed="23"/>
      </font>
    </dxf>
    <dxf>
      <fill>
        <patternFill>
          <bgColor indexed="22"/>
        </patternFill>
      </fill>
    </dxf>
    <dxf>
      <font>
        <condense val="0"/>
        <extend val="0"/>
        <color indexed="23"/>
      </font>
    </dxf>
    <dxf>
      <font>
        <condense val="0"/>
        <extend val="0"/>
        <color indexed="23"/>
      </font>
    </dxf>
    <dxf>
      <fill>
        <patternFill>
          <bgColor indexed="22"/>
        </patternFill>
      </fill>
    </dxf>
    <dxf>
      <font>
        <condense val="0"/>
        <extend val="0"/>
        <color indexed="23"/>
      </font>
      <fill>
        <patternFill patternType="none">
          <bgColor indexed="65"/>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ont>
        <condense val="0"/>
        <extend val="0"/>
        <color indexed="23"/>
      </font>
    </dxf>
    <dxf>
      <fill>
        <patternFill>
          <bgColor indexed="22"/>
        </patternFill>
      </fill>
    </dxf>
    <dxf>
      <font>
        <strike val="0"/>
        <color auto="1"/>
      </font>
      <fill>
        <patternFill>
          <bgColor theme="7" tint="0.79998168889431442"/>
        </patternFill>
      </fill>
    </dxf>
    <dxf>
      <font>
        <condense val="0"/>
        <extend val="0"/>
        <color indexed="55"/>
      </font>
    </dxf>
    <dxf>
      <font>
        <strike val="0"/>
        <condense val="0"/>
        <extend val="0"/>
        <color indexed="17"/>
      </font>
    </dxf>
    <dxf>
      <font>
        <b val="0"/>
        <i val="0"/>
        <strike val="0"/>
        <condense val="0"/>
        <extend val="0"/>
        <color indexed="10"/>
      </font>
    </dxf>
    <dxf>
      <fill>
        <patternFill>
          <bgColor indexed="22"/>
        </patternFill>
      </fill>
      <border>
        <left style="thin">
          <color indexed="9"/>
        </left>
        <right style="thin">
          <color indexed="8"/>
        </right>
        <top style="thin">
          <color indexed="9"/>
        </top>
        <bottom style="thin">
          <color indexed="8"/>
        </bottom>
      </border>
    </dxf>
    <dxf>
      <font>
        <b/>
        <i val="0"/>
        <strike val="0"/>
        <condense val="0"/>
        <extend val="0"/>
        <color indexed="10"/>
      </font>
    </dxf>
    <dxf>
      <font>
        <b/>
        <i val="0"/>
        <strike val="0"/>
        <condense val="0"/>
        <extend val="0"/>
        <color indexed="10"/>
      </font>
    </dxf>
    <dxf>
      <font>
        <b/>
        <i val="0"/>
        <strike val="0"/>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9" defaultPivotStyle="PivotStyleMedium7"/>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100"/>
      <c:rotY val="201"/>
      <c:depthPercent val="100"/>
      <c:rAngAx val="0"/>
    </c:view3D>
    <c:floor>
      <c:thickness val="0"/>
      <c:spPr>
        <a:gradFill rotWithShape="0">
          <a:gsLst>
            <a:gs pos="0">
              <a:srgbClr val="003B3B"/>
            </a:gs>
            <a:gs pos="100000">
              <a:srgbClr val="008080"/>
            </a:gs>
          </a:gsLst>
          <a:lin ang="5400000" scaled="1"/>
        </a:gradFill>
        <a:ln w="3175">
          <a:solidFill>
            <a:srgbClr val="008080"/>
          </a:solidFill>
          <a:prstDash val="solid"/>
        </a:ln>
      </c:spPr>
    </c:floor>
    <c:sideWall>
      <c:thickness val="0"/>
      <c:spPr>
        <a:gradFill rotWithShape="0">
          <a:gsLst>
            <a:gs pos="0">
              <a:srgbClr val="008080"/>
            </a:gs>
            <a:gs pos="100000">
              <a:srgbClr val="003B3B"/>
            </a:gs>
          </a:gsLst>
          <a:lin ang="5400000" scaled="1"/>
        </a:gradFill>
        <a:ln w="3175">
          <a:solidFill>
            <a:srgbClr val="008080"/>
          </a:solidFill>
          <a:prstDash val="solid"/>
        </a:ln>
      </c:spPr>
    </c:sideWall>
    <c:backWall>
      <c:thickness val="0"/>
      <c:spPr>
        <a:gradFill rotWithShape="0">
          <a:gsLst>
            <a:gs pos="0">
              <a:srgbClr val="008080"/>
            </a:gs>
            <a:gs pos="100000">
              <a:srgbClr val="003B3B"/>
            </a:gs>
          </a:gsLst>
          <a:lin ang="5400000" scaled="1"/>
        </a:gradFill>
        <a:ln w="3175">
          <a:solidFill>
            <a:srgbClr val="008080"/>
          </a:solidFill>
          <a:prstDash val="solid"/>
        </a:ln>
      </c:spPr>
    </c:backWall>
    <c:plotArea>
      <c:layout>
        <c:manualLayout>
          <c:layoutTarget val="inner"/>
          <c:xMode val="edge"/>
          <c:yMode val="edge"/>
          <c:x val="1.6854480173174001E-2"/>
          <c:y val="1.50005321691481E-2"/>
          <c:w val="0.96632352992864401"/>
          <c:h val="0.69502465717053097"/>
        </c:manualLayout>
      </c:layout>
      <c:bar3DChart>
        <c:barDir val="col"/>
        <c:grouping val="standard"/>
        <c:varyColors val="0"/>
        <c:ser>
          <c:idx val="0"/>
          <c:order val="0"/>
          <c:tx>
            <c:strRef>
              <c:f>Bilanz!$B$27</c:f>
              <c:strCache>
                <c:ptCount val="1"/>
                <c:pt idx="0">
                  <c:v>Gesamtwärmeverlust Qtot</c:v>
                </c:pt>
              </c:strCache>
            </c:strRef>
          </c:tx>
          <c:spPr>
            <a:solidFill>
              <a:srgbClr val="0000D4"/>
            </a:solidFill>
            <a:ln w="3175">
              <a:solidFill>
                <a:srgbClr val="0000D4"/>
              </a:solidFill>
              <a:prstDash val="solid"/>
            </a:ln>
          </c:spPr>
          <c:invertIfNegative val="0"/>
          <c:val>
            <c:numRef>
              <c:f>Bilanz!$D$27:$O$27</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7F59-8648-A70D-71D37876B387}"/>
            </c:ext>
          </c:extLst>
        </c:ser>
        <c:ser>
          <c:idx val="1"/>
          <c:order val="1"/>
          <c:tx>
            <c:strRef>
              <c:f>Bilanz!$B$39</c:f>
              <c:strCache>
                <c:ptCount val="1"/>
                <c:pt idx="0">
                  <c:v>Wärmeeinträge total Qg</c:v>
                </c:pt>
              </c:strCache>
            </c:strRef>
          </c:tx>
          <c:spPr>
            <a:solidFill>
              <a:srgbClr val="FFFF00"/>
            </a:solidFill>
            <a:ln w="3175">
              <a:solidFill>
                <a:srgbClr val="FCF305"/>
              </a:solidFill>
              <a:prstDash val="solid"/>
            </a:ln>
          </c:spPr>
          <c:invertIfNegative val="0"/>
          <c:val>
            <c:numRef>
              <c:f>Bilanz!$D$39:$O$39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7F59-8648-A70D-71D37876B387}"/>
            </c:ext>
          </c:extLst>
        </c:ser>
        <c:ser>
          <c:idx val="2"/>
          <c:order val="2"/>
          <c:tx>
            <c:strRef>
              <c:f>Bilanz!$B$58</c:f>
              <c:strCache>
                <c:ptCount val="1"/>
                <c:pt idx="0">
                  <c:v>Heizwärmebedarf  QH [kWh/m2]</c:v>
                </c:pt>
              </c:strCache>
            </c:strRef>
          </c:tx>
          <c:spPr>
            <a:solidFill>
              <a:srgbClr val="DD0806"/>
            </a:solidFill>
            <a:ln w="3175">
              <a:solidFill>
                <a:srgbClr val="DD0806"/>
              </a:solidFill>
              <a:prstDash val="solid"/>
            </a:ln>
          </c:spPr>
          <c:invertIfNegative val="0"/>
          <c:val>
            <c:numRef>
              <c:f>Bilanz!$D$58:$O$58</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7F59-8648-A70D-71D37876B387}"/>
            </c:ext>
          </c:extLst>
        </c:ser>
        <c:dLbls>
          <c:showLegendKey val="0"/>
          <c:showVal val="0"/>
          <c:showCatName val="0"/>
          <c:showSerName val="0"/>
          <c:showPercent val="0"/>
          <c:showBubbleSize val="0"/>
        </c:dLbls>
        <c:gapWidth val="150"/>
        <c:shape val="box"/>
        <c:axId val="-537578352"/>
        <c:axId val="-537573792"/>
        <c:axId val="-537569088"/>
      </c:bar3DChart>
      <c:catAx>
        <c:axId val="-53757835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500" b="0" i="0" u="none" strike="noStrike" baseline="0">
                <a:solidFill>
                  <a:srgbClr val="000000"/>
                </a:solidFill>
                <a:latin typeface="Arial"/>
                <a:ea typeface="Arial"/>
                <a:cs typeface="Arial"/>
              </a:defRPr>
            </a:pPr>
            <a:endParaRPr lang="de-DE"/>
          </a:p>
        </c:txPr>
        <c:crossAx val="-537573792"/>
        <c:crosses val="autoZero"/>
        <c:auto val="1"/>
        <c:lblAlgn val="ctr"/>
        <c:lblOffset val="100"/>
        <c:tickLblSkip val="1"/>
        <c:tickMarkSkip val="1"/>
        <c:noMultiLvlLbl val="1"/>
      </c:catAx>
      <c:valAx>
        <c:axId val="-537573792"/>
        <c:scaling>
          <c:orientation val="minMax"/>
        </c:scaling>
        <c:delete val="0"/>
        <c:axPos val="r"/>
        <c:majorGridlines>
          <c:spPr>
            <a:ln w="3175">
              <a:solidFill>
                <a:srgbClr val="808080"/>
              </a:solidFill>
              <a:prstDash val="solid"/>
            </a:ln>
          </c:spPr>
        </c:majorGridlines>
        <c:numFmt formatCode="0.00" sourceLinked="0"/>
        <c:majorTickMark val="none"/>
        <c:minorTickMark val="none"/>
        <c:tickLblPos val="none"/>
        <c:spPr>
          <a:ln w="3175">
            <a:solidFill>
              <a:srgbClr val="000000"/>
            </a:solidFill>
            <a:prstDash val="solid"/>
          </a:ln>
        </c:spPr>
        <c:crossAx val="-537578352"/>
        <c:crosses val="autoZero"/>
        <c:crossBetween val="between"/>
      </c:valAx>
      <c:serAx>
        <c:axId val="-537569088"/>
        <c:scaling>
          <c:orientation val="minMax"/>
        </c:scaling>
        <c:delete val="0"/>
        <c:axPos val="b"/>
        <c:majorTickMark val="none"/>
        <c:minorTickMark val="none"/>
        <c:tickLblPos val="none"/>
        <c:spPr>
          <a:ln w="3175">
            <a:solidFill>
              <a:srgbClr val="000000"/>
            </a:solidFill>
            <a:prstDash val="solid"/>
          </a:ln>
        </c:spPr>
        <c:crossAx val="-537573792"/>
        <c:crosses val="autoZero"/>
        <c:tickMarkSkip val="1"/>
      </c:serAx>
      <c:spPr>
        <a:solidFill>
          <a:srgbClr val="C0C0C0"/>
        </a:solidFill>
        <a:ln w="25400">
          <a:noFill/>
        </a:ln>
      </c:spPr>
    </c:plotArea>
    <c:legend>
      <c:legendPos val="r"/>
      <c:layout>
        <c:manualLayout>
          <c:xMode val="edge"/>
          <c:yMode val="edge"/>
          <c:x val="2.24727948332301E-2"/>
          <c:y val="0.76502722607435303"/>
          <c:w val="0.68541537644872996"/>
          <c:h val="0.19000665961530899"/>
        </c:manualLayout>
      </c:layout>
      <c:overlay val="0"/>
      <c:spPr>
        <a:solidFill>
          <a:srgbClr val="C0C0C0"/>
        </a:solidFill>
        <a:ln w="3175">
          <a:solidFill>
            <a:srgbClr val="C0C0C0"/>
          </a:solidFill>
          <a:prstDash val="solid"/>
        </a:ln>
      </c:spPr>
      <c:txPr>
        <a:bodyPr/>
        <a:lstStyle/>
        <a:p>
          <a:pPr>
            <a:defRPr sz="505"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C0C0C0"/>
    </a:solidFill>
    <a:ln w="3175">
      <a:solidFill>
        <a:srgbClr val="FFFFFF"/>
      </a:solidFill>
      <a:prstDash val="solid"/>
    </a:ln>
    <a:effectLst>
      <a:outerShdw dist="35921" dir="2700000" algn="br">
        <a:srgbClr val="000000"/>
      </a:outerShdw>
    </a:effectLst>
  </c:spPr>
  <c:txPr>
    <a:bodyPr/>
    <a:lstStyle/>
    <a:p>
      <a:pPr>
        <a:defRPr sz="800" b="0" i="0" u="none" strike="noStrike" baseline="0">
          <a:solidFill>
            <a:srgbClr val="000000"/>
          </a:solidFill>
          <a:latin typeface="Geneva"/>
          <a:ea typeface="Geneva"/>
          <a:cs typeface="Geneva"/>
        </a:defRPr>
      </a:pPr>
      <a:endParaRPr lang="de-DE"/>
    </a:p>
  </c:txPr>
  <c:printSettings>
    <c:headerFooter/>
    <c:pageMargins b="0.75" l="0.7" r="0.7" t="0.75" header="0.4921259845" footer="0.4921259845"/>
    <c:pageSetup/>
  </c:printSettings>
</c:chartSpace>
</file>

<file path=xl/ctrlProps/ctrlProp1.xml><?xml version="1.0" encoding="utf-8"?>
<formControlPr xmlns="http://schemas.microsoft.com/office/spreadsheetml/2009/9/main" objectType="Drop" dropLines="54" dropStyle="combo" dx="16" fmlaLink="Klima!$C$46" fmlaRange="Klima!$B$4:$B$44" sel="41" val="6"/>
</file>

<file path=xl/ctrlProps/ctrlProp10.xml><?xml version="1.0" encoding="utf-8"?>
<formControlPr xmlns="http://schemas.microsoft.com/office/spreadsheetml/2009/9/main" objectType="Drop" dropLines="54" dropStyle="combo" dx="16" fmlaLink="Daten!$K$82" fmlaRange="Daten!$G$81:$G$91" sel="1" val="0"/>
</file>

<file path=xl/ctrlProps/ctrlProp11.xml><?xml version="1.0" encoding="utf-8"?>
<formControlPr xmlns="http://schemas.microsoft.com/office/spreadsheetml/2009/9/main" objectType="Drop" dropLines="72" dropStyle="combo" dx="16" fmlaLink="$C$64" fmlaRange="$B$60:$B$61" sel="2" val="0"/>
</file>

<file path=xl/ctrlProps/ctrlProp12.xml><?xml version="1.0" encoding="utf-8"?>
<formControlPr xmlns="http://schemas.microsoft.com/office/spreadsheetml/2009/9/main" objectType="CheckBox" fmlaLink="$F$9"/>
</file>

<file path=xl/ctrlProps/ctrlProp13.xml><?xml version="1.0" encoding="utf-8"?>
<formControlPr xmlns="http://schemas.microsoft.com/office/spreadsheetml/2009/9/main" objectType="Radio" firstButton="1" fmlaLink="$G$9" lockText="1"/>
</file>

<file path=xl/ctrlProps/ctrlProp14.xml><?xml version="1.0" encoding="utf-8"?>
<formControlPr xmlns="http://schemas.microsoft.com/office/spreadsheetml/2009/9/main" objectType="Radio" checked="Checked" lockText="1"/>
</file>

<file path=xl/ctrlProps/ctrlProp15.xml><?xml version="1.0" encoding="utf-8"?>
<formControlPr xmlns="http://schemas.microsoft.com/office/spreadsheetml/2009/9/main" objectType="Drop" dropLines="46" dropStyle="combo" dx="16" fmlaLink="$P$7" fmlaRange="$R$4:$R$6" sel="3" val="0"/>
</file>

<file path=xl/ctrlProps/ctrlProp16.xml><?xml version="1.0" encoding="utf-8"?>
<formControlPr xmlns="http://schemas.microsoft.com/office/spreadsheetml/2009/9/main" objectType="Drop" dropLines="51" dropStyle="combo" dx="16" fmlaLink="$O$7" fmlaRange="$R$4:$R$6" sel="3" val="0"/>
</file>

<file path=xl/ctrlProps/ctrlProp2.xml><?xml version="1.0" encoding="utf-8"?>
<formControlPr xmlns="http://schemas.microsoft.com/office/spreadsheetml/2009/9/main" objectType="Drop" dropLines="54" dropStyle="combo" dx="16" fmlaLink="Daten!$C$61" fmlaRange="Daten!$A$37:$A$39" sel="3" val="0"/>
</file>

<file path=xl/ctrlProps/ctrlProp3.xml><?xml version="1.0" encoding="utf-8"?>
<formControlPr xmlns="http://schemas.microsoft.com/office/spreadsheetml/2009/9/main" objectType="Drop" dropLines="54" dropStyle="combo" dx="16" fmlaLink="Daten!$C$62" fmlaRange="Daten!$C$21:$C$25" sel="5" val="0"/>
</file>

<file path=xl/ctrlProps/ctrlProp4.xml><?xml version="1.0" encoding="utf-8"?>
<formControlPr xmlns="http://schemas.microsoft.com/office/spreadsheetml/2009/9/main" objectType="Drop" dropLines="54" dropStyle="combo" dx="16" fmlaLink="Daten!$C$63" fmlaRange="Daten!$C$29:$C$32" sel="4" val="0"/>
</file>

<file path=xl/ctrlProps/ctrlProp5.xml><?xml version="1.0" encoding="utf-8"?>
<formControlPr xmlns="http://schemas.microsoft.com/office/spreadsheetml/2009/9/main" objectType="Drop" dropLines="54" dropStyle="combo" dx="16" fmlaLink="Daten!$C$60" fmlaRange="Daten!$N$4:$N$16" sel="1" val="0"/>
</file>

<file path=xl/ctrlProps/ctrlProp6.xml><?xml version="1.0" encoding="utf-8"?>
<formControlPr xmlns="http://schemas.microsoft.com/office/spreadsheetml/2009/9/main" objectType="Drop" dropLines="49" dropStyle="combo" dx="16" fmlaLink="Daten!$E$43" fmlaRange="Daten!$A$43:$A$48" sel="1" val="0"/>
</file>

<file path=xl/ctrlProps/ctrlProp7.xml><?xml version="1.0" encoding="utf-8"?>
<formControlPr xmlns="http://schemas.microsoft.com/office/spreadsheetml/2009/9/main" objectType="Drop" dropLines="54" dropStyle="combo" dx="16" fmlaLink="Daten!$C$64" fmlaRange="Daten!$A$70:$A$75" sel="6" val="0"/>
</file>

<file path=xl/ctrlProps/ctrlProp8.xml><?xml version="1.0" encoding="utf-8"?>
<formControlPr xmlns="http://schemas.microsoft.com/office/spreadsheetml/2009/9/main" objectType="Drop" dropLines="54" dropStyle="combo" dx="16" fmlaLink="Daten!$I$82" fmlaRange="Daten!$B$81:$B$86" sel="1" val="0"/>
</file>

<file path=xl/ctrlProps/ctrlProp9.xml><?xml version="1.0" encoding="utf-8"?>
<formControlPr xmlns="http://schemas.microsoft.com/office/spreadsheetml/2009/9/main" objectType="Drop" dropLines="54" dropStyle="combo" dx="16" fmlaLink="Daten!$J$82" fmlaRange="Daten!$D$81:$D$91" sel="1" val="0"/>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4" Type="http://schemas.openxmlformats.org/officeDocument/2006/relationships/image" Target="../media/image13.png"/></Relationships>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36</xdr:row>
          <xdr:rowOff>15240</xdr:rowOff>
        </xdr:from>
        <xdr:to>
          <xdr:col>6</xdr:col>
          <xdr:colOff>609600</xdr:colOff>
          <xdr:row>36</xdr:row>
          <xdr:rowOff>251460</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15240</xdr:rowOff>
        </xdr:from>
        <xdr:to>
          <xdr:col>6</xdr:col>
          <xdr:colOff>609600</xdr:colOff>
          <xdr:row>38</xdr:row>
          <xdr:rowOff>251460</xdr:rowOff>
        </xdr:to>
        <xdr:sp macro="" textlink="">
          <xdr:nvSpPr>
            <xdr:cNvPr id="8197" name="Drop Down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15240</xdr:rowOff>
        </xdr:from>
        <xdr:to>
          <xdr:col>6</xdr:col>
          <xdr:colOff>609600</xdr:colOff>
          <xdr:row>40</xdr:row>
          <xdr:rowOff>251460</xdr:rowOff>
        </xdr:to>
        <xdr:sp macro="" textlink="">
          <xdr:nvSpPr>
            <xdr:cNvPr id="8198" name="Drop Down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42</xdr:row>
          <xdr:rowOff>15240</xdr:rowOff>
        </xdr:from>
        <xdr:to>
          <xdr:col>6</xdr:col>
          <xdr:colOff>609600</xdr:colOff>
          <xdr:row>42</xdr:row>
          <xdr:rowOff>251460</xdr:rowOff>
        </xdr:to>
        <xdr:sp macro="" textlink="">
          <xdr:nvSpPr>
            <xdr:cNvPr id="8199" name="Drop Down 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15240</xdr:rowOff>
        </xdr:from>
        <xdr:to>
          <xdr:col>6</xdr:col>
          <xdr:colOff>624840</xdr:colOff>
          <xdr:row>25</xdr:row>
          <xdr:rowOff>251460</xdr:rowOff>
        </xdr:to>
        <xdr:sp macro="" textlink="">
          <xdr:nvSpPr>
            <xdr:cNvPr id="8200" name="Drop Down 8" hidden="1">
              <a:extLst>
                <a:ext uri="{63B3BB69-23CF-44E3-9099-C40C66FF867C}">
                  <a14:compatExt spid="_x0000_s8200"/>
                </a:ext>
                <a:ext uri="{FF2B5EF4-FFF2-40B4-BE49-F238E27FC236}">
                  <a16:creationId xmlns:a16="http://schemas.microsoft.com/office/drawing/2014/main" id="{00000000-0008-0000-00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15240</xdr:rowOff>
        </xdr:from>
        <xdr:to>
          <xdr:col>6</xdr:col>
          <xdr:colOff>609600</xdr:colOff>
          <xdr:row>44</xdr:row>
          <xdr:rowOff>251460</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0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15240</xdr:rowOff>
        </xdr:from>
        <xdr:to>
          <xdr:col>6</xdr:col>
          <xdr:colOff>624840</xdr:colOff>
          <xdr:row>23</xdr:row>
          <xdr:rowOff>251460</xdr:rowOff>
        </xdr:to>
        <xdr:sp macro="" textlink="">
          <xdr:nvSpPr>
            <xdr:cNvPr id="8221" name="Drop Down 29"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685800</xdr:colOff>
          <xdr:row>12</xdr:row>
          <xdr:rowOff>15240</xdr:rowOff>
        </xdr:from>
        <xdr:to>
          <xdr:col>4</xdr:col>
          <xdr:colOff>0</xdr:colOff>
          <xdr:row>12</xdr:row>
          <xdr:rowOff>251460</xdr:rowOff>
        </xdr:to>
        <xdr:sp macro="" textlink="">
          <xdr:nvSpPr>
            <xdr:cNvPr id="8223" name="Drop Down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15240</xdr:rowOff>
        </xdr:from>
        <xdr:to>
          <xdr:col>7</xdr:col>
          <xdr:colOff>0</xdr:colOff>
          <xdr:row>12</xdr:row>
          <xdr:rowOff>251460</xdr:rowOff>
        </xdr:to>
        <xdr:sp macro="" textlink="">
          <xdr:nvSpPr>
            <xdr:cNvPr id="8224" name="Drop Down 32"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xdr:row>
          <xdr:rowOff>15240</xdr:rowOff>
        </xdr:from>
        <xdr:to>
          <xdr:col>10</xdr:col>
          <xdr:colOff>15240</xdr:colOff>
          <xdr:row>12</xdr:row>
          <xdr:rowOff>251460</xdr:rowOff>
        </xdr:to>
        <xdr:sp macro="" textlink="">
          <xdr:nvSpPr>
            <xdr:cNvPr id="8225" name="Drop Down 33" hidden="1">
              <a:extLst>
                <a:ext uri="{63B3BB69-23CF-44E3-9099-C40C66FF867C}">
                  <a14:compatExt spid="_x0000_s8225"/>
                </a:ext>
                <a:ext uri="{FF2B5EF4-FFF2-40B4-BE49-F238E27FC236}">
                  <a16:creationId xmlns:a16="http://schemas.microsoft.com/office/drawing/2014/main" id="{00000000-0008-0000-0000-00002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9</xdr:col>
      <xdr:colOff>254000</xdr:colOff>
      <xdr:row>36</xdr:row>
      <xdr:rowOff>76200</xdr:rowOff>
    </xdr:from>
    <xdr:to>
      <xdr:col>9</xdr:col>
      <xdr:colOff>698500</xdr:colOff>
      <xdr:row>38</xdr:row>
      <xdr:rowOff>101600</xdr:rowOff>
    </xdr:to>
    <xdr:pic>
      <xdr:nvPicPr>
        <xdr:cNvPr id="559550" name="Picture -1021">
          <a:extLst>
            <a:ext uri="{FF2B5EF4-FFF2-40B4-BE49-F238E27FC236}">
              <a16:creationId xmlns:a16="http://schemas.microsoft.com/office/drawing/2014/main" id="{00000000-0008-0000-0000-0000BE890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5200" y="5867400"/>
          <a:ext cx="444500" cy="444500"/>
        </a:xfrm>
        <a:prstGeom prst="rect">
          <a:avLst/>
        </a:prstGeom>
        <a:noFill/>
        <a:ln>
          <a:noFill/>
        </a:ln>
        <a:effectLst>
          <a:outerShdw blurRad="63500" dist="63500" dir="2700000" algn="ctr" rotWithShape="0">
            <a:srgbClr val="000000">
              <a:alpha val="59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254000</xdr:colOff>
      <xdr:row>39</xdr:row>
      <xdr:rowOff>63500</xdr:rowOff>
    </xdr:from>
    <xdr:to>
      <xdr:col>9</xdr:col>
      <xdr:colOff>698500</xdr:colOff>
      <xdr:row>41</xdr:row>
      <xdr:rowOff>88900</xdr:rowOff>
    </xdr:to>
    <xdr:pic>
      <xdr:nvPicPr>
        <xdr:cNvPr id="559551" name="Picture -1020">
          <a:extLst>
            <a:ext uri="{FF2B5EF4-FFF2-40B4-BE49-F238E27FC236}">
              <a16:creationId xmlns:a16="http://schemas.microsoft.com/office/drawing/2014/main" id="{00000000-0008-0000-0000-0000BF890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85200" y="6540500"/>
          <a:ext cx="444500" cy="444500"/>
        </a:xfrm>
        <a:prstGeom prst="rect">
          <a:avLst/>
        </a:prstGeom>
        <a:noFill/>
        <a:ln>
          <a:noFill/>
        </a:ln>
        <a:effectLst>
          <a:outerShdw blurRad="63500" dist="63500" dir="2700000" algn="ctr" rotWithShape="0">
            <a:srgbClr val="000000">
              <a:alpha val="59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876300</xdr:colOff>
      <xdr:row>36</xdr:row>
      <xdr:rowOff>76200</xdr:rowOff>
    </xdr:from>
    <xdr:to>
      <xdr:col>9</xdr:col>
      <xdr:colOff>1320800</xdr:colOff>
      <xdr:row>38</xdr:row>
      <xdr:rowOff>101600</xdr:rowOff>
    </xdr:to>
    <xdr:pic>
      <xdr:nvPicPr>
        <xdr:cNvPr id="559552" name="Picture -1019">
          <a:extLst>
            <a:ext uri="{FF2B5EF4-FFF2-40B4-BE49-F238E27FC236}">
              <a16:creationId xmlns:a16="http://schemas.microsoft.com/office/drawing/2014/main" id="{00000000-0008-0000-0000-0000C08908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207500" y="5867400"/>
          <a:ext cx="444500" cy="444500"/>
        </a:xfrm>
        <a:prstGeom prst="rect">
          <a:avLst/>
        </a:prstGeom>
        <a:noFill/>
        <a:ln>
          <a:noFill/>
        </a:ln>
        <a:effectLst>
          <a:outerShdw blurRad="63500" dist="63500" dir="2700000" algn="ctr" rotWithShape="0">
            <a:srgbClr val="000000">
              <a:alpha val="59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876300</xdr:colOff>
      <xdr:row>39</xdr:row>
      <xdr:rowOff>63500</xdr:rowOff>
    </xdr:from>
    <xdr:to>
      <xdr:col>9</xdr:col>
      <xdr:colOff>1320800</xdr:colOff>
      <xdr:row>41</xdr:row>
      <xdr:rowOff>88900</xdr:rowOff>
    </xdr:to>
    <xdr:pic>
      <xdr:nvPicPr>
        <xdr:cNvPr id="559553" name="Picture -1018">
          <a:extLst>
            <a:ext uri="{FF2B5EF4-FFF2-40B4-BE49-F238E27FC236}">
              <a16:creationId xmlns:a16="http://schemas.microsoft.com/office/drawing/2014/main" id="{00000000-0008-0000-0000-0000C18908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207500" y="6540500"/>
          <a:ext cx="444500" cy="444500"/>
        </a:xfrm>
        <a:prstGeom prst="rect">
          <a:avLst/>
        </a:prstGeom>
        <a:noFill/>
        <a:ln>
          <a:noFill/>
        </a:ln>
        <a:effectLst>
          <a:outerShdw blurRad="63500" dist="63500" dir="2700000" algn="ctr" rotWithShape="0">
            <a:srgbClr val="000000">
              <a:alpha val="59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254000</xdr:colOff>
      <xdr:row>42</xdr:row>
      <xdr:rowOff>165100</xdr:rowOff>
    </xdr:from>
    <xdr:to>
      <xdr:col>9</xdr:col>
      <xdr:colOff>698500</xdr:colOff>
      <xdr:row>44</xdr:row>
      <xdr:rowOff>190500</xdr:rowOff>
    </xdr:to>
    <xdr:pic>
      <xdr:nvPicPr>
        <xdr:cNvPr id="559554" name="Picture -1017">
          <a:extLst>
            <a:ext uri="{FF2B5EF4-FFF2-40B4-BE49-F238E27FC236}">
              <a16:creationId xmlns:a16="http://schemas.microsoft.com/office/drawing/2014/main" id="{00000000-0008-0000-0000-0000C28908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585200" y="7213600"/>
          <a:ext cx="444500" cy="444500"/>
        </a:xfrm>
        <a:prstGeom prst="rect">
          <a:avLst/>
        </a:prstGeom>
        <a:noFill/>
        <a:ln>
          <a:noFill/>
        </a:ln>
        <a:effectLst>
          <a:outerShdw blurRad="63500" dist="63500" dir="2700000" algn="ctr" rotWithShape="0">
            <a:srgbClr val="000000">
              <a:alpha val="59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876300</xdr:colOff>
      <xdr:row>42</xdr:row>
      <xdr:rowOff>165100</xdr:rowOff>
    </xdr:from>
    <xdr:to>
      <xdr:col>9</xdr:col>
      <xdr:colOff>1320800</xdr:colOff>
      <xdr:row>44</xdr:row>
      <xdr:rowOff>190500</xdr:rowOff>
    </xdr:to>
    <xdr:pic>
      <xdr:nvPicPr>
        <xdr:cNvPr id="559555" name="Picture -1016">
          <a:extLst>
            <a:ext uri="{FF2B5EF4-FFF2-40B4-BE49-F238E27FC236}">
              <a16:creationId xmlns:a16="http://schemas.microsoft.com/office/drawing/2014/main" id="{00000000-0008-0000-0000-0000C38908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207500" y="7213600"/>
          <a:ext cx="444500" cy="444500"/>
        </a:xfrm>
        <a:prstGeom prst="rect">
          <a:avLst/>
        </a:prstGeom>
        <a:noFill/>
        <a:ln>
          <a:noFill/>
        </a:ln>
        <a:effectLst>
          <a:outerShdw blurRad="63500" dist="63500" dir="2700000" algn="ctr" rotWithShape="0">
            <a:srgbClr val="000000">
              <a:alpha val="59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44</xdr:row>
      <xdr:rowOff>50800</xdr:rowOff>
    </xdr:from>
    <xdr:to>
      <xdr:col>11</xdr:col>
      <xdr:colOff>0</xdr:colOff>
      <xdr:row>57</xdr:row>
      <xdr:rowOff>88900</xdr:rowOff>
    </xdr:to>
    <xdr:pic>
      <xdr:nvPicPr>
        <xdr:cNvPr id="15058" name="Picture 6">
          <a:extLst>
            <a:ext uri="{FF2B5EF4-FFF2-40B4-BE49-F238E27FC236}">
              <a16:creationId xmlns:a16="http://schemas.microsoft.com/office/drawing/2014/main" id="{00000000-0008-0000-0100-0000D23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18000" y="3924300"/>
          <a:ext cx="433070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12700</xdr:colOff>
      <xdr:row>64</xdr:row>
      <xdr:rowOff>42333</xdr:rowOff>
    </xdr:from>
    <xdr:to>
      <xdr:col>2</xdr:col>
      <xdr:colOff>1955800</xdr:colOff>
      <xdr:row>71</xdr:row>
      <xdr:rowOff>105833</xdr:rowOff>
    </xdr:to>
    <xdr:pic>
      <xdr:nvPicPr>
        <xdr:cNvPr id="15059" name="Picture 8">
          <a:extLst>
            <a:ext uri="{FF2B5EF4-FFF2-40B4-BE49-F238E27FC236}">
              <a16:creationId xmlns:a16="http://schemas.microsoft.com/office/drawing/2014/main" id="{00000000-0008-0000-0100-0000D33A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r="33144" b="61446"/>
        <a:stretch>
          <a:fillRect/>
        </a:stretch>
      </xdr:blipFill>
      <xdr:spPr bwMode="auto">
        <a:xfrm>
          <a:off x="207433" y="6502400"/>
          <a:ext cx="19431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60</xdr:row>
      <xdr:rowOff>88900</xdr:rowOff>
    </xdr:from>
    <xdr:to>
      <xdr:col>11</xdr:col>
      <xdr:colOff>12700</xdr:colOff>
      <xdr:row>83</xdr:row>
      <xdr:rowOff>0</xdr:rowOff>
    </xdr:to>
    <xdr:pic>
      <xdr:nvPicPr>
        <xdr:cNvPr id="15060" name="Bild 1">
          <a:extLst>
            <a:ext uri="{FF2B5EF4-FFF2-40B4-BE49-F238E27FC236}">
              <a16:creationId xmlns:a16="http://schemas.microsoft.com/office/drawing/2014/main" id="{00000000-0008-0000-0100-0000D43A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18000" y="6007100"/>
          <a:ext cx="434340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xdr:colOff>
          <xdr:row>3</xdr:row>
          <xdr:rowOff>38100</xdr:rowOff>
        </xdr:from>
        <xdr:to>
          <xdr:col>5</xdr:col>
          <xdr:colOff>53340</xdr:colOff>
          <xdr:row>4</xdr:row>
          <xdr:rowOff>137160</xdr:rowOff>
        </xdr:to>
        <xdr:sp macro="" textlink="">
          <xdr:nvSpPr>
            <xdr:cNvPr id="230401" name="Drop Down 1" hidden="1">
              <a:extLst>
                <a:ext uri="{63B3BB69-23CF-44E3-9099-C40C66FF867C}">
                  <a14:compatExt spid="_x0000_s230401"/>
                </a:ext>
                <a:ext uri="{FF2B5EF4-FFF2-40B4-BE49-F238E27FC236}">
                  <a16:creationId xmlns:a16="http://schemas.microsoft.com/office/drawing/2014/main" id="{00000000-0008-0000-0300-0000018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91440</xdr:colOff>
          <xdr:row>7</xdr:row>
          <xdr:rowOff>91440</xdr:rowOff>
        </xdr:from>
        <xdr:to>
          <xdr:col>5</xdr:col>
          <xdr:colOff>746760</xdr:colOff>
          <xdr:row>10</xdr:row>
          <xdr:rowOff>22860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4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de-CH" sz="1000" b="0" i="0" u="none" strike="noStrike" baseline="0">
                  <a:solidFill>
                    <a:srgbClr val="000000"/>
                  </a:solidFill>
                  <a:latin typeface="Geneva"/>
                </a:rPr>
                <a:t>Luftvorwärmung Luft-Erd-Register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xdr:row>
          <xdr:rowOff>0</xdr:rowOff>
        </xdr:from>
        <xdr:to>
          <xdr:col>1</xdr:col>
          <xdr:colOff>1013460</xdr:colOff>
          <xdr:row>7</xdr:row>
          <xdr:rowOff>22860</xdr:rowOff>
        </xdr:to>
        <xdr:sp macro="" textlink="">
          <xdr:nvSpPr>
            <xdr:cNvPr id="9226" name="Option Button 10" hidden="1">
              <a:extLst>
                <a:ext uri="{63B3BB69-23CF-44E3-9099-C40C66FF867C}">
                  <a14:compatExt spid="_x0000_s9226"/>
                </a:ext>
                <a:ext uri="{FF2B5EF4-FFF2-40B4-BE49-F238E27FC236}">
                  <a16:creationId xmlns:a16="http://schemas.microsoft.com/office/drawing/2014/main" id="{00000000-0008-0000-04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de-CH" sz="1000" b="0" i="0" u="none" strike="noStrike" baseline="0">
                  <a:solidFill>
                    <a:srgbClr val="000000"/>
                  </a:solidFill>
                  <a:latin typeface="Geneva"/>
                </a:rPr>
                <a:t>Lüftung 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6</xdr:row>
          <xdr:rowOff>0</xdr:rowOff>
        </xdr:from>
        <xdr:to>
          <xdr:col>5</xdr:col>
          <xdr:colOff>510540</xdr:colOff>
          <xdr:row>7</xdr:row>
          <xdr:rowOff>22860</xdr:rowOff>
        </xdr:to>
        <xdr:sp macro="" textlink="">
          <xdr:nvSpPr>
            <xdr:cNvPr id="9227" name="Option Button 11" hidden="1">
              <a:extLst>
                <a:ext uri="{63B3BB69-23CF-44E3-9099-C40C66FF867C}">
                  <a14:compatExt spid="_x0000_s9227"/>
                </a:ext>
                <a:ext uri="{FF2B5EF4-FFF2-40B4-BE49-F238E27FC236}">
                  <a16:creationId xmlns:a16="http://schemas.microsoft.com/office/drawing/2014/main" id="{00000000-0008-0000-04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de-CH" sz="1000" b="0" i="0" u="none" strike="noStrike" baseline="0">
                  <a:solidFill>
                    <a:srgbClr val="000000"/>
                  </a:solidFill>
                  <a:latin typeface="Geneva"/>
                </a:rPr>
                <a:t>Lüftung aus</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6</xdr:col>
      <xdr:colOff>139700</xdr:colOff>
      <xdr:row>12</xdr:row>
      <xdr:rowOff>76200</xdr:rowOff>
    </xdr:from>
    <xdr:to>
      <xdr:col>10</xdr:col>
      <xdr:colOff>660400</xdr:colOff>
      <xdr:row>20</xdr:row>
      <xdr:rowOff>12700</xdr:rowOff>
    </xdr:to>
    <xdr:pic>
      <xdr:nvPicPr>
        <xdr:cNvPr id="785450" name="Picture 12">
          <a:extLst>
            <a:ext uri="{FF2B5EF4-FFF2-40B4-BE49-F238E27FC236}">
              <a16:creationId xmlns:a16="http://schemas.microsoft.com/office/drawing/2014/main" id="{00000000-0008-0000-0700-00002AFC0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27700" y="2032000"/>
          <a:ext cx="3822700" cy="176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330200</xdr:colOff>
      <xdr:row>63</xdr:row>
      <xdr:rowOff>139700</xdr:rowOff>
    </xdr:from>
    <xdr:to>
      <xdr:col>10</xdr:col>
      <xdr:colOff>673100</xdr:colOff>
      <xdr:row>71</xdr:row>
      <xdr:rowOff>114300</xdr:rowOff>
    </xdr:to>
    <xdr:pic>
      <xdr:nvPicPr>
        <xdr:cNvPr id="785451" name="Picture 13">
          <a:extLst>
            <a:ext uri="{FF2B5EF4-FFF2-40B4-BE49-F238E27FC236}">
              <a16:creationId xmlns:a16="http://schemas.microsoft.com/office/drawing/2014/main" id="{00000000-0008-0000-0700-00002BFC0B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18200" y="9474200"/>
          <a:ext cx="3644900" cy="180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88900</xdr:colOff>
      <xdr:row>22</xdr:row>
      <xdr:rowOff>114300</xdr:rowOff>
    </xdr:from>
    <xdr:to>
      <xdr:col>10</xdr:col>
      <xdr:colOff>825500</xdr:colOff>
      <xdr:row>44</xdr:row>
      <xdr:rowOff>25400</xdr:rowOff>
    </xdr:to>
    <xdr:pic>
      <xdr:nvPicPr>
        <xdr:cNvPr id="785452" name="Picture 14">
          <a:extLst>
            <a:ext uri="{FF2B5EF4-FFF2-40B4-BE49-F238E27FC236}">
              <a16:creationId xmlns:a16="http://schemas.microsoft.com/office/drawing/2014/main" id="{00000000-0008-0000-0700-00002CFC0B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76900" y="4356100"/>
          <a:ext cx="4038600"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330200</xdr:colOff>
      <xdr:row>75</xdr:row>
      <xdr:rowOff>101600</xdr:rowOff>
    </xdr:from>
    <xdr:to>
      <xdr:col>10</xdr:col>
      <xdr:colOff>685800</xdr:colOff>
      <xdr:row>108</xdr:row>
      <xdr:rowOff>900</xdr:rowOff>
    </xdr:to>
    <xdr:pic>
      <xdr:nvPicPr>
        <xdr:cNvPr id="785453" name="Picture 15">
          <a:extLst>
            <a:ext uri="{FF2B5EF4-FFF2-40B4-BE49-F238E27FC236}">
              <a16:creationId xmlns:a16="http://schemas.microsoft.com/office/drawing/2014/main" id="{00000000-0008-0000-0700-00002DFC0B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18200" y="12179300"/>
          <a:ext cx="3657600" cy="2209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88900</xdr:colOff>
      <xdr:row>5</xdr:row>
      <xdr:rowOff>127000</xdr:rowOff>
    </xdr:from>
    <xdr:to>
      <xdr:col>9</xdr:col>
      <xdr:colOff>50800</xdr:colOff>
      <xdr:row>9</xdr:row>
      <xdr:rowOff>139700</xdr:rowOff>
    </xdr:to>
    <xdr:sp macro="" textlink="">
      <xdr:nvSpPr>
        <xdr:cNvPr id="220300" name="Rechteck 5">
          <a:extLst>
            <a:ext uri="{FF2B5EF4-FFF2-40B4-BE49-F238E27FC236}">
              <a16:creationId xmlns:a16="http://schemas.microsoft.com/office/drawing/2014/main" id="{00000000-0008-0000-0700-00008C5C0300}"/>
            </a:ext>
          </a:extLst>
        </xdr:cNvPr>
        <xdr:cNvSpPr>
          <a:spLocks noChangeArrowheads="1"/>
        </xdr:cNvSpPr>
      </xdr:nvSpPr>
      <xdr:spPr bwMode="auto">
        <a:xfrm>
          <a:off x="685800" y="838200"/>
          <a:ext cx="7378700" cy="673100"/>
        </a:xfrm>
        <a:prstGeom prst="rect">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tlCol="0"/>
        <a:lstStyle/>
        <a:p>
          <a:pPr algn="ctr"/>
          <a:endParaRPr lang="de-DE"/>
        </a:p>
      </xdr:txBody>
    </xdr:sp>
    <xdr:clientData fPrintsWithSheet="0"/>
  </xdr:twoCellAnchor>
  <xdr:twoCellAnchor>
    <xdr:from>
      <xdr:col>1</xdr:col>
      <xdr:colOff>215900</xdr:colOff>
      <xdr:row>54</xdr:row>
      <xdr:rowOff>50800</xdr:rowOff>
    </xdr:from>
    <xdr:to>
      <xdr:col>10</xdr:col>
      <xdr:colOff>292100</xdr:colOff>
      <xdr:row>60</xdr:row>
      <xdr:rowOff>114300</xdr:rowOff>
    </xdr:to>
    <xdr:sp macro="" textlink="">
      <xdr:nvSpPr>
        <xdr:cNvPr id="220301" name="Rechteck 6">
          <a:extLst>
            <a:ext uri="{FF2B5EF4-FFF2-40B4-BE49-F238E27FC236}">
              <a16:creationId xmlns:a16="http://schemas.microsoft.com/office/drawing/2014/main" id="{00000000-0008-0000-0700-00008D5C0300}"/>
            </a:ext>
          </a:extLst>
        </xdr:cNvPr>
        <xdr:cNvSpPr>
          <a:spLocks noChangeArrowheads="1"/>
        </xdr:cNvSpPr>
      </xdr:nvSpPr>
      <xdr:spPr bwMode="auto">
        <a:xfrm>
          <a:off x="812800" y="7861300"/>
          <a:ext cx="8369300" cy="10033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val="000000"/>
              </a:solidFill>
              <a:round/>
              <a:headEnd/>
              <a:tailEnd/>
            </a14:hiddenLine>
          </a:ext>
        </a:extLst>
      </xdr:spPr>
      <xdr:txBody>
        <a:bodyPr rtlCol="0"/>
        <a:lstStyle/>
        <a:p>
          <a:pPr algn="ctr"/>
          <a:endParaRPr lang="de-DE"/>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15240</xdr:colOff>
          <xdr:row>56</xdr:row>
          <xdr:rowOff>91440</xdr:rowOff>
        </xdr:from>
        <xdr:to>
          <xdr:col>2</xdr:col>
          <xdr:colOff>1905000</xdr:colOff>
          <xdr:row>58</xdr:row>
          <xdr:rowOff>76200</xdr:rowOff>
        </xdr:to>
        <xdr:sp macro="" textlink="">
          <xdr:nvSpPr>
            <xdr:cNvPr id="220161" name="Drop Down 1" hidden="1">
              <a:extLst>
                <a:ext uri="{63B3BB69-23CF-44E3-9099-C40C66FF867C}">
                  <a14:compatExt spid="_x0000_s220161"/>
                </a:ext>
                <a:ext uri="{FF2B5EF4-FFF2-40B4-BE49-F238E27FC236}">
                  <a16:creationId xmlns:a16="http://schemas.microsoft.com/office/drawing/2014/main" id="{00000000-0008-0000-0700-0000015C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99060</xdr:rowOff>
        </xdr:from>
        <xdr:to>
          <xdr:col>2</xdr:col>
          <xdr:colOff>1889760</xdr:colOff>
          <xdr:row>7</xdr:row>
          <xdr:rowOff>91440</xdr:rowOff>
        </xdr:to>
        <xdr:sp macro="" textlink="">
          <xdr:nvSpPr>
            <xdr:cNvPr id="220162" name="Drop Down 2" hidden="1">
              <a:extLst>
                <a:ext uri="{63B3BB69-23CF-44E3-9099-C40C66FF867C}">
                  <a14:compatExt spid="_x0000_s220162"/>
                </a:ext>
                <a:ext uri="{FF2B5EF4-FFF2-40B4-BE49-F238E27FC236}">
                  <a16:creationId xmlns:a16="http://schemas.microsoft.com/office/drawing/2014/main" id="{00000000-0008-0000-0700-0000025C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4</xdr:col>
      <xdr:colOff>0</xdr:colOff>
      <xdr:row>12</xdr:row>
      <xdr:rowOff>0</xdr:rowOff>
    </xdr:from>
    <xdr:to>
      <xdr:col>4</xdr:col>
      <xdr:colOff>0</xdr:colOff>
      <xdr:row>15</xdr:row>
      <xdr:rowOff>114300</xdr:rowOff>
    </xdr:to>
    <xdr:sp macro="" textlink="">
      <xdr:nvSpPr>
        <xdr:cNvPr id="793537" name="Line 10">
          <a:extLst>
            <a:ext uri="{FF2B5EF4-FFF2-40B4-BE49-F238E27FC236}">
              <a16:creationId xmlns:a16="http://schemas.microsoft.com/office/drawing/2014/main" id="{00000000-0008-0000-0800-0000C11B0C00}"/>
            </a:ext>
          </a:extLst>
        </xdr:cNvPr>
        <xdr:cNvSpPr>
          <a:spLocks noChangeShapeType="1"/>
        </xdr:cNvSpPr>
      </xdr:nvSpPr>
      <xdr:spPr bwMode="auto">
        <a:xfrm flipV="1">
          <a:off x="825500" y="1866900"/>
          <a:ext cx="0" cy="584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0</xdr:colOff>
      <xdr:row>12</xdr:row>
      <xdr:rowOff>0</xdr:rowOff>
    </xdr:from>
    <xdr:to>
      <xdr:col>12</xdr:col>
      <xdr:colOff>0</xdr:colOff>
      <xdr:row>15</xdr:row>
      <xdr:rowOff>114300</xdr:rowOff>
    </xdr:to>
    <xdr:sp macro="" textlink="">
      <xdr:nvSpPr>
        <xdr:cNvPr id="793538" name="Line 11">
          <a:extLst>
            <a:ext uri="{FF2B5EF4-FFF2-40B4-BE49-F238E27FC236}">
              <a16:creationId xmlns:a16="http://schemas.microsoft.com/office/drawing/2014/main" id="{00000000-0008-0000-0800-0000C21B0C00}"/>
            </a:ext>
          </a:extLst>
        </xdr:cNvPr>
        <xdr:cNvSpPr>
          <a:spLocks noChangeShapeType="1"/>
        </xdr:cNvSpPr>
      </xdr:nvSpPr>
      <xdr:spPr bwMode="auto">
        <a:xfrm flipV="1">
          <a:off x="2349500" y="1866900"/>
          <a:ext cx="0" cy="584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393700</xdr:colOff>
      <xdr:row>12</xdr:row>
      <xdr:rowOff>63500</xdr:rowOff>
    </xdr:from>
    <xdr:to>
      <xdr:col>12</xdr:col>
      <xdr:colOff>76200</xdr:colOff>
      <xdr:row>12</xdr:row>
      <xdr:rowOff>63500</xdr:rowOff>
    </xdr:to>
    <xdr:sp macro="" textlink="">
      <xdr:nvSpPr>
        <xdr:cNvPr id="793539" name="Line 12">
          <a:extLst>
            <a:ext uri="{FF2B5EF4-FFF2-40B4-BE49-F238E27FC236}">
              <a16:creationId xmlns:a16="http://schemas.microsoft.com/office/drawing/2014/main" id="{00000000-0008-0000-0800-0000C31B0C00}"/>
            </a:ext>
          </a:extLst>
        </xdr:cNvPr>
        <xdr:cNvSpPr>
          <a:spLocks noChangeShapeType="1"/>
        </xdr:cNvSpPr>
      </xdr:nvSpPr>
      <xdr:spPr bwMode="auto">
        <a:xfrm>
          <a:off x="774700" y="1930400"/>
          <a:ext cx="16510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431800</xdr:colOff>
      <xdr:row>12</xdr:row>
      <xdr:rowOff>38100</xdr:rowOff>
    </xdr:from>
    <xdr:to>
      <xdr:col>4</xdr:col>
      <xdr:colOff>25400</xdr:colOff>
      <xdr:row>12</xdr:row>
      <xdr:rowOff>88900</xdr:rowOff>
    </xdr:to>
    <xdr:sp macro="" textlink="">
      <xdr:nvSpPr>
        <xdr:cNvPr id="793540" name="Line 13">
          <a:extLst>
            <a:ext uri="{FF2B5EF4-FFF2-40B4-BE49-F238E27FC236}">
              <a16:creationId xmlns:a16="http://schemas.microsoft.com/office/drawing/2014/main" id="{00000000-0008-0000-0800-0000C41B0C00}"/>
            </a:ext>
          </a:extLst>
        </xdr:cNvPr>
        <xdr:cNvSpPr>
          <a:spLocks noChangeShapeType="1"/>
        </xdr:cNvSpPr>
      </xdr:nvSpPr>
      <xdr:spPr bwMode="auto">
        <a:xfrm flipV="1">
          <a:off x="812800" y="1905000"/>
          <a:ext cx="381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11</xdr:col>
      <xdr:colOff>12700</xdr:colOff>
      <xdr:row>12</xdr:row>
      <xdr:rowOff>38100</xdr:rowOff>
    </xdr:from>
    <xdr:to>
      <xdr:col>12</xdr:col>
      <xdr:colOff>25400</xdr:colOff>
      <xdr:row>12</xdr:row>
      <xdr:rowOff>88900</xdr:rowOff>
    </xdr:to>
    <xdr:sp macro="" textlink="">
      <xdr:nvSpPr>
        <xdr:cNvPr id="793541" name="Line 14">
          <a:extLst>
            <a:ext uri="{FF2B5EF4-FFF2-40B4-BE49-F238E27FC236}">
              <a16:creationId xmlns:a16="http://schemas.microsoft.com/office/drawing/2014/main" id="{00000000-0008-0000-0800-0000C51B0C00}"/>
            </a:ext>
          </a:extLst>
        </xdr:cNvPr>
        <xdr:cNvSpPr>
          <a:spLocks noChangeShapeType="1"/>
        </xdr:cNvSpPr>
      </xdr:nvSpPr>
      <xdr:spPr bwMode="auto">
        <a:xfrm flipV="1">
          <a:off x="2324100" y="19050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0</xdr:colOff>
      <xdr:row>14</xdr:row>
      <xdr:rowOff>76200</xdr:rowOff>
    </xdr:from>
    <xdr:to>
      <xdr:col>9</xdr:col>
      <xdr:colOff>25400</xdr:colOff>
      <xdr:row>14</xdr:row>
      <xdr:rowOff>76200</xdr:rowOff>
    </xdr:to>
    <xdr:sp macro="" textlink="">
      <xdr:nvSpPr>
        <xdr:cNvPr id="793542" name="Line 15">
          <a:extLst>
            <a:ext uri="{FF2B5EF4-FFF2-40B4-BE49-F238E27FC236}">
              <a16:creationId xmlns:a16="http://schemas.microsoft.com/office/drawing/2014/main" id="{00000000-0008-0000-0800-0000C61B0C00}"/>
            </a:ext>
          </a:extLst>
        </xdr:cNvPr>
        <xdr:cNvSpPr>
          <a:spLocks noChangeShapeType="1"/>
        </xdr:cNvSpPr>
      </xdr:nvSpPr>
      <xdr:spPr bwMode="auto">
        <a:xfrm>
          <a:off x="863600" y="2273300"/>
          <a:ext cx="7874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647700</xdr:colOff>
      <xdr:row>14</xdr:row>
      <xdr:rowOff>0</xdr:rowOff>
    </xdr:from>
    <xdr:to>
      <xdr:col>6</xdr:col>
      <xdr:colOff>647700</xdr:colOff>
      <xdr:row>15</xdr:row>
      <xdr:rowOff>114300</xdr:rowOff>
    </xdr:to>
    <xdr:sp macro="" textlink="">
      <xdr:nvSpPr>
        <xdr:cNvPr id="793543" name="Line 16">
          <a:extLst>
            <a:ext uri="{FF2B5EF4-FFF2-40B4-BE49-F238E27FC236}">
              <a16:creationId xmlns:a16="http://schemas.microsoft.com/office/drawing/2014/main" id="{00000000-0008-0000-0800-0000C71B0C00}"/>
            </a:ext>
          </a:extLst>
        </xdr:cNvPr>
        <xdr:cNvSpPr>
          <a:spLocks noChangeShapeType="1"/>
        </xdr:cNvSpPr>
      </xdr:nvSpPr>
      <xdr:spPr bwMode="auto">
        <a:xfrm flipV="1">
          <a:off x="1549400" y="2197100"/>
          <a:ext cx="0" cy="254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622300</xdr:colOff>
      <xdr:row>14</xdr:row>
      <xdr:rowOff>50800</xdr:rowOff>
    </xdr:from>
    <xdr:to>
      <xdr:col>7</xdr:col>
      <xdr:colOff>0</xdr:colOff>
      <xdr:row>14</xdr:row>
      <xdr:rowOff>101600</xdr:rowOff>
    </xdr:to>
    <xdr:sp macro="" textlink="">
      <xdr:nvSpPr>
        <xdr:cNvPr id="793544" name="Line 18">
          <a:extLst>
            <a:ext uri="{FF2B5EF4-FFF2-40B4-BE49-F238E27FC236}">
              <a16:creationId xmlns:a16="http://schemas.microsoft.com/office/drawing/2014/main" id="{00000000-0008-0000-0800-0000C81B0C00}"/>
            </a:ext>
          </a:extLst>
        </xdr:cNvPr>
        <xdr:cNvSpPr>
          <a:spLocks noChangeShapeType="1"/>
        </xdr:cNvSpPr>
      </xdr:nvSpPr>
      <xdr:spPr bwMode="auto">
        <a:xfrm flipV="1">
          <a:off x="1524000" y="2247900"/>
          <a:ext cx="254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0</xdr:colOff>
      <xdr:row>14</xdr:row>
      <xdr:rowOff>0</xdr:rowOff>
    </xdr:from>
    <xdr:to>
      <xdr:col>6</xdr:col>
      <xdr:colOff>0</xdr:colOff>
      <xdr:row>15</xdr:row>
      <xdr:rowOff>114300</xdr:rowOff>
    </xdr:to>
    <xdr:sp macro="" textlink="">
      <xdr:nvSpPr>
        <xdr:cNvPr id="793545" name="Line 20">
          <a:extLst>
            <a:ext uri="{FF2B5EF4-FFF2-40B4-BE49-F238E27FC236}">
              <a16:creationId xmlns:a16="http://schemas.microsoft.com/office/drawing/2014/main" id="{00000000-0008-0000-0800-0000C91B0C00}"/>
            </a:ext>
          </a:extLst>
        </xdr:cNvPr>
        <xdr:cNvSpPr>
          <a:spLocks noChangeShapeType="1"/>
        </xdr:cNvSpPr>
      </xdr:nvSpPr>
      <xdr:spPr bwMode="auto">
        <a:xfrm flipV="1">
          <a:off x="901700" y="2197100"/>
          <a:ext cx="0" cy="254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12700</xdr:colOff>
      <xdr:row>14</xdr:row>
      <xdr:rowOff>50800</xdr:rowOff>
    </xdr:from>
    <xdr:to>
      <xdr:col>6</xdr:col>
      <xdr:colOff>25400</xdr:colOff>
      <xdr:row>14</xdr:row>
      <xdr:rowOff>101600</xdr:rowOff>
    </xdr:to>
    <xdr:sp macro="" textlink="">
      <xdr:nvSpPr>
        <xdr:cNvPr id="793546" name="Line 21">
          <a:extLst>
            <a:ext uri="{FF2B5EF4-FFF2-40B4-BE49-F238E27FC236}">
              <a16:creationId xmlns:a16="http://schemas.microsoft.com/office/drawing/2014/main" id="{00000000-0008-0000-0800-0000CA1B0C00}"/>
            </a:ext>
          </a:extLst>
        </xdr:cNvPr>
        <xdr:cNvSpPr>
          <a:spLocks noChangeShapeType="1"/>
        </xdr:cNvSpPr>
      </xdr:nvSpPr>
      <xdr:spPr bwMode="auto">
        <a:xfrm flipV="1">
          <a:off x="876300" y="22479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190500</xdr:colOff>
      <xdr:row>17</xdr:row>
      <xdr:rowOff>0</xdr:rowOff>
    </xdr:from>
    <xdr:to>
      <xdr:col>12</xdr:col>
      <xdr:colOff>190500</xdr:colOff>
      <xdr:row>26</xdr:row>
      <xdr:rowOff>0</xdr:rowOff>
    </xdr:to>
    <xdr:sp macro="" textlink="">
      <xdr:nvSpPr>
        <xdr:cNvPr id="793547" name="Line 22">
          <a:extLst>
            <a:ext uri="{FF2B5EF4-FFF2-40B4-BE49-F238E27FC236}">
              <a16:creationId xmlns:a16="http://schemas.microsoft.com/office/drawing/2014/main" id="{00000000-0008-0000-0800-0000CB1B0C00}"/>
            </a:ext>
          </a:extLst>
        </xdr:cNvPr>
        <xdr:cNvSpPr>
          <a:spLocks noChangeShapeType="1"/>
        </xdr:cNvSpPr>
      </xdr:nvSpPr>
      <xdr:spPr bwMode="auto">
        <a:xfrm>
          <a:off x="2540000" y="2540000"/>
          <a:ext cx="0" cy="10541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17</xdr:row>
      <xdr:rowOff>12700</xdr:rowOff>
    </xdr:from>
    <xdr:to>
      <xdr:col>12</xdr:col>
      <xdr:colOff>215900</xdr:colOff>
      <xdr:row>18</xdr:row>
      <xdr:rowOff>25400</xdr:rowOff>
    </xdr:to>
    <xdr:sp macro="" textlink="">
      <xdr:nvSpPr>
        <xdr:cNvPr id="793548" name="Line 23">
          <a:extLst>
            <a:ext uri="{FF2B5EF4-FFF2-40B4-BE49-F238E27FC236}">
              <a16:creationId xmlns:a16="http://schemas.microsoft.com/office/drawing/2014/main" id="{00000000-0008-0000-0800-0000CC1B0C00}"/>
            </a:ext>
          </a:extLst>
        </xdr:cNvPr>
        <xdr:cNvSpPr>
          <a:spLocks noChangeShapeType="1"/>
        </xdr:cNvSpPr>
      </xdr:nvSpPr>
      <xdr:spPr bwMode="auto">
        <a:xfrm flipV="1">
          <a:off x="2514600" y="25527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23</xdr:row>
      <xdr:rowOff>127000</xdr:rowOff>
    </xdr:from>
    <xdr:to>
      <xdr:col>12</xdr:col>
      <xdr:colOff>215900</xdr:colOff>
      <xdr:row>25</xdr:row>
      <xdr:rowOff>0</xdr:rowOff>
    </xdr:to>
    <xdr:sp macro="" textlink="">
      <xdr:nvSpPr>
        <xdr:cNvPr id="793549" name="Line 24">
          <a:extLst>
            <a:ext uri="{FF2B5EF4-FFF2-40B4-BE49-F238E27FC236}">
              <a16:creationId xmlns:a16="http://schemas.microsoft.com/office/drawing/2014/main" id="{00000000-0008-0000-0800-0000CD1B0C00}"/>
            </a:ext>
          </a:extLst>
        </xdr:cNvPr>
        <xdr:cNvSpPr>
          <a:spLocks noChangeShapeType="1"/>
        </xdr:cNvSpPr>
      </xdr:nvSpPr>
      <xdr:spPr bwMode="auto">
        <a:xfrm flipV="1">
          <a:off x="2514600" y="34798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16</xdr:row>
      <xdr:rowOff>0</xdr:rowOff>
    </xdr:from>
    <xdr:to>
      <xdr:col>3</xdr:col>
      <xdr:colOff>431800</xdr:colOff>
      <xdr:row>16</xdr:row>
      <xdr:rowOff>0</xdr:rowOff>
    </xdr:to>
    <xdr:sp macro="" textlink="">
      <xdr:nvSpPr>
        <xdr:cNvPr id="793550" name="Line 26">
          <a:extLst>
            <a:ext uri="{FF2B5EF4-FFF2-40B4-BE49-F238E27FC236}">
              <a16:creationId xmlns:a16="http://schemas.microsoft.com/office/drawing/2014/main" id="{00000000-0008-0000-0800-0000CE1B0C00}"/>
            </a:ext>
          </a:extLst>
        </xdr:cNvPr>
        <xdr:cNvSpPr>
          <a:spLocks noChangeShapeType="1"/>
        </xdr:cNvSpPr>
      </xdr:nvSpPr>
      <xdr:spPr bwMode="auto">
        <a:xfrm flipH="1">
          <a:off x="482600" y="2501900"/>
          <a:ext cx="3302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26</xdr:row>
      <xdr:rowOff>0</xdr:rowOff>
    </xdr:from>
    <xdr:to>
      <xdr:col>3</xdr:col>
      <xdr:colOff>431800</xdr:colOff>
      <xdr:row>26</xdr:row>
      <xdr:rowOff>0</xdr:rowOff>
    </xdr:to>
    <xdr:sp macro="" textlink="">
      <xdr:nvSpPr>
        <xdr:cNvPr id="793551" name="Line 27">
          <a:extLst>
            <a:ext uri="{FF2B5EF4-FFF2-40B4-BE49-F238E27FC236}">
              <a16:creationId xmlns:a16="http://schemas.microsoft.com/office/drawing/2014/main" id="{00000000-0008-0000-0800-0000CF1B0C00}"/>
            </a:ext>
          </a:extLst>
        </xdr:cNvPr>
        <xdr:cNvSpPr>
          <a:spLocks noChangeShapeType="1"/>
        </xdr:cNvSpPr>
      </xdr:nvSpPr>
      <xdr:spPr bwMode="auto">
        <a:xfrm flipH="1">
          <a:off x="482600" y="3594100"/>
          <a:ext cx="3302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127000</xdr:colOff>
      <xdr:row>15</xdr:row>
      <xdr:rowOff>114300</xdr:rowOff>
    </xdr:from>
    <xdr:to>
      <xdr:col>3</xdr:col>
      <xdr:colOff>127000</xdr:colOff>
      <xdr:row>26</xdr:row>
      <xdr:rowOff>0</xdr:rowOff>
    </xdr:to>
    <xdr:sp macro="" textlink="">
      <xdr:nvSpPr>
        <xdr:cNvPr id="793552" name="Line 28">
          <a:extLst>
            <a:ext uri="{FF2B5EF4-FFF2-40B4-BE49-F238E27FC236}">
              <a16:creationId xmlns:a16="http://schemas.microsoft.com/office/drawing/2014/main" id="{00000000-0008-0000-0800-0000D01B0C00}"/>
            </a:ext>
          </a:extLst>
        </xdr:cNvPr>
        <xdr:cNvSpPr>
          <a:spLocks noChangeShapeType="1"/>
        </xdr:cNvSpPr>
      </xdr:nvSpPr>
      <xdr:spPr bwMode="auto">
        <a:xfrm>
          <a:off x="508000" y="2451100"/>
          <a:ext cx="0" cy="1143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15</xdr:row>
      <xdr:rowOff>114300</xdr:rowOff>
    </xdr:from>
    <xdr:to>
      <xdr:col>3</xdr:col>
      <xdr:colOff>152400</xdr:colOff>
      <xdr:row>16</xdr:row>
      <xdr:rowOff>25400</xdr:rowOff>
    </xdr:to>
    <xdr:sp macro="" textlink="">
      <xdr:nvSpPr>
        <xdr:cNvPr id="793553" name="Line 29">
          <a:extLst>
            <a:ext uri="{FF2B5EF4-FFF2-40B4-BE49-F238E27FC236}">
              <a16:creationId xmlns:a16="http://schemas.microsoft.com/office/drawing/2014/main" id="{00000000-0008-0000-0800-0000D11B0C00}"/>
            </a:ext>
          </a:extLst>
        </xdr:cNvPr>
        <xdr:cNvSpPr>
          <a:spLocks noChangeShapeType="1"/>
        </xdr:cNvSpPr>
      </xdr:nvSpPr>
      <xdr:spPr bwMode="auto">
        <a:xfrm flipH="1" flipV="1">
          <a:off x="482600" y="24511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25</xdr:row>
      <xdr:rowOff>12700</xdr:rowOff>
    </xdr:from>
    <xdr:to>
      <xdr:col>3</xdr:col>
      <xdr:colOff>152400</xdr:colOff>
      <xdr:row>26</xdr:row>
      <xdr:rowOff>0</xdr:rowOff>
    </xdr:to>
    <xdr:sp macro="" textlink="">
      <xdr:nvSpPr>
        <xdr:cNvPr id="793554" name="Line 30">
          <a:extLst>
            <a:ext uri="{FF2B5EF4-FFF2-40B4-BE49-F238E27FC236}">
              <a16:creationId xmlns:a16="http://schemas.microsoft.com/office/drawing/2014/main" id="{00000000-0008-0000-0800-0000D21B0C00}"/>
            </a:ext>
          </a:extLst>
        </xdr:cNvPr>
        <xdr:cNvSpPr>
          <a:spLocks noChangeShapeType="1"/>
        </xdr:cNvSpPr>
      </xdr:nvSpPr>
      <xdr:spPr bwMode="auto">
        <a:xfrm flipH="1" flipV="1">
          <a:off x="482600" y="3568700"/>
          <a:ext cx="50800" cy="25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25400</xdr:colOff>
      <xdr:row>18</xdr:row>
      <xdr:rowOff>0</xdr:rowOff>
    </xdr:from>
    <xdr:to>
      <xdr:col>12</xdr:col>
      <xdr:colOff>317500</xdr:colOff>
      <xdr:row>18</xdr:row>
      <xdr:rowOff>0</xdr:rowOff>
    </xdr:to>
    <xdr:sp macro="" textlink="">
      <xdr:nvSpPr>
        <xdr:cNvPr id="793555" name="Line 31">
          <a:extLst>
            <a:ext uri="{FF2B5EF4-FFF2-40B4-BE49-F238E27FC236}">
              <a16:creationId xmlns:a16="http://schemas.microsoft.com/office/drawing/2014/main" id="{00000000-0008-0000-0800-0000D31B0C00}"/>
            </a:ext>
          </a:extLst>
        </xdr:cNvPr>
        <xdr:cNvSpPr>
          <a:spLocks noChangeShapeType="1"/>
        </xdr:cNvSpPr>
      </xdr:nvSpPr>
      <xdr:spPr bwMode="auto">
        <a:xfrm>
          <a:off x="2374900" y="2578100"/>
          <a:ext cx="2921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25400</xdr:colOff>
      <xdr:row>24</xdr:row>
      <xdr:rowOff>0</xdr:rowOff>
    </xdr:from>
    <xdr:to>
      <xdr:col>12</xdr:col>
      <xdr:colOff>317500</xdr:colOff>
      <xdr:row>24</xdr:row>
      <xdr:rowOff>0</xdr:rowOff>
    </xdr:to>
    <xdr:sp macro="" textlink="">
      <xdr:nvSpPr>
        <xdr:cNvPr id="793556" name="Line 32">
          <a:extLst>
            <a:ext uri="{FF2B5EF4-FFF2-40B4-BE49-F238E27FC236}">
              <a16:creationId xmlns:a16="http://schemas.microsoft.com/office/drawing/2014/main" id="{00000000-0008-0000-0800-0000D41B0C00}"/>
            </a:ext>
          </a:extLst>
        </xdr:cNvPr>
        <xdr:cNvSpPr>
          <a:spLocks noChangeShapeType="1"/>
        </xdr:cNvSpPr>
      </xdr:nvSpPr>
      <xdr:spPr bwMode="auto">
        <a:xfrm>
          <a:off x="2374900" y="3517900"/>
          <a:ext cx="2921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431800</xdr:colOff>
      <xdr:row>174</xdr:row>
      <xdr:rowOff>63500</xdr:rowOff>
    </xdr:from>
    <xdr:to>
      <xdr:col>12</xdr:col>
      <xdr:colOff>25400</xdr:colOff>
      <xdr:row>174</xdr:row>
      <xdr:rowOff>63500</xdr:rowOff>
    </xdr:to>
    <xdr:sp macro="" textlink="">
      <xdr:nvSpPr>
        <xdr:cNvPr id="793557" name="Line 34">
          <a:extLst>
            <a:ext uri="{FF2B5EF4-FFF2-40B4-BE49-F238E27FC236}">
              <a16:creationId xmlns:a16="http://schemas.microsoft.com/office/drawing/2014/main" id="{00000000-0008-0000-0800-0000D51B0C00}"/>
            </a:ext>
          </a:extLst>
        </xdr:cNvPr>
        <xdr:cNvSpPr>
          <a:spLocks noChangeShapeType="1"/>
        </xdr:cNvSpPr>
      </xdr:nvSpPr>
      <xdr:spPr bwMode="auto">
        <a:xfrm>
          <a:off x="812800" y="23901400"/>
          <a:ext cx="15621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4</xdr:col>
      <xdr:colOff>0</xdr:colOff>
      <xdr:row>174</xdr:row>
      <xdr:rowOff>12700</xdr:rowOff>
    </xdr:from>
    <xdr:to>
      <xdr:col>4</xdr:col>
      <xdr:colOff>0</xdr:colOff>
      <xdr:row>177</xdr:row>
      <xdr:rowOff>0</xdr:rowOff>
    </xdr:to>
    <xdr:sp macro="" textlink="">
      <xdr:nvSpPr>
        <xdr:cNvPr id="793558" name="Line 35">
          <a:extLst>
            <a:ext uri="{FF2B5EF4-FFF2-40B4-BE49-F238E27FC236}">
              <a16:creationId xmlns:a16="http://schemas.microsoft.com/office/drawing/2014/main" id="{00000000-0008-0000-0800-0000D61B0C00}"/>
            </a:ext>
          </a:extLst>
        </xdr:cNvPr>
        <xdr:cNvSpPr>
          <a:spLocks noChangeShapeType="1"/>
        </xdr:cNvSpPr>
      </xdr:nvSpPr>
      <xdr:spPr bwMode="auto">
        <a:xfrm flipV="1">
          <a:off x="825500" y="23850600"/>
          <a:ext cx="0" cy="457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0</xdr:colOff>
      <xdr:row>174</xdr:row>
      <xdr:rowOff>12700</xdr:rowOff>
    </xdr:from>
    <xdr:to>
      <xdr:col>12</xdr:col>
      <xdr:colOff>0</xdr:colOff>
      <xdr:row>177</xdr:row>
      <xdr:rowOff>0</xdr:rowOff>
    </xdr:to>
    <xdr:sp macro="" textlink="">
      <xdr:nvSpPr>
        <xdr:cNvPr id="793559" name="Line 36">
          <a:extLst>
            <a:ext uri="{FF2B5EF4-FFF2-40B4-BE49-F238E27FC236}">
              <a16:creationId xmlns:a16="http://schemas.microsoft.com/office/drawing/2014/main" id="{00000000-0008-0000-0800-0000D71B0C00}"/>
            </a:ext>
          </a:extLst>
        </xdr:cNvPr>
        <xdr:cNvSpPr>
          <a:spLocks noChangeShapeType="1"/>
        </xdr:cNvSpPr>
      </xdr:nvSpPr>
      <xdr:spPr bwMode="auto">
        <a:xfrm flipV="1">
          <a:off x="2349500" y="23850600"/>
          <a:ext cx="0" cy="457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0</xdr:colOff>
      <xdr:row>175</xdr:row>
      <xdr:rowOff>0</xdr:rowOff>
    </xdr:from>
    <xdr:to>
      <xdr:col>6</xdr:col>
      <xdr:colOff>0</xdr:colOff>
      <xdr:row>177</xdr:row>
      <xdr:rowOff>0</xdr:rowOff>
    </xdr:to>
    <xdr:sp macro="" textlink="">
      <xdr:nvSpPr>
        <xdr:cNvPr id="793560" name="Line 38">
          <a:extLst>
            <a:ext uri="{FF2B5EF4-FFF2-40B4-BE49-F238E27FC236}">
              <a16:creationId xmlns:a16="http://schemas.microsoft.com/office/drawing/2014/main" id="{00000000-0008-0000-0800-0000D81B0C00}"/>
            </a:ext>
          </a:extLst>
        </xdr:cNvPr>
        <xdr:cNvSpPr>
          <a:spLocks noChangeShapeType="1"/>
        </xdr:cNvSpPr>
      </xdr:nvSpPr>
      <xdr:spPr bwMode="auto">
        <a:xfrm flipV="1">
          <a:off x="901700" y="24003000"/>
          <a:ext cx="0" cy="304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10</xdr:col>
      <xdr:colOff>0</xdr:colOff>
      <xdr:row>175</xdr:row>
      <xdr:rowOff>0</xdr:rowOff>
    </xdr:from>
    <xdr:to>
      <xdr:col>10</xdr:col>
      <xdr:colOff>0</xdr:colOff>
      <xdr:row>177</xdr:row>
      <xdr:rowOff>0</xdr:rowOff>
    </xdr:to>
    <xdr:sp macro="" textlink="">
      <xdr:nvSpPr>
        <xdr:cNvPr id="793561" name="Line 39">
          <a:extLst>
            <a:ext uri="{FF2B5EF4-FFF2-40B4-BE49-F238E27FC236}">
              <a16:creationId xmlns:a16="http://schemas.microsoft.com/office/drawing/2014/main" id="{00000000-0008-0000-0800-0000D91B0C00}"/>
            </a:ext>
          </a:extLst>
        </xdr:cNvPr>
        <xdr:cNvSpPr>
          <a:spLocks noChangeShapeType="1"/>
        </xdr:cNvSpPr>
      </xdr:nvSpPr>
      <xdr:spPr bwMode="auto">
        <a:xfrm flipV="1">
          <a:off x="2273300" y="24003000"/>
          <a:ext cx="0" cy="304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0</xdr:colOff>
      <xdr:row>176</xdr:row>
      <xdr:rowOff>0</xdr:rowOff>
    </xdr:from>
    <xdr:to>
      <xdr:col>11</xdr:col>
      <xdr:colOff>0</xdr:colOff>
      <xdr:row>176</xdr:row>
      <xdr:rowOff>0</xdr:rowOff>
    </xdr:to>
    <xdr:sp macro="" textlink="">
      <xdr:nvSpPr>
        <xdr:cNvPr id="793562" name="Line 40">
          <a:extLst>
            <a:ext uri="{FF2B5EF4-FFF2-40B4-BE49-F238E27FC236}">
              <a16:creationId xmlns:a16="http://schemas.microsoft.com/office/drawing/2014/main" id="{00000000-0008-0000-0800-0000DA1B0C00}"/>
            </a:ext>
          </a:extLst>
        </xdr:cNvPr>
        <xdr:cNvSpPr>
          <a:spLocks noChangeShapeType="1"/>
        </xdr:cNvSpPr>
      </xdr:nvSpPr>
      <xdr:spPr bwMode="auto">
        <a:xfrm>
          <a:off x="863600" y="24168100"/>
          <a:ext cx="14478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431800</xdr:colOff>
      <xdr:row>174</xdr:row>
      <xdr:rowOff>38100</xdr:rowOff>
    </xdr:from>
    <xdr:to>
      <xdr:col>4</xdr:col>
      <xdr:colOff>25400</xdr:colOff>
      <xdr:row>174</xdr:row>
      <xdr:rowOff>88900</xdr:rowOff>
    </xdr:to>
    <xdr:sp macro="" textlink="">
      <xdr:nvSpPr>
        <xdr:cNvPr id="793563" name="Line 41">
          <a:extLst>
            <a:ext uri="{FF2B5EF4-FFF2-40B4-BE49-F238E27FC236}">
              <a16:creationId xmlns:a16="http://schemas.microsoft.com/office/drawing/2014/main" id="{00000000-0008-0000-0800-0000DB1B0C00}"/>
            </a:ext>
          </a:extLst>
        </xdr:cNvPr>
        <xdr:cNvSpPr>
          <a:spLocks noChangeShapeType="1"/>
        </xdr:cNvSpPr>
      </xdr:nvSpPr>
      <xdr:spPr bwMode="auto">
        <a:xfrm flipV="1">
          <a:off x="812800" y="23876000"/>
          <a:ext cx="381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11</xdr:col>
      <xdr:colOff>12700</xdr:colOff>
      <xdr:row>174</xdr:row>
      <xdr:rowOff>38100</xdr:rowOff>
    </xdr:from>
    <xdr:to>
      <xdr:col>12</xdr:col>
      <xdr:colOff>25400</xdr:colOff>
      <xdr:row>174</xdr:row>
      <xdr:rowOff>88900</xdr:rowOff>
    </xdr:to>
    <xdr:sp macro="" textlink="">
      <xdr:nvSpPr>
        <xdr:cNvPr id="793564" name="Line 42">
          <a:extLst>
            <a:ext uri="{FF2B5EF4-FFF2-40B4-BE49-F238E27FC236}">
              <a16:creationId xmlns:a16="http://schemas.microsoft.com/office/drawing/2014/main" id="{00000000-0008-0000-0800-0000DC1B0C00}"/>
            </a:ext>
          </a:extLst>
        </xdr:cNvPr>
        <xdr:cNvSpPr>
          <a:spLocks noChangeShapeType="1"/>
        </xdr:cNvSpPr>
      </xdr:nvSpPr>
      <xdr:spPr bwMode="auto">
        <a:xfrm flipV="1">
          <a:off x="2324100" y="238760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12700</xdr:colOff>
      <xdr:row>175</xdr:row>
      <xdr:rowOff>114300</xdr:rowOff>
    </xdr:from>
    <xdr:to>
      <xdr:col>6</xdr:col>
      <xdr:colOff>25400</xdr:colOff>
      <xdr:row>176</xdr:row>
      <xdr:rowOff>25400</xdr:rowOff>
    </xdr:to>
    <xdr:sp macro="" textlink="">
      <xdr:nvSpPr>
        <xdr:cNvPr id="793565" name="Line 43">
          <a:extLst>
            <a:ext uri="{FF2B5EF4-FFF2-40B4-BE49-F238E27FC236}">
              <a16:creationId xmlns:a16="http://schemas.microsoft.com/office/drawing/2014/main" id="{00000000-0008-0000-0800-0000DD1B0C00}"/>
            </a:ext>
          </a:extLst>
        </xdr:cNvPr>
        <xdr:cNvSpPr>
          <a:spLocks noChangeShapeType="1"/>
        </xdr:cNvSpPr>
      </xdr:nvSpPr>
      <xdr:spPr bwMode="auto">
        <a:xfrm flipV="1">
          <a:off x="876300" y="241173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9</xdr:col>
      <xdr:colOff>647700</xdr:colOff>
      <xdr:row>175</xdr:row>
      <xdr:rowOff>114300</xdr:rowOff>
    </xdr:from>
    <xdr:to>
      <xdr:col>10</xdr:col>
      <xdr:colOff>25400</xdr:colOff>
      <xdr:row>176</xdr:row>
      <xdr:rowOff>25400</xdr:rowOff>
    </xdr:to>
    <xdr:sp macro="" textlink="">
      <xdr:nvSpPr>
        <xdr:cNvPr id="793566" name="Line 44">
          <a:extLst>
            <a:ext uri="{FF2B5EF4-FFF2-40B4-BE49-F238E27FC236}">
              <a16:creationId xmlns:a16="http://schemas.microsoft.com/office/drawing/2014/main" id="{00000000-0008-0000-0800-0000DE1B0C00}"/>
            </a:ext>
          </a:extLst>
        </xdr:cNvPr>
        <xdr:cNvSpPr>
          <a:spLocks noChangeShapeType="1"/>
        </xdr:cNvSpPr>
      </xdr:nvSpPr>
      <xdr:spPr bwMode="auto">
        <a:xfrm flipV="1">
          <a:off x="2273300" y="24117300"/>
          <a:ext cx="254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76200</xdr:colOff>
      <xdr:row>188</xdr:row>
      <xdr:rowOff>0</xdr:rowOff>
    </xdr:from>
    <xdr:to>
      <xdr:col>3</xdr:col>
      <xdr:colOff>431800</xdr:colOff>
      <xdr:row>188</xdr:row>
      <xdr:rowOff>0</xdr:rowOff>
    </xdr:to>
    <xdr:sp macro="" textlink="">
      <xdr:nvSpPr>
        <xdr:cNvPr id="793567" name="Line 45">
          <a:extLst>
            <a:ext uri="{FF2B5EF4-FFF2-40B4-BE49-F238E27FC236}">
              <a16:creationId xmlns:a16="http://schemas.microsoft.com/office/drawing/2014/main" id="{00000000-0008-0000-0800-0000DF1B0C00}"/>
            </a:ext>
          </a:extLst>
        </xdr:cNvPr>
        <xdr:cNvSpPr>
          <a:spLocks noChangeShapeType="1"/>
        </xdr:cNvSpPr>
      </xdr:nvSpPr>
      <xdr:spPr bwMode="auto">
        <a:xfrm flipH="1">
          <a:off x="457200" y="25615900"/>
          <a:ext cx="3556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76200</xdr:colOff>
      <xdr:row>178</xdr:row>
      <xdr:rowOff>0</xdr:rowOff>
    </xdr:from>
    <xdr:to>
      <xdr:col>3</xdr:col>
      <xdr:colOff>419100</xdr:colOff>
      <xdr:row>178</xdr:row>
      <xdr:rowOff>0</xdr:rowOff>
    </xdr:to>
    <xdr:sp macro="" textlink="">
      <xdr:nvSpPr>
        <xdr:cNvPr id="793568" name="Line 46">
          <a:extLst>
            <a:ext uri="{FF2B5EF4-FFF2-40B4-BE49-F238E27FC236}">
              <a16:creationId xmlns:a16="http://schemas.microsoft.com/office/drawing/2014/main" id="{00000000-0008-0000-0800-0000E01B0C00}"/>
            </a:ext>
          </a:extLst>
        </xdr:cNvPr>
        <xdr:cNvSpPr>
          <a:spLocks noChangeShapeType="1"/>
        </xdr:cNvSpPr>
      </xdr:nvSpPr>
      <xdr:spPr bwMode="auto">
        <a:xfrm flipH="1">
          <a:off x="457200" y="24472900"/>
          <a:ext cx="3429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165100</xdr:colOff>
      <xdr:row>177</xdr:row>
      <xdr:rowOff>114300</xdr:rowOff>
    </xdr:from>
    <xdr:to>
      <xdr:col>3</xdr:col>
      <xdr:colOff>165100</xdr:colOff>
      <xdr:row>188</xdr:row>
      <xdr:rowOff>0</xdr:rowOff>
    </xdr:to>
    <xdr:sp macro="" textlink="">
      <xdr:nvSpPr>
        <xdr:cNvPr id="793569" name="Line 47">
          <a:extLst>
            <a:ext uri="{FF2B5EF4-FFF2-40B4-BE49-F238E27FC236}">
              <a16:creationId xmlns:a16="http://schemas.microsoft.com/office/drawing/2014/main" id="{00000000-0008-0000-0800-0000E11B0C00}"/>
            </a:ext>
          </a:extLst>
        </xdr:cNvPr>
        <xdr:cNvSpPr>
          <a:spLocks noChangeShapeType="1"/>
        </xdr:cNvSpPr>
      </xdr:nvSpPr>
      <xdr:spPr bwMode="auto">
        <a:xfrm flipV="1">
          <a:off x="546100" y="24422100"/>
          <a:ext cx="0" cy="1193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139700</xdr:colOff>
      <xdr:row>177</xdr:row>
      <xdr:rowOff>114300</xdr:rowOff>
    </xdr:from>
    <xdr:to>
      <xdr:col>3</xdr:col>
      <xdr:colOff>190500</xdr:colOff>
      <xdr:row>178</xdr:row>
      <xdr:rowOff>25400</xdr:rowOff>
    </xdr:to>
    <xdr:sp macro="" textlink="">
      <xdr:nvSpPr>
        <xdr:cNvPr id="793570" name="Line 48">
          <a:extLst>
            <a:ext uri="{FF2B5EF4-FFF2-40B4-BE49-F238E27FC236}">
              <a16:creationId xmlns:a16="http://schemas.microsoft.com/office/drawing/2014/main" id="{00000000-0008-0000-0800-0000E21B0C00}"/>
            </a:ext>
          </a:extLst>
        </xdr:cNvPr>
        <xdr:cNvSpPr>
          <a:spLocks noChangeShapeType="1"/>
        </xdr:cNvSpPr>
      </xdr:nvSpPr>
      <xdr:spPr bwMode="auto">
        <a:xfrm flipH="1" flipV="1">
          <a:off x="520700" y="244221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139700</xdr:colOff>
      <xdr:row>187</xdr:row>
      <xdr:rowOff>12700</xdr:rowOff>
    </xdr:from>
    <xdr:to>
      <xdr:col>3</xdr:col>
      <xdr:colOff>190500</xdr:colOff>
      <xdr:row>188</xdr:row>
      <xdr:rowOff>0</xdr:rowOff>
    </xdr:to>
    <xdr:sp macro="" textlink="">
      <xdr:nvSpPr>
        <xdr:cNvPr id="793571" name="Line 49">
          <a:extLst>
            <a:ext uri="{FF2B5EF4-FFF2-40B4-BE49-F238E27FC236}">
              <a16:creationId xmlns:a16="http://schemas.microsoft.com/office/drawing/2014/main" id="{00000000-0008-0000-0800-0000E31B0C00}"/>
            </a:ext>
          </a:extLst>
        </xdr:cNvPr>
        <xdr:cNvSpPr>
          <a:spLocks noChangeShapeType="1"/>
        </xdr:cNvSpPr>
      </xdr:nvSpPr>
      <xdr:spPr bwMode="auto">
        <a:xfrm flipH="1" flipV="1">
          <a:off x="520700" y="25590500"/>
          <a:ext cx="50800" cy="25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190500</xdr:colOff>
      <xdr:row>179</xdr:row>
      <xdr:rowOff>0</xdr:rowOff>
    </xdr:from>
    <xdr:to>
      <xdr:col>12</xdr:col>
      <xdr:colOff>190500</xdr:colOff>
      <xdr:row>188</xdr:row>
      <xdr:rowOff>0</xdr:rowOff>
    </xdr:to>
    <xdr:sp macro="" textlink="">
      <xdr:nvSpPr>
        <xdr:cNvPr id="793572" name="Line 50">
          <a:extLst>
            <a:ext uri="{FF2B5EF4-FFF2-40B4-BE49-F238E27FC236}">
              <a16:creationId xmlns:a16="http://schemas.microsoft.com/office/drawing/2014/main" id="{00000000-0008-0000-0800-0000E41B0C00}"/>
            </a:ext>
          </a:extLst>
        </xdr:cNvPr>
        <xdr:cNvSpPr>
          <a:spLocks noChangeShapeType="1"/>
        </xdr:cNvSpPr>
      </xdr:nvSpPr>
      <xdr:spPr bwMode="auto">
        <a:xfrm flipV="1">
          <a:off x="2540000" y="24511000"/>
          <a:ext cx="0" cy="11049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38100</xdr:colOff>
      <xdr:row>180</xdr:row>
      <xdr:rowOff>0</xdr:rowOff>
    </xdr:from>
    <xdr:to>
      <xdr:col>12</xdr:col>
      <xdr:colOff>228600</xdr:colOff>
      <xdr:row>180</xdr:row>
      <xdr:rowOff>0</xdr:rowOff>
    </xdr:to>
    <xdr:sp macro="" textlink="">
      <xdr:nvSpPr>
        <xdr:cNvPr id="793573" name="Line 51">
          <a:extLst>
            <a:ext uri="{FF2B5EF4-FFF2-40B4-BE49-F238E27FC236}">
              <a16:creationId xmlns:a16="http://schemas.microsoft.com/office/drawing/2014/main" id="{00000000-0008-0000-0800-0000E51B0C00}"/>
            </a:ext>
          </a:extLst>
        </xdr:cNvPr>
        <xdr:cNvSpPr>
          <a:spLocks noChangeShapeType="1"/>
        </xdr:cNvSpPr>
      </xdr:nvSpPr>
      <xdr:spPr bwMode="auto">
        <a:xfrm>
          <a:off x="2387600" y="24549100"/>
          <a:ext cx="1905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38100</xdr:colOff>
      <xdr:row>187</xdr:row>
      <xdr:rowOff>0</xdr:rowOff>
    </xdr:from>
    <xdr:to>
      <xdr:col>12</xdr:col>
      <xdr:colOff>228600</xdr:colOff>
      <xdr:row>187</xdr:row>
      <xdr:rowOff>0</xdr:rowOff>
    </xdr:to>
    <xdr:sp macro="" textlink="">
      <xdr:nvSpPr>
        <xdr:cNvPr id="793574" name="Line 52">
          <a:extLst>
            <a:ext uri="{FF2B5EF4-FFF2-40B4-BE49-F238E27FC236}">
              <a16:creationId xmlns:a16="http://schemas.microsoft.com/office/drawing/2014/main" id="{00000000-0008-0000-0800-0000E61B0C00}"/>
            </a:ext>
          </a:extLst>
        </xdr:cNvPr>
        <xdr:cNvSpPr>
          <a:spLocks noChangeShapeType="1"/>
        </xdr:cNvSpPr>
      </xdr:nvSpPr>
      <xdr:spPr bwMode="auto">
        <a:xfrm>
          <a:off x="2387600" y="25577800"/>
          <a:ext cx="1905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179</xdr:row>
      <xdr:rowOff>12700</xdr:rowOff>
    </xdr:from>
    <xdr:to>
      <xdr:col>12</xdr:col>
      <xdr:colOff>215900</xdr:colOff>
      <xdr:row>180</xdr:row>
      <xdr:rowOff>25400</xdr:rowOff>
    </xdr:to>
    <xdr:sp macro="" textlink="">
      <xdr:nvSpPr>
        <xdr:cNvPr id="793575" name="Line 53">
          <a:extLst>
            <a:ext uri="{FF2B5EF4-FFF2-40B4-BE49-F238E27FC236}">
              <a16:creationId xmlns:a16="http://schemas.microsoft.com/office/drawing/2014/main" id="{00000000-0008-0000-0800-0000E71B0C00}"/>
            </a:ext>
          </a:extLst>
        </xdr:cNvPr>
        <xdr:cNvSpPr>
          <a:spLocks noChangeShapeType="1"/>
        </xdr:cNvSpPr>
      </xdr:nvSpPr>
      <xdr:spPr bwMode="auto">
        <a:xfrm flipV="1">
          <a:off x="2514600" y="245237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186</xdr:row>
      <xdr:rowOff>38100</xdr:rowOff>
    </xdr:from>
    <xdr:to>
      <xdr:col>12</xdr:col>
      <xdr:colOff>215900</xdr:colOff>
      <xdr:row>187</xdr:row>
      <xdr:rowOff>25400</xdr:rowOff>
    </xdr:to>
    <xdr:sp macro="" textlink="">
      <xdr:nvSpPr>
        <xdr:cNvPr id="793576" name="Line 54">
          <a:extLst>
            <a:ext uri="{FF2B5EF4-FFF2-40B4-BE49-F238E27FC236}">
              <a16:creationId xmlns:a16="http://schemas.microsoft.com/office/drawing/2014/main" id="{00000000-0008-0000-0800-0000E81B0C00}"/>
            </a:ext>
          </a:extLst>
        </xdr:cNvPr>
        <xdr:cNvSpPr>
          <a:spLocks noChangeShapeType="1"/>
        </xdr:cNvSpPr>
      </xdr:nvSpPr>
      <xdr:spPr bwMode="auto">
        <a:xfrm flipV="1">
          <a:off x="2514600" y="255524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4</xdr:col>
      <xdr:colOff>0</xdr:colOff>
      <xdr:row>35</xdr:row>
      <xdr:rowOff>0</xdr:rowOff>
    </xdr:from>
    <xdr:to>
      <xdr:col>4</xdr:col>
      <xdr:colOff>0</xdr:colOff>
      <xdr:row>38</xdr:row>
      <xdr:rowOff>114300</xdr:rowOff>
    </xdr:to>
    <xdr:sp macro="" textlink="">
      <xdr:nvSpPr>
        <xdr:cNvPr id="793577" name="Line 55">
          <a:extLst>
            <a:ext uri="{FF2B5EF4-FFF2-40B4-BE49-F238E27FC236}">
              <a16:creationId xmlns:a16="http://schemas.microsoft.com/office/drawing/2014/main" id="{00000000-0008-0000-0800-0000E91B0C00}"/>
            </a:ext>
          </a:extLst>
        </xdr:cNvPr>
        <xdr:cNvSpPr>
          <a:spLocks noChangeShapeType="1"/>
        </xdr:cNvSpPr>
      </xdr:nvSpPr>
      <xdr:spPr bwMode="auto">
        <a:xfrm flipV="1">
          <a:off x="825500" y="4851400"/>
          <a:ext cx="0" cy="584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0</xdr:colOff>
      <xdr:row>35</xdr:row>
      <xdr:rowOff>0</xdr:rowOff>
    </xdr:from>
    <xdr:to>
      <xdr:col>12</xdr:col>
      <xdr:colOff>0</xdr:colOff>
      <xdr:row>38</xdr:row>
      <xdr:rowOff>114300</xdr:rowOff>
    </xdr:to>
    <xdr:sp macro="" textlink="">
      <xdr:nvSpPr>
        <xdr:cNvPr id="793578" name="Line 56">
          <a:extLst>
            <a:ext uri="{FF2B5EF4-FFF2-40B4-BE49-F238E27FC236}">
              <a16:creationId xmlns:a16="http://schemas.microsoft.com/office/drawing/2014/main" id="{00000000-0008-0000-0800-0000EA1B0C00}"/>
            </a:ext>
          </a:extLst>
        </xdr:cNvPr>
        <xdr:cNvSpPr>
          <a:spLocks noChangeShapeType="1"/>
        </xdr:cNvSpPr>
      </xdr:nvSpPr>
      <xdr:spPr bwMode="auto">
        <a:xfrm flipV="1">
          <a:off x="2349500" y="4851400"/>
          <a:ext cx="0" cy="584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393700</xdr:colOff>
      <xdr:row>35</xdr:row>
      <xdr:rowOff>63500</xdr:rowOff>
    </xdr:from>
    <xdr:to>
      <xdr:col>12</xdr:col>
      <xdr:colOff>76200</xdr:colOff>
      <xdr:row>35</xdr:row>
      <xdr:rowOff>63500</xdr:rowOff>
    </xdr:to>
    <xdr:sp macro="" textlink="">
      <xdr:nvSpPr>
        <xdr:cNvPr id="793579" name="Line 57">
          <a:extLst>
            <a:ext uri="{FF2B5EF4-FFF2-40B4-BE49-F238E27FC236}">
              <a16:creationId xmlns:a16="http://schemas.microsoft.com/office/drawing/2014/main" id="{00000000-0008-0000-0800-0000EB1B0C00}"/>
            </a:ext>
          </a:extLst>
        </xdr:cNvPr>
        <xdr:cNvSpPr>
          <a:spLocks noChangeShapeType="1"/>
        </xdr:cNvSpPr>
      </xdr:nvSpPr>
      <xdr:spPr bwMode="auto">
        <a:xfrm>
          <a:off x="774700" y="4914900"/>
          <a:ext cx="16510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431800</xdr:colOff>
      <xdr:row>35</xdr:row>
      <xdr:rowOff>38100</xdr:rowOff>
    </xdr:from>
    <xdr:to>
      <xdr:col>4</xdr:col>
      <xdr:colOff>25400</xdr:colOff>
      <xdr:row>35</xdr:row>
      <xdr:rowOff>88900</xdr:rowOff>
    </xdr:to>
    <xdr:sp macro="" textlink="">
      <xdr:nvSpPr>
        <xdr:cNvPr id="793580" name="Line 58">
          <a:extLst>
            <a:ext uri="{FF2B5EF4-FFF2-40B4-BE49-F238E27FC236}">
              <a16:creationId xmlns:a16="http://schemas.microsoft.com/office/drawing/2014/main" id="{00000000-0008-0000-0800-0000EC1B0C00}"/>
            </a:ext>
          </a:extLst>
        </xdr:cNvPr>
        <xdr:cNvSpPr>
          <a:spLocks noChangeShapeType="1"/>
        </xdr:cNvSpPr>
      </xdr:nvSpPr>
      <xdr:spPr bwMode="auto">
        <a:xfrm flipV="1">
          <a:off x="812800" y="4889500"/>
          <a:ext cx="381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11</xdr:col>
      <xdr:colOff>12700</xdr:colOff>
      <xdr:row>35</xdr:row>
      <xdr:rowOff>38100</xdr:rowOff>
    </xdr:from>
    <xdr:to>
      <xdr:col>12</xdr:col>
      <xdr:colOff>25400</xdr:colOff>
      <xdr:row>35</xdr:row>
      <xdr:rowOff>88900</xdr:rowOff>
    </xdr:to>
    <xdr:sp macro="" textlink="">
      <xdr:nvSpPr>
        <xdr:cNvPr id="793581" name="Line 59">
          <a:extLst>
            <a:ext uri="{FF2B5EF4-FFF2-40B4-BE49-F238E27FC236}">
              <a16:creationId xmlns:a16="http://schemas.microsoft.com/office/drawing/2014/main" id="{00000000-0008-0000-0800-0000ED1B0C00}"/>
            </a:ext>
          </a:extLst>
        </xdr:cNvPr>
        <xdr:cNvSpPr>
          <a:spLocks noChangeShapeType="1"/>
        </xdr:cNvSpPr>
      </xdr:nvSpPr>
      <xdr:spPr bwMode="auto">
        <a:xfrm flipV="1">
          <a:off x="2324100" y="48895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0</xdr:colOff>
      <xdr:row>37</xdr:row>
      <xdr:rowOff>76200</xdr:rowOff>
    </xdr:from>
    <xdr:to>
      <xdr:col>9</xdr:col>
      <xdr:colOff>25400</xdr:colOff>
      <xdr:row>37</xdr:row>
      <xdr:rowOff>76200</xdr:rowOff>
    </xdr:to>
    <xdr:sp macro="" textlink="">
      <xdr:nvSpPr>
        <xdr:cNvPr id="793582" name="Line 60">
          <a:extLst>
            <a:ext uri="{FF2B5EF4-FFF2-40B4-BE49-F238E27FC236}">
              <a16:creationId xmlns:a16="http://schemas.microsoft.com/office/drawing/2014/main" id="{00000000-0008-0000-0800-0000EE1B0C00}"/>
            </a:ext>
          </a:extLst>
        </xdr:cNvPr>
        <xdr:cNvSpPr>
          <a:spLocks noChangeShapeType="1"/>
        </xdr:cNvSpPr>
      </xdr:nvSpPr>
      <xdr:spPr bwMode="auto">
        <a:xfrm>
          <a:off x="863600" y="5257800"/>
          <a:ext cx="7874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647700</xdr:colOff>
      <xdr:row>37</xdr:row>
      <xdr:rowOff>0</xdr:rowOff>
    </xdr:from>
    <xdr:to>
      <xdr:col>6</xdr:col>
      <xdr:colOff>647700</xdr:colOff>
      <xdr:row>38</xdr:row>
      <xdr:rowOff>114300</xdr:rowOff>
    </xdr:to>
    <xdr:sp macro="" textlink="">
      <xdr:nvSpPr>
        <xdr:cNvPr id="793583" name="Line 61">
          <a:extLst>
            <a:ext uri="{FF2B5EF4-FFF2-40B4-BE49-F238E27FC236}">
              <a16:creationId xmlns:a16="http://schemas.microsoft.com/office/drawing/2014/main" id="{00000000-0008-0000-0800-0000EF1B0C00}"/>
            </a:ext>
          </a:extLst>
        </xdr:cNvPr>
        <xdr:cNvSpPr>
          <a:spLocks noChangeShapeType="1"/>
        </xdr:cNvSpPr>
      </xdr:nvSpPr>
      <xdr:spPr bwMode="auto">
        <a:xfrm flipV="1">
          <a:off x="1549400" y="5181600"/>
          <a:ext cx="0" cy="254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622300</xdr:colOff>
      <xdr:row>37</xdr:row>
      <xdr:rowOff>50800</xdr:rowOff>
    </xdr:from>
    <xdr:to>
      <xdr:col>7</xdr:col>
      <xdr:colOff>0</xdr:colOff>
      <xdr:row>37</xdr:row>
      <xdr:rowOff>101600</xdr:rowOff>
    </xdr:to>
    <xdr:sp macro="" textlink="">
      <xdr:nvSpPr>
        <xdr:cNvPr id="793584" name="Line 62">
          <a:extLst>
            <a:ext uri="{FF2B5EF4-FFF2-40B4-BE49-F238E27FC236}">
              <a16:creationId xmlns:a16="http://schemas.microsoft.com/office/drawing/2014/main" id="{00000000-0008-0000-0800-0000F01B0C00}"/>
            </a:ext>
          </a:extLst>
        </xdr:cNvPr>
        <xdr:cNvSpPr>
          <a:spLocks noChangeShapeType="1"/>
        </xdr:cNvSpPr>
      </xdr:nvSpPr>
      <xdr:spPr bwMode="auto">
        <a:xfrm flipV="1">
          <a:off x="1524000" y="5232400"/>
          <a:ext cx="254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0</xdr:colOff>
      <xdr:row>37</xdr:row>
      <xdr:rowOff>0</xdr:rowOff>
    </xdr:from>
    <xdr:to>
      <xdr:col>6</xdr:col>
      <xdr:colOff>0</xdr:colOff>
      <xdr:row>38</xdr:row>
      <xdr:rowOff>114300</xdr:rowOff>
    </xdr:to>
    <xdr:sp macro="" textlink="">
      <xdr:nvSpPr>
        <xdr:cNvPr id="793585" name="Line 63">
          <a:extLst>
            <a:ext uri="{FF2B5EF4-FFF2-40B4-BE49-F238E27FC236}">
              <a16:creationId xmlns:a16="http://schemas.microsoft.com/office/drawing/2014/main" id="{00000000-0008-0000-0800-0000F11B0C00}"/>
            </a:ext>
          </a:extLst>
        </xdr:cNvPr>
        <xdr:cNvSpPr>
          <a:spLocks noChangeShapeType="1"/>
        </xdr:cNvSpPr>
      </xdr:nvSpPr>
      <xdr:spPr bwMode="auto">
        <a:xfrm flipV="1">
          <a:off x="901700" y="5181600"/>
          <a:ext cx="0" cy="254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12700</xdr:colOff>
      <xdr:row>37</xdr:row>
      <xdr:rowOff>50800</xdr:rowOff>
    </xdr:from>
    <xdr:to>
      <xdr:col>6</xdr:col>
      <xdr:colOff>25400</xdr:colOff>
      <xdr:row>37</xdr:row>
      <xdr:rowOff>101600</xdr:rowOff>
    </xdr:to>
    <xdr:sp macro="" textlink="">
      <xdr:nvSpPr>
        <xdr:cNvPr id="793586" name="Line 64">
          <a:extLst>
            <a:ext uri="{FF2B5EF4-FFF2-40B4-BE49-F238E27FC236}">
              <a16:creationId xmlns:a16="http://schemas.microsoft.com/office/drawing/2014/main" id="{00000000-0008-0000-0800-0000F21B0C00}"/>
            </a:ext>
          </a:extLst>
        </xdr:cNvPr>
        <xdr:cNvSpPr>
          <a:spLocks noChangeShapeType="1"/>
        </xdr:cNvSpPr>
      </xdr:nvSpPr>
      <xdr:spPr bwMode="auto">
        <a:xfrm flipV="1">
          <a:off x="876300" y="52324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190500</xdr:colOff>
      <xdr:row>40</xdr:row>
      <xdr:rowOff>0</xdr:rowOff>
    </xdr:from>
    <xdr:to>
      <xdr:col>12</xdr:col>
      <xdr:colOff>190500</xdr:colOff>
      <xdr:row>49</xdr:row>
      <xdr:rowOff>0</xdr:rowOff>
    </xdr:to>
    <xdr:sp macro="" textlink="">
      <xdr:nvSpPr>
        <xdr:cNvPr id="793587" name="Line 65">
          <a:extLst>
            <a:ext uri="{FF2B5EF4-FFF2-40B4-BE49-F238E27FC236}">
              <a16:creationId xmlns:a16="http://schemas.microsoft.com/office/drawing/2014/main" id="{00000000-0008-0000-0800-0000F31B0C00}"/>
            </a:ext>
          </a:extLst>
        </xdr:cNvPr>
        <xdr:cNvSpPr>
          <a:spLocks noChangeShapeType="1"/>
        </xdr:cNvSpPr>
      </xdr:nvSpPr>
      <xdr:spPr bwMode="auto">
        <a:xfrm>
          <a:off x="2540000" y="5524500"/>
          <a:ext cx="0" cy="10541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40</xdr:row>
      <xdr:rowOff>12700</xdr:rowOff>
    </xdr:from>
    <xdr:to>
      <xdr:col>12</xdr:col>
      <xdr:colOff>215900</xdr:colOff>
      <xdr:row>41</xdr:row>
      <xdr:rowOff>25400</xdr:rowOff>
    </xdr:to>
    <xdr:sp macro="" textlink="">
      <xdr:nvSpPr>
        <xdr:cNvPr id="793588" name="Line 66">
          <a:extLst>
            <a:ext uri="{FF2B5EF4-FFF2-40B4-BE49-F238E27FC236}">
              <a16:creationId xmlns:a16="http://schemas.microsoft.com/office/drawing/2014/main" id="{00000000-0008-0000-0800-0000F41B0C00}"/>
            </a:ext>
          </a:extLst>
        </xdr:cNvPr>
        <xdr:cNvSpPr>
          <a:spLocks noChangeShapeType="1"/>
        </xdr:cNvSpPr>
      </xdr:nvSpPr>
      <xdr:spPr bwMode="auto">
        <a:xfrm flipV="1">
          <a:off x="2514600" y="55372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46</xdr:row>
      <xdr:rowOff>127000</xdr:rowOff>
    </xdr:from>
    <xdr:to>
      <xdr:col>12</xdr:col>
      <xdr:colOff>215900</xdr:colOff>
      <xdr:row>48</xdr:row>
      <xdr:rowOff>0</xdr:rowOff>
    </xdr:to>
    <xdr:sp macro="" textlink="">
      <xdr:nvSpPr>
        <xdr:cNvPr id="793589" name="Line 67">
          <a:extLst>
            <a:ext uri="{FF2B5EF4-FFF2-40B4-BE49-F238E27FC236}">
              <a16:creationId xmlns:a16="http://schemas.microsoft.com/office/drawing/2014/main" id="{00000000-0008-0000-0800-0000F51B0C00}"/>
            </a:ext>
          </a:extLst>
        </xdr:cNvPr>
        <xdr:cNvSpPr>
          <a:spLocks noChangeShapeType="1"/>
        </xdr:cNvSpPr>
      </xdr:nvSpPr>
      <xdr:spPr bwMode="auto">
        <a:xfrm flipV="1">
          <a:off x="2514600" y="64643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39</xdr:row>
      <xdr:rowOff>0</xdr:rowOff>
    </xdr:from>
    <xdr:to>
      <xdr:col>3</xdr:col>
      <xdr:colOff>431800</xdr:colOff>
      <xdr:row>39</xdr:row>
      <xdr:rowOff>0</xdr:rowOff>
    </xdr:to>
    <xdr:sp macro="" textlink="">
      <xdr:nvSpPr>
        <xdr:cNvPr id="793590" name="Line 68">
          <a:extLst>
            <a:ext uri="{FF2B5EF4-FFF2-40B4-BE49-F238E27FC236}">
              <a16:creationId xmlns:a16="http://schemas.microsoft.com/office/drawing/2014/main" id="{00000000-0008-0000-0800-0000F61B0C00}"/>
            </a:ext>
          </a:extLst>
        </xdr:cNvPr>
        <xdr:cNvSpPr>
          <a:spLocks noChangeShapeType="1"/>
        </xdr:cNvSpPr>
      </xdr:nvSpPr>
      <xdr:spPr bwMode="auto">
        <a:xfrm flipH="1">
          <a:off x="482600" y="5486400"/>
          <a:ext cx="3302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49</xdr:row>
      <xdr:rowOff>0</xdr:rowOff>
    </xdr:from>
    <xdr:to>
      <xdr:col>3</xdr:col>
      <xdr:colOff>431800</xdr:colOff>
      <xdr:row>49</xdr:row>
      <xdr:rowOff>0</xdr:rowOff>
    </xdr:to>
    <xdr:sp macro="" textlink="">
      <xdr:nvSpPr>
        <xdr:cNvPr id="793591" name="Line 69">
          <a:extLst>
            <a:ext uri="{FF2B5EF4-FFF2-40B4-BE49-F238E27FC236}">
              <a16:creationId xmlns:a16="http://schemas.microsoft.com/office/drawing/2014/main" id="{00000000-0008-0000-0800-0000F71B0C00}"/>
            </a:ext>
          </a:extLst>
        </xdr:cNvPr>
        <xdr:cNvSpPr>
          <a:spLocks noChangeShapeType="1"/>
        </xdr:cNvSpPr>
      </xdr:nvSpPr>
      <xdr:spPr bwMode="auto">
        <a:xfrm flipH="1">
          <a:off x="482600" y="6578600"/>
          <a:ext cx="3302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127000</xdr:colOff>
      <xdr:row>38</xdr:row>
      <xdr:rowOff>114300</xdr:rowOff>
    </xdr:from>
    <xdr:to>
      <xdr:col>3</xdr:col>
      <xdr:colOff>127000</xdr:colOff>
      <xdr:row>49</xdr:row>
      <xdr:rowOff>0</xdr:rowOff>
    </xdr:to>
    <xdr:sp macro="" textlink="">
      <xdr:nvSpPr>
        <xdr:cNvPr id="793592" name="Line 70">
          <a:extLst>
            <a:ext uri="{FF2B5EF4-FFF2-40B4-BE49-F238E27FC236}">
              <a16:creationId xmlns:a16="http://schemas.microsoft.com/office/drawing/2014/main" id="{00000000-0008-0000-0800-0000F81B0C00}"/>
            </a:ext>
          </a:extLst>
        </xdr:cNvPr>
        <xdr:cNvSpPr>
          <a:spLocks noChangeShapeType="1"/>
        </xdr:cNvSpPr>
      </xdr:nvSpPr>
      <xdr:spPr bwMode="auto">
        <a:xfrm>
          <a:off x="508000" y="5435600"/>
          <a:ext cx="0" cy="1143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38</xdr:row>
      <xdr:rowOff>114300</xdr:rowOff>
    </xdr:from>
    <xdr:to>
      <xdr:col>3</xdr:col>
      <xdr:colOff>152400</xdr:colOff>
      <xdr:row>39</xdr:row>
      <xdr:rowOff>25400</xdr:rowOff>
    </xdr:to>
    <xdr:sp macro="" textlink="">
      <xdr:nvSpPr>
        <xdr:cNvPr id="793593" name="Line 71">
          <a:extLst>
            <a:ext uri="{FF2B5EF4-FFF2-40B4-BE49-F238E27FC236}">
              <a16:creationId xmlns:a16="http://schemas.microsoft.com/office/drawing/2014/main" id="{00000000-0008-0000-0800-0000F91B0C00}"/>
            </a:ext>
          </a:extLst>
        </xdr:cNvPr>
        <xdr:cNvSpPr>
          <a:spLocks noChangeShapeType="1"/>
        </xdr:cNvSpPr>
      </xdr:nvSpPr>
      <xdr:spPr bwMode="auto">
        <a:xfrm flipH="1" flipV="1">
          <a:off x="482600" y="54356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48</xdr:row>
      <xdr:rowOff>12700</xdr:rowOff>
    </xdr:from>
    <xdr:to>
      <xdr:col>3</xdr:col>
      <xdr:colOff>152400</xdr:colOff>
      <xdr:row>49</xdr:row>
      <xdr:rowOff>0</xdr:rowOff>
    </xdr:to>
    <xdr:sp macro="" textlink="">
      <xdr:nvSpPr>
        <xdr:cNvPr id="793594" name="Line 72">
          <a:extLst>
            <a:ext uri="{FF2B5EF4-FFF2-40B4-BE49-F238E27FC236}">
              <a16:creationId xmlns:a16="http://schemas.microsoft.com/office/drawing/2014/main" id="{00000000-0008-0000-0800-0000FA1B0C00}"/>
            </a:ext>
          </a:extLst>
        </xdr:cNvPr>
        <xdr:cNvSpPr>
          <a:spLocks noChangeShapeType="1"/>
        </xdr:cNvSpPr>
      </xdr:nvSpPr>
      <xdr:spPr bwMode="auto">
        <a:xfrm flipH="1" flipV="1">
          <a:off x="482600" y="6553200"/>
          <a:ext cx="50800" cy="25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25400</xdr:colOff>
      <xdr:row>41</xdr:row>
      <xdr:rowOff>0</xdr:rowOff>
    </xdr:from>
    <xdr:to>
      <xdr:col>12</xdr:col>
      <xdr:colOff>317500</xdr:colOff>
      <xdr:row>41</xdr:row>
      <xdr:rowOff>0</xdr:rowOff>
    </xdr:to>
    <xdr:sp macro="" textlink="">
      <xdr:nvSpPr>
        <xdr:cNvPr id="793595" name="Line 73">
          <a:extLst>
            <a:ext uri="{FF2B5EF4-FFF2-40B4-BE49-F238E27FC236}">
              <a16:creationId xmlns:a16="http://schemas.microsoft.com/office/drawing/2014/main" id="{00000000-0008-0000-0800-0000FB1B0C00}"/>
            </a:ext>
          </a:extLst>
        </xdr:cNvPr>
        <xdr:cNvSpPr>
          <a:spLocks noChangeShapeType="1"/>
        </xdr:cNvSpPr>
      </xdr:nvSpPr>
      <xdr:spPr bwMode="auto">
        <a:xfrm>
          <a:off x="2374900" y="5562600"/>
          <a:ext cx="2921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25400</xdr:colOff>
      <xdr:row>47</xdr:row>
      <xdr:rowOff>0</xdr:rowOff>
    </xdr:from>
    <xdr:to>
      <xdr:col>12</xdr:col>
      <xdr:colOff>317500</xdr:colOff>
      <xdr:row>47</xdr:row>
      <xdr:rowOff>0</xdr:rowOff>
    </xdr:to>
    <xdr:sp macro="" textlink="">
      <xdr:nvSpPr>
        <xdr:cNvPr id="793596" name="Line 74">
          <a:extLst>
            <a:ext uri="{FF2B5EF4-FFF2-40B4-BE49-F238E27FC236}">
              <a16:creationId xmlns:a16="http://schemas.microsoft.com/office/drawing/2014/main" id="{00000000-0008-0000-0800-0000FC1B0C00}"/>
            </a:ext>
          </a:extLst>
        </xdr:cNvPr>
        <xdr:cNvSpPr>
          <a:spLocks noChangeShapeType="1"/>
        </xdr:cNvSpPr>
      </xdr:nvSpPr>
      <xdr:spPr bwMode="auto">
        <a:xfrm>
          <a:off x="2374900" y="6502400"/>
          <a:ext cx="2921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4</xdr:col>
      <xdr:colOff>0</xdr:colOff>
      <xdr:row>66</xdr:row>
      <xdr:rowOff>0</xdr:rowOff>
    </xdr:from>
    <xdr:to>
      <xdr:col>4</xdr:col>
      <xdr:colOff>0</xdr:colOff>
      <xdr:row>69</xdr:row>
      <xdr:rowOff>114300</xdr:rowOff>
    </xdr:to>
    <xdr:sp macro="" textlink="">
      <xdr:nvSpPr>
        <xdr:cNvPr id="793597" name="Line 75">
          <a:extLst>
            <a:ext uri="{FF2B5EF4-FFF2-40B4-BE49-F238E27FC236}">
              <a16:creationId xmlns:a16="http://schemas.microsoft.com/office/drawing/2014/main" id="{00000000-0008-0000-0800-0000FD1B0C00}"/>
            </a:ext>
          </a:extLst>
        </xdr:cNvPr>
        <xdr:cNvSpPr>
          <a:spLocks noChangeShapeType="1"/>
        </xdr:cNvSpPr>
      </xdr:nvSpPr>
      <xdr:spPr bwMode="auto">
        <a:xfrm flipV="1">
          <a:off x="825500" y="9080500"/>
          <a:ext cx="0" cy="584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0</xdr:colOff>
      <xdr:row>66</xdr:row>
      <xdr:rowOff>0</xdr:rowOff>
    </xdr:from>
    <xdr:to>
      <xdr:col>12</xdr:col>
      <xdr:colOff>0</xdr:colOff>
      <xdr:row>69</xdr:row>
      <xdr:rowOff>114300</xdr:rowOff>
    </xdr:to>
    <xdr:sp macro="" textlink="">
      <xdr:nvSpPr>
        <xdr:cNvPr id="793598" name="Line 76">
          <a:extLst>
            <a:ext uri="{FF2B5EF4-FFF2-40B4-BE49-F238E27FC236}">
              <a16:creationId xmlns:a16="http://schemas.microsoft.com/office/drawing/2014/main" id="{00000000-0008-0000-0800-0000FE1B0C00}"/>
            </a:ext>
          </a:extLst>
        </xdr:cNvPr>
        <xdr:cNvSpPr>
          <a:spLocks noChangeShapeType="1"/>
        </xdr:cNvSpPr>
      </xdr:nvSpPr>
      <xdr:spPr bwMode="auto">
        <a:xfrm flipV="1">
          <a:off x="2349500" y="9080500"/>
          <a:ext cx="0" cy="584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393700</xdr:colOff>
      <xdr:row>66</xdr:row>
      <xdr:rowOff>63500</xdr:rowOff>
    </xdr:from>
    <xdr:to>
      <xdr:col>12</xdr:col>
      <xdr:colOff>76200</xdr:colOff>
      <xdr:row>66</xdr:row>
      <xdr:rowOff>63500</xdr:rowOff>
    </xdr:to>
    <xdr:sp macro="" textlink="">
      <xdr:nvSpPr>
        <xdr:cNvPr id="793599" name="Line 77">
          <a:extLst>
            <a:ext uri="{FF2B5EF4-FFF2-40B4-BE49-F238E27FC236}">
              <a16:creationId xmlns:a16="http://schemas.microsoft.com/office/drawing/2014/main" id="{00000000-0008-0000-0800-0000FF1B0C00}"/>
            </a:ext>
          </a:extLst>
        </xdr:cNvPr>
        <xdr:cNvSpPr>
          <a:spLocks noChangeShapeType="1"/>
        </xdr:cNvSpPr>
      </xdr:nvSpPr>
      <xdr:spPr bwMode="auto">
        <a:xfrm>
          <a:off x="774700" y="9144000"/>
          <a:ext cx="16510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431800</xdr:colOff>
      <xdr:row>66</xdr:row>
      <xdr:rowOff>38100</xdr:rowOff>
    </xdr:from>
    <xdr:to>
      <xdr:col>4</xdr:col>
      <xdr:colOff>25400</xdr:colOff>
      <xdr:row>66</xdr:row>
      <xdr:rowOff>88900</xdr:rowOff>
    </xdr:to>
    <xdr:sp macro="" textlink="">
      <xdr:nvSpPr>
        <xdr:cNvPr id="808960" name="Line 78">
          <a:extLst>
            <a:ext uri="{FF2B5EF4-FFF2-40B4-BE49-F238E27FC236}">
              <a16:creationId xmlns:a16="http://schemas.microsoft.com/office/drawing/2014/main" id="{00000000-0008-0000-0800-000000580C00}"/>
            </a:ext>
          </a:extLst>
        </xdr:cNvPr>
        <xdr:cNvSpPr>
          <a:spLocks noChangeShapeType="1"/>
        </xdr:cNvSpPr>
      </xdr:nvSpPr>
      <xdr:spPr bwMode="auto">
        <a:xfrm flipV="1">
          <a:off x="812800" y="9118600"/>
          <a:ext cx="381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11</xdr:col>
      <xdr:colOff>12700</xdr:colOff>
      <xdr:row>66</xdr:row>
      <xdr:rowOff>38100</xdr:rowOff>
    </xdr:from>
    <xdr:to>
      <xdr:col>12</xdr:col>
      <xdr:colOff>25400</xdr:colOff>
      <xdr:row>66</xdr:row>
      <xdr:rowOff>88900</xdr:rowOff>
    </xdr:to>
    <xdr:sp macro="" textlink="">
      <xdr:nvSpPr>
        <xdr:cNvPr id="808961" name="Line 79">
          <a:extLst>
            <a:ext uri="{FF2B5EF4-FFF2-40B4-BE49-F238E27FC236}">
              <a16:creationId xmlns:a16="http://schemas.microsoft.com/office/drawing/2014/main" id="{00000000-0008-0000-0800-000001580C00}"/>
            </a:ext>
          </a:extLst>
        </xdr:cNvPr>
        <xdr:cNvSpPr>
          <a:spLocks noChangeShapeType="1"/>
        </xdr:cNvSpPr>
      </xdr:nvSpPr>
      <xdr:spPr bwMode="auto">
        <a:xfrm flipV="1">
          <a:off x="2324100" y="91186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0</xdr:colOff>
      <xdr:row>68</xdr:row>
      <xdr:rowOff>76200</xdr:rowOff>
    </xdr:from>
    <xdr:to>
      <xdr:col>9</xdr:col>
      <xdr:colOff>25400</xdr:colOff>
      <xdr:row>68</xdr:row>
      <xdr:rowOff>76200</xdr:rowOff>
    </xdr:to>
    <xdr:sp macro="" textlink="">
      <xdr:nvSpPr>
        <xdr:cNvPr id="808962" name="Line 80">
          <a:extLst>
            <a:ext uri="{FF2B5EF4-FFF2-40B4-BE49-F238E27FC236}">
              <a16:creationId xmlns:a16="http://schemas.microsoft.com/office/drawing/2014/main" id="{00000000-0008-0000-0800-000002580C00}"/>
            </a:ext>
          </a:extLst>
        </xdr:cNvPr>
        <xdr:cNvSpPr>
          <a:spLocks noChangeShapeType="1"/>
        </xdr:cNvSpPr>
      </xdr:nvSpPr>
      <xdr:spPr bwMode="auto">
        <a:xfrm>
          <a:off x="863600" y="9486900"/>
          <a:ext cx="7874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647700</xdr:colOff>
      <xdr:row>68</xdr:row>
      <xdr:rowOff>0</xdr:rowOff>
    </xdr:from>
    <xdr:to>
      <xdr:col>6</xdr:col>
      <xdr:colOff>647700</xdr:colOff>
      <xdr:row>69</xdr:row>
      <xdr:rowOff>114300</xdr:rowOff>
    </xdr:to>
    <xdr:sp macro="" textlink="">
      <xdr:nvSpPr>
        <xdr:cNvPr id="808963" name="Line 81">
          <a:extLst>
            <a:ext uri="{FF2B5EF4-FFF2-40B4-BE49-F238E27FC236}">
              <a16:creationId xmlns:a16="http://schemas.microsoft.com/office/drawing/2014/main" id="{00000000-0008-0000-0800-000003580C00}"/>
            </a:ext>
          </a:extLst>
        </xdr:cNvPr>
        <xdr:cNvSpPr>
          <a:spLocks noChangeShapeType="1"/>
        </xdr:cNvSpPr>
      </xdr:nvSpPr>
      <xdr:spPr bwMode="auto">
        <a:xfrm flipV="1">
          <a:off x="1549400" y="9410700"/>
          <a:ext cx="0" cy="254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622300</xdr:colOff>
      <xdr:row>68</xdr:row>
      <xdr:rowOff>50800</xdr:rowOff>
    </xdr:from>
    <xdr:to>
      <xdr:col>7</xdr:col>
      <xdr:colOff>0</xdr:colOff>
      <xdr:row>68</xdr:row>
      <xdr:rowOff>101600</xdr:rowOff>
    </xdr:to>
    <xdr:sp macro="" textlink="">
      <xdr:nvSpPr>
        <xdr:cNvPr id="808964" name="Line 82">
          <a:extLst>
            <a:ext uri="{FF2B5EF4-FFF2-40B4-BE49-F238E27FC236}">
              <a16:creationId xmlns:a16="http://schemas.microsoft.com/office/drawing/2014/main" id="{00000000-0008-0000-0800-000004580C00}"/>
            </a:ext>
          </a:extLst>
        </xdr:cNvPr>
        <xdr:cNvSpPr>
          <a:spLocks noChangeShapeType="1"/>
        </xdr:cNvSpPr>
      </xdr:nvSpPr>
      <xdr:spPr bwMode="auto">
        <a:xfrm flipV="1">
          <a:off x="1524000" y="9461500"/>
          <a:ext cx="254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0</xdr:colOff>
      <xdr:row>68</xdr:row>
      <xdr:rowOff>0</xdr:rowOff>
    </xdr:from>
    <xdr:to>
      <xdr:col>6</xdr:col>
      <xdr:colOff>0</xdr:colOff>
      <xdr:row>69</xdr:row>
      <xdr:rowOff>114300</xdr:rowOff>
    </xdr:to>
    <xdr:sp macro="" textlink="">
      <xdr:nvSpPr>
        <xdr:cNvPr id="808965" name="Line 83">
          <a:extLst>
            <a:ext uri="{FF2B5EF4-FFF2-40B4-BE49-F238E27FC236}">
              <a16:creationId xmlns:a16="http://schemas.microsoft.com/office/drawing/2014/main" id="{00000000-0008-0000-0800-000005580C00}"/>
            </a:ext>
          </a:extLst>
        </xdr:cNvPr>
        <xdr:cNvSpPr>
          <a:spLocks noChangeShapeType="1"/>
        </xdr:cNvSpPr>
      </xdr:nvSpPr>
      <xdr:spPr bwMode="auto">
        <a:xfrm flipV="1">
          <a:off x="901700" y="9410700"/>
          <a:ext cx="0" cy="254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12700</xdr:colOff>
      <xdr:row>68</xdr:row>
      <xdr:rowOff>50800</xdr:rowOff>
    </xdr:from>
    <xdr:to>
      <xdr:col>6</xdr:col>
      <xdr:colOff>25400</xdr:colOff>
      <xdr:row>68</xdr:row>
      <xdr:rowOff>101600</xdr:rowOff>
    </xdr:to>
    <xdr:sp macro="" textlink="">
      <xdr:nvSpPr>
        <xdr:cNvPr id="808966" name="Line 84">
          <a:extLst>
            <a:ext uri="{FF2B5EF4-FFF2-40B4-BE49-F238E27FC236}">
              <a16:creationId xmlns:a16="http://schemas.microsoft.com/office/drawing/2014/main" id="{00000000-0008-0000-0800-000006580C00}"/>
            </a:ext>
          </a:extLst>
        </xdr:cNvPr>
        <xdr:cNvSpPr>
          <a:spLocks noChangeShapeType="1"/>
        </xdr:cNvSpPr>
      </xdr:nvSpPr>
      <xdr:spPr bwMode="auto">
        <a:xfrm flipV="1">
          <a:off x="876300" y="94615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190500</xdr:colOff>
      <xdr:row>71</xdr:row>
      <xdr:rowOff>0</xdr:rowOff>
    </xdr:from>
    <xdr:to>
      <xdr:col>12</xdr:col>
      <xdr:colOff>190500</xdr:colOff>
      <xdr:row>80</xdr:row>
      <xdr:rowOff>0</xdr:rowOff>
    </xdr:to>
    <xdr:sp macro="" textlink="">
      <xdr:nvSpPr>
        <xdr:cNvPr id="808967" name="Line 85">
          <a:extLst>
            <a:ext uri="{FF2B5EF4-FFF2-40B4-BE49-F238E27FC236}">
              <a16:creationId xmlns:a16="http://schemas.microsoft.com/office/drawing/2014/main" id="{00000000-0008-0000-0800-000007580C00}"/>
            </a:ext>
          </a:extLst>
        </xdr:cNvPr>
        <xdr:cNvSpPr>
          <a:spLocks noChangeShapeType="1"/>
        </xdr:cNvSpPr>
      </xdr:nvSpPr>
      <xdr:spPr bwMode="auto">
        <a:xfrm>
          <a:off x="2540000" y="9753600"/>
          <a:ext cx="0" cy="10795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71</xdr:row>
      <xdr:rowOff>12700</xdr:rowOff>
    </xdr:from>
    <xdr:to>
      <xdr:col>12</xdr:col>
      <xdr:colOff>215900</xdr:colOff>
      <xdr:row>72</xdr:row>
      <xdr:rowOff>25400</xdr:rowOff>
    </xdr:to>
    <xdr:sp macro="" textlink="">
      <xdr:nvSpPr>
        <xdr:cNvPr id="808968" name="Line 86">
          <a:extLst>
            <a:ext uri="{FF2B5EF4-FFF2-40B4-BE49-F238E27FC236}">
              <a16:creationId xmlns:a16="http://schemas.microsoft.com/office/drawing/2014/main" id="{00000000-0008-0000-0800-000008580C00}"/>
            </a:ext>
          </a:extLst>
        </xdr:cNvPr>
        <xdr:cNvSpPr>
          <a:spLocks noChangeShapeType="1"/>
        </xdr:cNvSpPr>
      </xdr:nvSpPr>
      <xdr:spPr bwMode="auto">
        <a:xfrm flipV="1">
          <a:off x="2514600" y="97663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77</xdr:row>
      <xdr:rowOff>127000</xdr:rowOff>
    </xdr:from>
    <xdr:to>
      <xdr:col>12</xdr:col>
      <xdr:colOff>215900</xdr:colOff>
      <xdr:row>79</xdr:row>
      <xdr:rowOff>0</xdr:rowOff>
    </xdr:to>
    <xdr:sp macro="" textlink="">
      <xdr:nvSpPr>
        <xdr:cNvPr id="808969" name="Line 87">
          <a:extLst>
            <a:ext uri="{FF2B5EF4-FFF2-40B4-BE49-F238E27FC236}">
              <a16:creationId xmlns:a16="http://schemas.microsoft.com/office/drawing/2014/main" id="{00000000-0008-0000-0800-000009580C00}"/>
            </a:ext>
          </a:extLst>
        </xdr:cNvPr>
        <xdr:cNvSpPr>
          <a:spLocks noChangeShapeType="1"/>
        </xdr:cNvSpPr>
      </xdr:nvSpPr>
      <xdr:spPr bwMode="auto">
        <a:xfrm flipV="1">
          <a:off x="2514600" y="107188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70</xdr:row>
      <xdr:rowOff>0</xdr:rowOff>
    </xdr:from>
    <xdr:to>
      <xdr:col>3</xdr:col>
      <xdr:colOff>431800</xdr:colOff>
      <xdr:row>70</xdr:row>
      <xdr:rowOff>0</xdr:rowOff>
    </xdr:to>
    <xdr:sp macro="" textlink="">
      <xdr:nvSpPr>
        <xdr:cNvPr id="808970" name="Line 88">
          <a:extLst>
            <a:ext uri="{FF2B5EF4-FFF2-40B4-BE49-F238E27FC236}">
              <a16:creationId xmlns:a16="http://schemas.microsoft.com/office/drawing/2014/main" id="{00000000-0008-0000-0800-00000A580C00}"/>
            </a:ext>
          </a:extLst>
        </xdr:cNvPr>
        <xdr:cNvSpPr>
          <a:spLocks noChangeShapeType="1"/>
        </xdr:cNvSpPr>
      </xdr:nvSpPr>
      <xdr:spPr bwMode="auto">
        <a:xfrm flipH="1">
          <a:off x="482600" y="9715500"/>
          <a:ext cx="3302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80</xdr:row>
      <xdr:rowOff>0</xdr:rowOff>
    </xdr:from>
    <xdr:to>
      <xdr:col>3</xdr:col>
      <xdr:colOff>431800</xdr:colOff>
      <xdr:row>80</xdr:row>
      <xdr:rowOff>0</xdr:rowOff>
    </xdr:to>
    <xdr:sp macro="" textlink="">
      <xdr:nvSpPr>
        <xdr:cNvPr id="808971" name="Line 89">
          <a:extLst>
            <a:ext uri="{FF2B5EF4-FFF2-40B4-BE49-F238E27FC236}">
              <a16:creationId xmlns:a16="http://schemas.microsoft.com/office/drawing/2014/main" id="{00000000-0008-0000-0800-00000B580C00}"/>
            </a:ext>
          </a:extLst>
        </xdr:cNvPr>
        <xdr:cNvSpPr>
          <a:spLocks noChangeShapeType="1"/>
        </xdr:cNvSpPr>
      </xdr:nvSpPr>
      <xdr:spPr bwMode="auto">
        <a:xfrm flipH="1">
          <a:off x="482600" y="10833100"/>
          <a:ext cx="3302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127000</xdr:colOff>
      <xdr:row>69</xdr:row>
      <xdr:rowOff>114300</xdr:rowOff>
    </xdr:from>
    <xdr:to>
      <xdr:col>3</xdr:col>
      <xdr:colOff>127000</xdr:colOff>
      <xdr:row>80</xdr:row>
      <xdr:rowOff>0</xdr:rowOff>
    </xdr:to>
    <xdr:sp macro="" textlink="">
      <xdr:nvSpPr>
        <xdr:cNvPr id="808972" name="Line 90">
          <a:extLst>
            <a:ext uri="{FF2B5EF4-FFF2-40B4-BE49-F238E27FC236}">
              <a16:creationId xmlns:a16="http://schemas.microsoft.com/office/drawing/2014/main" id="{00000000-0008-0000-0800-00000C580C00}"/>
            </a:ext>
          </a:extLst>
        </xdr:cNvPr>
        <xdr:cNvSpPr>
          <a:spLocks noChangeShapeType="1"/>
        </xdr:cNvSpPr>
      </xdr:nvSpPr>
      <xdr:spPr bwMode="auto">
        <a:xfrm>
          <a:off x="508000" y="9664700"/>
          <a:ext cx="0" cy="1168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69</xdr:row>
      <xdr:rowOff>114300</xdr:rowOff>
    </xdr:from>
    <xdr:to>
      <xdr:col>3</xdr:col>
      <xdr:colOff>152400</xdr:colOff>
      <xdr:row>70</xdr:row>
      <xdr:rowOff>25400</xdr:rowOff>
    </xdr:to>
    <xdr:sp macro="" textlink="">
      <xdr:nvSpPr>
        <xdr:cNvPr id="808973" name="Line 91">
          <a:extLst>
            <a:ext uri="{FF2B5EF4-FFF2-40B4-BE49-F238E27FC236}">
              <a16:creationId xmlns:a16="http://schemas.microsoft.com/office/drawing/2014/main" id="{00000000-0008-0000-0800-00000D580C00}"/>
            </a:ext>
          </a:extLst>
        </xdr:cNvPr>
        <xdr:cNvSpPr>
          <a:spLocks noChangeShapeType="1"/>
        </xdr:cNvSpPr>
      </xdr:nvSpPr>
      <xdr:spPr bwMode="auto">
        <a:xfrm flipH="1" flipV="1">
          <a:off x="482600" y="96647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79</xdr:row>
      <xdr:rowOff>12700</xdr:rowOff>
    </xdr:from>
    <xdr:to>
      <xdr:col>3</xdr:col>
      <xdr:colOff>152400</xdr:colOff>
      <xdr:row>80</xdr:row>
      <xdr:rowOff>0</xdr:rowOff>
    </xdr:to>
    <xdr:sp macro="" textlink="">
      <xdr:nvSpPr>
        <xdr:cNvPr id="808974" name="Line 92">
          <a:extLst>
            <a:ext uri="{FF2B5EF4-FFF2-40B4-BE49-F238E27FC236}">
              <a16:creationId xmlns:a16="http://schemas.microsoft.com/office/drawing/2014/main" id="{00000000-0008-0000-0800-00000E580C00}"/>
            </a:ext>
          </a:extLst>
        </xdr:cNvPr>
        <xdr:cNvSpPr>
          <a:spLocks noChangeShapeType="1"/>
        </xdr:cNvSpPr>
      </xdr:nvSpPr>
      <xdr:spPr bwMode="auto">
        <a:xfrm flipH="1" flipV="1">
          <a:off x="482600" y="10807700"/>
          <a:ext cx="50800" cy="25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25400</xdr:colOff>
      <xdr:row>72</xdr:row>
      <xdr:rowOff>0</xdr:rowOff>
    </xdr:from>
    <xdr:to>
      <xdr:col>12</xdr:col>
      <xdr:colOff>317500</xdr:colOff>
      <xdr:row>72</xdr:row>
      <xdr:rowOff>0</xdr:rowOff>
    </xdr:to>
    <xdr:sp macro="" textlink="">
      <xdr:nvSpPr>
        <xdr:cNvPr id="808975" name="Line 93">
          <a:extLst>
            <a:ext uri="{FF2B5EF4-FFF2-40B4-BE49-F238E27FC236}">
              <a16:creationId xmlns:a16="http://schemas.microsoft.com/office/drawing/2014/main" id="{00000000-0008-0000-0800-00000F580C00}"/>
            </a:ext>
          </a:extLst>
        </xdr:cNvPr>
        <xdr:cNvSpPr>
          <a:spLocks noChangeShapeType="1"/>
        </xdr:cNvSpPr>
      </xdr:nvSpPr>
      <xdr:spPr bwMode="auto">
        <a:xfrm>
          <a:off x="2374900" y="9791700"/>
          <a:ext cx="2921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25400</xdr:colOff>
      <xdr:row>78</xdr:row>
      <xdr:rowOff>0</xdr:rowOff>
    </xdr:from>
    <xdr:to>
      <xdr:col>12</xdr:col>
      <xdr:colOff>317500</xdr:colOff>
      <xdr:row>78</xdr:row>
      <xdr:rowOff>0</xdr:rowOff>
    </xdr:to>
    <xdr:sp macro="" textlink="">
      <xdr:nvSpPr>
        <xdr:cNvPr id="808976" name="Line 94">
          <a:extLst>
            <a:ext uri="{FF2B5EF4-FFF2-40B4-BE49-F238E27FC236}">
              <a16:creationId xmlns:a16="http://schemas.microsoft.com/office/drawing/2014/main" id="{00000000-0008-0000-0800-000010580C00}"/>
            </a:ext>
          </a:extLst>
        </xdr:cNvPr>
        <xdr:cNvSpPr>
          <a:spLocks noChangeShapeType="1"/>
        </xdr:cNvSpPr>
      </xdr:nvSpPr>
      <xdr:spPr bwMode="auto">
        <a:xfrm>
          <a:off x="2374900" y="10756900"/>
          <a:ext cx="2921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4</xdr:col>
      <xdr:colOff>0</xdr:colOff>
      <xdr:row>89</xdr:row>
      <xdr:rowOff>0</xdr:rowOff>
    </xdr:from>
    <xdr:to>
      <xdr:col>4</xdr:col>
      <xdr:colOff>0</xdr:colOff>
      <xdr:row>92</xdr:row>
      <xdr:rowOff>114300</xdr:rowOff>
    </xdr:to>
    <xdr:sp macro="" textlink="">
      <xdr:nvSpPr>
        <xdr:cNvPr id="808977" name="Line 95">
          <a:extLst>
            <a:ext uri="{FF2B5EF4-FFF2-40B4-BE49-F238E27FC236}">
              <a16:creationId xmlns:a16="http://schemas.microsoft.com/office/drawing/2014/main" id="{00000000-0008-0000-0800-000011580C00}"/>
            </a:ext>
          </a:extLst>
        </xdr:cNvPr>
        <xdr:cNvSpPr>
          <a:spLocks noChangeShapeType="1"/>
        </xdr:cNvSpPr>
      </xdr:nvSpPr>
      <xdr:spPr bwMode="auto">
        <a:xfrm flipV="1">
          <a:off x="825500" y="12166600"/>
          <a:ext cx="0" cy="584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0</xdr:colOff>
      <xdr:row>89</xdr:row>
      <xdr:rowOff>0</xdr:rowOff>
    </xdr:from>
    <xdr:to>
      <xdr:col>12</xdr:col>
      <xdr:colOff>0</xdr:colOff>
      <xdr:row>92</xdr:row>
      <xdr:rowOff>114300</xdr:rowOff>
    </xdr:to>
    <xdr:sp macro="" textlink="">
      <xdr:nvSpPr>
        <xdr:cNvPr id="808978" name="Line 96">
          <a:extLst>
            <a:ext uri="{FF2B5EF4-FFF2-40B4-BE49-F238E27FC236}">
              <a16:creationId xmlns:a16="http://schemas.microsoft.com/office/drawing/2014/main" id="{00000000-0008-0000-0800-000012580C00}"/>
            </a:ext>
          </a:extLst>
        </xdr:cNvPr>
        <xdr:cNvSpPr>
          <a:spLocks noChangeShapeType="1"/>
        </xdr:cNvSpPr>
      </xdr:nvSpPr>
      <xdr:spPr bwMode="auto">
        <a:xfrm flipV="1">
          <a:off x="2349500" y="12166600"/>
          <a:ext cx="0" cy="584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393700</xdr:colOff>
      <xdr:row>89</xdr:row>
      <xdr:rowOff>63500</xdr:rowOff>
    </xdr:from>
    <xdr:to>
      <xdr:col>12</xdr:col>
      <xdr:colOff>76200</xdr:colOff>
      <xdr:row>89</xdr:row>
      <xdr:rowOff>63500</xdr:rowOff>
    </xdr:to>
    <xdr:sp macro="" textlink="">
      <xdr:nvSpPr>
        <xdr:cNvPr id="808979" name="Line 97">
          <a:extLst>
            <a:ext uri="{FF2B5EF4-FFF2-40B4-BE49-F238E27FC236}">
              <a16:creationId xmlns:a16="http://schemas.microsoft.com/office/drawing/2014/main" id="{00000000-0008-0000-0800-000013580C00}"/>
            </a:ext>
          </a:extLst>
        </xdr:cNvPr>
        <xdr:cNvSpPr>
          <a:spLocks noChangeShapeType="1"/>
        </xdr:cNvSpPr>
      </xdr:nvSpPr>
      <xdr:spPr bwMode="auto">
        <a:xfrm>
          <a:off x="774700" y="12230100"/>
          <a:ext cx="16510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431800</xdr:colOff>
      <xdr:row>89</xdr:row>
      <xdr:rowOff>38100</xdr:rowOff>
    </xdr:from>
    <xdr:to>
      <xdr:col>4</xdr:col>
      <xdr:colOff>25400</xdr:colOff>
      <xdr:row>89</xdr:row>
      <xdr:rowOff>88900</xdr:rowOff>
    </xdr:to>
    <xdr:sp macro="" textlink="">
      <xdr:nvSpPr>
        <xdr:cNvPr id="808980" name="Line 98">
          <a:extLst>
            <a:ext uri="{FF2B5EF4-FFF2-40B4-BE49-F238E27FC236}">
              <a16:creationId xmlns:a16="http://schemas.microsoft.com/office/drawing/2014/main" id="{00000000-0008-0000-0800-000014580C00}"/>
            </a:ext>
          </a:extLst>
        </xdr:cNvPr>
        <xdr:cNvSpPr>
          <a:spLocks noChangeShapeType="1"/>
        </xdr:cNvSpPr>
      </xdr:nvSpPr>
      <xdr:spPr bwMode="auto">
        <a:xfrm flipV="1">
          <a:off x="812800" y="12204700"/>
          <a:ext cx="381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11</xdr:col>
      <xdr:colOff>12700</xdr:colOff>
      <xdr:row>89</xdr:row>
      <xdr:rowOff>38100</xdr:rowOff>
    </xdr:from>
    <xdr:to>
      <xdr:col>12</xdr:col>
      <xdr:colOff>25400</xdr:colOff>
      <xdr:row>89</xdr:row>
      <xdr:rowOff>88900</xdr:rowOff>
    </xdr:to>
    <xdr:sp macro="" textlink="">
      <xdr:nvSpPr>
        <xdr:cNvPr id="808981" name="Line 99">
          <a:extLst>
            <a:ext uri="{FF2B5EF4-FFF2-40B4-BE49-F238E27FC236}">
              <a16:creationId xmlns:a16="http://schemas.microsoft.com/office/drawing/2014/main" id="{00000000-0008-0000-0800-000015580C00}"/>
            </a:ext>
          </a:extLst>
        </xdr:cNvPr>
        <xdr:cNvSpPr>
          <a:spLocks noChangeShapeType="1"/>
        </xdr:cNvSpPr>
      </xdr:nvSpPr>
      <xdr:spPr bwMode="auto">
        <a:xfrm flipV="1">
          <a:off x="2324100" y="122047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0</xdr:colOff>
      <xdr:row>91</xdr:row>
      <xdr:rowOff>76200</xdr:rowOff>
    </xdr:from>
    <xdr:to>
      <xdr:col>9</xdr:col>
      <xdr:colOff>25400</xdr:colOff>
      <xdr:row>91</xdr:row>
      <xdr:rowOff>76200</xdr:rowOff>
    </xdr:to>
    <xdr:sp macro="" textlink="">
      <xdr:nvSpPr>
        <xdr:cNvPr id="808982" name="Line 100">
          <a:extLst>
            <a:ext uri="{FF2B5EF4-FFF2-40B4-BE49-F238E27FC236}">
              <a16:creationId xmlns:a16="http://schemas.microsoft.com/office/drawing/2014/main" id="{00000000-0008-0000-0800-000016580C00}"/>
            </a:ext>
          </a:extLst>
        </xdr:cNvPr>
        <xdr:cNvSpPr>
          <a:spLocks noChangeShapeType="1"/>
        </xdr:cNvSpPr>
      </xdr:nvSpPr>
      <xdr:spPr bwMode="auto">
        <a:xfrm>
          <a:off x="863600" y="12573000"/>
          <a:ext cx="7874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647700</xdr:colOff>
      <xdr:row>91</xdr:row>
      <xdr:rowOff>0</xdr:rowOff>
    </xdr:from>
    <xdr:to>
      <xdr:col>6</xdr:col>
      <xdr:colOff>647700</xdr:colOff>
      <xdr:row>92</xdr:row>
      <xdr:rowOff>114300</xdr:rowOff>
    </xdr:to>
    <xdr:sp macro="" textlink="">
      <xdr:nvSpPr>
        <xdr:cNvPr id="808983" name="Line 101">
          <a:extLst>
            <a:ext uri="{FF2B5EF4-FFF2-40B4-BE49-F238E27FC236}">
              <a16:creationId xmlns:a16="http://schemas.microsoft.com/office/drawing/2014/main" id="{00000000-0008-0000-0800-000017580C00}"/>
            </a:ext>
          </a:extLst>
        </xdr:cNvPr>
        <xdr:cNvSpPr>
          <a:spLocks noChangeShapeType="1"/>
        </xdr:cNvSpPr>
      </xdr:nvSpPr>
      <xdr:spPr bwMode="auto">
        <a:xfrm flipV="1">
          <a:off x="1549400" y="12496800"/>
          <a:ext cx="0" cy="254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622300</xdr:colOff>
      <xdr:row>91</xdr:row>
      <xdr:rowOff>50800</xdr:rowOff>
    </xdr:from>
    <xdr:to>
      <xdr:col>7</xdr:col>
      <xdr:colOff>0</xdr:colOff>
      <xdr:row>91</xdr:row>
      <xdr:rowOff>101600</xdr:rowOff>
    </xdr:to>
    <xdr:sp macro="" textlink="">
      <xdr:nvSpPr>
        <xdr:cNvPr id="808984" name="Line 102">
          <a:extLst>
            <a:ext uri="{FF2B5EF4-FFF2-40B4-BE49-F238E27FC236}">
              <a16:creationId xmlns:a16="http://schemas.microsoft.com/office/drawing/2014/main" id="{00000000-0008-0000-0800-000018580C00}"/>
            </a:ext>
          </a:extLst>
        </xdr:cNvPr>
        <xdr:cNvSpPr>
          <a:spLocks noChangeShapeType="1"/>
        </xdr:cNvSpPr>
      </xdr:nvSpPr>
      <xdr:spPr bwMode="auto">
        <a:xfrm flipV="1">
          <a:off x="1524000" y="12547600"/>
          <a:ext cx="254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0</xdr:colOff>
      <xdr:row>91</xdr:row>
      <xdr:rowOff>0</xdr:rowOff>
    </xdr:from>
    <xdr:to>
      <xdr:col>6</xdr:col>
      <xdr:colOff>0</xdr:colOff>
      <xdr:row>92</xdr:row>
      <xdr:rowOff>114300</xdr:rowOff>
    </xdr:to>
    <xdr:sp macro="" textlink="">
      <xdr:nvSpPr>
        <xdr:cNvPr id="808985" name="Line 103">
          <a:extLst>
            <a:ext uri="{FF2B5EF4-FFF2-40B4-BE49-F238E27FC236}">
              <a16:creationId xmlns:a16="http://schemas.microsoft.com/office/drawing/2014/main" id="{00000000-0008-0000-0800-000019580C00}"/>
            </a:ext>
          </a:extLst>
        </xdr:cNvPr>
        <xdr:cNvSpPr>
          <a:spLocks noChangeShapeType="1"/>
        </xdr:cNvSpPr>
      </xdr:nvSpPr>
      <xdr:spPr bwMode="auto">
        <a:xfrm flipV="1">
          <a:off x="901700" y="12496800"/>
          <a:ext cx="0" cy="254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12700</xdr:colOff>
      <xdr:row>91</xdr:row>
      <xdr:rowOff>50800</xdr:rowOff>
    </xdr:from>
    <xdr:to>
      <xdr:col>6</xdr:col>
      <xdr:colOff>25400</xdr:colOff>
      <xdr:row>91</xdr:row>
      <xdr:rowOff>101600</xdr:rowOff>
    </xdr:to>
    <xdr:sp macro="" textlink="">
      <xdr:nvSpPr>
        <xdr:cNvPr id="808986" name="Line 104">
          <a:extLst>
            <a:ext uri="{FF2B5EF4-FFF2-40B4-BE49-F238E27FC236}">
              <a16:creationId xmlns:a16="http://schemas.microsoft.com/office/drawing/2014/main" id="{00000000-0008-0000-0800-00001A580C00}"/>
            </a:ext>
          </a:extLst>
        </xdr:cNvPr>
        <xdr:cNvSpPr>
          <a:spLocks noChangeShapeType="1"/>
        </xdr:cNvSpPr>
      </xdr:nvSpPr>
      <xdr:spPr bwMode="auto">
        <a:xfrm flipV="1">
          <a:off x="876300" y="125476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190500</xdr:colOff>
      <xdr:row>94</xdr:row>
      <xdr:rowOff>0</xdr:rowOff>
    </xdr:from>
    <xdr:to>
      <xdr:col>12</xdr:col>
      <xdr:colOff>190500</xdr:colOff>
      <xdr:row>103</xdr:row>
      <xdr:rowOff>0</xdr:rowOff>
    </xdr:to>
    <xdr:sp macro="" textlink="">
      <xdr:nvSpPr>
        <xdr:cNvPr id="808987" name="Line 105">
          <a:extLst>
            <a:ext uri="{FF2B5EF4-FFF2-40B4-BE49-F238E27FC236}">
              <a16:creationId xmlns:a16="http://schemas.microsoft.com/office/drawing/2014/main" id="{00000000-0008-0000-0800-00001B580C00}"/>
            </a:ext>
          </a:extLst>
        </xdr:cNvPr>
        <xdr:cNvSpPr>
          <a:spLocks noChangeShapeType="1"/>
        </xdr:cNvSpPr>
      </xdr:nvSpPr>
      <xdr:spPr bwMode="auto">
        <a:xfrm>
          <a:off x="2540000" y="12839700"/>
          <a:ext cx="0" cy="10795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94</xdr:row>
      <xdr:rowOff>12700</xdr:rowOff>
    </xdr:from>
    <xdr:to>
      <xdr:col>12</xdr:col>
      <xdr:colOff>215900</xdr:colOff>
      <xdr:row>95</xdr:row>
      <xdr:rowOff>25400</xdr:rowOff>
    </xdr:to>
    <xdr:sp macro="" textlink="">
      <xdr:nvSpPr>
        <xdr:cNvPr id="808988" name="Line 106">
          <a:extLst>
            <a:ext uri="{FF2B5EF4-FFF2-40B4-BE49-F238E27FC236}">
              <a16:creationId xmlns:a16="http://schemas.microsoft.com/office/drawing/2014/main" id="{00000000-0008-0000-0800-00001C580C00}"/>
            </a:ext>
          </a:extLst>
        </xdr:cNvPr>
        <xdr:cNvSpPr>
          <a:spLocks noChangeShapeType="1"/>
        </xdr:cNvSpPr>
      </xdr:nvSpPr>
      <xdr:spPr bwMode="auto">
        <a:xfrm flipV="1">
          <a:off x="2514600" y="128524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100</xdr:row>
      <xdr:rowOff>127000</xdr:rowOff>
    </xdr:from>
    <xdr:to>
      <xdr:col>12</xdr:col>
      <xdr:colOff>215900</xdr:colOff>
      <xdr:row>102</xdr:row>
      <xdr:rowOff>0</xdr:rowOff>
    </xdr:to>
    <xdr:sp macro="" textlink="">
      <xdr:nvSpPr>
        <xdr:cNvPr id="808989" name="Line 107">
          <a:extLst>
            <a:ext uri="{FF2B5EF4-FFF2-40B4-BE49-F238E27FC236}">
              <a16:creationId xmlns:a16="http://schemas.microsoft.com/office/drawing/2014/main" id="{00000000-0008-0000-0800-00001D580C00}"/>
            </a:ext>
          </a:extLst>
        </xdr:cNvPr>
        <xdr:cNvSpPr>
          <a:spLocks noChangeShapeType="1"/>
        </xdr:cNvSpPr>
      </xdr:nvSpPr>
      <xdr:spPr bwMode="auto">
        <a:xfrm flipV="1">
          <a:off x="2514600" y="138049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93</xdr:row>
      <xdr:rowOff>0</xdr:rowOff>
    </xdr:from>
    <xdr:to>
      <xdr:col>3</xdr:col>
      <xdr:colOff>431800</xdr:colOff>
      <xdr:row>93</xdr:row>
      <xdr:rowOff>0</xdr:rowOff>
    </xdr:to>
    <xdr:sp macro="" textlink="">
      <xdr:nvSpPr>
        <xdr:cNvPr id="808990" name="Line 108">
          <a:extLst>
            <a:ext uri="{FF2B5EF4-FFF2-40B4-BE49-F238E27FC236}">
              <a16:creationId xmlns:a16="http://schemas.microsoft.com/office/drawing/2014/main" id="{00000000-0008-0000-0800-00001E580C00}"/>
            </a:ext>
          </a:extLst>
        </xdr:cNvPr>
        <xdr:cNvSpPr>
          <a:spLocks noChangeShapeType="1"/>
        </xdr:cNvSpPr>
      </xdr:nvSpPr>
      <xdr:spPr bwMode="auto">
        <a:xfrm flipH="1">
          <a:off x="482600" y="12801600"/>
          <a:ext cx="3302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103</xdr:row>
      <xdr:rowOff>0</xdr:rowOff>
    </xdr:from>
    <xdr:to>
      <xdr:col>3</xdr:col>
      <xdr:colOff>431800</xdr:colOff>
      <xdr:row>103</xdr:row>
      <xdr:rowOff>0</xdr:rowOff>
    </xdr:to>
    <xdr:sp macro="" textlink="">
      <xdr:nvSpPr>
        <xdr:cNvPr id="808991" name="Line 109">
          <a:extLst>
            <a:ext uri="{FF2B5EF4-FFF2-40B4-BE49-F238E27FC236}">
              <a16:creationId xmlns:a16="http://schemas.microsoft.com/office/drawing/2014/main" id="{00000000-0008-0000-0800-00001F580C00}"/>
            </a:ext>
          </a:extLst>
        </xdr:cNvPr>
        <xdr:cNvSpPr>
          <a:spLocks noChangeShapeType="1"/>
        </xdr:cNvSpPr>
      </xdr:nvSpPr>
      <xdr:spPr bwMode="auto">
        <a:xfrm flipH="1">
          <a:off x="482600" y="13919200"/>
          <a:ext cx="3302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127000</xdr:colOff>
      <xdr:row>92</xdr:row>
      <xdr:rowOff>114300</xdr:rowOff>
    </xdr:from>
    <xdr:to>
      <xdr:col>3</xdr:col>
      <xdr:colOff>127000</xdr:colOff>
      <xdr:row>103</xdr:row>
      <xdr:rowOff>0</xdr:rowOff>
    </xdr:to>
    <xdr:sp macro="" textlink="">
      <xdr:nvSpPr>
        <xdr:cNvPr id="808992" name="Line 110">
          <a:extLst>
            <a:ext uri="{FF2B5EF4-FFF2-40B4-BE49-F238E27FC236}">
              <a16:creationId xmlns:a16="http://schemas.microsoft.com/office/drawing/2014/main" id="{00000000-0008-0000-0800-000020580C00}"/>
            </a:ext>
          </a:extLst>
        </xdr:cNvPr>
        <xdr:cNvSpPr>
          <a:spLocks noChangeShapeType="1"/>
        </xdr:cNvSpPr>
      </xdr:nvSpPr>
      <xdr:spPr bwMode="auto">
        <a:xfrm>
          <a:off x="508000" y="12750800"/>
          <a:ext cx="0" cy="1168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92</xdr:row>
      <xdr:rowOff>114300</xdr:rowOff>
    </xdr:from>
    <xdr:to>
      <xdr:col>3</xdr:col>
      <xdr:colOff>152400</xdr:colOff>
      <xdr:row>93</xdr:row>
      <xdr:rowOff>25400</xdr:rowOff>
    </xdr:to>
    <xdr:sp macro="" textlink="">
      <xdr:nvSpPr>
        <xdr:cNvPr id="808993" name="Line 111">
          <a:extLst>
            <a:ext uri="{FF2B5EF4-FFF2-40B4-BE49-F238E27FC236}">
              <a16:creationId xmlns:a16="http://schemas.microsoft.com/office/drawing/2014/main" id="{00000000-0008-0000-0800-000021580C00}"/>
            </a:ext>
          </a:extLst>
        </xdr:cNvPr>
        <xdr:cNvSpPr>
          <a:spLocks noChangeShapeType="1"/>
        </xdr:cNvSpPr>
      </xdr:nvSpPr>
      <xdr:spPr bwMode="auto">
        <a:xfrm flipH="1" flipV="1">
          <a:off x="482600" y="127508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102</xdr:row>
      <xdr:rowOff>12700</xdr:rowOff>
    </xdr:from>
    <xdr:to>
      <xdr:col>3</xdr:col>
      <xdr:colOff>152400</xdr:colOff>
      <xdr:row>103</xdr:row>
      <xdr:rowOff>0</xdr:rowOff>
    </xdr:to>
    <xdr:sp macro="" textlink="">
      <xdr:nvSpPr>
        <xdr:cNvPr id="808994" name="Line 112">
          <a:extLst>
            <a:ext uri="{FF2B5EF4-FFF2-40B4-BE49-F238E27FC236}">
              <a16:creationId xmlns:a16="http://schemas.microsoft.com/office/drawing/2014/main" id="{00000000-0008-0000-0800-000022580C00}"/>
            </a:ext>
          </a:extLst>
        </xdr:cNvPr>
        <xdr:cNvSpPr>
          <a:spLocks noChangeShapeType="1"/>
        </xdr:cNvSpPr>
      </xdr:nvSpPr>
      <xdr:spPr bwMode="auto">
        <a:xfrm flipH="1" flipV="1">
          <a:off x="482600" y="13893800"/>
          <a:ext cx="50800" cy="25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25400</xdr:colOff>
      <xdr:row>95</xdr:row>
      <xdr:rowOff>0</xdr:rowOff>
    </xdr:from>
    <xdr:to>
      <xdr:col>12</xdr:col>
      <xdr:colOff>317500</xdr:colOff>
      <xdr:row>95</xdr:row>
      <xdr:rowOff>0</xdr:rowOff>
    </xdr:to>
    <xdr:sp macro="" textlink="">
      <xdr:nvSpPr>
        <xdr:cNvPr id="808995" name="Line 113">
          <a:extLst>
            <a:ext uri="{FF2B5EF4-FFF2-40B4-BE49-F238E27FC236}">
              <a16:creationId xmlns:a16="http://schemas.microsoft.com/office/drawing/2014/main" id="{00000000-0008-0000-0800-000023580C00}"/>
            </a:ext>
          </a:extLst>
        </xdr:cNvPr>
        <xdr:cNvSpPr>
          <a:spLocks noChangeShapeType="1"/>
        </xdr:cNvSpPr>
      </xdr:nvSpPr>
      <xdr:spPr bwMode="auto">
        <a:xfrm>
          <a:off x="2374900" y="12877800"/>
          <a:ext cx="2921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25400</xdr:colOff>
      <xdr:row>101</xdr:row>
      <xdr:rowOff>0</xdr:rowOff>
    </xdr:from>
    <xdr:to>
      <xdr:col>12</xdr:col>
      <xdr:colOff>317500</xdr:colOff>
      <xdr:row>101</xdr:row>
      <xdr:rowOff>0</xdr:rowOff>
    </xdr:to>
    <xdr:sp macro="" textlink="">
      <xdr:nvSpPr>
        <xdr:cNvPr id="808996" name="Line 114">
          <a:extLst>
            <a:ext uri="{FF2B5EF4-FFF2-40B4-BE49-F238E27FC236}">
              <a16:creationId xmlns:a16="http://schemas.microsoft.com/office/drawing/2014/main" id="{00000000-0008-0000-0800-000024580C00}"/>
            </a:ext>
          </a:extLst>
        </xdr:cNvPr>
        <xdr:cNvSpPr>
          <a:spLocks noChangeShapeType="1"/>
        </xdr:cNvSpPr>
      </xdr:nvSpPr>
      <xdr:spPr bwMode="auto">
        <a:xfrm>
          <a:off x="2374900" y="13843000"/>
          <a:ext cx="2921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4</xdr:col>
      <xdr:colOff>0</xdr:colOff>
      <xdr:row>120</xdr:row>
      <xdr:rowOff>0</xdr:rowOff>
    </xdr:from>
    <xdr:to>
      <xdr:col>4</xdr:col>
      <xdr:colOff>0</xdr:colOff>
      <xdr:row>123</xdr:row>
      <xdr:rowOff>114300</xdr:rowOff>
    </xdr:to>
    <xdr:sp macro="" textlink="">
      <xdr:nvSpPr>
        <xdr:cNvPr id="808997" name="Line 115">
          <a:extLst>
            <a:ext uri="{FF2B5EF4-FFF2-40B4-BE49-F238E27FC236}">
              <a16:creationId xmlns:a16="http://schemas.microsoft.com/office/drawing/2014/main" id="{00000000-0008-0000-0800-000025580C00}"/>
            </a:ext>
          </a:extLst>
        </xdr:cNvPr>
        <xdr:cNvSpPr>
          <a:spLocks noChangeShapeType="1"/>
        </xdr:cNvSpPr>
      </xdr:nvSpPr>
      <xdr:spPr bwMode="auto">
        <a:xfrm flipV="1">
          <a:off x="825500" y="16459200"/>
          <a:ext cx="0" cy="584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0</xdr:colOff>
      <xdr:row>120</xdr:row>
      <xdr:rowOff>0</xdr:rowOff>
    </xdr:from>
    <xdr:to>
      <xdr:col>12</xdr:col>
      <xdr:colOff>0</xdr:colOff>
      <xdr:row>123</xdr:row>
      <xdr:rowOff>114300</xdr:rowOff>
    </xdr:to>
    <xdr:sp macro="" textlink="">
      <xdr:nvSpPr>
        <xdr:cNvPr id="808998" name="Line 116">
          <a:extLst>
            <a:ext uri="{FF2B5EF4-FFF2-40B4-BE49-F238E27FC236}">
              <a16:creationId xmlns:a16="http://schemas.microsoft.com/office/drawing/2014/main" id="{00000000-0008-0000-0800-000026580C00}"/>
            </a:ext>
          </a:extLst>
        </xdr:cNvPr>
        <xdr:cNvSpPr>
          <a:spLocks noChangeShapeType="1"/>
        </xdr:cNvSpPr>
      </xdr:nvSpPr>
      <xdr:spPr bwMode="auto">
        <a:xfrm flipV="1">
          <a:off x="2349500" y="16459200"/>
          <a:ext cx="0" cy="584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393700</xdr:colOff>
      <xdr:row>120</xdr:row>
      <xdr:rowOff>63500</xdr:rowOff>
    </xdr:from>
    <xdr:to>
      <xdr:col>12</xdr:col>
      <xdr:colOff>76200</xdr:colOff>
      <xdr:row>120</xdr:row>
      <xdr:rowOff>63500</xdr:rowOff>
    </xdr:to>
    <xdr:sp macro="" textlink="">
      <xdr:nvSpPr>
        <xdr:cNvPr id="808999" name="Line 117">
          <a:extLst>
            <a:ext uri="{FF2B5EF4-FFF2-40B4-BE49-F238E27FC236}">
              <a16:creationId xmlns:a16="http://schemas.microsoft.com/office/drawing/2014/main" id="{00000000-0008-0000-0800-000027580C00}"/>
            </a:ext>
          </a:extLst>
        </xdr:cNvPr>
        <xdr:cNvSpPr>
          <a:spLocks noChangeShapeType="1"/>
        </xdr:cNvSpPr>
      </xdr:nvSpPr>
      <xdr:spPr bwMode="auto">
        <a:xfrm>
          <a:off x="774700" y="16522700"/>
          <a:ext cx="16510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431800</xdr:colOff>
      <xdr:row>120</xdr:row>
      <xdr:rowOff>38100</xdr:rowOff>
    </xdr:from>
    <xdr:to>
      <xdr:col>4</xdr:col>
      <xdr:colOff>25400</xdr:colOff>
      <xdr:row>120</xdr:row>
      <xdr:rowOff>88900</xdr:rowOff>
    </xdr:to>
    <xdr:sp macro="" textlink="">
      <xdr:nvSpPr>
        <xdr:cNvPr id="809000" name="Line 118">
          <a:extLst>
            <a:ext uri="{FF2B5EF4-FFF2-40B4-BE49-F238E27FC236}">
              <a16:creationId xmlns:a16="http://schemas.microsoft.com/office/drawing/2014/main" id="{00000000-0008-0000-0800-000028580C00}"/>
            </a:ext>
          </a:extLst>
        </xdr:cNvPr>
        <xdr:cNvSpPr>
          <a:spLocks noChangeShapeType="1"/>
        </xdr:cNvSpPr>
      </xdr:nvSpPr>
      <xdr:spPr bwMode="auto">
        <a:xfrm flipV="1">
          <a:off x="812800" y="16497300"/>
          <a:ext cx="381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11</xdr:col>
      <xdr:colOff>12700</xdr:colOff>
      <xdr:row>120</xdr:row>
      <xdr:rowOff>38100</xdr:rowOff>
    </xdr:from>
    <xdr:to>
      <xdr:col>12</xdr:col>
      <xdr:colOff>25400</xdr:colOff>
      <xdr:row>120</xdr:row>
      <xdr:rowOff>88900</xdr:rowOff>
    </xdr:to>
    <xdr:sp macro="" textlink="">
      <xdr:nvSpPr>
        <xdr:cNvPr id="809001" name="Line 119">
          <a:extLst>
            <a:ext uri="{FF2B5EF4-FFF2-40B4-BE49-F238E27FC236}">
              <a16:creationId xmlns:a16="http://schemas.microsoft.com/office/drawing/2014/main" id="{00000000-0008-0000-0800-000029580C00}"/>
            </a:ext>
          </a:extLst>
        </xdr:cNvPr>
        <xdr:cNvSpPr>
          <a:spLocks noChangeShapeType="1"/>
        </xdr:cNvSpPr>
      </xdr:nvSpPr>
      <xdr:spPr bwMode="auto">
        <a:xfrm flipV="1">
          <a:off x="2324100" y="164973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0</xdr:colOff>
      <xdr:row>122</xdr:row>
      <xdr:rowOff>76200</xdr:rowOff>
    </xdr:from>
    <xdr:to>
      <xdr:col>9</xdr:col>
      <xdr:colOff>25400</xdr:colOff>
      <xdr:row>122</xdr:row>
      <xdr:rowOff>76200</xdr:rowOff>
    </xdr:to>
    <xdr:sp macro="" textlink="">
      <xdr:nvSpPr>
        <xdr:cNvPr id="809002" name="Line 120">
          <a:extLst>
            <a:ext uri="{FF2B5EF4-FFF2-40B4-BE49-F238E27FC236}">
              <a16:creationId xmlns:a16="http://schemas.microsoft.com/office/drawing/2014/main" id="{00000000-0008-0000-0800-00002A580C00}"/>
            </a:ext>
          </a:extLst>
        </xdr:cNvPr>
        <xdr:cNvSpPr>
          <a:spLocks noChangeShapeType="1"/>
        </xdr:cNvSpPr>
      </xdr:nvSpPr>
      <xdr:spPr bwMode="auto">
        <a:xfrm>
          <a:off x="863600" y="16865600"/>
          <a:ext cx="7874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647700</xdr:colOff>
      <xdr:row>122</xdr:row>
      <xdr:rowOff>0</xdr:rowOff>
    </xdr:from>
    <xdr:to>
      <xdr:col>6</xdr:col>
      <xdr:colOff>647700</xdr:colOff>
      <xdr:row>123</xdr:row>
      <xdr:rowOff>114300</xdr:rowOff>
    </xdr:to>
    <xdr:sp macro="" textlink="">
      <xdr:nvSpPr>
        <xdr:cNvPr id="809003" name="Line 121">
          <a:extLst>
            <a:ext uri="{FF2B5EF4-FFF2-40B4-BE49-F238E27FC236}">
              <a16:creationId xmlns:a16="http://schemas.microsoft.com/office/drawing/2014/main" id="{00000000-0008-0000-0800-00002B580C00}"/>
            </a:ext>
          </a:extLst>
        </xdr:cNvPr>
        <xdr:cNvSpPr>
          <a:spLocks noChangeShapeType="1"/>
        </xdr:cNvSpPr>
      </xdr:nvSpPr>
      <xdr:spPr bwMode="auto">
        <a:xfrm flipV="1">
          <a:off x="1549400" y="16789400"/>
          <a:ext cx="0" cy="254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622300</xdr:colOff>
      <xdr:row>122</xdr:row>
      <xdr:rowOff>50800</xdr:rowOff>
    </xdr:from>
    <xdr:to>
      <xdr:col>7</xdr:col>
      <xdr:colOff>0</xdr:colOff>
      <xdr:row>122</xdr:row>
      <xdr:rowOff>101600</xdr:rowOff>
    </xdr:to>
    <xdr:sp macro="" textlink="">
      <xdr:nvSpPr>
        <xdr:cNvPr id="809004" name="Line 122">
          <a:extLst>
            <a:ext uri="{FF2B5EF4-FFF2-40B4-BE49-F238E27FC236}">
              <a16:creationId xmlns:a16="http://schemas.microsoft.com/office/drawing/2014/main" id="{00000000-0008-0000-0800-00002C580C00}"/>
            </a:ext>
          </a:extLst>
        </xdr:cNvPr>
        <xdr:cNvSpPr>
          <a:spLocks noChangeShapeType="1"/>
        </xdr:cNvSpPr>
      </xdr:nvSpPr>
      <xdr:spPr bwMode="auto">
        <a:xfrm flipV="1">
          <a:off x="1524000" y="16840200"/>
          <a:ext cx="254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0</xdr:colOff>
      <xdr:row>122</xdr:row>
      <xdr:rowOff>0</xdr:rowOff>
    </xdr:from>
    <xdr:to>
      <xdr:col>6</xdr:col>
      <xdr:colOff>0</xdr:colOff>
      <xdr:row>123</xdr:row>
      <xdr:rowOff>114300</xdr:rowOff>
    </xdr:to>
    <xdr:sp macro="" textlink="">
      <xdr:nvSpPr>
        <xdr:cNvPr id="809005" name="Line 123">
          <a:extLst>
            <a:ext uri="{FF2B5EF4-FFF2-40B4-BE49-F238E27FC236}">
              <a16:creationId xmlns:a16="http://schemas.microsoft.com/office/drawing/2014/main" id="{00000000-0008-0000-0800-00002D580C00}"/>
            </a:ext>
          </a:extLst>
        </xdr:cNvPr>
        <xdr:cNvSpPr>
          <a:spLocks noChangeShapeType="1"/>
        </xdr:cNvSpPr>
      </xdr:nvSpPr>
      <xdr:spPr bwMode="auto">
        <a:xfrm flipV="1">
          <a:off x="901700" y="16789400"/>
          <a:ext cx="0" cy="254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12700</xdr:colOff>
      <xdr:row>122</xdr:row>
      <xdr:rowOff>50800</xdr:rowOff>
    </xdr:from>
    <xdr:to>
      <xdr:col>6</xdr:col>
      <xdr:colOff>25400</xdr:colOff>
      <xdr:row>122</xdr:row>
      <xdr:rowOff>101600</xdr:rowOff>
    </xdr:to>
    <xdr:sp macro="" textlink="">
      <xdr:nvSpPr>
        <xdr:cNvPr id="809006" name="Line 124">
          <a:extLst>
            <a:ext uri="{FF2B5EF4-FFF2-40B4-BE49-F238E27FC236}">
              <a16:creationId xmlns:a16="http://schemas.microsoft.com/office/drawing/2014/main" id="{00000000-0008-0000-0800-00002E580C00}"/>
            </a:ext>
          </a:extLst>
        </xdr:cNvPr>
        <xdr:cNvSpPr>
          <a:spLocks noChangeShapeType="1"/>
        </xdr:cNvSpPr>
      </xdr:nvSpPr>
      <xdr:spPr bwMode="auto">
        <a:xfrm flipV="1">
          <a:off x="876300" y="168402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190500</xdr:colOff>
      <xdr:row>125</xdr:row>
      <xdr:rowOff>0</xdr:rowOff>
    </xdr:from>
    <xdr:to>
      <xdr:col>12</xdr:col>
      <xdr:colOff>190500</xdr:colOff>
      <xdr:row>134</xdr:row>
      <xdr:rowOff>0</xdr:rowOff>
    </xdr:to>
    <xdr:sp macro="" textlink="">
      <xdr:nvSpPr>
        <xdr:cNvPr id="809007" name="Line 125">
          <a:extLst>
            <a:ext uri="{FF2B5EF4-FFF2-40B4-BE49-F238E27FC236}">
              <a16:creationId xmlns:a16="http://schemas.microsoft.com/office/drawing/2014/main" id="{00000000-0008-0000-0800-00002F580C00}"/>
            </a:ext>
          </a:extLst>
        </xdr:cNvPr>
        <xdr:cNvSpPr>
          <a:spLocks noChangeShapeType="1"/>
        </xdr:cNvSpPr>
      </xdr:nvSpPr>
      <xdr:spPr bwMode="auto">
        <a:xfrm>
          <a:off x="2540000" y="17132300"/>
          <a:ext cx="0" cy="10795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125</xdr:row>
      <xdr:rowOff>12700</xdr:rowOff>
    </xdr:from>
    <xdr:to>
      <xdr:col>12</xdr:col>
      <xdr:colOff>215900</xdr:colOff>
      <xdr:row>126</xdr:row>
      <xdr:rowOff>25400</xdr:rowOff>
    </xdr:to>
    <xdr:sp macro="" textlink="">
      <xdr:nvSpPr>
        <xdr:cNvPr id="809008" name="Line 126">
          <a:extLst>
            <a:ext uri="{FF2B5EF4-FFF2-40B4-BE49-F238E27FC236}">
              <a16:creationId xmlns:a16="http://schemas.microsoft.com/office/drawing/2014/main" id="{00000000-0008-0000-0800-000030580C00}"/>
            </a:ext>
          </a:extLst>
        </xdr:cNvPr>
        <xdr:cNvSpPr>
          <a:spLocks noChangeShapeType="1"/>
        </xdr:cNvSpPr>
      </xdr:nvSpPr>
      <xdr:spPr bwMode="auto">
        <a:xfrm flipV="1">
          <a:off x="2514600" y="171450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131</xdr:row>
      <xdr:rowOff>127000</xdr:rowOff>
    </xdr:from>
    <xdr:to>
      <xdr:col>12</xdr:col>
      <xdr:colOff>215900</xdr:colOff>
      <xdr:row>133</xdr:row>
      <xdr:rowOff>0</xdr:rowOff>
    </xdr:to>
    <xdr:sp macro="" textlink="">
      <xdr:nvSpPr>
        <xdr:cNvPr id="809009" name="Line 127">
          <a:extLst>
            <a:ext uri="{FF2B5EF4-FFF2-40B4-BE49-F238E27FC236}">
              <a16:creationId xmlns:a16="http://schemas.microsoft.com/office/drawing/2014/main" id="{00000000-0008-0000-0800-000031580C00}"/>
            </a:ext>
          </a:extLst>
        </xdr:cNvPr>
        <xdr:cNvSpPr>
          <a:spLocks noChangeShapeType="1"/>
        </xdr:cNvSpPr>
      </xdr:nvSpPr>
      <xdr:spPr bwMode="auto">
        <a:xfrm flipV="1">
          <a:off x="2514600" y="180975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124</xdr:row>
      <xdr:rowOff>0</xdr:rowOff>
    </xdr:from>
    <xdr:to>
      <xdr:col>3</xdr:col>
      <xdr:colOff>431800</xdr:colOff>
      <xdr:row>124</xdr:row>
      <xdr:rowOff>0</xdr:rowOff>
    </xdr:to>
    <xdr:sp macro="" textlink="">
      <xdr:nvSpPr>
        <xdr:cNvPr id="809010" name="Line 128">
          <a:extLst>
            <a:ext uri="{FF2B5EF4-FFF2-40B4-BE49-F238E27FC236}">
              <a16:creationId xmlns:a16="http://schemas.microsoft.com/office/drawing/2014/main" id="{00000000-0008-0000-0800-000032580C00}"/>
            </a:ext>
          </a:extLst>
        </xdr:cNvPr>
        <xdr:cNvSpPr>
          <a:spLocks noChangeShapeType="1"/>
        </xdr:cNvSpPr>
      </xdr:nvSpPr>
      <xdr:spPr bwMode="auto">
        <a:xfrm flipH="1">
          <a:off x="482600" y="17094200"/>
          <a:ext cx="3302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134</xdr:row>
      <xdr:rowOff>0</xdr:rowOff>
    </xdr:from>
    <xdr:to>
      <xdr:col>3</xdr:col>
      <xdr:colOff>431800</xdr:colOff>
      <xdr:row>134</xdr:row>
      <xdr:rowOff>0</xdr:rowOff>
    </xdr:to>
    <xdr:sp macro="" textlink="">
      <xdr:nvSpPr>
        <xdr:cNvPr id="809011" name="Line 129">
          <a:extLst>
            <a:ext uri="{FF2B5EF4-FFF2-40B4-BE49-F238E27FC236}">
              <a16:creationId xmlns:a16="http://schemas.microsoft.com/office/drawing/2014/main" id="{00000000-0008-0000-0800-000033580C00}"/>
            </a:ext>
          </a:extLst>
        </xdr:cNvPr>
        <xdr:cNvSpPr>
          <a:spLocks noChangeShapeType="1"/>
        </xdr:cNvSpPr>
      </xdr:nvSpPr>
      <xdr:spPr bwMode="auto">
        <a:xfrm flipH="1">
          <a:off x="482600" y="18211800"/>
          <a:ext cx="3302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127000</xdr:colOff>
      <xdr:row>123</xdr:row>
      <xdr:rowOff>114300</xdr:rowOff>
    </xdr:from>
    <xdr:to>
      <xdr:col>3</xdr:col>
      <xdr:colOff>127000</xdr:colOff>
      <xdr:row>134</xdr:row>
      <xdr:rowOff>0</xdr:rowOff>
    </xdr:to>
    <xdr:sp macro="" textlink="">
      <xdr:nvSpPr>
        <xdr:cNvPr id="809012" name="Line 130">
          <a:extLst>
            <a:ext uri="{FF2B5EF4-FFF2-40B4-BE49-F238E27FC236}">
              <a16:creationId xmlns:a16="http://schemas.microsoft.com/office/drawing/2014/main" id="{00000000-0008-0000-0800-000034580C00}"/>
            </a:ext>
          </a:extLst>
        </xdr:cNvPr>
        <xdr:cNvSpPr>
          <a:spLocks noChangeShapeType="1"/>
        </xdr:cNvSpPr>
      </xdr:nvSpPr>
      <xdr:spPr bwMode="auto">
        <a:xfrm>
          <a:off x="508000" y="17043400"/>
          <a:ext cx="0" cy="1168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123</xdr:row>
      <xdr:rowOff>114300</xdr:rowOff>
    </xdr:from>
    <xdr:to>
      <xdr:col>3</xdr:col>
      <xdr:colOff>152400</xdr:colOff>
      <xdr:row>124</xdr:row>
      <xdr:rowOff>25400</xdr:rowOff>
    </xdr:to>
    <xdr:sp macro="" textlink="">
      <xdr:nvSpPr>
        <xdr:cNvPr id="809013" name="Line 131">
          <a:extLst>
            <a:ext uri="{FF2B5EF4-FFF2-40B4-BE49-F238E27FC236}">
              <a16:creationId xmlns:a16="http://schemas.microsoft.com/office/drawing/2014/main" id="{00000000-0008-0000-0800-000035580C00}"/>
            </a:ext>
          </a:extLst>
        </xdr:cNvPr>
        <xdr:cNvSpPr>
          <a:spLocks noChangeShapeType="1"/>
        </xdr:cNvSpPr>
      </xdr:nvSpPr>
      <xdr:spPr bwMode="auto">
        <a:xfrm flipH="1" flipV="1">
          <a:off x="482600" y="170434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133</xdr:row>
      <xdr:rowOff>12700</xdr:rowOff>
    </xdr:from>
    <xdr:to>
      <xdr:col>3</xdr:col>
      <xdr:colOff>152400</xdr:colOff>
      <xdr:row>134</xdr:row>
      <xdr:rowOff>0</xdr:rowOff>
    </xdr:to>
    <xdr:sp macro="" textlink="">
      <xdr:nvSpPr>
        <xdr:cNvPr id="809014" name="Line 132">
          <a:extLst>
            <a:ext uri="{FF2B5EF4-FFF2-40B4-BE49-F238E27FC236}">
              <a16:creationId xmlns:a16="http://schemas.microsoft.com/office/drawing/2014/main" id="{00000000-0008-0000-0800-000036580C00}"/>
            </a:ext>
          </a:extLst>
        </xdr:cNvPr>
        <xdr:cNvSpPr>
          <a:spLocks noChangeShapeType="1"/>
        </xdr:cNvSpPr>
      </xdr:nvSpPr>
      <xdr:spPr bwMode="auto">
        <a:xfrm flipH="1" flipV="1">
          <a:off x="482600" y="18186400"/>
          <a:ext cx="50800" cy="25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25400</xdr:colOff>
      <xdr:row>126</xdr:row>
      <xdr:rowOff>0</xdr:rowOff>
    </xdr:from>
    <xdr:to>
      <xdr:col>12</xdr:col>
      <xdr:colOff>317500</xdr:colOff>
      <xdr:row>126</xdr:row>
      <xdr:rowOff>0</xdr:rowOff>
    </xdr:to>
    <xdr:sp macro="" textlink="">
      <xdr:nvSpPr>
        <xdr:cNvPr id="809015" name="Line 133">
          <a:extLst>
            <a:ext uri="{FF2B5EF4-FFF2-40B4-BE49-F238E27FC236}">
              <a16:creationId xmlns:a16="http://schemas.microsoft.com/office/drawing/2014/main" id="{00000000-0008-0000-0800-000037580C00}"/>
            </a:ext>
          </a:extLst>
        </xdr:cNvPr>
        <xdr:cNvSpPr>
          <a:spLocks noChangeShapeType="1"/>
        </xdr:cNvSpPr>
      </xdr:nvSpPr>
      <xdr:spPr bwMode="auto">
        <a:xfrm>
          <a:off x="2374900" y="17170400"/>
          <a:ext cx="2921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25400</xdr:colOff>
      <xdr:row>132</xdr:row>
      <xdr:rowOff>0</xdr:rowOff>
    </xdr:from>
    <xdr:to>
      <xdr:col>12</xdr:col>
      <xdr:colOff>317500</xdr:colOff>
      <xdr:row>132</xdr:row>
      <xdr:rowOff>0</xdr:rowOff>
    </xdr:to>
    <xdr:sp macro="" textlink="">
      <xdr:nvSpPr>
        <xdr:cNvPr id="809016" name="Line 134">
          <a:extLst>
            <a:ext uri="{FF2B5EF4-FFF2-40B4-BE49-F238E27FC236}">
              <a16:creationId xmlns:a16="http://schemas.microsoft.com/office/drawing/2014/main" id="{00000000-0008-0000-0800-000038580C00}"/>
            </a:ext>
          </a:extLst>
        </xdr:cNvPr>
        <xdr:cNvSpPr>
          <a:spLocks noChangeShapeType="1"/>
        </xdr:cNvSpPr>
      </xdr:nvSpPr>
      <xdr:spPr bwMode="auto">
        <a:xfrm>
          <a:off x="2374900" y="18135600"/>
          <a:ext cx="2921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4</xdr:col>
      <xdr:colOff>0</xdr:colOff>
      <xdr:row>143</xdr:row>
      <xdr:rowOff>0</xdr:rowOff>
    </xdr:from>
    <xdr:to>
      <xdr:col>4</xdr:col>
      <xdr:colOff>0</xdr:colOff>
      <xdr:row>146</xdr:row>
      <xdr:rowOff>114300</xdr:rowOff>
    </xdr:to>
    <xdr:sp macro="" textlink="">
      <xdr:nvSpPr>
        <xdr:cNvPr id="809017" name="Line 135">
          <a:extLst>
            <a:ext uri="{FF2B5EF4-FFF2-40B4-BE49-F238E27FC236}">
              <a16:creationId xmlns:a16="http://schemas.microsoft.com/office/drawing/2014/main" id="{00000000-0008-0000-0800-000039580C00}"/>
            </a:ext>
          </a:extLst>
        </xdr:cNvPr>
        <xdr:cNvSpPr>
          <a:spLocks noChangeShapeType="1"/>
        </xdr:cNvSpPr>
      </xdr:nvSpPr>
      <xdr:spPr bwMode="auto">
        <a:xfrm flipV="1">
          <a:off x="825500" y="19545300"/>
          <a:ext cx="0" cy="584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0</xdr:colOff>
      <xdr:row>143</xdr:row>
      <xdr:rowOff>0</xdr:rowOff>
    </xdr:from>
    <xdr:to>
      <xdr:col>12</xdr:col>
      <xdr:colOff>0</xdr:colOff>
      <xdr:row>146</xdr:row>
      <xdr:rowOff>114300</xdr:rowOff>
    </xdr:to>
    <xdr:sp macro="" textlink="">
      <xdr:nvSpPr>
        <xdr:cNvPr id="809018" name="Line 136">
          <a:extLst>
            <a:ext uri="{FF2B5EF4-FFF2-40B4-BE49-F238E27FC236}">
              <a16:creationId xmlns:a16="http://schemas.microsoft.com/office/drawing/2014/main" id="{00000000-0008-0000-0800-00003A580C00}"/>
            </a:ext>
          </a:extLst>
        </xdr:cNvPr>
        <xdr:cNvSpPr>
          <a:spLocks noChangeShapeType="1"/>
        </xdr:cNvSpPr>
      </xdr:nvSpPr>
      <xdr:spPr bwMode="auto">
        <a:xfrm flipV="1">
          <a:off x="2349500" y="19545300"/>
          <a:ext cx="0" cy="584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393700</xdr:colOff>
      <xdr:row>143</xdr:row>
      <xdr:rowOff>63500</xdr:rowOff>
    </xdr:from>
    <xdr:to>
      <xdr:col>12</xdr:col>
      <xdr:colOff>76200</xdr:colOff>
      <xdr:row>143</xdr:row>
      <xdr:rowOff>63500</xdr:rowOff>
    </xdr:to>
    <xdr:sp macro="" textlink="">
      <xdr:nvSpPr>
        <xdr:cNvPr id="809019" name="Line 137">
          <a:extLst>
            <a:ext uri="{FF2B5EF4-FFF2-40B4-BE49-F238E27FC236}">
              <a16:creationId xmlns:a16="http://schemas.microsoft.com/office/drawing/2014/main" id="{00000000-0008-0000-0800-00003B580C00}"/>
            </a:ext>
          </a:extLst>
        </xdr:cNvPr>
        <xdr:cNvSpPr>
          <a:spLocks noChangeShapeType="1"/>
        </xdr:cNvSpPr>
      </xdr:nvSpPr>
      <xdr:spPr bwMode="auto">
        <a:xfrm>
          <a:off x="774700" y="19608800"/>
          <a:ext cx="16510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431800</xdr:colOff>
      <xdr:row>143</xdr:row>
      <xdr:rowOff>38100</xdr:rowOff>
    </xdr:from>
    <xdr:to>
      <xdr:col>4</xdr:col>
      <xdr:colOff>25400</xdr:colOff>
      <xdr:row>143</xdr:row>
      <xdr:rowOff>88900</xdr:rowOff>
    </xdr:to>
    <xdr:sp macro="" textlink="">
      <xdr:nvSpPr>
        <xdr:cNvPr id="809020" name="Line 138">
          <a:extLst>
            <a:ext uri="{FF2B5EF4-FFF2-40B4-BE49-F238E27FC236}">
              <a16:creationId xmlns:a16="http://schemas.microsoft.com/office/drawing/2014/main" id="{00000000-0008-0000-0800-00003C580C00}"/>
            </a:ext>
          </a:extLst>
        </xdr:cNvPr>
        <xdr:cNvSpPr>
          <a:spLocks noChangeShapeType="1"/>
        </xdr:cNvSpPr>
      </xdr:nvSpPr>
      <xdr:spPr bwMode="auto">
        <a:xfrm flipV="1">
          <a:off x="812800" y="19583400"/>
          <a:ext cx="381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11</xdr:col>
      <xdr:colOff>12700</xdr:colOff>
      <xdr:row>143</xdr:row>
      <xdr:rowOff>38100</xdr:rowOff>
    </xdr:from>
    <xdr:to>
      <xdr:col>12</xdr:col>
      <xdr:colOff>25400</xdr:colOff>
      <xdr:row>143</xdr:row>
      <xdr:rowOff>88900</xdr:rowOff>
    </xdr:to>
    <xdr:sp macro="" textlink="">
      <xdr:nvSpPr>
        <xdr:cNvPr id="809021" name="Line 139">
          <a:extLst>
            <a:ext uri="{FF2B5EF4-FFF2-40B4-BE49-F238E27FC236}">
              <a16:creationId xmlns:a16="http://schemas.microsoft.com/office/drawing/2014/main" id="{00000000-0008-0000-0800-00003D580C00}"/>
            </a:ext>
          </a:extLst>
        </xdr:cNvPr>
        <xdr:cNvSpPr>
          <a:spLocks noChangeShapeType="1"/>
        </xdr:cNvSpPr>
      </xdr:nvSpPr>
      <xdr:spPr bwMode="auto">
        <a:xfrm flipV="1">
          <a:off x="2324100" y="195834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0</xdr:colOff>
      <xdr:row>145</xdr:row>
      <xdr:rowOff>76200</xdr:rowOff>
    </xdr:from>
    <xdr:to>
      <xdr:col>9</xdr:col>
      <xdr:colOff>25400</xdr:colOff>
      <xdr:row>145</xdr:row>
      <xdr:rowOff>76200</xdr:rowOff>
    </xdr:to>
    <xdr:sp macro="" textlink="">
      <xdr:nvSpPr>
        <xdr:cNvPr id="809022" name="Line 140">
          <a:extLst>
            <a:ext uri="{FF2B5EF4-FFF2-40B4-BE49-F238E27FC236}">
              <a16:creationId xmlns:a16="http://schemas.microsoft.com/office/drawing/2014/main" id="{00000000-0008-0000-0800-00003E580C00}"/>
            </a:ext>
          </a:extLst>
        </xdr:cNvPr>
        <xdr:cNvSpPr>
          <a:spLocks noChangeShapeType="1"/>
        </xdr:cNvSpPr>
      </xdr:nvSpPr>
      <xdr:spPr bwMode="auto">
        <a:xfrm>
          <a:off x="863600" y="19951700"/>
          <a:ext cx="7874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647700</xdr:colOff>
      <xdr:row>145</xdr:row>
      <xdr:rowOff>0</xdr:rowOff>
    </xdr:from>
    <xdr:to>
      <xdr:col>6</xdr:col>
      <xdr:colOff>647700</xdr:colOff>
      <xdr:row>146</xdr:row>
      <xdr:rowOff>114300</xdr:rowOff>
    </xdr:to>
    <xdr:sp macro="" textlink="">
      <xdr:nvSpPr>
        <xdr:cNvPr id="809023" name="Line 141">
          <a:extLst>
            <a:ext uri="{FF2B5EF4-FFF2-40B4-BE49-F238E27FC236}">
              <a16:creationId xmlns:a16="http://schemas.microsoft.com/office/drawing/2014/main" id="{00000000-0008-0000-0800-00003F580C00}"/>
            </a:ext>
          </a:extLst>
        </xdr:cNvPr>
        <xdr:cNvSpPr>
          <a:spLocks noChangeShapeType="1"/>
        </xdr:cNvSpPr>
      </xdr:nvSpPr>
      <xdr:spPr bwMode="auto">
        <a:xfrm flipV="1">
          <a:off x="1549400" y="19875500"/>
          <a:ext cx="0" cy="254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622300</xdr:colOff>
      <xdr:row>145</xdr:row>
      <xdr:rowOff>50800</xdr:rowOff>
    </xdr:from>
    <xdr:to>
      <xdr:col>7</xdr:col>
      <xdr:colOff>0</xdr:colOff>
      <xdr:row>145</xdr:row>
      <xdr:rowOff>101600</xdr:rowOff>
    </xdr:to>
    <xdr:sp macro="" textlink="">
      <xdr:nvSpPr>
        <xdr:cNvPr id="809024" name="Line 142">
          <a:extLst>
            <a:ext uri="{FF2B5EF4-FFF2-40B4-BE49-F238E27FC236}">
              <a16:creationId xmlns:a16="http://schemas.microsoft.com/office/drawing/2014/main" id="{00000000-0008-0000-0800-000040580C00}"/>
            </a:ext>
          </a:extLst>
        </xdr:cNvPr>
        <xdr:cNvSpPr>
          <a:spLocks noChangeShapeType="1"/>
        </xdr:cNvSpPr>
      </xdr:nvSpPr>
      <xdr:spPr bwMode="auto">
        <a:xfrm flipV="1">
          <a:off x="1524000" y="19926300"/>
          <a:ext cx="254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0</xdr:colOff>
      <xdr:row>145</xdr:row>
      <xdr:rowOff>0</xdr:rowOff>
    </xdr:from>
    <xdr:to>
      <xdr:col>6</xdr:col>
      <xdr:colOff>0</xdr:colOff>
      <xdr:row>146</xdr:row>
      <xdr:rowOff>114300</xdr:rowOff>
    </xdr:to>
    <xdr:sp macro="" textlink="">
      <xdr:nvSpPr>
        <xdr:cNvPr id="809025" name="Line 143">
          <a:extLst>
            <a:ext uri="{FF2B5EF4-FFF2-40B4-BE49-F238E27FC236}">
              <a16:creationId xmlns:a16="http://schemas.microsoft.com/office/drawing/2014/main" id="{00000000-0008-0000-0800-000041580C00}"/>
            </a:ext>
          </a:extLst>
        </xdr:cNvPr>
        <xdr:cNvSpPr>
          <a:spLocks noChangeShapeType="1"/>
        </xdr:cNvSpPr>
      </xdr:nvSpPr>
      <xdr:spPr bwMode="auto">
        <a:xfrm flipV="1">
          <a:off x="901700" y="19875500"/>
          <a:ext cx="0" cy="254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12700</xdr:colOff>
      <xdr:row>145</xdr:row>
      <xdr:rowOff>50800</xdr:rowOff>
    </xdr:from>
    <xdr:to>
      <xdr:col>6</xdr:col>
      <xdr:colOff>25400</xdr:colOff>
      <xdr:row>145</xdr:row>
      <xdr:rowOff>101600</xdr:rowOff>
    </xdr:to>
    <xdr:sp macro="" textlink="">
      <xdr:nvSpPr>
        <xdr:cNvPr id="809026" name="Line 144">
          <a:extLst>
            <a:ext uri="{FF2B5EF4-FFF2-40B4-BE49-F238E27FC236}">
              <a16:creationId xmlns:a16="http://schemas.microsoft.com/office/drawing/2014/main" id="{00000000-0008-0000-0800-000042580C00}"/>
            </a:ext>
          </a:extLst>
        </xdr:cNvPr>
        <xdr:cNvSpPr>
          <a:spLocks noChangeShapeType="1"/>
        </xdr:cNvSpPr>
      </xdr:nvSpPr>
      <xdr:spPr bwMode="auto">
        <a:xfrm flipV="1">
          <a:off x="876300" y="199263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190500</xdr:colOff>
      <xdr:row>148</xdr:row>
      <xdr:rowOff>0</xdr:rowOff>
    </xdr:from>
    <xdr:to>
      <xdr:col>12</xdr:col>
      <xdr:colOff>190500</xdr:colOff>
      <xdr:row>157</xdr:row>
      <xdr:rowOff>0</xdr:rowOff>
    </xdr:to>
    <xdr:sp macro="" textlink="">
      <xdr:nvSpPr>
        <xdr:cNvPr id="809027" name="Line 145">
          <a:extLst>
            <a:ext uri="{FF2B5EF4-FFF2-40B4-BE49-F238E27FC236}">
              <a16:creationId xmlns:a16="http://schemas.microsoft.com/office/drawing/2014/main" id="{00000000-0008-0000-0800-000043580C00}"/>
            </a:ext>
          </a:extLst>
        </xdr:cNvPr>
        <xdr:cNvSpPr>
          <a:spLocks noChangeShapeType="1"/>
        </xdr:cNvSpPr>
      </xdr:nvSpPr>
      <xdr:spPr bwMode="auto">
        <a:xfrm>
          <a:off x="2540000" y="20218400"/>
          <a:ext cx="0" cy="10795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148</xdr:row>
      <xdr:rowOff>12700</xdr:rowOff>
    </xdr:from>
    <xdr:to>
      <xdr:col>12</xdr:col>
      <xdr:colOff>215900</xdr:colOff>
      <xdr:row>149</xdr:row>
      <xdr:rowOff>25400</xdr:rowOff>
    </xdr:to>
    <xdr:sp macro="" textlink="">
      <xdr:nvSpPr>
        <xdr:cNvPr id="809028" name="Line 146">
          <a:extLst>
            <a:ext uri="{FF2B5EF4-FFF2-40B4-BE49-F238E27FC236}">
              <a16:creationId xmlns:a16="http://schemas.microsoft.com/office/drawing/2014/main" id="{00000000-0008-0000-0800-000044580C00}"/>
            </a:ext>
          </a:extLst>
        </xdr:cNvPr>
        <xdr:cNvSpPr>
          <a:spLocks noChangeShapeType="1"/>
        </xdr:cNvSpPr>
      </xdr:nvSpPr>
      <xdr:spPr bwMode="auto">
        <a:xfrm flipV="1">
          <a:off x="2514600" y="202311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154</xdr:row>
      <xdr:rowOff>127000</xdr:rowOff>
    </xdr:from>
    <xdr:to>
      <xdr:col>12</xdr:col>
      <xdr:colOff>215900</xdr:colOff>
      <xdr:row>156</xdr:row>
      <xdr:rowOff>0</xdr:rowOff>
    </xdr:to>
    <xdr:sp macro="" textlink="">
      <xdr:nvSpPr>
        <xdr:cNvPr id="809029" name="Line 147">
          <a:extLst>
            <a:ext uri="{FF2B5EF4-FFF2-40B4-BE49-F238E27FC236}">
              <a16:creationId xmlns:a16="http://schemas.microsoft.com/office/drawing/2014/main" id="{00000000-0008-0000-0800-000045580C00}"/>
            </a:ext>
          </a:extLst>
        </xdr:cNvPr>
        <xdr:cNvSpPr>
          <a:spLocks noChangeShapeType="1"/>
        </xdr:cNvSpPr>
      </xdr:nvSpPr>
      <xdr:spPr bwMode="auto">
        <a:xfrm flipV="1">
          <a:off x="2514600" y="211836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147</xdr:row>
      <xdr:rowOff>0</xdr:rowOff>
    </xdr:from>
    <xdr:to>
      <xdr:col>3</xdr:col>
      <xdr:colOff>431800</xdr:colOff>
      <xdr:row>147</xdr:row>
      <xdr:rowOff>0</xdr:rowOff>
    </xdr:to>
    <xdr:sp macro="" textlink="">
      <xdr:nvSpPr>
        <xdr:cNvPr id="809030" name="Line 148">
          <a:extLst>
            <a:ext uri="{FF2B5EF4-FFF2-40B4-BE49-F238E27FC236}">
              <a16:creationId xmlns:a16="http://schemas.microsoft.com/office/drawing/2014/main" id="{00000000-0008-0000-0800-000046580C00}"/>
            </a:ext>
          </a:extLst>
        </xdr:cNvPr>
        <xdr:cNvSpPr>
          <a:spLocks noChangeShapeType="1"/>
        </xdr:cNvSpPr>
      </xdr:nvSpPr>
      <xdr:spPr bwMode="auto">
        <a:xfrm flipH="1">
          <a:off x="482600" y="20180300"/>
          <a:ext cx="3302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157</xdr:row>
      <xdr:rowOff>0</xdr:rowOff>
    </xdr:from>
    <xdr:to>
      <xdr:col>3</xdr:col>
      <xdr:colOff>431800</xdr:colOff>
      <xdr:row>157</xdr:row>
      <xdr:rowOff>0</xdr:rowOff>
    </xdr:to>
    <xdr:sp macro="" textlink="">
      <xdr:nvSpPr>
        <xdr:cNvPr id="809031" name="Line 149">
          <a:extLst>
            <a:ext uri="{FF2B5EF4-FFF2-40B4-BE49-F238E27FC236}">
              <a16:creationId xmlns:a16="http://schemas.microsoft.com/office/drawing/2014/main" id="{00000000-0008-0000-0800-000047580C00}"/>
            </a:ext>
          </a:extLst>
        </xdr:cNvPr>
        <xdr:cNvSpPr>
          <a:spLocks noChangeShapeType="1"/>
        </xdr:cNvSpPr>
      </xdr:nvSpPr>
      <xdr:spPr bwMode="auto">
        <a:xfrm flipH="1">
          <a:off x="482600" y="21297900"/>
          <a:ext cx="3302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127000</xdr:colOff>
      <xdr:row>146</xdr:row>
      <xdr:rowOff>114300</xdr:rowOff>
    </xdr:from>
    <xdr:to>
      <xdr:col>3</xdr:col>
      <xdr:colOff>127000</xdr:colOff>
      <xdr:row>157</xdr:row>
      <xdr:rowOff>0</xdr:rowOff>
    </xdr:to>
    <xdr:sp macro="" textlink="">
      <xdr:nvSpPr>
        <xdr:cNvPr id="809032" name="Line 150">
          <a:extLst>
            <a:ext uri="{FF2B5EF4-FFF2-40B4-BE49-F238E27FC236}">
              <a16:creationId xmlns:a16="http://schemas.microsoft.com/office/drawing/2014/main" id="{00000000-0008-0000-0800-000048580C00}"/>
            </a:ext>
          </a:extLst>
        </xdr:cNvPr>
        <xdr:cNvSpPr>
          <a:spLocks noChangeShapeType="1"/>
        </xdr:cNvSpPr>
      </xdr:nvSpPr>
      <xdr:spPr bwMode="auto">
        <a:xfrm>
          <a:off x="508000" y="20129500"/>
          <a:ext cx="0" cy="1168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146</xdr:row>
      <xdr:rowOff>114300</xdr:rowOff>
    </xdr:from>
    <xdr:to>
      <xdr:col>3</xdr:col>
      <xdr:colOff>152400</xdr:colOff>
      <xdr:row>147</xdr:row>
      <xdr:rowOff>25400</xdr:rowOff>
    </xdr:to>
    <xdr:sp macro="" textlink="">
      <xdr:nvSpPr>
        <xdr:cNvPr id="809033" name="Line 151">
          <a:extLst>
            <a:ext uri="{FF2B5EF4-FFF2-40B4-BE49-F238E27FC236}">
              <a16:creationId xmlns:a16="http://schemas.microsoft.com/office/drawing/2014/main" id="{00000000-0008-0000-0800-000049580C00}"/>
            </a:ext>
          </a:extLst>
        </xdr:cNvPr>
        <xdr:cNvSpPr>
          <a:spLocks noChangeShapeType="1"/>
        </xdr:cNvSpPr>
      </xdr:nvSpPr>
      <xdr:spPr bwMode="auto">
        <a:xfrm flipH="1" flipV="1">
          <a:off x="482600" y="201295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101600</xdr:colOff>
      <xdr:row>156</xdr:row>
      <xdr:rowOff>12700</xdr:rowOff>
    </xdr:from>
    <xdr:to>
      <xdr:col>3</xdr:col>
      <xdr:colOff>152400</xdr:colOff>
      <xdr:row>157</xdr:row>
      <xdr:rowOff>0</xdr:rowOff>
    </xdr:to>
    <xdr:sp macro="" textlink="">
      <xdr:nvSpPr>
        <xdr:cNvPr id="809034" name="Line 152">
          <a:extLst>
            <a:ext uri="{FF2B5EF4-FFF2-40B4-BE49-F238E27FC236}">
              <a16:creationId xmlns:a16="http://schemas.microsoft.com/office/drawing/2014/main" id="{00000000-0008-0000-0800-00004A580C00}"/>
            </a:ext>
          </a:extLst>
        </xdr:cNvPr>
        <xdr:cNvSpPr>
          <a:spLocks noChangeShapeType="1"/>
        </xdr:cNvSpPr>
      </xdr:nvSpPr>
      <xdr:spPr bwMode="auto">
        <a:xfrm flipH="1" flipV="1">
          <a:off x="482600" y="21272500"/>
          <a:ext cx="50800" cy="25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25400</xdr:colOff>
      <xdr:row>149</xdr:row>
      <xdr:rowOff>0</xdr:rowOff>
    </xdr:from>
    <xdr:to>
      <xdr:col>12</xdr:col>
      <xdr:colOff>317500</xdr:colOff>
      <xdr:row>149</xdr:row>
      <xdr:rowOff>0</xdr:rowOff>
    </xdr:to>
    <xdr:sp macro="" textlink="">
      <xdr:nvSpPr>
        <xdr:cNvPr id="809035" name="Line 153">
          <a:extLst>
            <a:ext uri="{FF2B5EF4-FFF2-40B4-BE49-F238E27FC236}">
              <a16:creationId xmlns:a16="http://schemas.microsoft.com/office/drawing/2014/main" id="{00000000-0008-0000-0800-00004B580C00}"/>
            </a:ext>
          </a:extLst>
        </xdr:cNvPr>
        <xdr:cNvSpPr>
          <a:spLocks noChangeShapeType="1"/>
        </xdr:cNvSpPr>
      </xdr:nvSpPr>
      <xdr:spPr bwMode="auto">
        <a:xfrm>
          <a:off x="2374900" y="20256500"/>
          <a:ext cx="2921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25400</xdr:colOff>
      <xdr:row>155</xdr:row>
      <xdr:rowOff>0</xdr:rowOff>
    </xdr:from>
    <xdr:to>
      <xdr:col>12</xdr:col>
      <xdr:colOff>317500</xdr:colOff>
      <xdr:row>155</xdr:row>
      <xdr:rowOff>0</xdr:rowOff>
    </xdr:to>
    <xdr:sp macro="" textlink="">
      <xdr:nvSpPr>
        <xdr:cNvPr id="809036" name="Line 154">
          <a:extLst>
            <a:ext uri="{FF2B5EF4-FFF2-40B4-BE49-F238E27FC236}">
              <a16:creationId xmlns:a16="http://schemas.microsoft.com/office/drawing/2014/main" id="{00000000-0008-0000-0800-00004C580C00}"/>
            </a:ext>
          </a:extLst>
        </xdr:cNvPr>
        <xdr:cNvSpPr>
          <a:spLocks noChangeShapeType="1"/>
        </xdr:cNvSpPr>
      </xdr:nvSpPr>
      <xdr:spPr bwMode="auto">
        <a:xfrm>
          <a:off x="2374900" y="21221700"/>
          <a:ext cx="2921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431800</xdr:colOff>
      <xdr:row>197</xdr:row>
      <xdr:rowOff>63500</xdr:rowOff>
    </xdr:from>
    <xdr:to>
      <xdr:col>12</xdr:col>
      <xdr:colOff>25400</xdr:colOff>
      <xdr:row>197</xdr:row>
      <xdr:rowOff>63500</xdr:rowOff>
    </xdr:to>
    <xdr:sp macro="" textlink="">
      <xdr:nvSpPr>
        <xdr:cNvPr id="809037" name="Line 156">
          <a:extLst>
            <a:ext uri="{FF2B5EF4-FFF2-40B4-BE49-F238E27FC236}">
              <a16:creationId xmlns:a16="http://schemas.microsoft.com/office/drawing/2014/main" id="{00000000-0008-0000-0800-00004D580C00}"/>
            </a:ext>
          </a:extLst>
        </xdr:cNvPr>
        <xdr:cNvSpPr>
          <a:spLocks noChangeShapeType="1"/>
        </xdr:cNvSpPr>
      </xdr:nvSpPr>
      <xdr:spPr bwMode="auto">
        <a:xfrm>
          <a:off x="812800" y="27076400"/>
          <a:ext cx="15621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4</xdr:col>
      <xdr:colOff>0</xdr:colOff>
      <xdr:row>197</xdr:row>
      <xdr:rowOff>12700</xdr:rowOff>
    </xdr:from>
    <xdr:to>
      <xdr:col>4</xdr:col>
      <xdr:colOff>0</xdr:colOff>
      <xdr:row>200</xdr:row>
      <xdr:rowOff>0</xdr:rowOff>
    </xdr:to>
    <xdr:sp macro="" textlink="">
      <xdr:nvSpPr>
        <xdr:cNvPr id="809038" name="Line 157">
          <a:extLst>
            <a:ext uri="{FF2B5EF4-FFF2-40B4-BE49-F238E27FC236}">
              <a16:creationId xmlns:a16="http://schemas.microsoft.com/office/drawing/2014/main" id="{00000000-0008-0000-0800-00004E580C00}"/>
            </a:ext>
          </a:extLst>
        </xdr:cNvPr>
        <xdr:cNvSpPr>
          <a:spLocks noChangeShapeType="1"/>
        </xdr:cNvSpPr>
      </xdr:nvSpPr>
      <xdr:spPr bwMode="auto">
        <a:xfrm flipV="1">
          <a:off x="825500" y="27025600"/>
          <a:ext cx="0" cy="457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0</xdr:colOff>
      <xdr:row>197</xdr:row>
      <xdr:rowOff>12700</xdr:rowOff>
    </xdr:from>
    <xdr:to>
      <xdr:col>12</xdr:col>
      <xdr:colOff>0</xdr:colOff>
      <xdr:row>200</xdr:row>
      <xdr:rowOff>0</xdr:rowOff>
    </xdr:to>
    <xdr:sp macro="" textlink="">
      <xdr:nvSpPr>
        <xdr:cNvPr id="809039" name="Line 158">
          <a:extLst>
            <a:ext uri="{FF2B5EF4-FFF2-40B4-BE49-F238E27FC236}">
              <a16:creationId xmlns:a16="http://schemas.microsoft.com/office/drawing/2014/main" id="{00000000-0008-0000-0800-00004F580C00}"/>
            </a:ext>
          </a:extLst>
        </xdr:cNvPr>
        <xdr:cNvSpPr>
          <a:spLocks noChangeShapeType="1"/>
        </xdr:cNvSpPr>
      </xdr:nvSpPr>
      <xdr:spPr bwMode="auto">
        <a:xfrm flipV="1">
          <a:off x="2349500" y="27025600"/>
          <a:ext cx="0" cy="457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0</xdr:colOff>
      <xdr:row>198</xdr:row>
      <xdr:rowOff>0</xdr:rowOff>
    </xdr:from>
    <xdr:to>
      <xdr:col>6</xdr:col>
      <xdr:colOff>0</xdr:colOff>
      <xdr:row>200</xdr:row>
      <xdr:rowOff>0</xdr:rowOff>
    </xdr:to>
    <xdr:sp macro="" textlink="">
      <xdr:nvSpPr>
        <xdr:cNvPr id="809040" name="Line 159">
          <a:extLst>
            <a:ext uri="{FF2B5EF4-FFF2-40B4-BE49-F238E27FC236}">
              <a16:creationId xmlns:a16="http://schemas.microsoft.com/office/drawing/2014/main" id="{00000000-0008-0000-0800-000050580C00}"/>
            </a:ext>
          </a:extLst>
        </xdr:cNvPr>
        <xdr:cNvSpPr>
          <a:spLocks noChangeShapeType="1"/>
        </xdr:cNvSpPr>
      </xdr:nvSpPr>
      <xdr:spPr bwMode="auto">
        <a:xfrm flipV="1">
          <a:off x="901700" y="27178000"/>
          <a:ext cx="0" cy="304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10</xdr:col>
      <xdr:colOff>0</xdr:colOff>
      <xdr:row>198</xdr:row>
      <xdr:rowOff>0</xdr:rowOff>
    </xdr:from>
    <xdr:to>
      <xdr:col>10</xdr:col>
      <xdr:colOff>0</xdr:colOff>
      <xdr:row>200</xdr:row>
      <xdr:rowOff>0</xdr:rowOff>
    </xdr:to>
    <xdr:sp macro="" textlink="">
      <xdr:nvSpPr>
        <xdr:cNvPr id="809041" name="Line 160">
          <a:extLst>
            <a:ext uri="{FF2B5EF4-FFF2-40B4-BE49-F238E27FC236}">
              <a16:creationId xmlns:a16="http://schemas.microsoft.com/office/drawing/2014/main" id="{00000000-0008-0000-0800-000051580C00}"/>
            </a:ext>
          </a:extLst>
        </xdr:cNvPr>
        <xdr:cNvSpPr>
          <a:spLocks noChangeShapeType="1"/>
        </xdr:cNvSpPr>
      </xdr:nvSpPr>
      <xdr:spPr bwMode="auto">
        <a:xfrm flipV="1">
          <a:off x="2273300" y="27178000"/>
          <a:ext cx="0" cy="304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0</xdr:colOff>
      <xdr:row>199</xdr:row>
      <xdr:rowOff>0</xdr:rowOff>
    </xdr:from>
    <xdr:to>
      <xdr:col>11</xdr:col>
      <xdr:colOff>0</xdr:colOff>
      <xdr:row>199</xdr:row>
      <xdr:rowOff>0</xdr:rowOff>
    </xdr:to>
    <xdr:sp macro="" textlink="">
      <xdr:nvSpPr>
        <xdr:cNvPr id="809042" name="Line 161">
          <a:extLst>
            <a:ext uri="{FF2B5EF4-FFF2-40B4-BE49-F238E27FC236}">
              <a16:creationId xmlns:a16="http://schemas.microsoft.com/office/drawing/2014/main" id="{00000000-0008-0000-0800-000052580C00}"/>
            </a:ext>
          </a:extLst>
        </xdr:cNvPr>
        <xdr:cNvSpPr>
          <a:spLocks noChangeShapeType="1"/>
        </xdr:cNvSpPr>
      </xdr:nvSpPr>
      <xdr:spPr bwMode="auto">
        <a:xfrm>
          <a:off x="863600" y="27343100"/>
          <a:ext cx="14478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431800</xdr:colOff>
      <xdr:row>197</xdr:row>
      <xdr:rowOff>38100</xdr:rowOff>
    </xdr:from>
    <xdr:to>
      <xdr:col>4</xdr:col>
      <xdr:colOff>25400</xdr:colOff>
      <xdr:row>197</xdr:row>
      <xdr:rowOff>88900</xdr:rowOff>
    </xdr:to>
    <xdr:sp macro="" textlink="">
      <xdr:nvSpPr>
        <xdr:cNvPr id="809043" name="Line 162">
          <a:extLst>
            <a:ext uri="{FF2B5EF4-FFF2-40B4-BE49-F238E27FC236}">
              <a16:creationId xmlns:a16="http://schemas.microsoft.com/office/drawing/2014/main" id="{00000000-0008-0000-0800-000053580C00}"/>
            </a:ext>
          </a:extLst>
        </xdr:cNvPr>
        <xdr:cNvSpPr>
          <a:spLocks noChangeShapeType="1"/>
        </xdr:cNvSpPr>
      </xdr:nvSpPr>
      <xdr:spPr bwMode="auto">
        <a:xfrm flipV="1">
          <a:off x="812800" y="27051000"/>
          <a:ext cx="381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11</xdr:col>
      <xdr:colOff>12700</xdr:colOff>
      <xdr:row>197</xdr:row>
      <xdr:rowOff>38100</xdr:rowOff>
    </xdr:from>
    <xdr:to>
      <xdr:col>12</xdr:col>
      <xdr:colOff>25400</xdr:colOff>
      <xdr:row>197</xdr:row>
      <xdr:rowOff>88900</xdr:rowOff>
    </xdr:to>
    <xdr:sp macro="" textlink="">
      <xdr:nvSpPr>
        <xdr:cNvPr id="809044" name="Line 163">
          <a:extLst>
            <a:ext uri="{FF2B5EF4-FFF2-40B4-BE49-F238E27FC236}">
              <a16:creationId xmlns:a16="http://schemas.microsoft.com/office/drawing/2014/main" id="{00000000-0008-0000-0800-000054580C00}"/>
            </a:ext>
          </a:extLst>
        </xdr:cNvPr>
        <xdr:cNvSpPr>
          <a:spLocks noChangeShapeType="1"/>
        </xdr:cNvSpPr>
      </xdr:nvSpPr>
      <xdr:spPr bwMode="auto">
        <a:xfrm flipV="1">
          <a:off x="2324100" y="270510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12700</xdr:colOff>
      <xdr:row>198</xdr:row>
      <xdr:rowOff>114300</xdr:rowOff>
    </xdr:from>
    <xdr:to>
      <xdr:col>6</xdr:col>
      <xdr:colOff>25400</xdr:colOff>
      <xdr:row>199</xdr:row>
      <xdr:rowOff>25400</xdr:rowOff>
    </xdr:to>
    <xdr:sp macro="" textlink="">
      <xdr:nvSpPr>
        <xdr:cNvPr id="809045" name="Line 164">
          <a:extLst>
            <a:ext uri="{FF2B5EF4-FFF2-40B4-BE49-F238E27FC236}">
              <a16:creationId xmlns:a16="http://schemas.microsoft.com/office/drawing/2014/main" id="{00000000-0008-0000-0800-000055580C00}"/>
            </a:ext>
          </a:extLst>
        </xdr:cNvPr>
        <xdr:cNvSpPr>
          <a:spLocks noChangeShapeType="1"/>
        </xdr:cNvSpPr>
      </xdr:nvSpPr>
      <xdr:spPr bwMode="auto">
        <a:xfrm flipV="1">
          <a:off x="876300" y="272923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9</xdr:col>
      <xdr:colOff>647700</xdr:colOff>
      <xdr:row>198</xdr:row>
      <xdr:rowOff>114300</xdr:rowOff>
    </xdr:from>
    <xdr:to>
      <xdr:col>10</xdr:col>
      <xdr:colOff>25400</xdr:colOff>
      <xdr:row>199</xdr:row>
      <xdr:rowOff>25400</xdr:rowOff>
    </xdr:to>
    <xdr:sp macro="" textlink="">
      <xdr:nvSpPr>
        <xdr:cNvPr id="809046" name="Line 165">
          <a:extLst>
            <a:ext uri="{FF2B5EF4-FFF2-40B4-BE49-F238E27FC236}">
              <a16:creationId xmlns:a16="http://schemas.microsoft.com/office/drawing/2014/main" id="{00000000-0008-0000-0800-000056580C00}"/>
            </a:ext>
          </a:extLst>
        </xdr:cNvPr>
        <xdr:cNvSpPr>
          <a:spLocks noChangeShapeType="1"/>
        </xdr:cNvSpPr>
      </xdr:nvSpPr>
      <xdr:spPr bwMode="auto">
        <a:xfrm flipV="1">
          <a:off x="2273300" y="27292300"/>
          <a:ext cx="254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76200</xdr:colOff>
      <xdr:row>211</xdr:row>
      <xdr:rowOff>0</xdr:rowOff>
    </xdr:from>
    <xdr:to>
      <xdr:col>3</xdr:col>
      <xdr:colOff>431800</xdr:colOff>
      <xdr:row>211</xdr:row>
      <xdr:rowOff>0</xdr:rowOff>
    </xdr:to>
    <xdr:sp macro="" textlink="">
      <xdr:nvSpPr>
        <xdr:cNvPr id="809047" name="Line 166">
          <a:extLst>
            <a:ext uri="{FF2B5EF4-FFF2-40B4-BE49-F238E27FC236}">
              <a16:creationId xmlns:a16="http://schemas.microsoft.com/office/drawing/2014/main" id="{00000000-0008-0000-0800-000057580C00}"/>
            </a:ext>
          </a:extLst>
        </xdr:cNvPr>
        <xdr:cNvSpPr>
          <a:spLocks noChangeShapeType="1"/>
        </xdr:cNvSpPr>
      </xdr:nvSpPr>
      <xdr:spPr bwMode="auto">
        <a:xfrm flipH="1">
          <a:off x="457200" y="28790900"/>
          <a:ext cx="3556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76200</xdr:colOff>
      <xdr:row>201</xdr:row>
      <xdr:rowOff>0</xdr:rowOff>
    </xdr:from>
    <xdr:to>
      <xdr:col>3</xdr:col>
      <xdr:colOff>419100</xdr:colOff>
      <xdr:row>201</xdr:row>
      <xdr:rowOff>0</xdr:rowOff>
    </xdr:to>
    <xdr:sp macro="" textlink="">
      <xdr:nvSpPr>
        <xdr:cNvPr id="809048" name="Line 167">
          <a:extLst>
            <a:ext uri="{FF2B5EF4-FFF2-40B4-BE49-F238E27FC236}">
              <a16:creationId xmlns:a16="http://schemas.microsoft.com/office/drawing/2014/main" id="{00000000-0008-0000-0800-000058580C00}"/>
            </a:ext>
          </a:extLst>
        </xdr:cNvPr>
        <xdr:cNvSpPr>
          <a:spLocks noChangeShapeType="1"/>
        </xdr:cNvSpPr>
      </xdr:nvSpPr>
      <xdr:spPr bwMode="auto">
        <a:xfrm flipH="1">
          <a:off x="457200" y="27647900"/>
          <a:ext cx="3429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165100</xdr:colOff>
      <xdr:row>200</xdr:row>
      <xdr:rowOff>114300</xdr:rowOff>
    </xdr:from>
    <xdr:to>
      <xdr:col>3</xdr:col>
      <xdr:colOff>165100</xdr:colOff>
      <xdr:row>211</xdr:row>
      <xdr:rowOff>25400</xdr:rowOff>
    </xdr:to>
    <xdr:sp macro="" textlink="">
      <xdr:nvSpPr>
        <xdr:cNvPr id="809049" name="Line 168">
          <a:extLst>
            <a:ext uri="{FF2B5EF4-FFF2-40B4-BE49-F238E27FC236}">
              <a16:creationId xmlns:a16="http://schemas.microsoft.com/office/drawing/2014/main" id="{00000000-0008-0000-0800-000059580C00}"/>
            </a:ext>
          </a:extLst>
        </xdr:cNvPr>
        <xdr:cNvSpPr>
          <a:spLocks noChangeShapeType="1"/>
        </xdr:cNvSpPr>
      </xdr:nvSpPr>
      <xdr:spPr bwMode="auto">
        <a:xfrm flipV="1">
          <a:off x="546100" y="27597100"/>
          <a:ext cx="0" cy="1219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139700</xdr:colOff>
      <xdr:row>200</xdr:row>
      <xdr:rowOff>114300</xdr:rowOff>
    </xdr:from>
    <xdr:to>
      <xdr:col>3</xdr:col>
      <xdr:colOff>190500</xdr:colOff>
      <xdr:row>201</xdr:row>
      <xdr:rowOff>25400</xdr:rowOff>
    </xdr:to>
    <xdr:sp macro="" textlink="">
      <xdr:nvSpPr>
        <xdr:cNvPr id="809050" name="Line 169">
          <a:extLst>
            <a:ext uri="{FF2B5EF4-FFF2-40B4-BE49-F238E27FC236}">
              <a16:creationId xmlns:a16="http://schemas.microsoft.com/office/drawing/2014/main" id="{00000000-0008-0000-0800-00005A580C00}"/>
            </a:ext>
          </a:extLst>
        </xdr:cNvPr>
        <xdr:cNvSpPr>
          <a:spLocks noChangeShapeType="1"/>
        </xdr:cNvSpPr>
      </xdr:nvSpPr>
      <xdr:spPr bwMode="auto">
        <a:xfrm flipH="1" flipV="1">
          <a:off x="520700" y="275971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139700</xdr:colOff>
      <xdr:row>210</xdr:row>
      <xdr:rowOff>25400</xdr:rowOff>
    </xdr:from>
    <xdr:to>
      <xdr:col>3</xdr:col>
      <xdr:colOff>190500</xdr:colOff>
      <xdr:row>212</xdr:row>
      <xdr:rowOff>0</xdr:rowOff>
    </xdr:to>
    <xdr:sp macro="" textlink="">
      <xdr:nvSpPr>
        <xdr:cNvPr id="809051" name="Line 170">
          <a:extLst>
            <a:ext uri="{FF2B5EF4-FFF2-40B4-BE49-F238E27FC236}">
              <a16:creationId xmlns:a16="http://schemas.microsoft.com/office/drawing/2014/main" id="{00000000-0008-0000-0800-00005B580C00}"/>
            </a:ext>
          </a:extLst>
        </xdr:cNvPr>
        <xdr:cNvSpPr>
          <a:spLocks noChangeShapeType="1"/>
        </xdr:cNvSpPr>
      </xdr:nvSpPr>
      <xdr:spPr bwMode="auto">
        <a:xfrm flipH="1" flipV="1">
          <a:off x="520700" y="287782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190500</xdr:colOff>
      <xdr:row>202</xdr:row>
      <xdr:rowOff>0</xdr:rowOff>
    </xdr:from>
    <xdr:to>
      <xdr:col>12</xdr:col>
      <xdr:colOff>190500</xdr:colOff>
      <xdr:row>211</xdr:row>
      <xdr:rowOff>0</xdr:rowOff>
    </xdr:to>
    <xdr:sp macro="" textlink="">
      <xdr:nvSpPr>
        <xdr:cNvPr id="809052" name="Line 171">
          <a:extLst>
            <a:ext uri="{FF2B5EF4-FFF2-40B4-BE49-F238E27FC236}">
              <a16:creationId xmlns:a16="http://schemas.microsoft.com/office/drawing/2014/main" id="{00000000-0008-0000-0800-00005C580C00}"/>
            </a:ext>
          </a:extLst>
        </xdr:cNvPr>
        <xdr:cNvSpPr>
          <a:spLocks noChangeShapeType="1"/>
        </xdr:cNvSpPr>
      </xdr:nvSpPr>
      <xdr:spPr bwMode="auto">
        <a:xfrm flipV="1">
          <a:off x="2540000" y="27686000"/>
          <a:ext cx="0" cy="11049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38100</xdr:colOff>
      <xdr:row>203</xdr:row>
      <xdr:rowOff>0</xdr:rowOff>
    </xdr:from>
    <xdr:to>
      <xdr:col>12</xdr:col>
      <xdr:colOff>228600</xdr:colOff>
      <xdr:row>203</xdr:row>
      <xdr:rowOff>0</xdr:rowOff>
    </xdr:to>
    <xdr:sp macro="" textlink="">
      <xdr:nvSpPr>
        <xdr:cNvPr id="809053" name="Line 172">
          <a:extLst>
            <a:ext uri="{FF2B5EF4-FFF2-40B4-BE49-F238E27FC236}">
              <a16:creationId xmlns:a16="http://schemas.microsoft.com/office/drawing/2014/main" id="{00000000-0008-0000-0800-00005D580C00}"/>
            </a:ext>
          </a:extLst>
        </xdr:cNvPr>
        <xdr:cNvSpPr>
          <a:spLocks noChangeShapeType="1"/>
        </xdr:cNvSpPr>
      </xdr:nvSpPr>
      <xdr:spPr bwMode="auto">
        <a:xfrm>
          <a:off x="2387600" y="27724100"/>
          <a:ext cx="1905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38100</xdr:colOff>
      <xdr:row>210</xdr:row>
      <xdr:rowOff>0</xdr:rowOff>
    </xdr:from>
    <xdr:to>
      <xdr:col>12</xdr:col>
      <xdr:colOff>228600</xdr:colOff>
      <xdr:row>210</xdr:row>
      <xdr:rowOff>0</xdr:rowOff>
    </xdr:to>
    <xdr:sp macro="" textlink="">
      <xdr:nvSpPr>
        <xdr:cNvPr id="809054" name="Line 173">
          <a:extLst>
            <a:ext uri="{FF2B5EF4-FFF2-40B4-BE49-F238E27FC236}">
              <a16:creationId xmlns:a16="http://schemas.microsoft.com/office/drawing/2014/main" id="{00000000-0008-0000-0800-00005E580C00}"/>
            </a:ext>
          </a:extLst>
        </xdr:cNvPr>
        <xdr:cNvSpPr>
          <a:spLocks noChangeShapeType="1"/>
        </xdr:cNvSpPr>
      </xdr:nvSpPr>
      <xdr:spPr bwMode="auto">
        <a:xfrm>
          <a:off x="2387600" y="28752800"/>
          <a:ext cx="1905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202</xdr:row>
      <xdr:rowOff>12700</xdr:rowOff>
    </xdr:from>
    <xdr:to>
      <xdr:col>12</xdr:col>
      <xdr:colOff>215900</xdr:colOff>
      <xdr:row>203</xdr:row>
      <xdr:rowOff>25400</xdr:rowOff>
    </xdr:to>
    <xdr:sp macro="" textlink="">
      <xdr:nvSpPr>
        <xdr:cNvPr id="809055" name="Line 174">
          <a:extLst>
            <a:ext uri="{FF2B5EF4-FFF2-40B4-BE49-F238E27FC236}">
              <a16:creationId xmlns:a16="http://schemas.microsoft.com/office/drawing/2014/main" id="{00000000-0008-0000-0800-00005F580C00}"/>
            </a:ext>
          </a:extLst>
        </xdr:cNvPr>
        <xdr:cNvSpPr>
          <a:spLocks noChangeShapeType="1"/>
        </xdr:cNvSpPr>
      </xdr:nvSpPr>
      <xdr:spPr bwMode="auto">
        <a:xfrm flipV="1">
          <a:off x="2514600" y="276987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209</xdr:row>
      <xdr:rowOff>139700</xdr:rowOff>
    </xdr:from>
    <xdr:to>
      <xdr:col>12</xdr:col>
      <xdr:colOff>215900</xdr:colOff>
      <xdr:row>210</xdr:row>
      <xdr:rowOff>25400</xdr:rowOff>
    </xdr:to>
    <xdr:sp macro="" textlink="">
      <xdr:nvSpPr>
        <xdr:cNvPr id="809056" name="Line 175">
          <a:extLst>
            <a:ext uri="{FF2B5EF4-FFF2-40B4-BE49-F238E27FC236}">
              <a16:creationId xmlns:a16="http://schemas.microsoft.com/office/drawing/2014/main" id="{00000000-0008-0000-0800-000060580C00}"/>
            </a:ext>
          </a:extLst>
        </xdr:cNvPr>
        <xdr:cNvSpPr>
          <a:spLocks noChangeShapeType="1"/>
        </xdr:cNvSpPr>
      </xdr:nvSpPr>
      <xdr:spPr bwMode="auto">
        <a:xfrm flipV="1">
          <a:off x="2514600" y="28752800"/>
          <a:ext cx="50800" cy="25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431800</xdr:colOff>
      <xdr:row>229</xdr:row>
      <xdr:rowOff>63500</xdr:rowOff>
    </xdr:from>
    <xdr:to>
      <xdr:col>12</xdr:col>
      <xdr:colOff>25400</xdr:colOff>
      <xdr:row>229</xdr:row>
      <xdr:rowOff>63500</xdr:rowOff>
    </xdr:to>
    <xdr:sp macro="" textlink="">
      <xdr:nvSpPr>
        <xdr:cNvPr id="809057" name="Line 176">
          <a:extLst>
            <a:ext uri="{FF2B5EF4-FFF2-40B4-BE49-F238E27FC236}">
              <a16:creationId xmlns:a16="http://schemas.microsoft.com/office/drawing/2014/main" id="{00000000-0008-0000-0800-000061580C00}"/>
            </a:ext>
          </a:extLst>
        </xdr:cNvPr>
        <xdr:cNvSpPr>
          <a:spLocks noChangeShapeType="1"/>
        </xdr:cNvSpPr>
      </xdr:nvSpPr>
      <xdr:spPr bwMode="auto">
        <a:xfrm>
          <a:off x="812800" y="31584900"/>
          <a:ext cx="15621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4</xdr:col>
      <xdr:colOff>0</xdr:colOff>
      <xdr:row>229</xdr:row>
      <xdr:rowOff>12700</xdr:rowOff>
    </xdr:from>
    <xdr:to>
      <xdr:col>4</xdr:col>
      <xdr:colOff>0</xdr:colOff>
      <xdr:row>232</xdr:row>
      <xdr:rowOff>0</xdr:rowOff>
    </xdr:to>
    <xdr:sp macro="" textlink="">
      <xdr:nvSpPr>
        <xdr:cNvPr id="809058" name="Line 177">
          <a:extLst>
            <a:ext uri="{FF2B5EF4-FFF2-40B4-BE49-F238E27FC236}">
              <a16:creationId xmlns:a16="http://schemas.microsoft.com/office/drawing/2014/main" id="{00000000-0008-0000-0800-000062580C00}"/>
            </a:ext>
          </a:extLst>
        </xdr:cNvPr>
        <xdr:cNvSpPr>
          <a:spLocks noChangeShapeType="1"/>
        </xdr:cNvSpPr>
      </xdr:nvSpPr>
      <xdr:spPr bwMode="auto">
        <a:xfrm flipV="1">
          <a:off x="825500" y="31534100"/>
          <a:ext cx="0" cy="457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0</xdr:colOff>
      <xdr:row>229</xdr:row>
      <xdr:rowOff>12700</xdr:rowOff>
    </xdr:from>
    <xdr:to>
      <xdr:col>12</xdr:col>
      <xdr:colOff>0</xdr:colOff>
      <xdr:row>232</xdr:row>
      <xdr:rowOff>0</xdr:rowOff>
    </xdr:to>
    <xdr:sp macro="" textlink="">
      <xdr:nvSpPr>
        <xdr:cNvPr id="809059" name="Line 178">
          <a:extLst>
            <a:ext uri="{FF2B5EF4-FFF2-40B4-BE49-F238E27FC236}">
              <a16:creationId xmlns:a16="http://schemas.microsoft.com/office/drawing/2014/main" id="{00000000-0008-0000-0800-000063580C00}"/>
            </a:ext>
          </a:extLst>
        </xdr:cNvPr>
        <xdr:cNvSpPr>
          <a:spLocks noChangeShapeType="1"/>
        </xdr:cNvSpPr>
      </xdr:nvSpPr>
      <xdr:spPr bwMode="auto">
        <a:xfrm flipV="1">
          <a:off x="2349500" y="31534100"/>
          <a:ext cx="0" cy="457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0</xdr:colOff>
      <xdr:row>230</xdr:row>
      <xdr:rowOff>0</xdr:rowOff>
    </xdr:from>
    <xdr:to>
      <xdr:col>6</xdr:col>
      <xdr:colOff>0</xdr:colOff>
      <xdr:row>232</xdr:row>
      <xdr:rowOff>0</xdr:rowOff>
    </xdr:to>
    <xdr:sp macro="" textlink="">
      <xdr:nvSpPr>
        <xdr:cNvPr id="809060" name="Line 179">
          <a:extLst>
            <a:ext uri="{FF2B5EF4-FFF2-40B4-BE49-F238E27FC236}">
              <a16:creationId xmlns:a16="http://schemas.microsoft.com/office/drawing/2014/main" id="{00000000-0008-0000-0800-000064580C00}"/>
            </a:ext>
          </a:extLst>
        </xdr:cNvPr>
        <xdr:cNvSpPr>
          <a:spLocks noChangeShapeType="1"/>
        </xdr:cNvSpPr>
      </xdr:nvSpPr>
      <xdr:spPr bwMode="auto">
        <a:xfrm flipV="1">
          <a:off x="901700" y="31686500"/>
          <a:ext cx="0" cy="304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10</xdr:col>
      <xdr:colOff>0</xdr:colOff>
      <xdr:row>230</xdr:row>
      <xdr:rowOff>0</xdr:rowOff>
    </xdr:from>
    <xdr:to>
      <xdr:col>10</xdr:col>
      <xdr:colOff>0</xdr:colOff>
      <xdr:row>232</xdr:row>
      <xdr:rowOff>0</xdr:rowOff>
    </xdr:to>
    <xdr:sp macro="" textlink="">
      <xdr:nvSpPr>
        <xdr:cNvPr id="809061" name="Line 180">
          <a:extLst>
            <a:ext uri="{FF2B5EF4-FFF2-40B4-BE49-F238E27FC236}">
              <a16:creationId xmlns:a16="http://schemas.microsoft.com/office/drawing/2014/main" id="{00000000-0008-0000-0800-000065580C00}"/>
            </a:ext>
          </a:extLst>
        </xdr:cNvPr>
        <xdr:cNvSpPr>
          <a:spLocks noChangeShapeType="1"/>
        </xdr:cNvSpPr>
      </xdr:nvSpPr>
      <xdr:spPr bwMode="auto">
        <a:xfrm flipV="1">
          <a:off x="2273300" y="31686500"/>
          <a:ext cx="0" cy="304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0</xdr:colOff>
      <xdr:row>231</xdr:row>
      <xdr:rowOff>0</xdr:rowOff>
    </xdr:from>
    <xdr:to>
      <xdr:col>11</xdr:col>
      <xdr:colOff>0</xdr:colOff>
      <xdr:row>231</xdr:row>
      <xdr:rowOff>0</xdr:rowOff>
    </xdr:to>
    <xdr:sp macro="" textlink="">
      <xdr:nvSpPr>
        <xdr:cNvPr id="809062" name="Line 181">
          <a:extLst>
            <a:ext uri="{FF2B5EF4-FFF2-40B4-BE49-F238E27FC236}">
              <a16:creationId xmlns:a16="http://schemas.microsoft.com/office/drawing/2014/main" id="{00000000-0008-0000-0800-000066580C00}"/>
            </a:ext>
          </a:extLst>
        </xdr:cNvPr>
        <xdr:cNvSpPr>
          <a:spLocks noChangeShapeType="1"/>
        </xdr:cNvSpPr>
      </xdr:nvSpPr>
      <xdr:spPr bwMode="auto">
        <a:xfrm>
          <a:off x="863600" y="31851600"/>
          <a:ext cx="14478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431800</xdr:colOff>
      <xdr:row>229</xdr:row>
      <xdr:rowOff>38100</xdr:rowOff>
    </xdr:from>
    <xdr:to>
      <xdr:col>4</xdr:col>
      <xdr:colOff>25400</xdr:colOff>
      <xdr:row>229</xdr:row>
      <xdr:rowOff>88900</xdr:rowOff>
    </xdr:to>
    <xdr:sp macro="" textlink="">
      <xdr:nvSpPr>
        <xdr:cNvPr id="809063" name="Line 182">
          <a:extLst>
            <a:ext uri="{FF2B5EF4-FFF2-40B4-BE49-F238E27FC236}">
              <a16:creationId xmlns:a16="http://schemas.microsoft.com/office/drawing/2014/main" id="{00000000-0008-0000-0800-000067580C00}"/>
            </a:ext>
          </a:extLst>
        </xdr:cNvPr>
        <xdr:cNvSpPr>
          <a:spLocks noChangeShapeType="1"/>
        </xdr:cNvSpPr>
      </xdr:nvSpPr>
      <xdr:spPr bwMode="auto">
        <a:xfrm flipV="1">
          <a:off x="812800" y="31559500"/>
          <a:ext cx="381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11</xdr:col>
      <xdr:colOff>12700</xdr:colOff>
      <xdr:row>229</xdr:row>
      <xdr:rowOff>38100</xdr:rowOff>
    </xdr:from>
    <xdr:to>
      <xdr:col>12</xdr:col>
      <xdr:colOff>25400</xdr:colOff>
      <xdr:row>229</xdr:row>
      <xdr:rowOff>88900</xdr:rowOff>
    </xdr:to>
    <xdr:sp macro="" textlink="">
      <xdr:nvSpPr>
        <xdr:cNvPr id="809064" name="Line 183">
          <a:extLst>
            <a:ext uri="{FF2B5EF4-FFF2-40B4-BE49-F238E27FC236}">
              <a16:creationId xmlns:a16="http://schemas.microsoft.com/office/drawing/2014/main" id="{00000000-0008-0000-0800-000068580C00}"/>
            </a:ext>
          </a:extLst>
        </xdr:cNvPr>
        <xdr:cNvSpPr>
          <a:spLocks noChangeShapeType="1"/>
        </xdr:cNvSpPr>
      </xdr:nvSpPr>
      <xdr:spPr bwMode="auto">
        <a:xfrm flipV="1">
          <a:off x="2324100" y="315595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12700</xdr:colOff>
      <xdr:row>230</xdr:row>
      <xdr:rowOff>114300</xdr:rowOff>
    </xdr:from>
    <xdr:to>
      <xdr:col>6</xdr:col>
      <xdr:colOff>25400</xdr:colOff>
      <xdr:row>231</xdr:row>
      <xdr:rowOff>25400</xdr:rowOff>
    </xdr:to>
    <xdr:sp macro="" textlink="">
      <xdr:nvSpPr>
        <xdr:cNvPr id="809065" name="Line 184">
          <a:extLst>
            <a:ext uri="{FF2B5EF4-FFF2-40B4-BE49-F238E27FC236}">
              <a16:creationId xmlns:a16="http://schemas.microsoft.com/office/drawing/2014/main" id="{00000000-0008-0000-0800-000069580C00}"/>
            </a:ext>
          </a:extLst>
        </xdr:cNvPr>
        <xdr:cNvSpPr>
          <a:spLocks noChangeShapeType="1"/>
        </xdr:cNvSpPr>
      </xdr:nvSpPr>
      <xdr:spPr bwMode="auto">
        <a:xfrm flipV="1">
          <a:off x="876300" y="318008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9</xdr:col>
      <xdr:colOff>647700</xdr:colOff>
      <xdr:row>230</xdr:row>
      <xdr:rowOff>114300</xdr:rowOff>
    </xdr:from>
    <xdr:to>
      <xdr:col>10</xdr:col>
      <xdr:colOff>25400</xdr:colOff>
      <xdr:row>231</xdr:row>
      <xdr:rowOff>25400</xdr:rowOff>
    </xdr:to>
    <xdr:sp macro="" textlink="">
      <xdr:nvSpPr>
        <xdr:cNvPr id="809066" name="Line 185">
          <a:extLst>
            <a:ext uri="{FF2B5EF4-FFF2-40B4-BE49-F238E27FC236}">
              <a16:creationId xmlns:a16="http://schemas.microsoft.com/office/drawing/2014/main" id="{00000000-0008-0000-0800-00006A580C00}"/>
            </a:ext>
          </a:extLst>
        </xdr:cNvPr>
        <xdr:cNvSpPr>
          <a:spLocks noChangeShapeType="1"/>
        </xdr:cNvSpPr>
      </xdr:nvSpPr>
      <xdr:spPr bwMode="auto">
        <a:xfrm flipV="1">
          <a:off x="2273300" y="31800800"/>
          <a:ext cx="254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76200</xdr:colOff>
      <xdr:row>243</xdr:row>
      <xdr:rowOff>0</xdr:rowOff>
    </xdr:from>
    <xdr:to>
      <xdr:col>3</xdr:col>
      <xdr:colOff>431800</xdr:colOff>
      <xdr:row>243</xdr:row>
      <xdr:rowOff>0</xdr:rowOff>
    </xdr:to>
    <xdr:sp macro="" textlink="">
      <xdr:nvSpPr>
        <xdr:cNvPr id="809067" name="Line 186">
          <a:extLst>
            <a:ext uri="{FF2B5EF4-FFF2-40B4-BE49-F238E27FC236}">
              <a16:creationId xmlns:a16="http://schemas.microsoft.com/office/drawing/2014/main" id="{00000000-0008-0000-0800-00006B580C00}"/>
            </a:ext>
          </a:extLst>
        </xdr:cNvPr>
        <xdr:cNvSpPr>
          <a:spLocks noChangeShapeType="1"/>
        </xdr:cNvSpPr>
      </xdr:nvSpPr>
      <xdr:spPr bwMode="auto">
        <a:xfrm flipH="1">
          <a:off x="457200" y="33299400"/>
          <a:ext cx="3556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76200</xdr:colOff>
      <xdr:row>233</xdr:row>
      <xdr:rowOff>0</xdr:rowOff>
    </xdr:from>
    <xdr:to>
      <xdr:col>3</xdr:col>
      <xdr:colOff>419100</xdr:colOff>
      <xdr:row>233</xdr:row>
      <xdr:rowOff>0</xdr:rowOff>
    </xdr:to>
    <xdr:sp macro="" textlink="">
      <xdr:nvSpPr>
        <xdr:cNvPr id="809068" name="Line 187">
          <a:extLst>
            <a:ext uri="{FF2B5EF4-FFF2-40B4-BE49-F238E27FC236}">
              <a16:creationId xmlns:a16="http://schemas.microsoft.com/office/drawing/2014/main" id="{00000000-0008-0000-0800-00006C580C00}"/>
            </a:ext>
          </a:extLst>
        </xdr:cNvPr>
        <xdr:cNvSpPr>
          <a:spLocks noChangeShapeType="1"/>
        </xdr:cNvSpPr>
      </xdr:nvSpPr>
      <xdr:spPr bwMode="auto">
        <a:xfrm flipH="1">
          <a:off x="457200" y="32156400"/>
          <a:ext cx="3429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165100</xdr:colOff>
      <xdr:row>232</xdr:row>
      <xdr:rowOff>114300</xdr:rowOff>
    </xdr:from>
    <xdr:to>
      <xdr:col>3</xdr:col>
      <xdr:colOff>165100</xdr:colOff>
      <xdr:row>243</xdr:row>
      <xdr:rowOff>0</xdr:rowOff>
    </xdr:to>
    <xdr:sp macro="" textlink="">
      <xdr:nvSpPr>
        <xdr:cNvPr id="809069" name="Line 188">
          <a:extLst>
            <a:ext uri="{FF2B5EF4-FFF2-40B4-BE49-F238E27FC236}">
              <a16:creationId xmlns:a16="http://schemas.microsoft.com/office/drawing/2014/main" id="{00000000-0008-0000-0800-00006D580C00}"/>
            </a:ext>
          </a:extLst>
        </xdr:cNvPr>
        <xdr:cNvSpPr>
          <a:spLocks noChangeShapeType="1"/>
        </xdr:cNvSpPr>
      </xdr:nvSpPr>
      <xdr:spPr bwMode="auto">
        <a:xfrm flipV="1">
          <a:off x="546100" y="32105600"/>
          <a:ext cx="0" cy="1193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139700</xdr:colOff>
      <xdr:row>232</xdr:row>
      <xdr:rowOff>114300</xdr:rowOff>
    </xdr:from>
    <xdr:to>
      <xdr:col>3</xdr:col>
      <xdr:colOff>190500</xdr:colOff>
      <xdr:row>233</xdr:row>
      <xdr:rowOff>25400</xdr:rowOff>
    </xdr:to>
    <xdr:sp macro="" textlink="">
      <xdr:nvSpPr>
        <xdr:cNvPr id="809070" name="Line 189">
          <a:extLst>
            <a:ext uri="{FF2B5EF4-FFF2-40B4-BE49-F238E27FC236}">
              <a16:creationId xmlns:a16="http://schemas.microsoft.com/office/drawing/2014/main" id="{00000000-0008-0000-0800-00006E580C00}"/>
            </a:ext>
          </a:extLst>
        </xdr:cNvPr>
        <xdr:cNvSpPr>
          <a:spLocks noChangeShapeType="1"/>
        </xdr:cNvSpPr>
      </xdr:nvSpPr>
      <xdr:spPr bwMode="auto">
        <a:xfrm flipH="1" flipV="1">
          <a:off x="520700" y="321056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139700</xdr:colOff>
      <xdr:row>242</xdr:row>
      <xdr:rowOff>12700</xdr:rowOff>
    </xdr:from>
    <xdr:to>
      <xdr:col>3</xdr:col>
      <xdr:colOff>190500</xdr:colOff>
      <xdr:row>243</xdr:row>
      <xdr:rowOff>0</xdr:rowOff>
    </xdr:to>
    <xdr:sp macro="" textlink="">
      <xdr:nvSpPr>
        <xdr:cNvPr id="809071" name="Line 190">
          <a:extLst>
            <a:ext uri="{FF2B5EF4-FFF2-40B4-BE49-F238E27FC236}">
              <a16:creationId xmlns:a16="http://schemas.microsoft.com/office/drawing/2014/main" id="{00000000-0008-0000-0800-00006F580C00}"/>
            </a:ext>
          </a:extLst>
        </xdr:cNvPr>
        <xdr:cNvSpPr>
          <a:spLocks noChangeShapeType="1"/>
        </xdr:cNvSpPr>
      </xdr:nvSpPr>
      <xdr:spPr bwMode="auto">
        <a:xfrm flipH="1" flipV="1">
          <a:off x="520700" y="33274000"/>
          <a:ext cx="50800" cy="25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190500</xdr:colOff>
      <xdr:row>234</xdr:row>
      <xdr:rowOff>0</xdr:rowOff>
    </xdr:from>
    <xdr:to>
      <xdr:col>12</xdr:col>
      <xdr:colOff>190500</xdr:colOff>
      <xdr:row>243</xdr:row>
      <xdr:rowOff>0</xdr:rowOff>
    </xdr:to>
    <xdr:sp macro="" textlink="">
      <xdr:nvSpPr>
        <xdr:cNvPr id="809072" name="Line 191">
          <a:extLst>
            <a:ext uri="{FF2B5EF4-FFF2-40B4-BE49-F238E27FC236}">
              <a16:creationId xmlns:a16="http://schemas.microsoft.com/office/drawing/2014/main" id="{00000000-0008-0000-0800-000070580C00}"/>
            </a:ext>
          </a:extLst>
        </xdr:cNvPr>
        <xdr:cNvSpPr>
          <a:spLocks noChangeShapeType="1"/>
        </xdr:cNvSpPr>
      </xdr:nvSpPr>
      <xdr:spPr bwMode="auto">
        <a:xfrm flipV="1">
          <a:off x="2540000" y="32194500"/>
          <a:ext cx="0" cy="11049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38100</xdr:colOff>
      <xdr:row>235</xdr:row>
      <xdr:rowOff>0</xdr:rowOff>
    </xdr:from>
    <xdr:to>
      <xdr:col>12</xdr:col>
      <xdr:colOff>228600</xdr:colOff>
      <xdr:row>235</xdr:row>
      <xdr:rowOff>0</xdr:rowOff>
    </xdr:to>
    <xdr:sp macro="" textlink="">
      <xdr:nvSpPr>
        <xdr:cNvPr id="809073" name="Line 192">
          <a:extLst>
            <a:ext uri="{FF2B5EF4-FFF2-40B4-BE49-F238E27FC236}">
              <a16:creationId xmlns:a16="http://schemas.microsoft.com/office/drawing/2014/main" id="{00000000-0008-0000-0800-000071580C00}"/>
            </a:ext>
          </a:extLst>
        </xdr:cNvPr>
        <xdr:cNvSpPr>
          <a:spLocks noChangeShapeType="1"/>
        </xdr:cNvSpPr>
      </xdr:nvSpPr>
      <xdr:spPr bwMode="auto">
        <a:xfrm>
          <a:off x="2387600" y="32232600"/>
          <a:ext cx="1905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38100</xdr:colOff>
      <xdr:row>242</xdr:row>
      <xdr:rowOff>0</xdr:rowOff>
    </xdr:from>
    <xdr:to>
      <xdr:col>12</xdr:col>
      <xdr:colOff>228600</xdr:colOff>
      <xdr:row>242</xdr:row>
      <xdr:rowOff>0</xdr:rowOff>
    </xdr:to>
    <xdr:sp macro="" textlink="">
      <xdr:nvSpPr>
        <xdr:cNvPr id="809074" name="Line 193">
          <a:extLst>
            <a:ext uri="{FF2B5EF4-FFF2-40B4-BE49-F238E27FC236}">
              <a16:creationId xmlns:a16="http://schemas.microsoft.com/office/drawing/2014/main" id="{00000000-0008-0000-0800-000072580C00}"/>
            </a:ext>
          </a:extLst>
        </xdr:cNvPr>
        <xdr:cNvSpPr>
          <a:spLocks noChangeShapeType="1"/>
        </xdr:cNvSpPr>
      </xdr:nvSpPr>
      <xdr:spPr bwMode="auto">
        <a:xfrm>
          <a:off x="2387600" y="33261300"/>
          <a:ext cx="1905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234</xdr:row>
      <xdr:rowOff>12700</xdr:rowOff>
    </xdr:from>
    <xdr:to>
      <xdr:col>12</xdr:col>
      <xdr:colOff>215900</xdr:colOff>
      <xdr:row>235</xdr:row>
      <xdr:rowOff>25400</xdr:rowOff>
    </xdr:to>
    <xdr:sp macro="" textlink="">
      <xdr:nvSpPr>
        <xdr:cNvPr id="809075" name="Line 194">
          <a:extLst>
            <a:ext uri="{FF2B5EF4-FFF2-40B4-BE49-F238E27FC236}">
              <a16:creationId xmlns:a16="http://schemas.microsoft.com/office/drawing/2014/main" id="{00000000-0008-0000-0800-000073580C00}"/>
            </a:ext>
          </a:extLst>
        </xdr:cNvPr>
        <xdr:cNvSpPr>
          <a:spLocks noChangeShapeType="1"/>
        </xdr:cNvSpPr>
      </xdr:nvSpPr>
      <xdr:spPr bwMode="auto">
        <a:xfrm flipV="1">
          <a:off x="2514600" y="322072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241</xdr:row>
      <xdr:rowOff>38100</xdr:rowOff>
    </xdr:from>
    <xdr:to>
      <xdr:col>12</xdr:col>
      <xdr:colOff>215900</xdr:colOff>
      <xdr:row>242</xdr:row>
      <xdr:rowOff>25400</xdr:rowOff>
    </xdr:to>
    <xdr:sp macro="" textlink="">
      <xdr:nvSpPr>
        <xdr:cNvPr id="809076" name="Line 195">
          <a:extLst>
            <a:ext uri="{FF2B5EF4-FFF2-40B4-BE49-F238E27FC236}">
              <a16:creationId xmlns:a16="http://schemas.microsoft.com/office/drawing/2014/main" id="{00000000-0008-0000-0800-000074580C00}"/>
            </a:ext>
          </a:extLst>
        </xdr:cNvPr>
        <xdr:cNvSpPr>
          <a:spLocks noChangeShapeType="1"/>
        </xdr:cNvSpPr>
      </xdr:nvSpPr>
      <xdr:spPr bwMode="auto">
        <a:xfrm flipV="1">
          <a:off x="2514600" y="332359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431800</xdr:colOff>
      <xdr:row>252</xdr:row>
      <xdr:rowOff>63500</xdr:rowOff>
    </xdr:from>
    <xdr:to>
      <xdr:col>12</xdr:col>
      <xdr:colOff>25400</xdr:colOff>
      <xdr:row>252</xdr:row>
      <xdr:rowOff>63500</xdr:rowOff>
    </xdr:to>
    <xdr:sp macro="" textlink="">
      <xdr:nvSpPr>
        <xdr:cNvPr id="809077" name="Line 196">
          <a:extLst>
            <a:ext uri="{FF2B5EF4-FFF2-40B4-BE49-F238E27FC236}">
              <a16:creationId xmlns:a16="http://schemas.microsoft.com/office/drawing/2014/main" id="{00000000-0008-0000-0800-000075580C00}"/>
            </a:ext>
          </a:extLst>
        </xdr:cNvPr>
        <xdr:cNvSpPr>
          <a:spLocks noChangeShapeType="1"/>
        </xdr:cNvSpPr>
      </xdr:nvSpPr>
      <xdr:spPr bwMode="auto">
        <a:xfrm>
          <a:off x="812800" y="34759900"/>
          <a:ext cx="15621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4</xdr:col>
      <xdr:colOff>0</xdr:colOff>
      <xdr:row>252</xdr:row>
      <xdr:rowOff>12700</xdr:rowOff>
    </xdr:from>
    <xdr:to>
      <xdr:col>4</xdr:col>
      <xdr:colOff>0</xdr:colOff>
      <xdr:row>255</xdr:row>
      <xdr:rowOff>0</xdr:rowOff>
    </xdr:to>
    <xdr:sp macro="" textlink="">
      <xdr:nvSpPr>
        <xdr:cNvPr id="809078" name="Line 197">
          <a:extLst>
            <a:ext uri="{FF2B5EF4-FFF2-40B4-BE49-F238E27FC236}">
              <a16:creationId xmlns:a16="http://schemas.microsoft.com/office/drawing/2014/main" id="{00000000-0008-0000-0800-000076580C00}"/>
            </a:ext>
          </a:extLst>
        </xdr:cNvPr>
        <xdr:cNvSpPr>
          <a:spLocks noChangeShapeType="1"/>
        </xdr:cNvSpPr>
      </xdr:nvSpPr>
      <xdr:spPr bwMode="auto">
        <a:xfrm flipV="1">
          <a:off x="825500" y="34709100"/>
          <a:ext cx="0" cy="457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0</xdr:colOff>
      <xdr:row>252</xdr:row>
      <xdr:rowOff>12700</xdr:rowOff>
    </xdr:from>
    <xdr:to>
      <xdr:col>12</xdr:col>
      <xdr:colOff>0</xdr:colOff>
      <xdr:row>255</xdr:row>
      <xdr:rowOff>0</xdr:rowOff>
    </xdr:to>
    <xdr:sp macro="" textlink="">
      <xdr:nvSpPr>
        <xdr:cNvPr id="809079" name="Line 198">
          <a:extLst>
            <a:ext uri="{FF2B5EF4-FFF2-40B4-BE49-F238E27FC236}">
              <a16:creationId xmlns:a16="http://schemas.microsoft.com/office/drawing/2014/main" id="{00000000-0008-0000-0800-000077580C00}"/>
            </a:ext>
          </a:extLst>
        </xdr:cNvPr>
        <xdr:cNvSpPr>
          <a:spLocks noChangeShapeType="1"/>
        </xdr:cNvSpPr>
      </xdr:nvSpPr>
      <xdr:spPr bwMode="auto">
        <a:xfrm flipV="1">
          <a:off x="2349500" y="34709100"/>
          <a:ext cx="0" cy="457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0</xdr:colOff>
      <xdr:row>253</xdr:row>
      <xdr:rowOff>0</xdr:rowOff>
    </xdr:from>
    <xdr:to>
      <xdr:col>6</xdr:col>
      <xdr:colOff>0</xdr:colOff>
      <xdr:row>255</xdr:row>
      <xdr:rowOff>0</xdr:rowOff>
    </xdr:to>
    <xdr:sp macro="" textlink="">
      <xdr:nvSpPr>
        <xdr:cNvPr id="809080" name="Line 199">
          <a:extLst>
            <a:ext uri="{FF2B5EF4-FFF2-40B4-BE49-F238E27FC236}">
              <a16:creationId xmlns:a16="http://schemas.microsoft.com/office/drawing/2014/main" id="{00000000-0008-0000-0800-000078580C00}"/>
            </a:ext>
          </a:extLst>
        </xdr:cNvPr>
        <xdr:cNvSpPr>
          <a:spLocks noChangeShapeType="1"/>
        </xdr:cNvSpPr>
      </xdr:nvSpPr>
      <xdr:spPr bwMode="auto">
        <a:xfrm flipV="1">
          <a:off x="901700" y="34861500"/>
          <a:ext cx="0" cy="304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10</xdr:col>
      <xdr:colOff>0</xdr:colOff>
      <xdr:row>253</xdr:row>
      <xdr:rowOff>0</xdr:rowOff>
    </xdr:from>
    <xdr:to>
      <xdr:col>10</xdr:col>
      <xdr:colOff>0</xdr:colOff>
      <xdr:row>255</xdr:row>
      <xdr:rowOff>0</xdr:rowOff>
    </xdr:to>
    <xdr:sp macro="" textlink="">
      <xdr:nvSpPr>
        <xdr:cNvPr id="809081" name="Line 200">
          <a:extLst>
            <a:ext uri="{FF2B5EF4-FFF2-40B4-BE49-F238E27FC236}">
              <a16:creationId xmlns:a16="http://schemas.microsoft.com/office/drawing/2014/main" id="{00000000-0008-0000-0800-000079580C00}"/>
            </a:ext>
          </a:extLst>
        </xdr:cNvPr>
        <xdr:cNvSpPr>
          <a:spLocks noChangeShapeType="1"/>
        </xdr:cNvSpPr>
      </xdr:nvSpPr>
      <xdr:spPr bwMode="auto">
        <a:xfrm flipV="1">
          <a:off x="2273300" y="34861500"/>
          <a:ext cx="0" cy="304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0</xdr:colOff>
      <xdr:row>254</xdr:row>
      <xdr:rowOff>0</xdr:rowOff>
    </xdr:from>
    <xdr:to>
      <xdr:col>11</xdr:col>
      <xdr:colOff>0</xdr:colOff>
      <xdr:row>254</xdr:row>
      <xdr:rowOff>0</xdr:rowOff>
    </xdr:to>
    <xdr:sp macro="" textlink="">
      <xdr:nvSpPr>
        <xdr:cNvPr id="809082" name="Line 201">
          <a:extLst>
            <a:ext uri="{FF2B5EF4-FFF2-40B4-BE49-F238E27FC236}">
              <a16:creationId xmlns:a16="http://schemas.microsoft.com/office/drawing/2014/main" id="{00000000-0008-0000-0800-00007A580C00}"/>
            </a:ext>
          </a:extLst>
        </xdr:cNvPr>
        <xdr:cNvSpPr>
          <a:spLocks noChangeShapeType="1"/>
        </xdr:cNvSpPr>
      </xdr:nvSpPr>
      <xdr:spPr bwMode="auto">
        <a:xfrm>
          <a:off x="863600" y="35026600"/>
          <a:ext cx="14478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431800</xdr:colOff>
      <xdr:row>252</xdr:row>
      <xdr:rowOff>38100</xdr:rowOff>
    </xdr:from>
    <xdr:to>
      <xdr:col>4</xdr:col>
      <xdr:colOff>25400</xdr:colOff>
      <xdr:row>252</xdr:row>
      <xdr:rowOff>88900</xdr:rowOff>
    </xdr:to>
    <xdr:sp macro="" textlink="">
      <xdr:nvSpPr>
        <xdr:cNvPr id="809083" name="Line 202">
          <a:extLst>
            <a:ext uri="{FF2B5EF4-FFF2-40B4-BE49-F238E27FC236}">
              <a16:creationId xmlns:a16="http://schemas.microsoft.com/office/drawing/2014/main" id="{00000000-0008-0000-0800-00007B580C00}"/>
            </a:ext>
          </a:extLst>
        </xdr:cNvPr>
        <xdr:cNvSpPr>
          <a:spLocks noChangeShapeType="1"/>
        </xdr:cNvSpPr>
      </xdr:nvSpPr>
      <xdr:spPr bwMode="auto">
        <a:xfrm flipV="1">
          <a:off x="812800" y="34734500"/>
          <a:ext cx="381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11</xdr:col>
      <xdr:colOff>12700</xdr:colOff>
      <xdr:row>252</xdr:row>
      <xdr:rowOff>38100</xdr:rowOff>
    </xdr:from>
    <xdr:to>
      <xdr:col>12</xdr:col>
      <xdr:colOff>25400</xdr:colOff>
      <xdr:row>252</xdr:row>
      <xdr:rowOff>88900</xdr:rowOff>
    </xdr:to>
    <xdr:sp macro="" textlink="">
      <xdr:nvSpPr>
        <xdr:cNvPr id="809084" name="Line 203">
          <a:extLst>
            <a:ext uri="{FF2B5EF4-FFF2-40B4-BE49-F238E27FC236}">
              <a16:creationId xmlns:a16="http://schemas.microsoft.com/office/drawing/2014/main" id="{00000000-0008-0000-0800-00007C580C00}"/>
            </a:ext>
          </a:extLst>
        </xdr:cNvPr>
        <xdr:cNvSpPr>
          <a:spLocks noChangeShapeType="1"/>
        </xdr:cNvSpPr>
      </xdr:nvSpPr>
      <xdr:spPr bwMode="auto">
        <a:xfrm flipV="1">
          <a:off x="2324100" y="347345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12700</xdr:colOff>
      <xdr:row>253</xdr:row>
      <xdr:rowOff>114300</xdr:rowOff>
    </xdr:from>
    <xdr:to>
      <xdr:col>6</xdr:col>
      <xdr:colOff>25400</xdr:colOff>
      <xdr:row>254</xdr:row>
      <xdr:rowOff>25400</xdr:rowOff>
    </xdr:to>
    <xdr:sp macro="" textlink="">
      <xdr:nvSpPr>
        <xdr:cNvPr id="809085" name="Line 204">
          <a:extLst>
            <a:ext uri="{FF2B5EF4-FFF2-40B4-BE49-F238E27FC236}">
              <a16:creationId xmlns:a16="http://schemas.microsoft.com/office/drawing/2014/main" id="{00000000-0008-0000-0800-00007D580C00}"/>
            </a:ext>
          </a:extLst>
        </xdr:cNvPr>
        <xdr:cNvSpPr>
          <a:spLocks noChangeShapeType="1"/>
        </xdr:cNvSpPr>
      </xdr:nvSpPr>
      <xdr:spPr bwMode="auto">
        <a:xfrm flipV="1">
          <a:off x="876300" y="349758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9</xdr:col>
      <xdr:colOff>647700</xdr:colOff>
      <xdr:row>253</xdr:row>
      <xdr:rowOff>114300</xdr:rowOff>
    </xdr:from>
    <xdr:to>
      <xdr:col>10</xdr:col>
      <xdr:colOff>25400</xdr:colOff>
      <xdr:row>254</xdr:row>
      <xdr:rowOff>25400</xdr:rowOff>
    </xdr:to>
    <xdr:sp macro="" textlink="">
      <xdr:nvSpPr>
        <xdr:cNvPr id="809086" name="Line 205">
          <a:extLst>
            <a:ext uri="{FF2B5EF4-FFF2-40B4-BE49-F238E27FC236}">
              <a16:creationId xmlns:a16="http://schemas.microsoft.com/office/drawing/2014/main" id="{00000000-0008-0000-0800-00007E580C00}"/>
            </a:ext>
          </a:extLst>
        </xdr:cNvPr>
        <xdr:cNvSpPr>
          <a:spLocks noChangeShapeType="1"/>
        </xdr:cNvSpPr>
      </xdr:nvSpPr>
      <xdr:spPr bwMode="auto">
        <a:xfrm flipV="1">
          <a:off x="2273300" y="34975800"/>
          <a:ext cx="254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76200</xdr:colOff>
      <xdr:row>266</xdr:row>
      <xdr:rowOff>0</xdr:rowOff>
    </xdr:from>
    <xdr:to>
      <xdr:col>3</xdr:col>
      <xdr:colOff>431800</xdr:colOff>
      <xdr:row>266</xdr:row>
      <xdr:rowOff>0</xdr:rowOff>
    </xdr:to>
    <xdr:sp macro="" textlink="">
      <xdr:nvSpPr>
        <xdr:cNvPr id="809087" name="Line 206">
          <a:extLst>
            <a:ext uri="{FF2B5EF4-FFF2-40B4-BE49-F238E27FC236}">
              <a16:creationId xmlns:a16="http://schemas.microsoft.com/office/drawing/2014/main" id="{00000000-0008-0000-0800-00007F580C00}"/>
            </a:ext>
          </a:extLst>
        </xdr:cNvPr>
        <xdr:cNvSpPr>
          <a:spLocks noChangeShapeType="1"/>
        </xdr:cNvSpPr>
      </xdr:nvSpPr>
      <xdr:spPr bwMode="auto">
        <a:xfrm flipH="1">
          <a:off x="457200" y="36474400"/>
          <a:ext cx="3556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76200</xdr:colOff>
      <xdr:row>256</xdr:row>
      <xdr:rowOff>0</xdr:rowOff>
    </xdr:from>
    <xdr:to>
      <xdr:col>3</xdr:col>
      <xdr:colOff>419100</xdr:colOff>
      <xdr:row>256</xdr:row>
      <xdr:rowOff>0</xdr:rowOff>
    </xdr:to>
    <xdr:sp macro="" textlink="">
      <xdr:nvSpPr>
        <xdr:cNvPr id="809088" name="Line 207">
          <a:extLst>
            <a:ext uri="{FF2B5EF4-FFF2-40B4-BE49-F238E27FC236}">
              <a16:creationId xmlns:a16="http://schemas.microsoft.com/office/drawing/2014/main" id="{00000000-0008-0000-0800-000080580C00}"/>
            </a:ext>
          </a:extLst>
        </xdr:cNvPr>
        <xdr:cNvSpPr>
          <a:spLocks noChangeShapeType="1"/>
        </xdr:cNvSpPr>
      </xdr:nvSpPr>
      <xdr:spPr bwMode="auto">
        <a:xfrm flipH="1">
          <a:off x="457200" y="35331400"/>
          <a:ext cx="3429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165100</xdr:colOff>
      <xdr:row>255</xdr:row>
      <xdr:rowOff>114300</xdr:rowOff>
    </xdr:from>
    <xdr:to>
      <xdr:col>3</xdr:col>
      <xdr:colOff>165100</xdr:colOff>
      <xdr:row>266</xdr:row>
      <xdr:rowOff>0</xdr:rowOff>
    </xdr:to>
    <xdr:sp macro="" textlink="">
      <xdr:nvSpPr>
        <xdr:cNvPr id="809089" name="Line 208">
          <a:extLst>
            <a:ext uri="{FF2B5EF4-FFF2-40B4-BE49-F238E27FC236}">
              <a16:creationId xmlns:a16="http://schemas.microsoft.com/office/drawing/2014/main" id="{00000000-0008-0000-0800-000081580C00}"/>
            </a:ext>
          </a:extLst>
        </xdr:cNvPr>
        <xdr:cNvSpPr>
          <a:spLocks noChangeShapeType="1"/>
        </xdr:cNvSpPr>
      </xdr:nvSpPr>
      <xdr:spPr bwMode="auto">
        <a:xfrm flipV="1">
          <a:off x="546100" y="35280600"/>
          <a:ext cx="0" cy="1193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139700</xdr:colOff>
      <xdr:row>255</xdr:row>
      <xdr:rowOff>114300</xdr:rowOff>
    </xdr:from>
    <xdr:to>
      <xdr:col>3</xdr:col>
      <xdr:colOff>190500</xdr:colOff>
      <xdr:row>256</xdr:row>
      <xdr:rowOff>25400</xdr:rowOff>
    </xdr:to>
    <xdr:sp macro="" textlink="">
      <xdr:nvSpPr>
        <xdr:cNvPr id="809090" name="Line 209">
          <a:extLst>
            <a:ext uri="{FF2B5EF4-FFF2-40B4-BE49-F238E27FC236}">
              <a16:creationId xmlns:a16="http://schemas.microsoft.com/office/drawing/2014/main" id="{00000000-0008-0000-0800-000082580C00}"/>
            </a:ext>
          </a:extLst>
        </xdr:cNvPr>
        <xdr:cNvSpPr>
          <a:spLocks noChangeShapeType="1"/>
        </xdr:cNvSpPr>
      </xdr:nvSpPr>
      <xdr:spPr bwMode="auto">
        <a:xfrm flipH="1" flipV="1">
          <a:off x="520700" y="352806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139700</xdr:colOff>
      <xdr:row>265</xdr:row>
      <xdr:rowOff>12700</xdr:rowOff>
    </xdr:from>
    <xdr:to>
      <xdr:col>3</xdr:col>
      <xdr:colOff>190500</xdr:colOff>
      <xdr:row>266</xdr:row>
      <xdr:rowOff>0</xdr:rowOff>
    </xdr:to>
    <xdr:sp macro="" textlink="">
      <xdr:nvSpPr>
        <xdr:cNvPr id="809091" name="Line 210">
          <a:extLst>
            <a:ext uri="{FF2B5EF4-FFF2-40B4-BE49-F238E27FC236}">
              <a16:creationId xmlns:a16="http://schemas.microsoft.com/office/drawing/2014/main" id="{00000000-0008-0000-0800-000083580C00}"/>
            </a:ext>
          </a:extLst>
        </xdr:cNvPr>
        <xdr:cNvSpPr>
          <a:spLocks noChangeShapeType="1"/>
        </xdr:cNvSpPr>
      </xdr:nvSpPr>
      <xdr:spPr bwMode="auto">
        <a:xfrm flipH="1" flipV="1">
          <a:off x="520700" y="36449000"/>
          <a:ext cx="50800" cy="25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190500</xdr:colOff>
      <xdr:row>257</xdr:row>
      <xdr:rowOff>0</xdr:rowOff>
    </xdr:from>
    <xdr:to>
      <xdr:col>12</xdr:col>
      <xdr:colOff>190500</xdr:colOff>
      <xdr:row>266</xdr:row>
      <xdr:rowOff>0</xdr:rowOff>
    </xdr:to>
    <xdr:sp macro="" textlink="">
      <xdr:nvSpPr>
        <xdr:cNvPr id="809092" name="Line 211">
          <a:extLst>
            <a:ext uri="{FF2B5EF4-FFF2-40B4-BE49-F238E27FC236}">
              <a16:creationId xmlns:a16="http://schemas.microsoft.com/office/drawing/2014/main" id="{00000000-0008-0000-0800-000084580C00}"/>
            </a:ext>
          </a:extLst>
        </xdr:cNvPr>
        <xdr:cNvSpPr>
          <a:spLocks noChangeShapeType="1"/>
        </xdr:cNvSpPr>
      </xdr:nvSpPr>
      <xdr:spPr bwMode="auto">
        <a:xfrm flipV="1">
          <a:off x="2540000" y="35369500"/>
          <a:ext cx="0" cy="11049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38100</xdr:colOff>
      <xdr:row>258</xdr:row>
      <xdr:rowOff>0</xdr:rowOff>
    </xdr:from>
    <xdr:to>
      <xdr:col>12</xdr:col>
      <xdr:colOff>228600</xdr:colOff>
      <xdr:row>258</xdr:row>
      <xdr:rowOff>0</xdr:rowOff>
    </xdr:to>
    <xdr:sp macro="" textlink="">
      <xdr:nvSpPr>
        <xdr:cNvPr id="809093" name="Line 212">
          <a:extLst>
            <a:ext uri="{FF2B5EF4-FFF2-40B4-BE49-F238E27FC236}">
              <a16:creationId xmlns:a16="http://schemas.microsoft.com/office/drawing/2014/main" id="{00000000-0008-0000-0800-000085580C00}"/>
            </a:ext>
          </a:extLst>
        </xdr:cNvPr>
        <xdr:cNvSpPr>
          <a:spLocks noChangeShapeType="1"/>
        </xdr:cNvSpPr>
      </xdr:nvSpPr>
      <xdr:spPr bwMode="auto">
        <a:xfrm>
          <a:off x="2387600" y="35407600"/>
          <a:ext cx="1905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38100</xdr:colOff>
      <xdr:row>265</xdr:row>
      <xdr:rowOff>0</xdr:rowOff>
    </xdr:from>
    <xdr:to>
      <xdr:col>12</xdr:col>
      <xdr:colOff>228600</xdr:colOff>
      <xdr:row>265</xdr:row>
      <xdr:rowOff>0</xdr:rowOff>
    </xdr:to>
    <xdr:sp macro="" textlink="">
      <xdr:nvSpPr>
        <xdr:cNvPr id="809094" name="Line 213">
          <a:extLst>
            <a:ext uri="{FF2B5EF4-FFF2-40B4-BE49-F238E27FC236}">
              <a16:creationId xmlns:a16="http://schemas.microsoft.com/office/drawing/2014/main" id="{00000000-0008-0000-0800-000086580C00}"/>
            </a:ext>
          </a:extLst>
        </xdr:cNvPr>
        <xdr:cNvSpPr>
          <a:spLocks noChangeShapeType="1"/>
        </xdr:cNvSpPr>
      </xdr:nvSpPr>
      <xdr:spPr bwMode="auto">
        <a:xfrm>
          <a:off x="2387600" y="36436300"/>
          <a:ext cx="1905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257</xdr:row>
      <xdr:rowOff>12700</xdr:rowOff>
    </xdr:from>
    <xdr:to>
      <xdr:col>12</xdr:col>
      <xdr:colOff>215900</xdr:colOff>
      <xdr:row>258</xdr:row>
      <xdr:rowOff>25400</xdr:rowOff>
    </xdr:to>
    <xdr:sp macro="" textlink="">
      <xdr:nvSpPr>
        <xdr:cNvPr id="809095" name="Line 214">
          <a:extLst>
            <a:ext uri="{FF2B5EF4-FFF2-40B4-BE49-F238E27FC236}">
              <a16:creationId xmlns:a16="http://schemas.microsoft.com/office/drawing/2014/main" id="{00000000-0008-0000-0800-000087580C00}"/>
            </a:ext>
          </a:extLst>
        </xdr:cNvPr>
        <xdr:cNvSpPr>
          <a:spLocks noChangeShapeType="1"/>
        </xdr:cNvSpPr>
      </xdr:nvSpPr>
      <xdr:spPr bwMode="auto">
        <a:xfrm flipV="1">
          <a:off x="2514600" y="353822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264</xdr:row>
      <xdr:rowOff>38100</xdr:rowOff>
    </xdr:from>
    <xdr:to>
      <xdr:col>12</xdr:col>
      <xdr:colOff>215900</xdr:colOff>
      <xdr:row>265</xdr:row>
      <xdr:rowOff>25400</xdr:rowOff>
    </xdr:to>
    <xdr:sp macro="" textlink="">
      <xdr:nvSpPr>
        <xdr:cNvPr id="809096" name="Line 215">
          <a:extLst>
            <a:ext uri="{FF2B5EF4-FFF2-40B4-BE49-F238E27FC236}">
              <a16:creationId xmlns:a16="http://schemas.microsoft.com/office/drawing/2014/main" id="{00000000-0008-0000-0800-000088580C00}"/>
            </a:ext>
          </a:extLst>
        </xdr:cNvPr>
        <xdr:cNvSpPr>
          <a:spLocks noChangeShapeType="1"/>
        </xdr:cNvSpPr>
      </xdr:nvSpPr>
      <xdr:spPr bwMode="auto">
        <a:xfrm flipV="1">
          <a:off x="2514600" y="364109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431800</xdr:colOff>
      <xdr:row>283</xdr:row>
      <xdr:rowOff>63500</xdr:rowOff>
    </xdr:from>
    <xdr:to>
      <xdr:col>12</xdr:col>
      <xdr:colOff>25400</xdr:colOff>
      <xdr:row>283</xdr:row>
      <xdr:rowOff>63500</xdr:rowOff>
    </xdr:to>
    <xdr:sp macro="" textlink="">
      <xdr:nvSpPr>
        <xdr:cNvPr id="809097" name="Line 216">
          <a:extLst>
            <a:ext uri="{FF2B5EF4-FFF2-40B4-BE49-F238E27FC236}">
              <a16:creationId xmlns:a16="http://schemas.microsoft.com/office/drawing/2014/main" id="{00000000-0008-0000-0800-000089580C00}"/>
            </a:ext>
          </a:extLst>
        </xdr:cNvPr>
        <xdr:cNvSpPr>
          <a:spLocks noChangeShapeType="1"/>
        </xdr:cNvSpPr>
      </xdr:nvSpPr>
      <xdr:spPr bwMode="auto">
        <a:xfrm>
          <a:off x="812800" y="39179500"/>
          <a:ext cx="15621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4</xdr:col>
      <xdr:colOff>0</xdr:colOff>
      <xdr:row>283</xdr:row>
      <xdr:rowOff>12700</xdr:rowOff>
    </xdr:from>
    <xdr:to>
      <xdr:col>4</xdr:col>
      <xdr:colOff>0</xdr:colOff>
      <xdr:row>286</xdr:row>
      <xdr:rowOff>0</xdr:rowOff>
    </xdr:to>
    <xdr:sp macro="" textlink="">
      <xdr:nvSpPr>
        <xdr:cNvPr id="809098" name="Line 217">
          <a:extLst>
            <a:ext uri="{FF2B5EF4-FFF2-40B4-BE49-F238E27FC236}">
              <a16:creationId xmlns:a16="http://schemas.microsoft.com/office/drawing/2014/main" id="{00000000-0008-0000-0800-00008A580C00}"/>
            </a:ext>
          </a:extLst>
        </xdr:cNvPr>
        <xdr:cNvSpPr>
          <a:spLocks noChangeShapeType="1"/>
        </xdr:cNvSpPr>
      </xdr:nvSpPr>
      <xdr:spPr bwMode="auto">
        <a:xfrm flipV="1">
          <a:off x="825500" y="39128700"/>
          <a:ext cx="0" cy="457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0</xdr:colOff>
      <xdr:row>283</xdr:row>
      <xdr:rowOff>12700</xdr:rowOff>
    </xdr:from>
    <xdr:to>
      <xdr:col>12</xdr:col>
      <xdr:colOff>0</xdr:colOff>
      <xdr:row>286</xdr:row>
      <xdr:rowOff>0</xdr:rowOff>
    </xdr:to>
    <xdr:sp macro="" textlink="">
      <xdr:nvSpPr>
        <xdr:cNvPr id="809099" name="Line 218">
          <a:extLst>
            <a:ext uri="{FF2B5EF4-FFF2-40B4-BE49-F238E27FC236}">
              <a16:creationId xmlns:a16="http://schemas.microsoft.com/office/drawing/2014/main" id="{00000000-0008-0000-0800-00008B580C00}"/>
            </a:ext>
          </a:extLst>
        </xdr:cNvPr>
        <xdr:cNvSpPr>
          <a:spLocks noChangeShapeType="1"/>
        </xdr:cNvSpPr>
      </xdr:nvSpPr>
      <xdr:spPr bwMode="auto">
        <a:xfrm flipV="1">
          <a:off x="2349500" y="39128700"/>
          <a:ext cx="0" cy="457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0</xdr:colOff>
      <xdr:row>284</xdr:row>
      <xdr:rowOff>0</xdr:rowOff>
    </xdr:from>
    <xdr:to>
      <xdr:col>6</xdr:col>
      <xdr:colOff>0</xdr:colOff>
      <xdr:row>286</xdr:row>
      <xdr:rowOff>0</xdr:rowOff>
    </xdr:to>
    <xdr:sp macro="" textlink="">
      <xdr:nvSpPr>
        <xdr:cNvPr id="809100" name="Line 219">
          <a:extLst>
            <a:ext uri="{FF2B5EF4-FFF2-40B4-BE49-F238E27FC236}">
              <a16:creationId xmlns:a16="http://schemas.microsoft.com/office/drawing/2014/main" id="{00000000-0008-0000-0800-00008C580C00}"/>
            </a:ext>
          </a:extLst>
        </xdr:cNvPr>
        <xdr:cNvSpPr>
          <a:spLocks noChangeShapeType="1"/>
        </xdr:cNvSpPr>
      </xdr:nvSpPr>
      <xdr:spPr bwMode="auto">
        <a:xfrm flipV="1">
          <a:off x="901700" y="39281100"/>
          <a:ext cx="0" cy="304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10</xdr:col>
      <xdr:colOff>0</xdr:colOff>
      <xdr:row>284</xdr:row>
      <xdr:rowOff>0</xdr:rowOff>
    </xdr:from>
    <xdr:to>
      <xdr:col>10</xdr:col>
      <xdr:colOff>0</xdr:colOff>
      <xdr:row>286</xdr:row>
      <xdr:rowOff>0</xdr:rowOff>
    </xdr:to>
    <xdr:sp macro="" textlink="">
      <xdr:nvSpPr>
        <xdr:cNvPr id="809101" name="Line 220">
          <a:extLst>
            <a:ext uri="{FF2B5EF4-FFF2-40B4-BE49-F238E27FC236}">
              <a16:creationId xmlns:a16="http://schemas.microsoft.com/office/drawing/2014/main" id="{00000000-0008-0000-0800-00008D580C00}"/>
            </a:ext>
          </a:extLst>
        </xdr:cNvPr>
        <xdr:cNvSpPr>
          <a:spLocks noChangeShapeType="1"/>
        </xdr:cNvSpPr>
      </xdr:nvSpPr>
      <xdr:spPr bwMode="auto">
        <a:xfrm flipV="1">
          <a:off x="2273300" y="39281100"/>
          <a:ext cx="0" cy="304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0</xdr:colOff>
      <xdr:row>285</xdr:row>
      <xdr:rowOff>0</xdr:rowOff>
    </xdr:from>
    <xdr:to>
      <xdr:col>11</xdr:col>
      <xdr:colOff>0</xdr:colOff>
      <xdr:row>285</xdr:row>
      <xdr:rowOff>0</xdr:rowOff>
    </xdr:to>
    <xdr:sp macro="" textlink="">
      <xdr:nvSpPr>
        <xdr:cNvPr id="809102" name="Line 221">
          <a:extLst>
            <a:ext uri="{FF2B5EF4-FFF2-40B4-BE49-F238E27FC236}">
              <a16:creationId xmlns:a16="http://schemas.microsoft.com/office/drawing/2014/main" id="{00000000-0008-0000-0800-00008E580C00}"/>
            </a:ext>
          </a:extLst>
        </xdr:cNvPr>
        <xdr:cNvSpPr>
          <a:spLocks noChangeShapeType="1"/>
        </xdr:cNvSpPr>
      </xdr:nvSpPr>
      <xdr:spPr bwMode="auto">
        <a:xfrm>
          <a:off x="863600" y="39446200"/>
          <a:ext cx="14478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431800</xdr:colOff>
      <xdr:row>283</xdr:row>
      <xdr:rowOff>38100</xdr:rowOff>
    </xdr:from>
    <xdr:to>
      <xdr:col>4</xdr:col>
      <xdr:colOff>25400</xdr:colOff>
      <xdr:row>283</xdr:row>
      <xdr:rowOff>88900</xdr:rowOff>
    </xdr:to>
    <xdr:sp macro="" textlink="">
      <xdr:nvSpPr>
        <xdr:cNvPr id="809103" name="Line 222">
          <a:extLst>
            <a:ext uri="{FF2B5EF4-FFF2-40B4-BE49-F238E27FC236}">
              <a16:creationId xmlns:a16="http://schemas.microsoft.com/office/drawing/2014/main" id="{00000000-0008-0000-0800-00008F580C00}"/>
            </a:ext>
          </a:extLst>
        </xdr:cNvPr>
        <xdr:cNvSpPr>
          <a:spLocks noChangeShapeType="1"/>
        </xdr:cNvSpPr>
      </xdr:nvSpPr>
      <xdr:spPr bwMode="auto">
        <a:xfrm flipV="1">
          <a:off x="812800" y="39154100"/>
          <a:ext cx="381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11</xdr:col>
      <xdr:colOff>12700</xdr:colOff>
      <xdr:row>283</xdr:row>
      <xdr:rowOff>38100</xdr:rowOff>
    </xdr:from>
    <xdr:to>
      <xdr:col>12</xdr:col>
      <xdr:colOff>25400</xdr:colOff>
      <xdr:row>283</xdr:row>
      <xdr:rowOff>88900</xdr:rowOff>
    </xdr:to>
    <xdr:sp macro="" textlink="">
      <xdr:nvSpPr>
        <xdr:cNvPr id="809104" name="Line 223">
          <a:extLst>
            <a:ext uri="{FF2B5EF4-FFF2-40B4-BE49-F238E27FC236}">
              <a16:creationId xmlns:a16="http://schemas.microsoft.com/office/drawing/2014/main" id="{00000000-0008-0000-0800-000090580C00}"/>
            </a:ext>
          </a:extLst>
        </xdr:cNvPr>
        <xdr:cNvSpPr>
          <a:spLocks noChangeShapeType="1"/>
        </xdr:cNvSpPr>
      </xdr:nvSpPr>
      <xdr:spPr bwMode="auto">
        <a:xfrm flipV="1">
          <a:off x="2324100" y="391541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12700</xdr:colOff>
      <xdr:row>284</xdr:row>
      <xdr:rowOff>114300</xdr:rowOff>
    </xdr:from>
    <xdr:to>
      <xdr:col>6</xdr:col>
      <xdr:colOff>25400</xdr:colOff>
      <xdr:row>285</xdr:row>
      <xdr:rowOff>25400</xdr:rowOff>
    </xdr:to>
    <xdr:sp macro="" textlink="">
      <xdr:nvSpPr>
        <xdr:cNvPr id="809105" name="Line 224">
          <a:extLst>
            <a:ext uri="{FF2B5EF4-FFF2-40B4-BE49-F238E27FC236}">
              <a16:creationId xmlns:a16="http://schemas.microsoft.com/office/drawing/2014/main" id="{00000000-0008-0000-0800-000091580C00}"/>
            </a:ext>
          </a:extLst>
        </xdr:cNvPr>
        <xdr:cNvSpPr>
          <a:spLocks noChangeShapeType="1"/>
        </xdr:cNvSpPr>
      </xdr:nvSpPr>
      <xdr:spPr bwMode="auto">
        <a:xfrm flipV="1">
          <a:off x="876300" y="393954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9</xdr:col>
      <xdr:colOff>647700</xdr:colOff>
      <xdr:row>284</xdr:row>
      <xdr:rowOff>114300</xdr:rowOff>
    </xdr:from>
    <xdr:to>
      <xdr:col>10</xdr:col>
      <xdr:colOff>25400</xdr:colOff>
      <xdr:row>285</xdr:row>
      <xdr:rowOff>25400</xdr:rowOff>
    </xdr:to>
    <xdr:sp macro="" textlink="">
      <xdr:nvSpPr>
        <xdr:cNvPr id="809106" name="Line 225">
          <a:extLst>
            <a:ext uri="{FF2B5EF4-FFF2-40B4-BE49-F238E27FC236}">
              <a16:creationId xmlns:a16="http://schemas.microsoft.com/office/drawing/2014/main" id="{00000000-0008-0000-0800-000092580C00}"/>
            </a:ext>
          </a:extLst>
        </xdr:cNvPr>
        <xdr:cNvSpPr>
          <a:spLocks noChangeShapeType="1"/>
        </xdr:cNvSpPr>
      </xdr:nvSpPr>
      <xdr:spPr bwMode="auto">
        <a:xfrm flipV="1">
          <a:off x="2273300" y="39395400"/>
          <a:ext cx="254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76200</xdr:colOff>
      <xdr:row>297</xdr:row>
      <xdr:rowOff>0</xdr:rowOff>
    </xdr:from>
    <xdr:to>
      <xdr:col>3</xdr:col>
      <xdr:colOff>431800</xdr:colOff>
      <xdr:row>297</xdr:row>
      <xdr:rowOff>0</xdr:rowOff>
    </xdr:to>
    <xdr:sp macro="" textlink="">
      <xdr:nvSpPr>
        <xdr:cNvPr id="809107" name="Line 226">
          <a:extLst>
            <a:ext uri="{FF2B5EF4-FFF2-40B4-BE49-F238E27FC236}">
              <a16:creationId xmlns:a16="http://schemas.microsoft.com/office/drawing/2014/main" id="{00000000-0008-0000-0800-000093580C00}"/>
            </a:ext>
          </a:extLst>
        </xdr:cNvPr>
        <xdr:cNvSpPr>
          <a:spLocks noChangeShapeType="1"/>
        </xdr:cNvSpPr>
      </xdr:nvSpPr>
      <xdr:spPr bwMode="auto">
        <a:xfrm flipH="1">
          <a:off x="457200" y="40894000"/>
          <a:ext cx="3556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76200</xdr:colOff>
      <xdr:row>287</xdr:row>
      <xdr:rowOff>0</xdr:rowOff>
    </xdr:from>
    <xdr:to>
      <xdr:col>3</xdr:col>
      <xdr:colOff>419100</xdr:colOff>
      <xdr:row>287</xdr:row>
      <xdr:rowOff>0</xdr:rowOff>
    </xdr:to>
    <xdr:sp macro="" textlink="">
      <xdr:nvSpPr>
        <xdr:cNvPr id="809108" name="Line 227">
          <a:extLst>
            <a:ext uri="{FF2B5EF4-FFF2-40B4-BE49-F238E27FC236}">
              <a16:creationId xmlns:a16="http://schemas.microsoft.com/office/drawing/2014/main" id="{00000000-0008-0000-0800-000094580C00}"/>
            </a:ext>
          </a:extLst>
        </xdr:cNvPr>
        <xdr:cNvSpPr>
          <a:spLocks noChangeShapeType="1"/>
        </xdr:cNvSpPr>
      </xdr:nvSpPr>
      <xdr:spPr bwMode="auto">
        <a:xfrm flipH="1">
          <a:off x="457200" y="39751000"/>
          <a:ext cx="3429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165100</xdr:colOff>
      <xdr:row>286</xdr:row>
      <xdr:rowOff>114300</xdr:rowOff>
    </xdr:from>
    <xdr:to>
      <xdr:col>3</xdr:col>
      <xdr:colOff>165100</xdr:colOff>
      <xdr:row>297</xdr:row>
      <xdr:rowOff>0</xdr:rowOff>
    </xdr:to>
    <xdr:sp macro="" textlink="">
      <xdr:nvSpPr>
        <xdr:cNvPr id="809109" name="Line 228">
          <a:extLst>
            <a:ext uri="{FF2B5EF4-FFF2-40B4-BE49-F238E27FC236}">
              <a16:creationId xmlns:a16="http://schemas.microsoft.com/office/drawing/2014/main" id="{00000000-0008-0000-0800-000095580C00}"/>
            </a:ext>
          </a:extLst>
        </xdr:cNvPr>
        <xdr:cNvSpPr>
          <a:spLocks noChangeShapeType="1"/>
        </xdr:cNvSpPr>
      </xdr:nvSpPr>
      <xdr:spPr bwMode="auto">
        <a:xfrm flipV="1">
          <a:off x="546100" y="39700200"/>
          <a:ext cx="0" cy="1193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139700</xdr:colOff>
      <xdr:row>286</xdr:row>
      <xdr:rowOff>114300</xdr:rowOff>
    </xdr:from>
    <xdr:to>
      <xdr:col>3</xdr:col>
      <xdr:colOff>190500</xdr:colOff>
      <xdr:row>287</xdr:row>
      <xdr:rowOff>25400</xdr:rowOff>
    </xdr:to>
    <xdr:sp macro="" textlink="">
      <xdr:nvSpPr>
        <xdr:cNvPr id="809110" name="Line 229">
          <a:extLst>
            <a:ext uri="{FF2B5EF4-FFF2-40B4-BE49-F238E27FC236}">
              <a16:creationId xmlns:a16="http://schemas.microsoft.com/office/drawing/2014/main" id="{00000000-0008-0000-0800-000096580C00}"/>
            </a:ext>
          </a:extLst>
        </xdr:cNvPr>
        <xdr:cNvSpPr>
          <a:spLocks noChangeShapeType="1"/>
        </xdr:cNvSpPr>
      </xdr:nvSpPr>
      <xdr:spPr bwMode="auto">
        <a:xfrm flipH="1" flipV="1">
          <a:off x="520700" y="397002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139700</xdr:colOff>
      <xdr:row>296</xdr:row>
      <xdr:rowOff>12700</xdr:rowOff>
    </xdr:from>
    <xdr:to>
      <xdr:col>3</xdr:col>
      <xdr:colOff>190500</xdr:colOff>
      <xdr:row>297</xdr:row>
      <xdr:rowOff>0</xdr:rowOff>
    </xdr:to>
    <xdr:sp macro="" textlink="">
      <xdr:nvSpPr>
        <xdr:cNvPr id="809111" name="Line 230">
          <a:extLst>
            <a:ext uri="{FF2B5EF4-FFF2-40B4-BE49-F238E27FC236}">
              <a16:creationId xmlns:a16="http://schemas.microsoft.com/office/drawing/2014/main" id="{00000000-0008-0000-0800-000097580C00}"/>
            </a:ext>
          </a:extLst>
        </xdr:cNvPr>
        <xdr:cNvSpPr>
          <a:spLocks noChangeShapeType="1"/>
        </xdr:cNvSpPr>
      </xdr:nvSpPr>
      <xdr:spPr bwMode="auto">
        <a:xfrm flipH="1" flipV="1">
          <a:off x="520700" y="40868600"/>
          <a:ext cx="50800" cy="25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190500</xdr:colOff>
      <xdr:row>288</xdr:row>
      <xdr:rowOff>0</xdr:rowOff>
    </xdr:from>
    <xdr:to>
      <xdr:col>12</xdr:col>
      <xdr:colOff>190500</xdr:colOff>
      <xdr:row>297</xdr:row>
      <xdr:rowOff>0</xdr:rowOff>
    </xdr:to>
    <xdr:sp macro="" textlink="">
      <xdr:nvSpPr>
        <xdr:cNvPr id="809112" name="Line 231">
          <a:extLst>
            <a:ext uri="{FF2B5EF4-FFF2-40B4-BE49-F238E27FC236}">
              <a16:creationId xmlns:a16="http://schemas.microsoft.com/office/drawing/2014/main" id="{00000000-0008-0000-0800-000098580C00}"/>
            </a:ext>
          </a:extLst>
        </xdr:cNvPr>
        <xdr:cNvSpPr>
          <a:spLocks noChangeShapeType="1"/>
        </xdr:cNvSpPr>
      </xdr:nvSpPr>
      <xdr:spPr bwMode="auto">
        <a:xfrm flipV="1">
          <a:off x="2540000" y="39789100"/>
          <a:ext cx="0" cy="11049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38100</xdr:colOff>
      <xdr:row>289</xdr:row>
      <xdr:rowOff>0</xdr:rowOff>
    </xdr:from>
    <xdr:to>
      <xdr:col>12</xdr:col>
      <xdr:colOff>228600</xdr:colOff>
      <xdr:row>289</xdr:row>
      <xdr:rowOff>0</xdr:rowOff>
    </xdr:to>
    <xdr:sp macro="" textlink="">
      <xdr:nvSpPr>
        <xdr:cNvPr id="809113" name="Line 232">
          <a:extLst>
            <a:ext uri="{FF2B5EF4-FFF2-40B4-BE49-F238E27FC236}">
              <a16:creationId xmlns:a16="http://schemas.microsoft.com/office/drawing/2014/main" id="{00000000-0008-0000-0800-000099580C00}"/>
            </a:ext>
          </a:extLst>
        </xdr:cNvPr>
        <xdr:cNvSpPr>
          <a:spLocks noChangeShapeType="1"/>
        </xdr:cNvSpPr>
      </xdr:nvSpPr>
      <xdr:spPr bwMode="auto">
        <a:xfrm>
          <a:off x="2387600" y="39827200"/>
          <a:ext cx="1905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38100</xdr:colOff>
      <xdr:row>296</xdr:row>
      <xdr:rowOff>0</xdr:rowOff>
    </xdr:from>
    <xdr:to>
      <xdr:col>12</xdr:col>
      <xdr:colOff>228600</xdr:colOff>
      <xdr:row>296</xdr:row>
      <xdr:rowOff>0</xdr:rowOff>
    </xdr:to>
    <xdr:sp macro="" textlink="">
      <xdr:nvSpPr>
        <xdr:cNvPr id="809114" name="Line 233">
          <a:extLst>
            <a:ext uri="{FF2B5EF4-FFF2-40B4-BE49-F238E27FC236}">
              <a16:creationId xmlns:a16="http://schemas.microsoft.com/office/drawing/2014/main" id="{00000000-0008-0000-0800-00009A580C00}"/>
            </a:ext>
          </a:extLst>
        </xdr:cNvPr>
        <xdr:cNvSpPr>
          <a:spLocks noChangeShapeType="1"/>
        </xdr:cNvSpPr>
      </xdr:nvSpPr>
      <xdr:spPr bwMode="auto">
        <a:xfrm>
          <a:off x="2387600" y="40855900"/>
          <a:ext cx="1905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288</xdr:row>
      <xdr:rowOff>12700</xdr:rowOff>
    </xdr:from>
    <xdr:to>
      <xdr:col>12</xdr:col>
      <xdr:colOff>215900</xdr:colOff>
      <xdr:row>289</xdr:row>
      <xdr:rowOff>25400</xdr:rowOff>
    </xdr:to>
    <xdr:sp macro="" textlink="">
      <xdr:nvSpPr>
        <xdr:cNvPr id="809115" name="Line 234">
          <a:extLst>
            <a:ext uri="{FF2B5EF4-FFF2-40B4-BE49-F238E27FC236}">
              <a16:creationId xmlns:a16="http://schemas.microsoft.com/office/drawing/2014/main" id="{00000000-0008-0000-0800-00009B580C00}"/>
            </a:ext>
          </a:extLst>
        </xdr:cNvPr>
        <xdr:cNvSpPr>
          <a:spLocks noChangeShapeType="1"/>
        </xdr:cNvSpPr>
      </xdr:nvSpPr>
      <xdr:spPr bwMode="auto">
        <a:xfrm flipV="1">
          <a:off x="2514600" y="398018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295</xdr:row>
      <xdr:rowOff>38100</xdr:rowOff>
    </xdr:from>
    <xdr:to>
      <xdr:col>12</xdr:col>
      <xdr:colOff>215900</xdr:colOff>
      <xdr:row>296</xdr:row>
      <xdr:rowOff>25400</xdr:rowOff>
    </xdr:to>
    <xdr:sp macro="" textlink="">
      <xdr:nvSpPr>
        <xdr:cNvPr id="809116" name="Line 235">
          <a:extLst>
            <a:ext uri="{FF2B5EF4-FFF2-40B4-BE49-F238E27FC236}">
              <a16:creationId xmlns:a16="http://schemas.microsoft.com/office/drawing/2014/main" id="{00000000-0008-0000-0800-00009C580C00}"/>
            </a:ext>
          </a:extLst>
        </xdr:cNvPr>
        <xdr:cNvSpPr>
          <a:spLocks noChangeShapeType="1"/>
        </xdr:cNvSpPr>
      </xdr:nvSpPr>
      <xdr:spPr bwMode="auto">
        <a:xfrm flipV="1">
          <a:off x="2514600" y="408305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431800</xdr:colOff>
      <xdr:row>306</xdr:row>
      <xdr:rowOff>63500</xdr:rowOff>
    </xdr:from>
    <xdr:to>
      <xdr:col>12</xdr:col>
      <xdr:colOff>25400</xdr:colOff>
      <xdr:row>306</xdr:row>
      <xdr:rowOff>63500</xdr:rowOff>
    </xdr:to>
    <xdr:sp macro="" textlink="">
      <xdr:nvSpPr>
        <xdr:cNvPr id="809117" name="Line 236">
          <a:extLst>
            <a:ext uri="{FF2B5EF4-FFF2-40B4-BE49-F238E27FC236}">
              <a16:creationId xmlns:a16="http://schemas.microsoft.com/office/drawing/2014/main" id="{00000000-0008-0000-0800-00009D580C00}"/>
            </a:ext>
          </a:extLst>
        </xdr:cNvPr>
        <xdr:cNvSpPr>
          <a:spLocks noChangeShapeType="1"/>
        </xdr:cNvSpPr>
      </xdr:nvSpPr>
      <xdr:spPr bwMode="auto">
        <a:xfrm>
          <a:off x="812800" y="42291000"/>
          <a:ext cx="15621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4</xdr:col>
      <xdr:colOff>0</xdr:colOff>
      <xdr:row>306</xdr:row>
      <xdr:rowOff>12700</xdr:rowOff>
    </xdr:from>
    <xdr:to>
      <xdr:col>4</xdr:col>
      <xdr:colOff>0</xdr:colOff>
      <xdr:row>309</xdr:row>
      <xdr:rowOff>0</xdr:rowOff>
    </xdr:to>
    <xdr:sp macro="" textlink="">
      <xdr:nvSpPr>
        <xdr:cNvPr id="809118" name="Line 237">
          <a:extLst>
            <a:ext uri="{FF2B5EF4-FFF2-40B4-BE49-F238E27FC236}">
              <a16:creationId xmlns:a16="http://schemas.microsoft.com/office/drawing/2014/main" id="{00000000-0008-0000-0800-00009E580C00}"/>
            </a:ext>
          </a:extLst>
        </xdr:cNvPr>
        <xdr:cNvSpPr>
          <a:spLocks noChangeShapeType="1"/>
        </xdr:cNvSpPr>
      </xdr:nvSpPr>
      <xdr:spPr bwMode="auto">
        <a:xfrm flipV="1">
          <a:off x="825500" y="42240200"/>
          <a:ext cx="0" cy="457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0</xdr:colOff>
      <xdr:row>306</xdr:row>
      <xdr:rowOff>12700</xdr:rowOff>
    </xdr:from>
    <xdr:to>
      <xdr:col>12</xdr:col>
      <xdr:colOff>0</xdr:colOff>
      <xdr:row>309</xdr:row>
      <xdr:rowOff>0</xdr:rowOff>
    </xdr:to>
    <xdr:sp macro="" textlink="">
      <xdr:nvSpPr>
        <xdr:cNvPr id="809119" name="Line 238">
          <a:extLst>
            <a:ext uri="{FF2B5EF4-FFF2-40B4-BE49-F238E27FC236}">
              <a16:creationId xmlns:a16="http://schemas.microsoft.com/office/drawing/2014/main" id="{00000000-0008-0000-0800-00009F580C00}"/>
            </a:ext>
          </a:extLst>
        </xdr:cNvPr>
        <xdr:cNvSpPr>
          <a:spLocks noChangeShapeType="1"/>
        </xdr:cNvSpPr>
      </xdr:nvSpPr>
      <xdr:spPr bwMode="auto">
        <a:xfrm flipV="1">
          <a:off x="2349500" y="42240200"/>
          <a:ext cx="0" cy="457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6</xdr:col>
      <xdr:colOff>0</xdr:colOff>
      <xdr:row>307</xdr:row>
      <xdr:rowOff>0</xdr:rowOff>
    </xdr:from>
    <xdr:to>
      <xdr:col>6</xdr:col>
      <xdr:colOff>0</xdr:colOff>
      <xdr:row>309</xdr:row>
      <xdr:rowOff>0</xdr:rowOff>
    </xdr:to>
    <xdr:sp macro="" textlink="">
      <xdr:nvSpPr>
        <xdr:cNvPr id="809120" name="Line 239">
          <a:extLst>
            <a:ext uri="{FF2B5EF4-FFF2-40B4-BE49-F238E27FC236}">
              <a16:creationId xmlns:a16="http://schemas.microsoft.com/office/drawing/2014/main" id="{00000000-0008-0000-0800-0000A0580C00}"/>
            </a:ext>
          </a:extLst>
        </xdr:cNvPr>
        <xdr:cNvSpPr>
          <a:spLocks noChangeShapeType="1"/>
        </xdr:cNvSpPr>
      </xdr:nvSpPr>
      <xdr:spPr bwMode="auto">
        <a:xfrm flipV="1">
          <a:off x="901700" y="42392600"/>
          <a:ext cx="0" cy="304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10</xdr:col>
      <xdr:colOff>0</xdr:colOff>
      <xdr:row>307</xdr:row>
      <xdr:rowOff>0</xdr:rowOff>
    </xdr:from>
    <xdr:to>
      <xdr:col>10</xdr:col>
      <xdr:colOff>0</xdr:colOff>
      <xdr:row>309</xdr:row>
      <xdr:rowOff>0</xdr:rowOff>
    </xdr:to>
    <xdr:sp macro="" textlink="">
      <xdr:nvSpPr>
        <xdr:cNvPr id="809121" name="Line 240">
          <a:extLst>
            <a:ext uri="{FF2B5EF4-FFF2-40B4-BE49-F238E27FC236}">
              <a16:creationId xmlns:a16="http://schemas.microsoft.com/office/drawing/2014/main" id="{00000000-0008-0000-0800-0000A1580C00}"/>
            </a:ext>
          </a:extLst>
        </xdr:cNvPr>
        <xdr:cNvSpPr>
          <a:spLocks noChangeShapeType="1"/>
        </xdr:cNvSpPr>
      </xdr:nvSpPr>
      <xdr:spPr bwMode="auto">
        <a:xfrm flipV="1">
          <a:off x="2273300" y="42392600"/>
          <a:ext cx="0" cy="304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0</xdr:colOff>
      <xdr:row>308</xdr:row>
      <xdr:rowOff>0</xdr:rowOff>
    </xdr:from>
    <xdr:to>
      <xdr:col>11</xdr:col>
      <xdr:colOff>0</xdr:colOff>
      <xdr:row>308</xdr:row>
      <xdr:rowOff>0</xdr:rowOff>
    </xdr:to>
    <xdr:sp macro="" textlink="">
      <xdr:nvSpPr>
        <xdr:cNvPr id="809122" name="Line 241">
          <a:extLst>
            <a:ext uri="{FF2B5EF4-FFF2-40B4-BE49-F238E27FC236}">
              <a16:creationId xmlns:a16="http://schemas.microsoft.com/office/drawing/2014/main" id="{00000000-0008-0000-0800-0000A2580C00}"/>
            </a:ext>
          </a:extLst>
        </xdr:cNvPr>
        <xdr:cNvSpPr>
          <a:spLocks noChangeShapeType="1"/>
        </xdr:cNvSpPr>
      </xdr:nvSpPr>
      <xdr:spPr bwMode="auto">
        <a:xfrm>
          <a:off x="863600" y="42557700"/>
          <a:ext cx="14478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431800</xdr:colOff>
      <xdr:row>306</xdr:row>
      <xdr:rowOff>38100</xdr:rowOff>
    </xdr:from>
    <xdr:to>
      <xdr:col>4</xdr:col>
      <xdr:colOff>25400</xdr:colOff>
      <xdr:row>306</xdr:row>
      <xdr:rowOff>88900</xdr:rowOff>
    </xdr:to>
    <xdr:sp macro="" textlink="">
      <xdr:nvSpPr>
        <xdr:cNvPr id="809123" name="Line 242">
          <a:extLst>
            <a:ext uri="{FF2B5EF4-FFF2-40B4-BE49-F238E27FC236}">
              <a16:creationId xmlns:a16="http://schemas.microsoft.com/office/drawing/2014/main" id="{00000000-0008-0000-0800-0000A3580C00}"/>
            </a:ext>
          </a:extLst>
        </xdr:cNvPr>
        <xdr:cNvSpPr>
          <a:spLocks noChangeShapeType="1"/>
        </xdr:cNvSpPr>
      </xdr:nvSpPr>
      <xdr:spPr bwMode="auto">
        <a:xfrm flipV="1">
          <a:off x="812800" y="42265600"/>
          <a:ext cx="381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11</xdr:col>
      <xdr:colOff>12700</xdr:colOff>
      <xdr:row>306</xdr:row>
      <xdr:rowOff>38100</xdr:rowOff>
    </xdr:from>
    <xdr:to>
      <xdr:col>12</xdr:col>
      <xdr:colOff>25400</xdr:colOff>
      <xdr:row>306</xdr:row>
      <xdr:rowOff>88900</xdr:rowOff>
    </xdr:to>
    <xdr:sp macro="" textlink="">
      <xdr:nvSpPr>
        <xdr:cNvPr id="809124" name="Line 243">
          <a:extLst>
            <a:ext uri="{FF2B5EF4-FFF2-40B4-BE49-F238E27FC236}">
              <a16:creationId xmlns:a16="http://schemas.microsoft.com/office/drawing/2014/main" id="{00000000-0008-0000-0800-0000A4580C00}"/>
            </a:ext>
          </a:extLst>
        </xdr:cNvPr>
        <xdr:cNvSpPr>
          <a:spLocks noChangeShapeType="1"/>
        </xdr:cNvSpPr>
      </xdr:nvSpPr>
      <xdr:spPr bwMode="auto">
        <a:xfrm flipV="1">
          <a:off x="2324100" y="422656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5</xdr:col>
      <xdr:colOff>12700</xdr:colOff>
      <xdr:row>307</xdr:row>
      <xdr:rowOff>114300</xdr:rowOff>
    </xdr:from>
    <xdr:to>
      <xdr:col>6</xdr:col>
      <xdr:colOff>25400</xdr:colOff>
      <xdr:row>308</xdr:row>
      <xdr:rowOff>25400</xdr:rowOff>
    </xdr:to>
    <xdr:sp macro="" textlink="">
      <xdr:nvSpPr>
        <xdr:cNvPr id="809125" name="Line 244">
          <a:extLst>
            <a:ext uri="{FF2B5EF4-FFF2-40B4-BE49-F238E27FC236}">
              <a16:creationId xmlns:a16="http://schemas.microsoft.com/office/drawing/2014/main" id="{00000000-0008-0000-0800-0000A5580C00}"/>
            </a:ext>
          </a:extLst>
        </xdr:cNvPr>
        <xdr:cNvSpPr>
          <a:spLocks noChangeShapeType="1"/>
        </xdr:cNvSpPr>
      </xdr:nvSpPr>
      <xdr:spPr bwMode="auto">
        <a:xfrm flipV="1">
          <a:off x="876300" y="425069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9</xdr:col>
      <xdr:colOff>647700</xdr:colOff>
      <xdr:row>307</xdr:row>
      <xdr:rowOff>114300</xdr:rowOff>
    </xdr:from>
    <xdr:to>
      <xdr:col>10</xdr:col>
      <xdr:colOff>25400</xdr:colOff>
      <xdr:row>308</xdr:row>
      <xdr:rowOff>25400</xdr:rowOff>
    </xdr:to>
    <xdr:sp macro="" textlink="">
      <xdr:nvSpPr>
        <xdr:cNvPr id="809126" name="Line 245">
          <a:extLst>
            <a:ext uri="{FF2B5EF4-FFF2-40B4-BE49-F238E27FC236}">
              <a16:creationId xmlns:a16="http://schemas.microsoft.com/office/drawing/2014/main" id="{00000000-0008-0000-0800-0000A6580C00}"/>
            </a:ext>
          </a:extLst>
        </xdr:cNvPr>
        <xdr:cNvSpPr>
          <a:spLocks noChangeShapeType="1"/>
        </xdr:cNvSpPr>
      </xdr:nvSpPr>
      <xdr:spPr bwMode="auto">
        <a:xfrm flipV="1">
          <a:off x="2273300" y="42506900"/>
          <a:ext cx="254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76200</xdr:colOff>
      <xdr:row>320</xdr:row>
      <xdr:rowOff>0</xdr:rowOff>
    </xdr:from>
    <xdr:to>
      <xdr:col>3</xdr:col>
      <xdr:colOff>431800</xdr:colOff>
      <xdr:row>320</xdr:row>
      <xdr:rowOff>0</xdr:rowOff>
    </xdr:to>
    <xdr:sp macro="" textlink="">
      <xdr:nvSpPr>
        <xdr:cNvPr id="809127" name="Line 246">
          <a:extLst>
            <a:ext uri="{FF2B5EF4-FFF2-40B4-BE49-F238E27FC236}">
              <a16:creationId xmlns:a16="http://schemas.microsoft.com/office/drawing/2014/main" id="{00000000-0008-0000-0800-0000A7580C00}"/>
            </a:ext>
          </a:extLst>
        </xdr:cNvPr>
        <xdr:cNvSpPr>
          <a:spLocks noChangeShapeType="1"/>
        </xdr:cNvSpPr>
      </xdr:nvSpPr>
      <xdr:spPr bwMode="auto">
        <a:xfrm flipH="1">
          <a:off x="457200" y="44005500"/>
          <a:ext cx="3556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76200</xdr:colOff>
      <xdr:row>310</xdr:row>
      <xdr:rowOff>0</xdr:rowOff>
    </xdr:from>
    <xdr:to>
      <xdr:col>3</xdr:col>
      <xdr:colOff>419100</xdr:colOff>
      <xdr:row>310</xdr:row>
      <xdr:rowOff>0</xdr:rowOff>
    </xdr:to>
    <xdr:sp macro="" textlink="">
      <xdr:nvSpPr>
        <xdr:cNvPr id="809128" name="Line 247">
          <a:extLst>
            <a:ext uri="{FF2B5EF4-FFF2-40B4-BE49-F238E27FC236}">
              <a16:creationId xmlns:a16="http://schemas.microsoft.com/office/drawing/2014/main" id="{00000000-0008-0000-0800-0000A8580C00}"/>
            </a:ext>
          </a:extLst>
        </xdr:cNvPr>
        <xdr:cNvSpPr>
          <a:spLocks noChangeShapeType="1"/>
        </xdr:cNvSpPr>
      </xdr:nvSpPr>
      <xdr:spPr bwMode="auto">
        <a:xfrm flipH="1">
          <a:off x="457200" y="42862500"/>
          <a:ext cx="3429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165100</xdr:colOff>
      <xdr:row>309</xdr:row>
      <xdr:rowOff>114300</xdr:rowOff>
    </xdr:from>
    <xdr:to>
      <xdr:col>3</xdr:col>
      <xdr:colOff>165100</xdr:colOff>
      <xdr:row>320</xdr:row>
      <xdr:rowOff>0</xdr:rowOff>
    </xdr:to>
    <xdr:sp macro="" textlink="">
      <xdr:nvSpPr>
        <xdr:cNvPr id="809129" name="Line 248">
          <a:extLst>
            <a:ext uri="{FF2B5EF4-FFF2-40B4-BE49-F238E27FC236}">
              <a16:creationId xmlns:a16="http://schemas.microsoft.com/office/drawing/2014/main" id="{00000000-0008-0000-0800-0000A9580C00}"/>
            </a:ext>
          </a:extLst>
        </xdr:cNvPr>
        <xdr:cNvSpPr>
          <a:spLocks noChangeShapeType="1"/>
        </xdr:cNvSpPr>
      </xdr:nvSpPr>
      <xdr:spPr bwMode="auto">
        <a:xfrm flipV="1">
          <a:off x="546100" y="42811700"/>
          <a:ext cx="0" cy="1193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139700</xdr:colOff>
      <xdr:row>309</xdr:row>
      <xdr:rowOff>114300</xdr:rowOff>
    </xdr:from>
    <xdr:to>
      <xdr:col>3</xdr:col>
      <xdr:colOff>190500</xdr:colOff>
      <xdr:row>310</xdr:row>
      <xdr:rowOff>25400</xdr:rowOff>
    </xdr:to>
    <xdr:sp macro="" textlink="">
      <xdr:nvSpPr>
        <xdr:cNvPr id="809130" name="Line 249">
          <a:extLst>
            <a:ext uri="{FF2B5EF4-FFF2-40B4-BE49-F238E27FC236}">
              <a16:creationId xmlns:a16="http://schemas.microsoft.com/office/drawing/2014/main" id="{00000000-0008-0000-0800-0000AA580C00}"/>
            </a:ext>
          </a:extLst>
        </xdr:cNvPr>
        <xdr:cNvSpPr>
          <a:spLocks noChangeShapeType="1"/>
        </xdr:cNvSpPr>
      </xdr:nvSpPr>
      <xdr:spPr bwMode="auto">
        <a:xfrm flipH="1" flipV="1">
          <a:off x="520700" y="42811700"/>
          <a:ext cx="50800" cy="762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3</xdr:col>
      <xdr:colOff>139700</xdr:colOff>
      <xdr:row>319</xdr:row>
      <xdr:rowOff>12700</xdr:rowOff>
    </xdr:from>
    <xdr:to>
      <xdr:col>3</xdr:col>
      <xdr:colOff>190500</xdr:colOff>
      <xdr:row>320</xdr:row>
      <xdr:rowOff>0</xdr:rowOff>
    </xdr:to>
    <xdr:sp macro="" textlink="">
      <xdr:nvSpPr>
        <xdr:cNvPr id="809131" name="Line 250">
          <a:extLst>
            <a:ext uri="{FF2B5EF4-FFF2-40B4-BE49-F238E27FC236}">
              <a16:creationId xmlns:a16="http://schemas.microsoft.com/office/drawing/2014/main" id="{00000000-0008-0000-0800-0000AB580C00}"/>
            </a:ext>
          </a:extLst>
        </xdr:cNvPr>
        <xdr:cNvSpPr>
          <a:spLocks noChangeShapeType="1"/>
        </xdr:cNvSpPr>
      </xdr:nvSpPr>
      <xdr:spPr bwMode="auto">
        <a:xfrm flipH="1" flipV="1">
          <a:off x="520700" y="43980100"/>
          <a:ext cx="50800" cy="25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190500</xdr:colOff>
      <xdr:row>311</xdr:row>
      <xdr:rowOff>0</xdr:rowOff>
    </xdr:from>
    <xdr:to>
      <xdr:col>12</xdr:col>
      <xdr:colOff>190500</xdr:colOff>
      <xdr:row>320</xdr:row>
      <xdr:rowOff>0</xdr:rowOff>
    </xdr:to>
    <xdr:sp macro="" textlink="">
      <xdr:nvSpPr>
        <xdr:cNvPr id="809132" name="Line 251">
          <a:extLst>
            <a:ext uri="{FF2B5EF4-FFF2-40B4-BE49-F238E27FC236}">
              <a16:creationId xmlns:a16="http://schemas.microsoft.com/office/drawing/2014/main" id="{00000000-0008-0000-0800-0000AC580C00}"/>
            </a:ext>
          </a:extLst>
        </xdr:cNvPr>
        <xdr:cNvSpPr>
          <a:spLocks noChangeShapeType="1"/>
        </xdr:cNvSpPr>
      </xdr:nvSpPr>
      <xdr:spPr bwMode="auto">
        <a:xfrm flipV="1">
          <a:off x="2540000" y="42900600"/>
          <a:ext cx="0" cy="11049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38100</xdr:colOff>
      <xdr:row>312</xdr:row>
      <xdr:rowOff>0</xdr:rowOff>
    </xdr:from>
    <xdr:to>
      <xdr:col>12</xdr:col>
      <xdr:colOff>228600</xdr:colOff>
      <xdr:row>312</xdr:row>
      <xdr:rowOff>0</xdr:rowOff>
    </xdr:to>
    <xdr:sp macro="" textlink="">
      <xdr:nvSpPr>
        <xdr:cNvPr id="809133" name="Line 252">
          <a:extLst>
            <a:ext uri="{FF2B5EF4-FFF2-40B4-BE49-F238E27FC236}">
              <a16:creationId xmlns:a16="http://schemas.microsoft.com/office/drawing/2014/main" id="{00000000-0008-0000-0800-0000AD580C00}"/>
            </a:ext>
          </a:extLst>
        </xdr:cNvPr>
        <xdr:cNvSpPr>
          <a:spLocks noChangeShapeType="1"/>
        </xdr:cNvSpPr>
      </xdr:nvSpPr>
      <xdr:spPr bwMode="auto">
        <a:xfrm>
          <a:off x="2387600" y="42938700"/>
          <a:ext cx="1905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38100</xdr:colOff>
      <xdr:row>319</xdr:row>
      <xdr:rowOff>0</xdr:rowOff>
    </xdr:from>
    <xdr:to>
      <xdr:col>12</xdr:col>
      <xdr:colOff>228600</xdr:colOff>
      <xdr:row>319</xdr:row>
      <xdr:rowOff>0</xdr:rowOff>
    </xdr:to>
    <xdr:sp macro="" textlink="">
      <xdr:nvSpPr>
        <xdr:cNvPr id="809134" name="Line 253">
          <a:extLst>
            <a:ext uri="{FF2B5EF4-FFF2-40B4-BE49-F238E27FC236}">
              <a16:creationId xmlns:a16="http://schemas.microsoft.com/office/drawing/2014/main" id="{00000000-0008-0000-0800-0000AE580C00}"/>
            </a:ext>
          </a:extLst>
        </xdr:cNvPr>
        <xdr:cNvSpPr>
          <a:spLocks noChangeShapeType="1"/>
        </xdr:cNvSpPr>
      </xdr:nvSpPr>
      <xdr:spPr bwMode="auto">
        <a:xfrm>
          <a:off x="2387600" y="43967400"/>
          <a:ext cx="1905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311</xdr:row>
      <xdr:rowOff>12700</xdr:rowOff>
    </xdr:from>
    <xdr:to>
      <xdr:col>12</xdr:col>
      <xdr:colOff>215900</xdr:colOff>
      <xdr:row>312</xdr:row>
      <xdr:rowOff>25400</xdr:rowOff>
    </xdr:to>
    <xdr:sp macro="" textlink="">
      <xdr:nvSpPr>
        <xdr:cNvPr id="809135" name="Line 254">
          <a:extLst>
            <a:ext uri="{FF2B5EF4-FFF2-40B4-BE49-F238E27FC236}">
              <a16:creationId xmlns:a16="http://schemas.microsoft.com/office/drawing/2014/main" id="{00000000-0008-0000-0800-0000AF580C00}"/>
            </a:ext>
          </a:extLst>
        </xdr:cNvPr>
        <xdr:cNvSpPr>
          <a:spLocks noChangeShapeType="1"/>
        </xdr:cNvSpPr>
      </xdr:nvSpPr>
      <xdr:spPr bwMode="auto">
        <a:xfrm flipV="1">
          <a:off x="2514600" y="429133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twoCellAnchor>
    <xdr:from>
      <xdr:col>12</xdr:col>
      <xdr:colOff>165100</xdr:colOff>
      <xdr:row>318</xdr:row>
      <xdr:rowOff>38100</xdr:rowOff>
    </xdr:from>
    <xdr:to>
      <xdr:col>12</xdr:col>
      <xdr:colOff>215900</xdr:colOff>
      <xdr:row>319</xdr:row>
      <xdr:rowOff>25400</xdr:rowOff>
    </xdr:to>
    <xdr:sp macro="" textlink="">
      <xdr:nvSpPr>
        <xdr:cNvPr id="809136" name="Line 255">
          <a:extLst>
            <a:ext uri="{FF2B5EF4-FFF2-40B4-BE49-F238E27FC236}">
              <a16:creationId xmlns:a16="http://schemas.microsoft.com/office/drawing/2014/main" id="{00000000-0008-0000-0800-0000B0580C00}"/>
            </a:ext>
          </a:extLst>
        </xdr:cNvPr>
        <xdr:cNvSpPr>
          <a:spLocks noChangeShapeType="1"/>
        </xdr:cNvSpPr>
      </xdr:nvSpPr>
      <xdr:spPr bwMode="auto">
        <a:xfrm flipV="1">
          <a:off x="2514600" y="43942000"/>
          <a:ext cx="50800" cy="50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rtlCol="0"/>
        <a:lstStyle/>
        <a:p>
          <a:pPr algn="ctr"/>
          <a:endParaRPr lang="de-DE"/>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88900</xdr:colOff>
      <xdr:row>3</xdr:row>
      <xdr:rowOff>0</xdr:rowOff>
    </xdr:from>
    <xdr:to>
      <xdr:col>1</xdr:col>
      <xdr:colOff>2349500</xdr:colOff>
      <xdr:row>17</xdr:row>
      <xdr:rowOff>0</xdr:rowOff>
    </xdr:to>
    <xdr:graphicFrame macro="">
      <xdr:nvGraphicFramePr>
        <xdr:cNvPr id="3311" name="Chart 1">
          <a:extLst>
            <a:ext uri="{FF2B5EF4-FFF2-40B4-BE49-F238E27FC236}">
              <a16:creationId xmlns:a16="http://schemas.microsoft.com/office/drawing/2014/main" id="{00000000-0008-0000-0B00-0000EF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ieskadommann\Library\Mobile%20Documents\com~apple~CloudDocs\Bu&#776;ro\%20sia%20380-1(2009)-mac-9_7_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winne"/>
      <sheetName val="Daten"/>
      <sheetName val="Klima"/>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omments" Target="../comments1.xml"/><Relationship Id="rId3" Type="http://schemas.openxmlformats.org/officeDocument/2006/relationships/ctrlProp" Target="../ctrlProps/ctrlProp1.xml"/><Relationship Id="rId7" Type="http://schemas.openxmlformats.org/officeDocument/2006/relationships/ctrlProp" Target="../ctrlProps/ctrlProp5.xml"/><Relationship Id="rId12" Type="http://schemas.openxmlformats.org/officeDocument/2006/relationships/ctrlProp" Target="../ctrlProps/ctrlProp10.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11.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3.xml"/><Relationship Id="rId2" Type="http://schemas.openxmlformats.org/officeDocument/2006/relationships/drawing" Target="../drawings/drawing4.xml"/><Relationship Id="rId1" Type="http://schemas.openxmlformats.org/officeDocument/2006/relationships/printerSettings" Target="../printerSettings/printerSettings1.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15.xml"/><Relationship Id="rId2" Type="http://schemas.openxmlformats.org/officeDocument/2006/relationships/vmlDrawing" Target="../drawings/vmlDrawing6.vml"/><Relationship Id="rId1" Type="http://schemas.openxmlformats.org/officeDocument/2006/relationships/drawing" Target="../drawings/drawing5.xml"/><Relationship Id="rId5" Type="http://schemas.openxmlformats.org/officeDocument/2006/relationships/comments" Target="../comments5.xml"/><Relationship Id="rId4" Type="http://schemas.openxmlformats.org/officeDocument/2006/relationships/ctrlProp" Target="../ctrlProps/ctrlProp16.x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0070C0"/>
    <pageSetUpPr fitToPage="1"/>
  </sheetPr>
  <dimension ref="A1:R118"/>
  <sheetViews>
    <sheetView showRowColHeaders="0" tabSelected="1" showOutlineSymbols="0" defaultGridColor="0" colorId="9" zoomScale="135" zoomScaleNormal="142" zoomScalePageLayoutView="142" workbookViewId="0">
      <selection activeCell="E8" sqref="E8"/>
    </sheetView>
  </sheetViews>
  <sheetFormatPr baseColWidth="10" defaultColWidth="10.875" defaultRowHeight="11.4"/>
  <cols>
    <col min="1" max="1" width="9.125" style="422" customWidth="1"/>
    <col min="2" max="2" width="10.375" style="422" customWidth="1"/>
    <col min="3" max="3" width="13.125" style="422" customWidth="1"/>
    <col min="4" max="4" width="5.875" style="422" customWidth="1"/>
    <col min="5" max="5" width="15.625" style="422" customWidth="1"/>
    <col min="6" max="6" width="10.375" style="422" customWidth="1"/>
    <col min="7" max="7" width="18.875" style="422" customWidth="1"/>
    <col min="8" max="8" width="15.625" style="422" customWidth="1"/>
    <col min="9" max="9" width="10.375" style="422" customWidth="1"/>
    <col min="10" max="10" width="18.875" style="422" customWidth="1"/>
    <col min="11" max="11" width="9.375" style="422" customWidth="1"/>
    <col min="12" max="12" width="3.625" style="422" bestFit="1" customWidth="1"/>
    <col min="13" max="13" width="6.625" style="422" bestFit="1" customWidth="1"/>
    <col min="14" max="16384" width="10.875" style="422"/>
  </cols>
  <sheetData>
    <row r="1" spans="1:13">
      <c r="A1" s="555"/>
      <c r="B1" s="555"/>
      <c r="C1" s="555"/>
      <c r="D1" s="555"/>
      <c r="E1" s="555"/>
      <c r="F1" s="555"/>
      <c r="G1" s="555"/>
      <c r="H1" s="555"/>
      <c r="I1" s="555"/>
      <c r="J1" s="555"/>
    </row>
    <row r="2" spans="1:13" s="15" customFormat="1">
      <c r="A2" s="556"/>
      <c r="B2" s="556"/>
      <c r="C2" s="556"/>
      <c r="D2" s="556"/>
      <c r="E2" s="556"/>
      <c r="F2" s="556"/>
      <c r="G2" s="556"/>
      <c r="H2" s="556"/>
      <c r="I2" s="556"/>
      <c r="J2" s="556"/>
    </row>
    <row r="3" spans="1:13" s="15" customFormat="1" ht="19.95" customHeight="1">
      <c r="A3" s="556"/>
      <c r="B3" s="1248" t="s">
        <v>198</v>
      </c>
      <c r="C3" s="1248"/>
      <c r="D3" s="1248"/>
      <c r="E3" s="1248"/>
      <c r="F3" s="1248"/>
      <c r="G3" s="1248"/>
      <c r="H3" s="1248"/>
      <c r="I3" s="1248"/>
      <c r="J3" s="1248"/>
    </row>
    <row r="4" spans="1:13" ht="0.75" customHeight="1">
      <c r="A4" s="556"/>
      <c r="B4" s="557"/>
      <c r="C4" s="557"/>
      <c r="D4" s="557"/>
      <c r="E4" s="557"/>
      <c r="F4" s="557"/>
      <c r="G4" s="557"/>
      <c r="H4" s="557"/>
      <c r="I4" s="557"/>
      <c r="J4" s="557"/>
    </row>
    <row r="5" spans="1:13" ht="0.75" customHeight="1">
      <c r="A5" s="558"/>
      <c r="B5" s="559"/>
      <c r="C5" s="559"/>
      <c r="D5" s="559"/>
      <c r="E5" s="559"/>
      <c r="F5" s="559"/>
      <c r="G5" s="559"/>
      <c r="H5" s="559"/>
      <c r="I5" s="559"/>
      <c r="J5" s="559"/>
    </row>
    <row r="6" spans="1:13" ht="21.75" customHeight="1">
      <c r="A6" s="560"/>
      <c r="B6" s="1249" t="s">
        <v>732</v>
      </c>
      <c r="C6" s="1249"/>
      <c r="D6" s="1249"/>
      <c r="E6" s="1249"/>
      <c r="F6" s="1249"/>
      <c r="G6" s="1249"/>
      <c r="H6" s="1249"/>
      <c r="I6" s="1249"/>
      <c r="J6" s="1249"/>
      <c r="K6" s="119"/>
      <c r="L6" s="119"/>
      <c r="M6" s="16"/>
    </row>
    <row r="7" spans="1:13">
      <c r="A7" s="558"/>
      <c r="B7" s="558"/>
      <c r="C7" s="558"/>
      <c r="D7" s="558"/>
      <c r="E7" s="558"/>
      <c r="F7" s="558"/>
      <c r="G7" s="558"/>
      <c r="H7" s="558"/>
      <c r="I7" s="558"/>
      <c r="J7" s="558"/>
    </row>
    <row r="8" spans="1:13" ht="15" customHeight="1">
      <c r="A8" s="558"/>
      <c r="B8" s="561" t="s">
        <v>547</v>
      </c>
      <c r="C8" s="555"/>
      <c r="D8" s="555"/>
      <c r="E8" s="1014"/>
      <c r="F8" s="838" t="s">
        <v>483</v>
      </c>
      <c r="G8" s="1252"/>
      <c r="H8" s="1253"/>
      <c r="I8" s="1253"/>
      <c r="J8" s="1253"/>
    </row>
    <row r="9" spans="1:13" ht="15" customHeight="1">
      <c r="A9" s="558"/>
      <c r="B9" s="561" t="s">
        <v>432</v>
      </c>
      <c r="C9" s="555"/>
      <c r="D9" s="555"/>
      <c r="E9" s="1258"/>
      <c r="F9" s="1259"/>
      <c r="G9" s="1259"/>
      <c r="H9" s="1259"/>
      <c r="I9" s="834"/>
      <c r="J9" s="834"/>
      <c r="K9" s="424"/>
      <c r="L9" s="424"/>
      <c r="M9" s="424"/>
    </row>
    <row r="10" spans="1:13" ht="15" customHeight="1">
      <c r="A10" s="558"/>
      <c r="B10" s="561" t="s">
        <v>441</v>
      </c>
      <c r="C10" s="555"/>
      <c r="D10" s="555"/>
      <c r="E10" s="1082"/>
      <c r="F10" s="838" t="s">
        <v>343</v>
      </c>
      <c r="G10" s="1252"/>
      <c r="H10" s="1253"/>
      <c r="I10" s="1253"/>
      <c r="J10" s="1253"/>
    </row>
    <row r="11" spans="1:13" ht="7.95" customHeight="1">
      <c r="A11" s="558"/>
      <c r="B11" s="558"/>
      <c r="C11" s="558"/>
      <c r="D11" s="555"/>
      <c r="E11" s="558"/>
      <c r="F11" s="558"/>
      <c r="G11" s="555"/>
      <c r="H11" s="555"/>
      <c r="I11" s="558"/>
      <c r="J11" s="558"/>
    </row>
    <row r="12" spans="1:13" ht="7.95" customHeight="1">
      <c r="A12" s="562"/>
      <c r="B12" s="562"/>
      <c r="C12" s="558"/>
      <c r="D12" s="555"/>
      <c r="E12" s="558"/>
      <c r="F12" s="558"/>
      <c r="G12" s="555"/>
      <c r="H12" s="555"/>
      <c r="I12" s="558"/>
      <c r="J12" s="562"/>
      <c r="K12" s="426"/>
    </row>
    <row r="13" spans="1:13" ht="21" customHeight="1">
      <c r="A13" s="562"/>
      <c r="B13" s="562"/>
      <c r="C13" s="563"/>
      <c r="D13" s="564"/>
      <c r="E13" s="558"/>
      <c r="F13" s="558"/>
      <c r="G13" s="555"/>
      <c r="H13" s="555"/>
      <c r="I13" s="558"/>
      <c r="J13" s="562"/>
      <c r="K13" s="426"/>
    </row>
    <row r="14" spans="1:13" ht="12" customHeight="1">
      <c r="A14" s="562"/>
      <c r="B14" s="562"/>
      <c r="C14" s="558"/>
      <c r="D14" s="564"/>
      <c r="E14" s="558"/>
      <c r="F14" s="558"/>
      <c r="G14" s="555"/>
      <c r="H14" s="555"/>
      <c r="I14" s="558"/>
      <c r="J14" s="562"/>
      <c r="K14" s="426"/>
    </row>
    <row r="15" spans="1:13" ht="12" customHeight="1">
      <c r="A15" s="558"/>
      <c r="B15" s="565"/>
      <c r="C15" s="566"/>
      <c r="D15" s="567"/>
      <c r="E15" s="568"/>
      <c r="F15" s="565"/>
      <c r="G15" s="567"/>
      <c r="H15" s="569"/>
      <c r="I15" s="565"/>
      <c r="J15" s="567"/>
    </row>
    <row r="16" spans="1:13" ht="12" customHeight="1">
      <c r="A16" s="558"/>
      <c r="B16" s="570" t="s">
        <v>151</v>
      </c>
      <c r="C16" s="1256"/>
      <c r="D16" s="1257"/>
      <c r="E16" s="568"/>
      <c r="F16" s="570" t="s">
        <v>151</v>
      </c>
      <c r="G16" s="571"/>
      <c r="H16" s="569"/>
      <c r="I16" s="570" t="s">
        <v>151</v>
      </c>
      <c r="J16" s="571"/>
    </row>
    <row r="17" spans="1:13" ht="12" customHeight="1">
      <c r="A17" s="558"/>
      <c r="B17" s="570"/>
      <c r="C17" s="1264"/>
      <c r="D17" s="1265"/>
      <c r="E17" s="568"/>
      <c r="F17" s="570"/>
      <c r="G17" s="571"/>
      <c r="H17" s="569"/>
      <c r="I17" s="570"/>
      <c r="J17" s="571"/>
    </row>
    <row r="18" spans="1:13" ht="12" customHeight="1">
      <c r="A18" s="558"/>
      <c r="B18" s="570" t="s">
        <v>152</v>
      </c>
      <c r="C18" s="1264"/>
      <c r="D18" s="1265"/>
      <c r="E18" s="568"/>
      <c r="F18" s="570" t="s">
        <v>152</v>
      </c>
      <c r="G18" s="571"/>
      <c r="H18" s="569"/>
      <c r="I18" s="570" t="s">
        <v>152</v>
      </c>
      <c r="J18" s="571"/>
    </row>
    <row r="19" spans="1:13" ht="12" customHeight="1">
      <c r="A19" s="558"/>
      <c r="B19" s="570" t="s">
        <v>39</v>
      </c>
      <c r="C19" s="1264"/>
      <c r="D19" s="1265"/>
      <c r="E19" s="568"/>
      <c r="F19" s="570" t="s">
        <v>39</v>
      </c>
      <c r="G19" s="571"/>
      <c r="H19" s="569"/>
      <c r="I19" s="570" t="s">
        <v>39</v>
      </c>
      <c r="J19" s="571"/>
    </row>
    <row r="20" spans="1:13" ht="12" customHeight="1">
      <c r="A20" s="558"/>
      <c r="B20" s="570" t="s">
        <v>40</v>
      </c>
      <c r="C20" s="1264"/>
      <c r="D20" s="1265"/>
      <c r="E20" s="568"/>
      <c r="F20" s="570" t="s">
        <v>40</v>
      </c>
      <c r="G20" s="571"/>
      <c r="H20" s="569"/>
      <c r="I20" s="570" t="s">
        <v>40</v>
      </c>
      <c r="J20" s="571"/>
    </row>
    <row r="21" spans="1:13" ht="12" customHeight="1">
      <c r="A21" s="558"/>
      <c r="B21" s="572"/>
      <c r="C21" s="573"/>
      <c r="D21" s="574"/>
      <c r="E21" s="568"/>
      <c r="F21" s="572"/>
      <c r="G21" s="574"/>
      <c r="H21" s="569"/>
      <c r="I21" s="572"/>
      <c r="J21" s="574"/>
    </row>
    <row r="22" spans="1:13" ht="12" customHeight="1">
      <c r="A22" s="558"/>
      <c r="B22" s="558"/>
      <c r="C22" s="558"/>
      <c r="D22" s="555"/>
      <c r="E22" s="558"/>
      <c r="F22" s="558"/>
      <c r="G22" s="555"/>
      <c r="H22" s="555"/>
      <c r="I22" s="558"/>
      <c r="J22" s="558"/>
    </row>
    <row r="23" spans="1:13" ht="12" customHeight="1">
      <c r="A23" s="558"/>
      <c r="B23" s="558"/>
      <c r="C23" s="558"/>
      <c r="D23" s="558"/>
      <c r="E23" s="558"/>
      <c r="F23" s="558"/>
      <c r="G23" s="555" t="str">
        <f>IF(J8=177422400,"Ihre Lizenznummer ist gültig bis am 1.11.2002!","")</f>
        <v/>
      </c>
      <c r="H23" s="558"/>
      <c r="I23" s="575"/>
      <c r="J23" s="575"/>
    </row>
    <row r="24" spans="1:13" ht="21" customHeight="1">
      <c r="A24" s="558"/>
      <c r="B24" s="1250" t="s">
        <v>164</v>
      </c>
      <c r="C24" s="1251"/>
      <c r="D24" s="555"/>
      <c r="E24" s="558"/>
      <c r="F24" s="558"/>
      <c r="G24" s="602">
        <f>IF(Daten!C64=6,10*Daten!C64*Nutzung,Daten!C64*Nutzung)</f>
        <v>60</v>
      </c>
      <c r="H24" s="558"/>
      <c r="I24" s="1261"/>
      <c r="J24" s="1262"/>
    </row>
    <row r="25" spans="1:13">
      <c r="A25" s="558"/>
      <c r="B25" s="558"/>
      <c r="C25" s="558"/>
      <c r="D25" s="558"/>
      <c r="E25" s="558"/>
      <c r="F25" s="558"/>
      <c r="G25" s="558"/>
      <c r="H25" s="558"/>
      <c r="I25" s="1262"/>
      <c r="J25" s="1262"/>
    </row>
    <row r="26" spans="1:13" ht="21" customHeight="1">
      <c r="A26" s="558"/>
      <c r="B26" s="1250" t="s">
        <v>292</v>
      </c>
      <c r="C26" s="1251"/>
      <c r="D26" s="555"/>
      <c r="E26" s="562"/>
      <c r="F26" s="575"/>
      <c r="G26" s="562"/>
      <c r="H26" s="575"/>
      <c r="I26" s="1262"/>
      <c r="J26" s="1262"/>
      <c r="K26" s="426"/>
      <c r="L26" s="426"/>
      <c r="M26" s="426"/>
    </row>
    <row r="27" spans="1:13" ht="12.75" customHeight="1">
      <c r="A27" s="558"/>
      <c r="B27" s="558"/>
      <c r="C27" s="558"/>
      <c r="D27" s="558"/>
      <c r="E27" s="562"/>
      <c r="F27" s="575"/>
      <c r="G27" s="562"/>
      <c r="H27" s="575"/>
      <c r="I27" s="562"/>
      <c r="J27" s="575"/>
      <c r="K27" s="426"/>
      <c r="L27" s="426"/>
      <c r="M27" s="426"/>
    </row>
    <row r="28" spans="1:13" ht="15.75" customHeight="1">
      <c r="B28" s="1263"/>
      <c r="C28" s="1263"/>
      <c r="E28" s="281" t="s">
        <v>353</v>
      </c>
      <c r="F28" s="428"/>
      <c r="G28" s="428"/>
      <c r="H28" s="428"/>
      <c r="I28" s="428"/>
      <c r="J28" s="429"/>
    </row>
    <row r="29" spans="1:13" ht="12.75" customHeight="1">
      <c r="B29" s="1263"/>
      <c r="C29" s="1263"/>
      <c r="D29" s="423"/>
      <c r="E29" s="430" t="s">
        <v>391</v>
      </c>
      <c r="G29" s="431">
        <f>IF(Nutzung="","",VLOOKUP(Nutzung,Daten!$A$4:$J$16,2))</f>
        <v>0</v>
      </c>
      <c r="H29" s="122" t="s">
        <v>570</v>
      </c>
      <c r="J29" s="432">
        <f>IF(Nutzung="","",VLOOKUP(Nutzung,Daten!$A$4:$J$16,6))</f>
        <v>0</v>
      </c>
    </row>
    <row r="30" spans="1:13" s="15" customFormat="1" ht="12.75" customHeight="1">
      <c r="A30" s="422"/>
      <c r="B30" s="1263"/>
      <c r="C30" s="1263"/>
      <c r="D30" s="433"/>
      <c r="E30" s="124" t="s">
        <v>157</v>
      </c>
      <c r="G30" s="125">
        <f>IF(Nutzung="","",VLOOKUP(Nutzung,Daten!$A$4:$J$16,3))</f>
        <v>0</v>
      </c>
      <c r="H30" s="122" t="s">
        <v>697</v>
      </c>
      <c r="J30" s="126">
        <f>IF(Nutzung="","",VLOOKUP(Nutzung,Daten!$A$4:$J$16,7))</f>
        <v>0</v>
      </c>
      <c r="K30" s="17"/>
      <c r="L30" s="17"/>
      <c r="M30" s="17"/>
    </row>
    <row r="31" spans="1:13" s="15" customFormat="1" ht="12.75" customHeight="1">
      <c r="A31" s="113"/>
      <c r="B31" s="1263"/>
      <c r="C31" s="1263"/>
      <c r="D31" s="113"/>
      <c r="E31" s="124" t="s">
        <v>392</v>
      </c>
      <c r="G31" s="125">
        <f>IF(Nutzung="","",VLOOKUP(Nutzung,Daten!$A$4:$J$16,4))</f>
        <v>0</v>
      </c>
      <c r="H31" s="122" t="s">
        <v>42</v>
      </c>
      <c r="J31" s="126">
        <f>IF(Nutzung="","",VLOOKUP(Nutzung,Daten!$A$4:$J$16,8))</f>
        <v>0</v>
      </c>
      <c r="K31" s="17"/>
      <c r="L31" s="17"/>
      <c r="M31" s="17"/>
    </row>
    <row r="32" spans="1:13" s="15" customFormat="1" ht="12.75" customHeight="1">
      <c r="A32" s="113"/>
      <c r="B32" s="1263"/>
      <c r="C32" s="1263"/>
      <c r="D32" s="113"/>
      <c r="E32" s="124" t="s">
        <v>393</v>
      </c>
      <c r="G32" s="125">
        <f>IF(Nutzung="","",VLOOKUP(Nutzung,Daten!$A$4:$J$16,5))</f>
        <v>0</v>
      </c>
      <c r="H32" s="122" t="s">
        <v>571</v>
      </c>
      <c r="J32" s="126">
        <f>IF(Nutzung="","",VLOOKUP(Nutzung,Daten!$A$4:$J$16,9))</f>
        <v>0</v>
      </c>
      <c r="K32" s="17"/>
      <c r="L32" s="18"/>
      <c r="M32" s="17"/>
    </row>
    <row r="33" spans="1:13" s="15" customFormat="1" ht="12.75" customHeight="1">
      <c r="A33" s="113"/>
      <c r="B33" s="1263"/>
      <c r="C33" s="1263"/>
      <c r="D33" s="113"/>
      <c r="E33" s="1083" t="s">
        <v>695</v>
      </c>
      <c r="G33" s="1084">
        <f>IF(Nutzung="","",VLOOKUP(Nutzung,Daten!$A$4:$K$16,11))</f>
        <v>0</v>
      </c>
      <c r="H33" s="122" t="s">
        <v>572</v>
      </c>
      <c r="J33" s="126">
        <f>IF(Nutzung="","",VLOOKUP(Nutzung,Daten!$A$4:$J$16,10))</f>
        <v>0</v>
      </c>
      <c r="K33" s="17"/>
      <c r="L33" s="18"/>
      <c r="M33" s="17"/>
    </row>
    <row r="34" spans="1:13" s="15" customFormat="1" ht="12.75" hidden="1" customHeight="1">
      <c r="A34" s="113"/>
      <c r="B34" s="1263"/>
      <c r="C34" s="1263"/>
      <c r="D34" s="113"/>
      <c r="E34" s="1073" t="s">
        <v>23</v>
      </c>
      <c r="G34" s="1074">
        <f>IF(Nutzung="","",VLOOKUP(Nutzung,Daten!$A$4:$L$16,12))</f>
        <v>0</v>
      </c>
      <c r="H34" s="1074" t="s">
        <v>232</v>
      </c>
      <c r="J34" s="1075">
        <f>IF(Nutzung="","",VLOOKUP(Nutzung,Daten!$A$4:$M$16,13))</f>
        <v>0</v>
      </c>
      <c r="K34" s="17"/>
      <c r="L34" s="18"/>
      <c r="M34" s="17"/>
    </row>
    <row r="35" spans="1:13" s="15" customFormat="1" ht="12.75" customHeight="1">
      <c r="A35" s="113"/>
      <c r="B35" s="1263"/>
      <c r="C35" s="1263"/>
      <c r="D35" s="113"/>
      <c r="E35" s="528"/>
      <c r="F35" s="525"/>
      <c r="G35" s="526"/>
      <c r="H35" s="526"/>
      <c r="I35" s="525"/>
      <c r="J35" s="501"/>
    </row>
    <row r="36" spans="1:13" s="15" customFormat="1" ht="12.75" customHeight="1">
      <c r="A36" s="113"/>
      <c r="B36" s="113"/>
      <c r="C36" s="113"/>
      <c r="D36" s="113"/>
      <c r="E36" s="113"/>
      <c r="F36" s="113"/>
      <c r="G36" s="113"/>
      <c r="H36" s="114"/>
      <c r="I36" s="113"/>
      <c r="J36" s="113"/>
    </row>
    <row r="37" spans="1:13" s="15" customFormat="1" ht="21" customHeight="1">
      <c r="A37" s="113"/>
      <c r="B37" s="1254" t="s">
        <v>573</v>
      </c>
      <c r="C37" s="1255"/>
      <c r="D37" s="434"/>
      <c r="E37" s="425"/>
      <c r="F37" s="425"/>
      <c r="G37" s="425"/>
      <c r="H37" s="1260" t="str">
        <f>IF(E56&gt;1,"Die Wärmebrücken müssen detailliert erfasst werden. Für die Anwendungen 'Nachweis' sowie 'Nachweis Minergie' ist ein pauschaler Zuschlag nicht zulässig. Bitte wählen Sie für Nachweise beim Zuschlag für Wärmebrücken 0 %.","")</f>
        <v/>
      </c>
      <c r="I37" s="829"/>
      <c r="J37" s="1266" t="s">
        <v>731</v>
      </c>
      <c r="M37" s="17"/>
    </row>
    <row r="38" spans="1:13" ht="12.75" customHeight="1">
      <c r="A38" s="113"/>
      <c r="B38" s="113"/>
      <c r="C38" s="113"/>
      <c r="D38" s="115"/>
      <c r="E38" s="113"/>
      <c r="F38" s="113"/>
      <c r="G38" s="115"/>
      <c r="H38" s="1260"/>
      <c r="I38" s="829"/>
      <c r="J38" s="1267"/>
    </row>
    <row r="39" spans="1:13" s="15" customFormat="1" ht="21" customHeight="1">
      <c r="A39" s="423"/>
      <c r="B39" s="1254" t="s">
        <v>553</v>
      </c>
      <c r="C39" s="1255"/>
      <c r="D39" s="426"/>
      <c r="E39" s="425"/>
      <c r="F39" s="427"/>
      <c r="G39" s="425"/>
      <c r="H39" s="1260"/>
      <c r="I39" s="829"/>
      <c r="J39" s="1267"/>
      <c r="K39" s="435"/>
      <c r="L39" s="435"/>
      <c r="M39" s="17"/>
    </row>
    <row r="40" spans="1:13" ht="12.75" customHeight="1">
      <c r="A40" s="113"/>
      <c r="B40" s="113"/>
      <c r="C40" s="113"/>
      <c r="D40" s="116"/>
      <c r="E40" s="113"/>
      <c r="F40" s="113"/>
      <c r="G40" s="17"/>
      <c r="H40" s="1260"/>
      <c r="I40" s="829"/>
      <c r="J40" s="1267"/>
    </row>
    <row r="41" spans="1:13" s="15" customFormat="1" ht="21" customHeight="1">
      <c r="A41" s="423"/>
      <c r="B41" s="1254" t="s">
        <v>373</v>
      </c>
      <c r="C41" s="1255"/>
      <c r="D41" s="426"/>
      <c r="E41" s="425"/>
      <c r="F41" s="427"/>
      <c r="G41" s="426"/>
      <c r="H41" s="1260"/>
      <c r="I41" s="829"/>
      <c r="J41" s="1267"/>
      <c r="K41" s="436"/>
      <c r="L41" s="17"/>
      <c r="M41" s="17"/>
    </row>
    <row r="42" spans="1:13" s="15" customFormat="1" ht="12.75" customHeight="1">
      <c r="A42" s="113"/>
      <c r="B42" s="113"/>
      <c r="C42" s="113"/>
      <c r="D42" s="529" t="str">
        <f>IF(Bauweise=5,"",VLOOKUP(Bauweise,Daten!$A$21:$B$24,2))</f>
        <v/>
      </c>
      <c r="E42" s="115"/>
      <c r="F42" s="116"/>
      <c r="G42" s="17"/>
      <c r="H42" s="1260"/>
      <c r="I42" s="829"/>
      <c r="J42" s="1267"/>
      <c r="K42" s="436"/>
      <c r="L42" s="17"/>
      <c r="M42" s="17"/>
    </row>
    <row r="43" spans="1:13" s="15" customFormat="1" ht="21" customHeight="1">
      <c r="A43" s="113"/>
      <c r="B43" s="1254" t="s">
        <v>526</v>
      </c>
      <c r="C43" s="1255"/>
      <c r="D43" s="425"/>
      <c r="E43" s="423"/>
      <c r="F43" s="437"/>
      <c r="G43" s="423"/>
      <c r="H43" s="1260"/>
      <c r="I43" s="829"/>
      <c r="J43" s="1267"/>
      <c r="K43" s="436"/>
    </row>
    <row r="44" spans="1:13" s="15" customFormat="1" ht="12.75" customHeight="1">
      <c r="A44" s="113"/>
      <c r="B44" s="113"/>
      <c r="C44" s="113"/>
      <c r="D44" s="17"/>
      <c r="E44" s="115"/>
      <c r="G44" s="115"/>
      <c r="H44" s="1260"/>
      <c r="I44" s="829"/>
      <c r="J44" s="1267"/>
      <c r="K44" s="436"/>
      <c r="L44" s="17"/>
      <c r="M44" s="17"/>
    </row>
    <row r="45" spans="1:13" s="15" customFormat="1" ht="21" customHeight="1">
      <c r="A45" s="113"/>
      <c r="B45" s="1269" t="s">
        <v>390</v>
      </c>
      <c r="C45" s="1270"/>
      <c r="D45" s="426"/>
      <c r="E45" s="425"/>
      <c r="F45" s="427"/>
      <c r="G45" s="425"/>
      <c r="H45" s="1260"/>
      <c r="I45" s="829"/>
      <c r="J45" s="1268"/>
      <c r="K45" s="436"/>
      <c r="L45" s="17"/>
      <c r="M45" s="17"/>
    </row>
    <row r="46" spans="1:13" s="15" customFormat="1" ht="12.75" customHeight="1">
      <c r="A46" s="113"/>
      <c r="B46" s="113"/>
      <c r="C46" s="113"/>
      <c r="D46" s="529" t="str">
        <f>IF(Regelung=4,"",VLOOKUP(Regelung,Daten!$A$29:$B$31,2))</f>
        <v/>
      </c>
      <c r="E46" s="115"/>
      <c r="F46" s="116"/>
      <c r="G46" s="115"/>
      <c r="H46" s="115"/>
      <c r="I46" s="438"/>
      <c r="K46" s="436"/>
      <c r="L46" s="17"/>
      <c r="M46" s="17"/>
    </row>
    <row r="47" spans="1:13" ht="12.75" customHeight="1">
      <c r="A47" s="113"/>
      <c r="B47" s="113" t="s">
        <v>730</v>
      </c>
      <c r="C47" s="15"/>
      <c r="D47" s="15"/>
      <c r="E47" s="15"/>
      <c r="F47" s="15"/>
      <c r="G47" s="15"/>
      <c r="H47" s="115"/>
      <c r="I47" s="438"/>
      <c r="J47" s="439"/>
      <c r="K47" s="440"/>
      <c r="L47" s="426"/>
      <c r="M47" s="426"/>
    </row>
    <row r="48" spans="1:13" ht="12.75" customHeight="1">
      <c r="A48" s="423"/>
      <c r="B48" s="1247" t="s">
        <v>727</v>
      </c>
      <c r="E48" s="423"/>
      <c r="G48" s="15"/>
      <c r="K48" s="440"/>
      <c r="L48" s="426"/>
      <c r="M48" s="426"/>
    </row>
    <row r="49" spans="1:8" hidden="1">
      <c r="A49" s="423"/>
      <c r="B49" s="1247"/>
      <c r="D49" s="426"/>
      <c r="E49" s="830">
        <f>IF(Daten!C64=1,1,0)</f>
        <v>0</v>
      </c>
    </row>
    <row r="50" spans="1:8" hidden="1">
      <c r="B50" s="1247"/>
      <c r="D50" s="426"/>
      <c r="E50" s="830">
        <f>IF(Daten!C64=5,1,0)</f>
        <v>0</v>
      </c>
    </row>
    <row r="51" spans="1:8" ht="12" hidden="1">
      <c r="B51" s="1247"/>
      <c r="D51" s="426"/>
      <c r="E51" s="831">
        <f>E49+E50</f>
        <v>0</v>
      </c>
    </row>
    <row r="52" spans="1:8" hidden="1">
      <c r="B52" s="1247"/>
      <c r="D52" s="426"/>
      <c r="E52" s="830"/>
    </row>
    <row r="53" spans="1:8" hidden="1">
      <c r="B53" s="1247"/>
      <c r="D53" s="426"/>
      <c r="E53" s="830"/>
    </row>
    <row r="54" spans="1:8" ht="12" hidden="1">
      <c r="B54" s="1247"/>
      <c r="D54" s="426"/>
      <c r="E54" s="831">
        <f>IF(Daten!E43&gt;1,1,0)</f>
        <v>0</v>
      </c>
    </row>
    <row r="55" spans="1:8" hidden="1">
      <c r="B55" s="1247"/>
      <c r="E55" s="832"/>
    </row>
    <row r="56" spans="1:8" ht="12" hidden="1">
      <c r="B56" s="1247"/>
      <c r="E56" s="833">
        <f>E54+E51</f>
        <v>0</v>
      </c>
    </row>
    <row r="57" spans="1:8" hidden="1">
      <c r="B57" s="1247"/>
    </row>
    <row r="58" spans="1:8" hidden="1">
      <c r="B58" s="1247"/>
    </row>
    <row r="59" spans="1:8" hidden="1">
      <c r="B59" s="1247"/>
    </row>
    <row r="60" spans="1:8" hidden="1">
      <c r="B60" s="1247"/>
    </row>
    <row r="61" spans="1:8" hidden="1">
      <c r="B61" s="1247"/>
      <c r="H61" s="422" t="str">
        <f>IF(G10&lt;&gt;"",IF(ROUND(G92,0)&gt;=ROUND(G91,0),TRUE,FALSE), "")</f>
        <v/>
      </c>
    </row>
    <row r="62" spans="1:8">
      <c r="B62" s="1247" t="s">
        <v>728</v>
      </c>
    </row>
    <row r="63" spans="1:8">
      <c r="B63" s="1247" t="s">
        <v>729</v>
      </c>
    </row>
    <row r="112" spans="8:10">
      <c r="H112" s="423"/>
      <c r="I112" s="423"/>
      <c r="J112" s="423"/>
    </row>
    <row r="116" spans="1:18">
      <c r="A116" s="437"/>
      <c r="B116" s="437"/>
      <c r="C116" s="437"/>
      <c r="D116" s="437"/>
      <c r="E116" s="437"/>
      <c r="F116" s="437"/>
      <c r="K116" s="423"/>
      <c r="L116" s="423"/>
      <c r="M116" s="423"/>
      <c r="N116" s="423"/>
      <c r="O116" s="423"/>
      <c r="P116" s="423"/>
      <c r="Q116" s="423"/>
      <c r="R116" s="423"/>
    </row>
    <row r="117" spans="1:18">
      <c r="A117" s="423"/>
      <c r="B117" s="423"/>
      <c r="C117" s="427"/>
      <c r="D117" s="423"/>
      <c r="E117" s="427"/>
      <c r="F117" s="423"/>
      <c r="G117" s="437"/>
    </row>
    <row r="118" spans="1:18">
      <c r="G118" s="423"/>
    </row>
  </sheetData>
  <sheetProtection algorithmName="SHA-512" hashValue="fsvyhSloO1dKyrycyJ8IRHAsG1HttOyMlmS8OjDaMwczQ5X6nRfusjbklAlcjBfTx7tSwDIS+uoFKusO9D5WYQ==" saltValue="79+6OFSmNCB9Zcryae/qaQ==" spinCount="100000" sheet="1" selectLockedCells="1"/>
  <mergeCells count="21">
    <mergeCell ref="B39:C39"/>
    <mergeCell ref="C16:D16"/>
    <mergeCell ref="E9:H9"/>
    <mergeCell ref="H37:H45"/>
    <mergeCell ref="G10:J10"/>
    <mergeCell ref="I24:J26"/>
    <mergeCell ref="B28:C35"/>
    <mergeCell ref="B41:C41"/>
    <mergeCell ref="C18:D18"/>
    <mergeCell ref="C19:D19"/>
    <mergeCell ref="C20:D20"/>
    <mergeCell ref="C17:D17"/>
    <mergeCell ref="B43:C43"/>
    <mergeCell ref="J37:J45"/>
    <mergeCell ref="B45:C45"/>
    <mergeCell ref="B37:C37"/>
    <mergeCell ref="B3:J3"/>
    <mergeCell ref="B6:J6"/>
    <mergeCell ref="B24:C24"/>
    <mergeCell ref="B26:C26"/>
    <mergeCell ref="G8:J8"/>
  </mergeCells>
  <phoneticPr fontId="18"/>
  <conditionalFormatting sqref="I23:J23">
    <cfRule type="expression" dxfId="144" priority="1" stopIfTrue="1">
      <formula>$J$29=60</formula>
    </cfRule>
    <cfRule type="expression" dxfId="143" priority="2" stopIfTrue="1">
      <formula>$J$31=0.27</formula>
    </cfRule>
    <cfRule type="expression" dxfId="142" priority="3" stopIfTrue="1">
      <formula>$J$31=0.33</formula>
    </cfRule>
  </conditionalFormatting>
  <conditionalFormatting sqref="I24:J26">
    <cfRule type="expression" dxfId="141" priority="4" stopIfTrue="1">
      <formula>$G$24&gt;241</formula>
    </cfRule>
  </conditionalFormatting>
  <conditionalFormatting sqref="J29">
    <cfRule type="cellIs" dxfId="140" priority="5" stopIfTrue="1" operator="equal">
      <formula>60</formula>
    </cfRule>
  </conditionalFormatting>
  <conditionalFormatting sqref="J31">
    <cfRule type="cellIs" dxfId="139" priority="6" stopIfTrue="1" operator="equal">
      <formula>0.27</formula>
    </cfRule>
    <cfRule type="cellIs" dxfId="138" priority="7" stopIfTrue="1" operator="equal">
      <formula>0.33</formula>
    </cfRule>
  </conditionalFormatting>
  <conditionalFormatting sqref="H37:H45">
    <cfRule type="expression" dxfId="137" priority="8" stopIfTrue="1">
      <formula>$E$56&gt;1</formula>
    </cfRule>
  </conditionalFormatting>
  <dataValidations disablePrompts="1" xWindow="383" yWindow="757" count="2">
    <dataValidation allowBlank="1" showInputMessage="1" showErrorMessage="1" errorTitle="Minergie-P" error="Bitte Beachten:_x000d_Der Minergie-P Standard ist nur für die Nutzungen Wohnen EFH und MFH sowie Verwaltung definiert. Bitte wählen Sie eine andere Berechnung oder eine andere Standardnutzung aus." sqref="G24" xr:uid="{00000000-0002-0000-0000-000000000000}"/>
    <dataValidation type="custom" allowBlank="1" showInputMessage="1" showErrorMessage="1" errorTitle="dfgdfgdffg" sqref="I26" xr:uid="{00000000-0002-0000-0000-000001000000}">
      <formula1>"&lt;241"</formula1>
    </dataValidation>
  </dataValidations>
  <printOptions horizontalCentered="1"/>
  <pageMargins left="0.59055118110236227" right="0.59055118110236227" top="0.59055118110236227" bottom="0.59055118110236227" header="0.51181102362204722" footer="0.51181102362204722"/>
  <pageSetup paperSize="9" scale="82" orientation="landscape" horizontalDpi="4294967292" verticalDpi="4294967292"/>
  <colBreaks count="1" manualBreakCount="1">
    <brk id="11"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8196" r:id="rId3" name="Drop Down 4">
              <controlPr defaultSize="0" autoLine="0" autoPict="0">
                <anchor moveWithCells="1">
                  <from>
                    <xdr:col>4</xdr:col>
                    <xdr:colOff>0</xdr:colOff>
                    <xdr:row>36</xdr:row>
                    <xdr:rowOff>15240</xdr:rowOff>
                  </from>
                  <to>
                    <xdr:col>6</xdr:col>
                    <xdr:colOff>609600</xdr:colOff>
                    <xdr:row>36</xdr:row>
                    <xdr:rowOff>251460</xdr:rowOff>
                  </to>
                </anchor>
              </controlPr>
            </control>
          </mc:Choice>
        </mc:AlternateContent>
        <mc:AlternateContent xmlns:mc="http://schemas.openxmlformats.org/markup-compatibility/2006">
          <mc:Choice Requires="x14">
            <control shapeId="8197" r:id="rId4" name="Drop Down 5">
              <controlPr defaultSize="0" autoLine="0" autoPict="0">
                <anchor moveWithCells="1">
                  <from>
                    <xdr:col>4</xdr:col>
                    <xdr:colOff>0</xdr:colOff>
                    <xdr:row>38</xdr:row>
                    <xdr:rowOff>15240</xdr:rowOff>
                  </from>
                  <to>
                    <xdr:col>6</xdr:col>
                    <xdr:colOff>609600</xdr:colOff>
                    <xdr:row>38</xdr:row>
                    <xdr:rowOff>251460</xdr:rowOff>
                  </to>
                </anchor>
              </controlPr>
            </control>
          </mc:Choice>
        </mc:AlternateContent>
        <mc:AlternateContent xmlns:mc="http://schemas.openxmlformats.org/markup-compatibility/2006">
          <mc:Choice Requires="x14">
            <control shapeId="8198" r:id="rId5" name="Drop Down 6">
              <controlPr defaultSize="0" autoLine="0" autoPict="0">
                <anchor moveWithCells="1">
                  <from>
                    <xdr:col>4</xdr:col>
                    <xdr:colOff>0</xdr:colOff>
                    <xdr:row>40</xdr:row>
                    <xdr:rowOff>15240</xdr:rowOff>
                  </from>
                  <to>
                    <xdr:col>6</xdr:col>
                    <xdr:colOff>609600</xdr:colOff>
                    <xdr:row>40</xdr:row>
                    <xdr:rowOff>251460</xdr:rowOff>
                  </to>
                </anchor>
              </controlPr>
            </control>
          </mc:Choice>
        </mc:AlternateContent>
        <mc:AlternateContent xmlns:mc="http://schemas.openxmlformats.org/markup-compatibility/2006">
          <mc:Choice Requires="x14">
            <control shapeId="8199" r:id="rId6" name="Drop Down 7">
              <controlPr defaultSize="0" autoLine="0" autoPict="0">
                <anchor moveWithCells="1">
                  <from>
                    <xdr:col>4</xdr:col>
                    <xdr:colOff>0</xdr:colOff>
                    <xdr:row>42</xdr:row>
                    <xdr:rowOff>15240</xdr:rowOff>
                  </from>
                  <to>
                    <xdr:col>6</xdr:col>
                    <xdr:colOff>609600</xdr:colOff>
                    <xdr:row>42</xdr:row>
                    <xdr:rowOff>251460</xdr:rowOff>
                  </to>
                </anchor>
              </controlPr>
            </control>
          </mc:Choice>
        </mc:AlternateContent>
        <mc:AlternateContent xmlns:mc="http://schemas.openxmlformats.org/markup-compatibility/2006">
          <mc:Choice Requires="x14">
            <control shapeId="8200" r:id="rId7" name="Drop Down 8">
              <controlPr defaultSize="0" autoLine="0" autoPict="0">
                <anchor moveWithCells="1">
                  <from>
                    <xdr:col>4</xdr:col>
                    <xdr:colOff>0</xdr:colOff>
                    <xdr:row>25</xdr:row>
                    <xdr:rowOff>15240</xdr:rowOff>
                  </from>
                  <to>
                    <xdr:col>6</xdr:col>
                    <xdr:colOff>624840</xdr:colOff>
                    <xdr:row>25</xdr:row>
                    <xdr:rowOff>251460</xdr:rowOff>
                  </to>
                </anchor>
              </controlPr>
            </control>
          </mc:Choice>
        </mc:AlternateContent>
        <mc:AlternateContent xmlns:mc="http://schemas.openxmlformats.org/markup-compatibility/2006">
          <mc:Choice Requires="x14">
            <control shapeId="8201" r:id="rId8" name="Drop Down 9">
              <controlPr defaultSize="0" autoLine="0" autoPict="0">
                <anchor moveWithCells="1">
                  <from>
                    <xdr:col>4</xdr:col>
                    <xdr:colOff>0</xdr:colOff>
                    <xdr:row>44</xdr:row>
                    <xdr:rowOff>15240</xdr:rowOff>
                  </from>
                  <to>
                    <xdr:col>6</xdr:col>
                    <xdr:colOff>609600</xdr:colOff>
                    <xdr:row>44</xdr:row>
                    <xdr:rowOff>251460</xdr:rowOff>
                  </to>
                </anchor>
              </controlPr>
            </control>
          </mc:Choice>
        </mc:AlternateContent>
        <mc:AlternateContent xmlns:mc="http://schemas.openxmlformats.org/markup-compatibility/2006">
          <mc:Choice Requires="x14">
            <control shapeId="8221" r:id="rId9" name="Drop Down 29">
              <controlPr defaultSize="0" autoLine="0" autoPict="0">
                <anchor moveWithCells="1">
                  <from>
                    <xdr:col>4</xdr:col>
                    <xdr:colOff>0</xdr:colOff>
                    <xdr:row>23</xdr:row>
                    <xdr:rowOff>15240</xdr:rowOff>
                  </from>
                  <to>
                    <xdr:col>6</xdr:col>
                    <xdr:colOff>624840</xdr:colOff>
                    <xdr:row>23</xdr:row>
                    <xdr:rowOff>251460</xdr:rowOff>
                  </to>
                </anchor>
              </controlPr>
            </control>
          </mc:Choice>
        </mc:AlternateContent>
        <mc:AlternateContent xmlns:mc="http://schemas.openxmlformats.org/markup-compatibility/2006">
          <mc:Choice Requires="x14">
            <control shapeId="8223" r:id="rId10" name="Drop Down 31">
              <controlPr defaultSize="0" autoLine="0" autoPict="0">
                <anchor moveWithCells="1">
                  <from>
                    <xdr:col>0</xdr:col>
                    <xdr:colOff>685800</xdr:colOff>
                    <xdr:row>12</xdr:row>
                    <xdr:rowOff>15240</xdr:rowOff>
                  </from>
                  <to>
                    <xdr:col>4</xdr:col>
                    <xdr:colOff>0</xdr:colOff>
                    <xdr:row>12</xdr:row>
                    <xdr:rowOff>251460</xdr:rowOff>
                  </to>
                </anchor>
              </controlPr>
            </control>
          </mc:Choice>
        </mc:AlternateContent>
        <mc:AlternateContent xmlns:mc="http://schemas.openxmlformats.org/markup-compatibility/2006">
          <mc:Choice Requires="x14">
            <control shapeId="8224" r:id="rId11" name="Drop Down 32">
              <controlPr defaultSize="0" autoLine="0" autoPict="0">
                <anchor moveWithCells="1">
                  <from>
                    <xdr:col>5</xdr:col>
                    <xdr:colOff>0</xdr:colOff>
                    <xdr:row>12</xdr:row>
                    <xdr:rowOff>15240</xdr:rowOff>
                  </from>
                  <to>
                    <xdr:col>7</xdr:col>
                    <xdr:colOff>0</xdr:colOff>
                    <xdr:row>12</xdr:row>
                    <xdr:rowOff>251460</xdr:rowOff>
                  </to>
                </anchor>
              </controlPr>
            </control>
          </mc:Choice>
        </mc:AlternateContent>
        <mc:AlternateContent xmlns:mc="http://schemas.openxmlformats.org/markup-compatibility/2006">
          <mc:Choice Requires="x14">
            <control shapeId="8225" r:id="rId12" name="Drop Down 33">
              <controlPr defaultSize="0" autoLine="0" autoPict="0">
                <anchor moveWithCells="1">
                  <from>
                    <xdr:col>8</xdr:col>
                    <xdr:colOff>0</xdr:colOff>
                    <xdr:row>12</xdr:row>
                    <xdr:rowOff>15240</xdr:rowOff>
                  </from>
                  <to>
                    <xdr:col>10</xdr:col>
                    <xdr:colOff>15240</xdr:colOff>
                    <xdr:row>12</xdr:row>
                    <xdr:rowOff>251460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tabColor rgb="FFFFC000"/>
    <pageSetUpPr fitToPage="1"/>
  </sheetPr>
  <dimension ref="A1:AZ1076"/>
  <sheetViews>
    <sheetView showGridLines="0" showRowColHeaders="0" showOutlineSymbols="0" zoomScale="150" zoomScaleNormal="145" zoomScalePageLayoutView="145" workbookViewId="0">
      <selection activeCell="D105" sqref="D105"/>
    </sheetView>
  </sheetViews>
  <sheetFormatPr baseColWidth="10" defaultColWidth="10.875" defaultRowHeight="10.199999999999999"/>
  <cols>
    <col min="1" max="1" width="11.875" style="20" customWidth="1"/>
    <col min="2" max="2" width="29.375" style="20" bestFit="1" customWidth="1"/>
    <col min="3" max="4" width="10.875" style="20"/>
    <col min="5" max="5" width="7.125" style="20" customWidth="1"/>
    <col min="6" max="6" width="6.625" style="20" bestFit="1" customWidth="1"/>
    <col min="7" max="7" width="10.875" style="20"/>
    <col min="8" max="8" width="7.125" style="20" customWidth="1"/>
    <col min="9" max="12" width="10.875" style="20"/>
    <col min="13" max="15" width="0" style="20" hidden="1" customWidth="1"/>
    <col min="16" max="16384" width="10.875" style="20"/>
  </cols>
  <sheetData>
    <row r="1" spans="1:52">
      <c r="A1" s="37"/>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row>
    <row r="2" spans="1:52" s="415" customFormat="1" ht="16.95" customHeight="1">
      <c r="A2" s="37"/>
      <c r="B2" s="1377" t="s">
        <v>201</v>
      </c>
      <c r="C2" s="1377"/>
      <c r="D2" s="1377"/>
      <c r="E2" s="1377"/>
      <c r="F2" s="1377"/>
      <c r="G2" s="1377"/>
      <c r="H2" s="1377"/>
      <c r="I2" s="1377"/>
      <c r="J2" s="414"/>
      <c r="K2" s="414"/>
      <c r="L2" s="414"/>
      <c r="M2" s="414"/>
      <c r="N2" s="414"/>
      <c r="O2" s="414"/>
      <c r="P2" s="414"/>
      <c r="Q2" s="414"/>
      <c r="R2" s="414"/>
      <c r="S2" s="414"/>
      <c r="T2" s="414"/>
      <c r="U2" s="414"/>
      <c r="V2" s="414"/>
      <c r="W2" s="414"/>
      <c r="X2" s="414"/>
      <c r="Y2" s="414"/>
      <c r="Z2" s="414"/>
      <c r="AA2" s="414"/>
      <c r="AB2" s="414"/>
      <c r="AC2" s="414"/>
      <c r="AD2" s="414"/>
      <c r="AE2" s="414"/>
      <c r="AF2" s="414"/>
      <c r="AG2" s="414"/>
      <c r="AH2" s="414"/>
      <c r="AI2" s="414"/>
      <c r="AJ2" s="414"/>
      <c r="AK2" s="414"/>
      <c r="AL2" s="414"/>
      <c r="AM2" s="414"/>
      <c r="AN2" s="414"/>
      <c r="AO2" s="414"/>
      <c r="AP2" s="414"/>
      <c r="AQ2" s="414"/>
      <c r="AR2" s="414"/>
      <c r="AS2" s="414"/>
      <c r="AT2" s="414"/>
      <c r="AU2" s="414"/>
      <c r="AV2" s="414"/>
      <c r="AW2" s="414"/>
      <c r="AX2" s="414"/>
      <c r="AY2" s="414"/>
      <c r="AZ2" s="414"/>
    </row>
    <row r="3" spans="1:52" s="415" customFormat="1">
      <c r="A3" s="414"/>
      <c r="B3" s="414"/>
      <c r="C3" s="414"/>
      <c r="D3" s="414"/>
      <c r="E3" s="414"/>
      <c r="F3" s="414"/>
      <c r="G3" s="414"/>
      <c r="H3" s="414"/>
      <c r="I3" s="414"/>
      <c r="J3" s="414"/>
      <c r="K3" s="414"/>
      <c r="L3" s="414"/>
      <c r="M3" s="414"/>
      <c r="N3" s="414"/>
      <c r="O3" s="414"/>
      <c r="P3" s="414"/>
      <c r="Q3" s="414"/>
      <c r="R3" s="414"/>
      <c r="S3" s="414"/>
      <c r="T3" s="414"/>
      <c r="U3" s="414"/>
      <c r="V3" s="414"/>
      <c r="W3" s="414"/>
      <c r="X3" s="414"/>
      <c r="Y3" s="414"/>
      <c r="Z3" s="414"/>
      <c r="AA3" s="414"/>
      <c r="AB3" s="414"/>
      <c r="AC3" s="414"/>
      <c r="AD3" s="414"/>
      <c r="AE3" s="414"/>
      <c r="AF3" s="414"/>
      <c r="AG3" s="414"/>
      <c r="AH3" s="414"/>
      <c r="AI3" s="414"/>
      <c r="AJ3" s="414"/>
      <c r="AK3" s="414"/>
      <c r="AL3" s="414"/>
      <c r="AM3" s="414"/>
      <c r="AN3" s="414"/>
      <c r="AO3" s="414"/>
      <c r="AP3" s="414"/>
      <c r="AQ3" s="414"/>
      <c r="AR3" s="414"/>
      <c r="AS3" s="414"/>
      <c r="AT3" s="414"/>
      <c r="AU3" s="414"/>
      <c r="AV3" s="414"/>
      <c r="AW3" s="414"/>
      <c r="AX3" s="414"/>
      <c r="AY3" s="414"/>
      <c r="AZ3" s="414"/>
    </row>
    <row r="4" spans="1:52" s="415" customFormat="1" ht="10.95" customHeight="1">
      <c r="A4" s="414"/>
      <c r="B4" s="414" t="s">
        <v>28</v>
      </c>
      <c r="C4" s="414"/>
      <c r="D4" s="414"/>
      <c r="E4" s="1063">
        <f>(1220-(0.14*Klima!C148))/3600</f>
        <v>0.33888888888888891</v>
      </c>
      <c r="F4" s="37" t="s">
        <v>630</v>
      </c>
      <c r="G4" s="414"/>
      <c r="H4" s="414"/>
      <c r="I4" s="414"/>
      <c r="J4" s="414"/>
      <c r="K4" s="414"/>
      <c r="L4" s="414"/>
      <c r="M4" s="414"/>
      <c r="N4" s="414"/>
      <c r="O4" s="414"/>
      <c r="P4" s="414"/>
      <c r="Q4" s="414"/>
      <c r="R4" s="414"/>
      <c r="S4" s="414"/>
      <c r="T4" s="414"/>
      <c r="U4" s="414"/>
      <c r="V4" s="414"/>
      <c r="W4" s="414"/>
      <c r="X4" s="414"/>
      <c r="Y4" s="414"/>
      <c r="Z4" s="414"/>
      <c r="AA4" s="414"/>
      <c r="AB4" s="414"/>
      <c r="AC4" s="414"/>
      <c r="AD4" s="414"/>
      <c r="AE4" s="414"/>
      <c r="AF4" s="414"/>
      <c r="AG4" s="414"/>
      <c r="AH4" s="414"/>
      <c r="AI4" s="414"/>
      <c r="AJ4" s="414"/>
      <c r="AK4" s="414"/>
      <c r="AL4" s="414"/>
      <c r="AM4" s="414"/>
      <c r="AN4" s="414"/>
      <c r="AO4" s="414"/>
      <c r="AP4" s="414"/>
      <c r="AQ4" s="414"/>
      <c r="AR4" s="414"/>
      <c r="AS4" s="414"/>
      <c r="AT4" s="414"/>
      <c r="AU4" s="414"/>
      <c r="AV4" s="414"/>
      <c r="AW4" s="414"/>
      <c r="AX4" s="414"/>
      <c r="AY4" s="414"/>
      <c r="AZ4" s="414"/>
    </row>
    <row r="5" spans="1:52" s="415" customFormat="1" ht="10.95" customHeight="1">
      <c r="A5" s="414"/>
      <c r="B5" s="414"/>
      <c r="C5" s="414"/>
      <c r="D5" s="414"/>
      <c r="E5" s="414"/>
      <c r="F5" s="414"/>
      <c r="G5" s="414"/>
      <c r="H5" s="414"/>
      <c r="I5" s="414"/>
      <c r="J5" s="414"/>
      <c r="K5" s="414"/>
      <c r="L5" s="414"/>
      <c r="M5" s="414"/>
      <c r="N5" s="414"/>
      <c r="O5" s="414"/>
      <c r="P5" s="414"/>
      <c r="Q5" s="414"/>
      <c r="R5" s="414"/>
      <c r="S5" s="414"/>
      <c r="T5" s="414"/>
      <c r="U5" s="414"/>
      <c r="V5" s="414"/>
      <c r="W5" s="414"/>
      <c r="X5" s="414"/>
      <c r="Y5" s="414"/>
      <c r="Z5" s="414"/>
      <c r="AA5" s="414"/>
      <c r="AB5" s="414"/>
      <c r="AC5" s="414"/>
      <c r="AD5" s="414"/>
      <c r="AE5" s="414"/>
      <c r="AF5" s="414"/>
      <c r="AG5" s="414"/>
      <c r="AH5" s="414"/>
      <c r="AI5" s="414"/>
      <c r="AJ5" s="414"/>
      <c r="AK5" s="414"/>
      <c r="AL5" s="414"/>
      <c r="AM5" s="414"/>
      <c r="AN5" s="414"/>
      <c r="AO5" s="414"/>
      <c r="AP5" s="414"/>
      <c r="AQ5" s="414"/>
      <c r="AR5" s="414"/>
      <c r="AS5" s="414"/>
      <c r="AT5" s="414"/>
      <c r="AU5" s="414"/>
      <c r="AV5" s="414"/>
      <c r="AW5" s="414"/>
      <c r="AX5" s="414"/>
      <c r="AY5" s="414"/>
      <c r="AZ5" s="414"/>
    </row>
    <row r="6" spans="1:52" s="415" customFormat="1" ht="10.95" customHeight="1">
      <c r="A6" s="414"/>
      <c r="B6" s="414" t="s">
        <v>29</v>
      </c>
      <c r="C6" s="414"/>
      <c r="D6" s="414"/>
      <c r="E6" s="414">
        <f>Nutzung!G29</f>
        <v>0</v>
      </c>
      <c r="F6" s="414" t="s">
        <v>228</v>
      </c>
      <c r="G6" s="414"/>
      <c r="H6" s="414"/>
      <c r="I6" s="414"/>
      <c r="J6" s="414"/>
      <c r="K6" s="414"/>
      <c r="L6" s="414"/>
      <c r="M6" s="414"/>
      <c r="N6" s="414"/>
      <c r="O6" s="414"/>
      <c r="P6" s="414"/>
      <c r="Q6" s="414"/>
      <c r="R6" s="414"/>
      <c r="S6" s="414"/>
      <c r="T6" s="414"/>
      <c r="U6" s="414"/>
      <c r="V6" s="414"/>
      <c r="W6" s="414"/>
      <c r="X6" s="414"/>
      <c r="Y6" s="414"/>
      <c r="Z6" s="414"/>
      <c r="AA6" s="414"/>
      <c r="AB6" s="414"/>
      <c r="AC6" s="414"/>
      <c r="AD6" s="414"/>
      <c r="AE6" s="414"/>
      <c r="AF6" s="414"/>
      <c r="AG6" s="414"/>
      <c r="AH6" s="414"/>
      <c r="AI6" s="414"/>
      <c r="AJ6" s="414"/>
      <c r="AK6" s="414"/>
      <c r="AL6" s="414"/>
      <c r="AM6" s="414"/>
      <c r="AN6" s="414"/>
      <c r="AO6" s="414"/>
      <c r="AP6" s="414"/>
      <c r="AQ6" s="414"/>
      <c r="AR6" s="414"/>
      <c r="AS6" s="414"/>
      <c r="AT6" s="414"/>
      <c r="AU6" s="414"/>
      <c r="AV6" s="414"/>
      <c r="AW6" s="414"/>
      <c r="AX6" s="414"/>
      <c r="AY6" s="414"/>
      <c r="AZ6" s="414"/>
    </row>
    <row r="7" spans="1:52" s="415" customFormat="1" ht="10.95" customHeight="1">
      <c r="A7" s="414"/>
      <c r="B7" s="414"/>
      <c r="C7" s="414"/>
      <c r="D7" s="414"/>
      <c r="E7" s="414"/>
      <c r="F7" s="414"/>
      <c r="G7" s="414"/>
      <c r="H7" s="414"/>
      <c r="I7" s="414"/>
      <c r="J7" s="414"/>
      <c r="K7" s="414"/>
      <c r="L7" s="414"/>
      <c r="M7" s="414"/>
      <c r="N7" s="414"/>
      <c r="O7" s="414"/>
      <c r="P7" s="414"/>
      <c r="Q7" s="414"/>
      <c r="R7" s="414"/>
      <c r="S7" s="414"/>
      <c r="T7" s="414"/>
      <c r="U7" s="414"/>
      <c r="V7" s="414"/>
      <c r="W7" s="414"/>
      <c r="X7" s="414"/>
      <c r="Y7" s="414"/>
      <c r="Z7" s="414"/>
      <c r="AA7" s="414"/>
      <c r="AB7" s="414"/>
      <c r="AC7" s="414"/>
      <c r="AD7" s="414"/>
      <c r="AE7" s="414"/>
      <c r="AF7" s="414"/>
      <c r="AG7" s="414"/>
      <c r="AH7" s="414"/>
      <c r="AI7" s="414"/>
      <c r="AJ7" s="414"/>
      <c r="AK7" s="414"/>
      <c r="AL7" s="414"/>
      <c r="AM7" s="414"/>
      <c r="AN7" s="414"/>
      <c r="AO7" s="414"/>
      <c r="AP7" s="414"/>
      <c r="AQ7" s="414"/>
      <c r="AR7" s="414"/>
      <c r="AS7" s="414"/>
      <c r="AT7" s="414"/>
      <c r="AU7" s="414"/>
      <c r="AV7" s="414"/>
      <c r="AW7" s="414"/>
      <c r="AX7" s="414"/>
      <c r="AY7" s="414"/>
      <c r="AZ7" s="414"/>
    </row>
    <row r="8" spans="1:52" s="415" customFormat="1" ht="10.95" customHeight="1">
      <c r="A8" s="414"/>
      <c r="B8" s="37" t="s">
        <v>633</v>
      </c>
      <c r="D8" s="414" t="s">
        <v>49</v>
      </c>
      <c r="E8" s="414">
        <f>Klima!C136</f>
        <v>0</v>
      </c>
      <c r="F8" s="414" t="s">
        <v>228</v>
      </c>
      <c r="G8" s="414" t="s">
        <v>221</v>
      </c>
      <c r="H8" s="414">
        <f>Klima!C142</f>
        <v>0</v>
      </c>
      <c r="I8" s="414" t="s">
        <v>228</v>
      </c>
      <c r="J8" s="414"/>
      <c r="K8" s="414"/>
      <c r="L8" s="414"/>
      <c r="M8" s="414"/>
      <c r="N8" s="414"/>
      <c r="O8" s="414"/>
      <c r="P8" s="414"/>
      <c r="Q8" s="414"/>
      <c r="R8" s="414"/>
      <c r="S8" s="414"/>
      <c r="T8" s="414"/>
      <c r="U8" s="414"/>
      <c r="V8" s="414"/>
      <c r="W8" s="414"/>
      <c r="X8" s="414"/>
      <c r="Y8" s="414"/>
      <c r="Z8" s="414"/>
      <c r="AA8" s="414"/>
      <c r="AB8" s="414"/>
      <c r="AC8" s="414"/>
      <c r="AD8" s="414"/>
      <c r="AE8" s="414"/>
      <c r="AF8" s="414"/>
      <c r="AG8" s="414"/>
      <c r="AH8" s="414"/>
      <c r="AI8" s="414"/>
      <c r="AJ8" s="414"/>
      <c r="AK8" s="414"/>
      <c r="AL8" s="414"/>
      <c r="AM8" s="414"/>
      <c r="AN8" s="414"/>
      <c r="AO8" s="414"/>
      <c r="AP8" s="414"/>
      <c r="AQ8" s="414"/>
      <c r="AR8" s="414"/>
      <c r="AS8" s="414"/>
      <c r="AT8" s="414"/>
      <c r="AU8" s="414"/>
      <c r="AV8" s="414"/>
      <c r="AW8" s="414"/>
      <c r="AX8" s="414"/>
      <c r="AY8" s="414"/>
      <c r="AZ8" s="414"/>
    </row>
    <row r="9" spans="1:52" s="415" customFormat="1" ht="10.95" customHeight="1">
      <c r="A9" s="414"/>
      <c r="C9" s="414"/>
      <c r="D9" s="414" t="s">
        <v>554</v>
      </c>
      <c r="E9" s="414">
        <f>Klima!C137</f>
        <v>0</v>
      </c>
      <c r="F9" s="414" t="s">
        <v>228</v>
      </c>
      <c r="G9" s="414" t="s">
        <v>138</v>
      </c>
      <c r="H9" s="414">
        <f>Klima!C143</f>
        <v>0</v>
      </c>
      <c r="I9" s="414" t="s">
        <v>228</v>
      </c>
      <c r="J9" s="414"/>
      <c r="K9" s="414"/>
      <c r="L9" s="414"/>
      <c r="M9" s="414"/>
      <c r="N9" s="414"/>
      <c r="O9" s="414"/>
      <c r="P9" s="414"/>
      <c r="Q9" s="414"/>
      <c r="R9" s="414"/>
      <c r="S9" s="414"/>
      <c r="T9" s="414"/>
      <c r="U9" s="414"/>
      <c r="V9" s="414"/>
      <c r="W9" s="414"/>
      <c r="X9" s="414"/>
      <c r="Y9" s="414"/>
      <c r="Z9" s="414"/>
      <c r="AA9" s="414"/>
      <c r="AB9" s="414"/>
      <c r="AC9" s="414"/>
      <c r="AD9" s="414"/>
      <c r="AE9" s="414"/>
      <c r="AF9" s="414"/>
      <c r="AG9" s="414"/>
      <c r="AH9" s="414"/>
      <c r="AI9" s="414"/>
      <c r="AJ9" s="414"/>
      <c r="AK9" s="414"/>
      <c r="AL9" s="414"/>
      <c r="AM9" s="414"/>
      <c r="AN9" s="414"/>
      <c r="AO9" s="414"/>
      <c r="AP9" s="414"/>
      <c r="AQ9" s="414"/>
      <c r="AR9" s="414"/>
      <c r="AS9" s="414"/>
      <c r="AT9" s="414"/>
      <c r="AU9" s="414"/>
      <c r="AV9" s="414"/>
      <c r="AW9" s="414"/>
      <c r="AX9" s="414"/>
      <c r="AY9" s="414"/>
      <c r="AZ9" s="414"/>
    </row>
    <row r="10" spans="1:52" s="415" customFormat="1" ht="10.95" customHeight="1">
      <c r="A10" s="414"/>
      <c r="B10" s="414" t="s">
        <v>374</v>
      </c>
      <c r="C10" s="414"/>
      <c r="D10" s="414" t="s">
        <v>306</v>
      </c>
      <c r="E10" s="414">
        <f>Klima!C138</f>
        <v>0</v>
      </c>
      <c r="F10" s="414" t="s">
        <v>228</v>
      </c>
      <c r="G10" s="414" t="s">
        <v>139</v>
      </c>
      <c r="H10" s="414">
        <f>Klima!C144</f>
        <v>0</v>
      </c>
      <c r="I10" s="414" t="s">
        <v>228</v>
      </c>
      <c r="J10" s="414"/>
      <c r="K10" s="414"/>
      <c r="L10" s="414"/>
      <c r="M10" s="414"/>
      <c r="N10" s="414"/>
      <c r="O10" s="414"/>
      <c r="P10" s="414"/>
      <c r="Q10" s="414"/>
      <c r="R10" s="414"/>
      <c r="S10" s="414"/>
      <c r="T10" s="414"/>
      <c r="U10" s="414"/>
      <c r="V10" s="414"/>
      <c r="W10" s="414"/>
      <c r="X10" s="414"/>
      <c r="Y10" s="414"/>
      <c r="Z10" s="414"/>
      <c r="AA10" s="414"/>
      <c r="AB10" s="414"/>
      <c r="AC10" s="414"/>
      <c r="AD10" s="414"/>
      <c r="AE10" s="414"/>
      <c r="AF10" s="414"/>
      <c r="AG10" s="414"/>
      <c r="AH10" s="414"/>
      <c r="AI10" s="414"/>
      <c r="AJ10" s="414"/>
      <c r="AK10" s="414"/>
      <c r="AL10" s="414"/>
      <c r="AM10" s="414"/>
      <c r="AN10" s="414"/>
      <c r="AO10" s="414"/>
      <c r="AP10" s="414"/>
      <c r="AQ10" s="414"/>
      <c r="AR10" s="414"/>
      <c r="AS10" s="414"/>
      <c r="AT10" s="414"/>
      <c r="AU10" s="414"/>
      <c r="AV10" s="414"/>
      <c r="AW10" s="414"/>
      <c r="AX10" s="414"/>
      <c r="AY10" s="414"/>
      <c r="AZ10" s="414"/>
    </row>
    <row r="11" spans="1:52" s="415" customFormat="1" ht="10.95" customHeight="1">
      <c r="A11" s="414"/>
      <c r="B11" s="414">
        <f>Klima!E136</f>
        <v>0</v>
      </c>
      <c r="C11" s="414"/>
      <c r="D11" s="414" t="s">
        <v>409</v>
      </c>
      <c r="E11" s="414">
        <f>Klima!C139</f>
        <v>0</v>
      </c>
      <c r="F11" s="414" t="s">
        <v>228</v>
      </c>
      <c r="G11" s="414" t="s">
        <v>269</v>
      </c>
      <c r="H11" s="414">
        <f>Klima!C145</f>
        <v>0</v>
      </c>
      <c r="I11" s="414" t="s">
        <v>228</v>
      </c>
      <c r="J11" s="414"/>
      <c r="K11" s="414"/>
      <c r="L11" s="414"/>
      <c r="M11" s="414"/>
      <c r="N11" s="414"/>
      <c r="O11" s="414"/>
      <c r="P11" s="414"/>
      <c r="Q11" s="414"/>
      <c r="R11" s="414"/>
      <c r="S11" s="414"/>
      <c r="T11" s="414"/>
      <c r="U11" s="414"/>
      <c r="V11" s="414"/>
      <c r="W11" s="414"/>
      <c r="X11" s="414"/>
      <c r="Y11" s="414"/>
      <c r="Z11" s="414"/>
      <c r="AA11" s="414"/>
      <c r="AB11" s="414"/>
      <c r="AC11" s="414"/>
      <c r="AD11" s="414"/>
      <c r="AE11" s="414"/>
      <c r="AF11" s="414"/>
      <c r="AG11" s="414"/>
      <c r="AH11" s="414"/>
      <c r="AI11" s="414"/>
      <c r="AJ11" s="414"/>
      <c r="AK11" s="414"/>
      <c r="AL11" s="414"/>
      <c r="AM11" s="414"/>
      <c r="AN11" s="414"/>
      <c r="AO11" s="414"/>
      <c r="AP11" s="414"/>
      <c r="AQ11" s="414"/>
      <c r="AR11" s="414"/>
      <c r="AS11" s="414"/>
      <c r="AT11" s="414"/>
      <c r="AU11" s="414"/>
      <c r="AV11" s="414"/>
      <c r="AW11" s="414"/>
      <c r="AX11" s="414"/>
      <c r="AY11" s="414"/>
      <c r="AZ11" s="414"/>
    </row>
    <row r="12" spans="1:52" s="415" customFormat="1" ht="10.95" customHeight="1">
      <c r="A12" s="414"/>
      <c r="B12" s="414"/>
      <c r="C12" s="414"/>
      <c r="D12" s="414" t="s">
        <v>410</v>
      </c>
      <c r="E12" s="414">
        <f>Klima!C140</f>
        <v>0</v>
      </c>
      <c r="F12" s="414" t="s">
        <v>228</v>
      </c>
      <c r="G12" s="414" t="s">
        <v>366</v>
      </c>
      <c r="H12" s="414">
        <f>Klima!C146</f>
        <v>0</v>
      </c>
      <c r="I12" s="414" t="s">
        <v>228</v>
      </c>
      <c r="J12" s="414"/>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4"/>
      <c r="AH12" s="414"/>
      <c r="AI12" s="414"/>
      <c r="AJ12" s="414"/>
      <c r="AK12" s="414"/>
      <c r="AL12" s="414"/>
      <c r="AM12" s="414"/>
      <c r="AN12" s="414"/>
      <c r="AO12" s="414"/>
      <c r="AP12" s="414"/>
      <c r="AQ12" s="414"/>
      <c r="AR12" s="414"/>
      <c r="AS12" s="414"/>
      <c r="AT12" s="414"/>
      <c r="AU12" s="414"/>
      <c r="AV12" s="414"/>
      <c r="AW12" s="414"/>
      <c r="AX12" s="414"/>
      <c r="AY12" s="414"/>
      <c r="AZ12" s="414"/>
    </row>
    <row r="13" spans="1:52" s="415" customFormat="1" ht="10.95" customHeight="1">
      <c r="A13" s="414"/>
      <c r="B13" s="414"/>
      <c r="C13" s="414"/>
      <c r="D13" s="414" t="s">
        <v>411</v>
      </c>
      <c r="E13" s="414">
        <f>Klima!C141</f>
        <v>0</v>
      </c>
      <c r="F13" s="414" t="s">
        <v>228</v>
      </c>
      <c r="G13" s="414" t="s">
        <v>465</v>
      </c>
      <c r="H13" s="414">
        <f>Klima!C147</f>
        <v>0</v>
      </c>
      <c r="I13" s="414" t="s">
        <v>228</v>
      </c>
      <c r="J13" s="414"/>
      <c r="K13" s="414"/>
      <c r="L13" s="414"/>
      <c r="M13" s="414"/>
      <c r="N13" s="414"/>
      <c r="O13" s="414"/>
      <c r="P13" s="414"/>
      <c r="Q13" s="414"/>
      <c r="R13" s="414"/>
      <c r="S13" s="414"/>
      <c r="T13" s="414"/>
      <c r="U13" s="414"/>
      <c r="V13" s="414"/>
      <c r="W13" s="414"/>
      <c r="X13" s="414"/>
      <c r="Y13" s="414"/>
      <c r="Z13" s="414"/>
      <c r="AA13" s="414"/>
      <c r="AB13" s="414"/>
      <c r="AC13" s="414"/>
      <c r="AD13" s="414"/>
      <c r="AE13" s="414"/>
      <c r="AF13" s="414"/>
      <c r="AG13" s="414"/>
      <c r="AH13" s="414"/>
      <c r="AI13" s="414"/>
      <c r="AJ13" s="414"/>
      <c r="AK13" s="414"/>
      <c r="AL13" s="414"/>
      <c r="AM13" s="414"/>
      <c r="AN13" s="414"/>
      <c r="AO13" s="414"/>
      <c r="AP13" s="414"/>
      <c r="AQ13" s="414"/>
      <c r="AR13" s="414"/>
      <c r="AS13" s="414"/>
      <c r="AT13" s="414"/>
      <c r="AU13" s="414"/>
      <c r="AV13" s="414"/>
      <c r="AW13" s="414"/>
      <c r="AX13" s="414"/>
      <c r="AY13" s="414"/>
      <c r="AZ13" s="414"/>
    </row>
    <row r="14" spans="1:52" s="415" customFormat="1" ht="10.95" customHeight="1">
      <c r="A14" s="414"/>
      <c r="B14" s="414"/>
      <c r="C14" s="414"/>
      <c r="D14" s="414"/>
      <c r="E14" s="414"/>
      <c r="F14" s="414"/>
      <c r="G14" s="414"/>
      <c r="H14" s="414"/>
      <c r="I14" s="414"/>
      <c r="J14" s="414"/>
      <c r="K14" s="414"/>
      <c r="L14" s="414"/>
      <c r="M14" s="414"/>
      <c r="N14" s="414"/>
      <c r="O14" s="414"/>
      <c r="P14" s="414"/>
      <c r="Q14" s="414"/>
      <c r="R14" s="414"/>
      <c r="S14" s="414"/>
      <c r="T14" s="414"/>
      <c r="U14" s="414"/>
      <c r="V14" s="414"/>
      <c r="W14" s="414"/>
      <c r="X14" s="414"/>
      <c r="Y14" s="414"/>
      <c r="Z14" s="414"/>
      <c r="AA14" s="414"/>
      <c r="AB14" s="414"/>
      <c r="AC14" s="414"/>
      <c r="AD14" s="414"/>
      <c r="AE14" s="414"/>
      <c r="AF14" s="414"/>
      <c r="AG14" s="414"/>
      <c r="AH14" s="414"/>
      <c r="AI14" s="414"/>
      <c r="AJ14" s="414"/>
      <c r="AK14" s="414"/>
      <c r="AL14" s="414"/>
      <c r="AM14" s="414"/>
      <c r="AN14" s="414"/>
      <c r="AO14" s="414"/>
      <c r="AP14" s="414"/>
      <c r="AQ14" s="414"/>
      <c r="AR14" s="414"/>
      <c r="AS14" s="414"/>
      <c r="AT14" s="414"/>
      <c r="AU14" s="414"/>
      <c r="AV14" s="414"/>
      <c r="AW14" s="414"/>
      <c r="AX14" s="414"/>
      <c r="AY14" s="414"/>
      <c r="AZ14" s="414"/>
    </row>
    <row r="15" spans="1:52" s="415" customFormat="1" ht="10.95" customHeight="1">
      <c r="A15" s="414"/>
      <c r="B15" s="414" t="s">
        <v>171</v>
      </c>
      <c r="C15" s="414"/>
      <c r="D15" s="414"/>
      <c r="E15" s="414">
        <f>Nutzung!J31</f>
        <v>0</v>
      </c>
      <c r="F15" s="414" t="s">
        <v>490</v>
      </c>
      <c r="G15" s="414"/>
      <c r="H15" s="414"/>
      <c r="I15" s="414"/>
      <c r="J15" s="414"/>
      <c r="K15" s="414"/>
      <c r="L15" s="414"/>
      <c r="M15" s="414"/>
      <c r="N15" s="414"/>
      <c r="O15" s="414"/>
      <c r="P15" s="414"/>
      <c r="Q15" s="414"/>
      <c r="R15" s="414"/>
      <c r="S15" s="414"/>
      <c r="T15" s="414"/>
      <c r="U15" s="414"/>
      <c r="V15" s="414"/>
      <c r="W15" s="414"/>
      <c r="X15" s="414"/>
      <c r="Y15" s="414"/>
      <c r="Z15" s="414"/>
      <c r="AA15" s="414"/>
      <c r="AB15" s="414"/>
      <c r="AC15" s="414"/>
      <c r="AD15" s="414"/>
      <c r="AE15" s="414"/>
      <c r="AF15" s="414"/>
      <c r="AG15" s="414"/>
      <c r="AH15" s="414"/>
      <c r="AI15" s="414"/>
      <c r="AJ15" s="414"/>
      <c r="AK15" s="414"/>
      <c r="AL15" s="414"/>
      <c r="AM15" s="414"/>
      <c r="AN15" s="414"/>
      <c r="AO15" s="414"/>
      <c r="AP15" s="414"/>
      <c r="AQ15" s="414"/>
      <c r="AR15" s="414"/>
      <c r="AS15" s="414"/>
      <c r="AT15" s="414"/>
      <c r="AU15" s="414"/>
      <c r="AV15" s="414"/>
      <c r="AW15" s="414"/>
      <c r="AX15" s="414"/>
      <c r="AY15" s="414"/>
      <c r="AZ15" s="414"/>
    </row>
    <row r="16" spans="1:52" s="415" customFormat="1" ht="10.95" customHeight="1">
      <c r="A16" s="414"/>
      <c r="B16" s="414"/>
      <c r="C16" s="414"/>
      <c r="D16" s="414"/>
      <c r="E16" s="414"/>
      <c r="F16" s="414"/>
      <c r="G16" s="414"/>
      <c r="H16" s="414"/>
      <c r="I16" s="414"/>
      <c r="J16" s="414"/>
      <c r="K16" s="414"/>
      <c r="L16" s="414"/>
      <c r="M16" s="414"/>
      <c r="N16" s="414"/>
      <c r="O16" s="414"/>
      <c r="P16" s="414"/>
      <c r="Q16" s="414"/>
      <c r="R16" s="414"/>
      <c r="S16" s="414"/>
      <c r="T16" s="414"/>
      <c r="U16" s="414"/>
      <c r="V16" s="414"/>
      <c r="W16" s="414"/>
      <c r="X16" s="414"/>
      <c r="Y16" s="414"/>
      <c r="Z16" s="414"/>
      <c r="AA16" s="414"/>
      <c r="AB16" s="414"/>
      <c r="AC16" s="414"/>
      <c r="AD16" s="414"/>
      <c r="AE16" s="414"/>
      <c r="AF16" s="414"/>
      <c r="AG16" s="414"/>
      <c r="AH16" s="414"/>
      <c r="AI16" s="414"/>
      <c r="AJ16" s="414"/>
      <c r="AK16" s="414"/>
      <c r="AL16" s="414"/>
      <c r="AM16" s="414"/>
      <c r="AN16" s="414"/>
      <c r="AO16" s="414"/>
      <c r="AP16" s="414"/>
      <c r="AQ16" s="414"/>
      <c r="AR16" s="414"/>
      <c r="AS16" s="414"/>
      <c r="AT16" s="414"/>
      <c r="AU16" s="414"/>
      <c r="AV16" s="414"/>
      <c r="AW16" s="414"/>
      <c r="AX16" s="414"/>
      <c r="AY16" s="414"/>
      <c r="AZ16" s="414"/>
    </row>
    <row r="17" spans="1:52" s="415" customFormat="1" ht="10.95" customHeight="1">
      <c r="A17" s="414"/>
      <c r="B17" s="589"/>
      <c r="C17" s="414"/>
      <c r="D17" s="414"/>
      <c r="E17" s="414"/>
      <c r="F17" s="414"/>
      <c r="G17" s="414"/>
      <c r="H17" s="414"/>
      <c r="I17" s="414"/>
      <c r="J17" s="414"/>
      <c r="K17" s="414"/>
      <c r="L17" s="414"/>
      <c r="M17" s="414"/>
      <c r="N17" s="414"/>
      <c r="O17" s="414"/>
      <c r="P17" s="414"/>
      <c r="Q17" s="414"/>
      <c r="R17" s="414"/>
      <c r="S17" s="414"/>
      <c r="T17" s="414"/>
      <c r="U17" s="414"/>
      <c r="V17" s="414"/>
      <c r="W17" s="414"/>
      <c r="X17" s="414"/>
      <c r="Y17" s="414"/>
      <c r="Z17" s="414"/>
      <c r="AA17" s="414"/>
      <c r="AB17" s="414"/>
      <c r="AC17" s="414"/>
      <c r="AD17" s="414"/>
      <c r="AE17" s="414"/>
      <c r="AF17" s="414"/>
      <c r="AG17" s="414"/>
      <c r="AH17" s="414"/>
      <c r="AI17" s="414"/>
      <c r="AJ17" s="414"/>
      <c r="AK17" s="414"/>
      <c r="AL17" s="414"/>
      <c r="AM17" s="414"/>
      <c r="AN17" s="414"/>
      <c r="AO17" s="414"/>
      <c r="AP17" s="414"/>
      <c r="AQ17" s="414"/>
      <c r="AR17" s="414"/>
      <c r="AS17" s="414"/>
      <c r="AT17" s="414"/>
      <c r="AU17" s="414"/>
      <c r="AV17" s="414"/>
      <c r="AW17" s="414"/>
      <c r="AX17" s="414"/>
      <c r="AY17" s="414"/>
      <c r="AZ17" s="414"/>
    </row>
    <row r="18" spans="1:52" s="415" customFormat="1" ht="10.95" customHeight="1">
      <c r="A18" s="414"/>
      <c r="B18" s="589" t="s">
        <v>34</v>
      </c>
      <c r="C18" s="414"/>
      <c r="D18" s="414" t="s">
        <v>49</v>
      </c>
      <c r="E18" s="414">
        <v>31</v>
      </c>
      <c r="F18" s="414" t="s">
        <v>551</v>
      </c>
      <c r="G18" s="414" t="s">
        <v>221</v>
      </c>
      <c r="H18" s="414">
        <v>31</v>
      </c>
      <c r="I18" s="414" t="s">
        <v>551</v>
      </c>
      <c r="J18" s="414"/>
      <c r="K18" s="414"/>
      <c r="L18" s="414"/>
      <c r="M18" s="414"/>
      <c r="N18" s="414"/>
      <c r="O18" s="414"/>
      <c r="P18" s="414"/>
      <c r="Q18" s="414"/>
      <c r="R18" s="414"/>
      <c r="S18" s="414"/>
      <c r="T18" s="414"/>
      <c r="U18" s="414"/>
      <c r="V18" s="414"/>
      <c r="W18" s="414"/>
      <c r="X18" s="414"/>
      <c r="Y18" s="414"/>
      <c r="Z18" s="414"/>
      <c r="AA18" s="414"/>
      <c r="AB18" s="414"/>
      <c r="AC18" s="414"/>
      <c r="AD18" s="414"/>
      <c r="AE18" s="414"/>
      <c r="AF18" s="414"/>
      <c r="AG18" s="414"/>
      <c r="AH18" s="414"/>
      <c r="AI18" s="414"/>
      <c r="AJ18" s="414"/>
      <c r="AK18" s="414"/>
      <c r="AL18" s="414"/>
      <c r="AM18" s="414"/>
      <c r="AN18" s="414"/>
      <c r="AO18" s="414"/>
      <c r="AP18" s="414"/>
      <c r="AQ18" s="414"/>
      <c r="AR18" s="414"/>
      <c r="AS18" s="414"/>
      <c r="AT18" s="414"/>
      <c r="AU18" s="414"/>
      <c r="AV18" s="414"/>
      <c r="AW18" s="414"/>
      <c r="AX18" s="414"/>
      <c r="AY18" s="414"/>
      <c r="AZ18" s="414"/>
    </row>
    <row r="19" spans="1:52" s="415" customFormat="1" ht="10.95" customHeight="1">
      <c r="A19" s="414"/>
      <c r="B19" s="589"/>
      <c r="C19" s="414"/>
      <c r="D19" s="414" t="s">
        <v>554</v>
      </c>
      <c r="E19" s="414">
        <v>28</v>
      </c>
      <c r="F19" s="414" t="s">
        <v>551</v>
      </c>
      <c r="G19" s="414" t="s">
        <v>138</v>
      </c>
      <c r="H19" s="414">
        <v>31</v>
      </c>
      <c r="I19" s="414" t="s">
        <v>551</v>
      </c>
      <c r="J19" s="414"/>
      <c r="K19" s="414"/>
      <c r="L19" s="414"/>
      <c r="M19" s="414"/>
      <c r="N19" s="414"/>
      <c r="O19" s="414"/>
      <c r="P19" s="414"/>
      <c r="Q19" s="414"/>
      <c r="R19" s="414"/>
      <c r="S19" s="414"/>
      <c r="T19" s="414"/>
      <c r="U19" s="414"/>
      <c r="V19" s="414"/>
      <c r="W19" s="414"/>
      <c r="X19" s="414"/>
      <c r="Y19" s="414"/>
      <c r="Z19" s="414"/>
      <c r="AA19" s="414"/>
      <c r="AB19" s="414"/>
      <c r="AC19" s="414"/>
      <c r="AD19" s="414"/>
      <c r="AE19" s="414"/>
      <c r="AF19" s="414"/>
      <c r="AG19" s="414"/>
      <c r="AH19" s="414"/>
      <c r="AI19" s="414"/>
      <c r="AJ19" s="414"/>
      <c r="AK19" s="414"/>
      <c r="AL19" s="414"/>
      <c r="AM19" s="414"/>
      <c r="AN19" s="414"/>
      <c r="AO19" s="414"/>
      <c r="AP19" s="414"/>
      <c r="AQ19" s="414"/>
      <c r="AR19" s="414"/>
      <c r="AS19" s="414"/>
      <c r="AT19" s="414"/>
      <c r="AU19" s="414"/>
      <c r="AV19" s="414"/>
      <c r="AW19" s="414"/>
      <c r="AX19" s="414"/>
      <c r="AY19" s="414"/>
      <c r="AZ19" s="414"/>
    </row>
    <row r="20" spans="1:52" s="415" customFormat="1" ht="10.95" customHeight="1">
      <c r="A20" s="414"/>
      <c r="B20" s="589"/>
      <c r="C20" s="414"/>
      <c r="D20" s="414" t="s">
        <v>306</v>
      </c>
      <c r="E20" s="414">
        <v>31</v>
      </c>
      <c r="F20" s="414" t="s">
        <v>551</v>
      </c>
      <c r="G20" s="414" t="s">
        <v>139</v>
      </c>
      <c r="H20" s="414">
        <v>30</v>
      </c>
      <c r="I20" s="414" t="s">
        <v>551</v>
      </c>
      <c r="J20" s="414"/>
      <c r="K20" s="414"/>
      <c r="L20" s="414"/>
      <c r="M20" s="414"/>
      <c r="N20" s="414"/>
      <c r="O20" s="414"/>
      <c r="P20" s="414"/>
      <c r="Q20" s="414"/>
      <c r="R20" s="414"/>
      <c r="S20" s="414"/>
      <c r="T20" s="414"/>
      <c r="U20" s="414"/>
      <c r="V20" s="414"/>
      <c r="W20" s="414"/>
      <c r="X20" s="414"/>
      <c r="Y20" s="414"/>
      <c r="Z20" s="414"/>
      <c r="AA20" s="414"/>
      <c r="AB20" s="414"/>
      <c r="AC20" s="414"/>
      <c r="AD20" s="414"/>
      <c r="AE20" s="414"/>
      <c r="AF20" s="414"/>
      <c r="AG20" s="414"/>
      <c r="AH20" s="414"/>
      <c r="AI20" s="414"/>
      <c r="AJ20" s="414"/>
      <c r="AK20" s="414"/>
      <c r="AL20" s="414"/>
      <c r="AM20" s="414"/>
      <c r="AN20" s="414"/>
      <c r="AO20" s="414"/>
      <c r="AP20" s="414"/>
      <c r="AQ20" s="414"/>
      <c r="AR20" s="414"/>
      <c r="AS20" s="414"/>
      <c r="AT20" s="414"/>
      <c r="AU20" s="414"/>
      <c r="AV20" s="414"/>
      <c r="AW20" s="414"/>
      <c r="AX20" s="414"/>
      <c r="AY20" s="414"/>
      <c r="AZ20" s="414"/>
    </row>
    <row r="21" spans="1:52" s="415" customFormat="1" ht="10.95" customHeight="1">
      <c r="A21" s="414"/>
      <c r="B21" s="589"/>
      <c r="C21" s="414"/>
      <c r="D21" s="414" t="s">
        <v>409</v>
      </c>
      <c r="E21" s="414">
        <v>30</v>
      </c>
      <c r="F21" s="414" t="s">
        <v>551</v>
      </c>
      <c r="G21" s="414" t="s">
        <v>269</v>
      </c>
      <c r="H21" s="414">
        <v>31</v>
      </c>
      <c r="I21" s="414" t="s">
        <v>551</v>
      </c>
      <c r="J21" s="414"/>
      <c r="K21" s="414"/>
      <c r="L21" s="414"/>
      <c r="M21" s="414"/>
      <c r="N21" s="414"/>
      <c r="O21" s="414"/>
      <c r="P21" s="414"/>
      <c r="Q21" s="414"/>
      <c r="R21" s="414"/>
      <c r="S21" s="414"/>
      <c r="T21" s="414"/>
      <c r="U21" s="414"/>
      <c r="V21" s="414"/>
      <c r="W21" s="414"/>
      <c r="X21" s="414"/>
      <c r="Y21" s="414"/>
      <c r="Z21" s="414"/>
      <c r="AA21" s="414"/>
      <c r="AB21" s="414"/>
      <c r="AC21" s="414"/>
      <c r="AD21" s="414"/>
      <c r="AE21" s="414"/>
      <c r="AF21" s="414"/>
      <c r="AG21" s="414"/>
      <c r="AH21" s="414"/>
      <c r="AI21" s="414"/>
      <c r="AJ21" s="414"/>
      <c r="AK21" s="414"/>
      <c r="AL21" s="414"/>
      <c r="AM21" s="414"/>
      <c r="AN21" s="414"/>
      <c r="AO21" s="414"/>
      <c r="AP21" s="414"/>
      <c r="AQ21" s="414"/>
      <c r="AR21" s="414"/>
      <c r="AS21" s="414"/>
      <c r="AT21" s="414"/>
      <c r="AU21" s="414"/>
      <c r="AV21" s="414"/>
      <c r="AW21" s="414"/>
      <c r="AX21" s="414"/>
      <c r="AY21" s="414"/>
      <c r="AZ21" s="414"/>
    </row>
    <row r="22" spans="1:52" s="415" customFormat="1" ht="10.95" customHeight="1">
      <c r="A22" s="414"/>
      <c r="B22" s="589"/>
      <c r="C22" s="414"/>
      <c r="D22" s="414" t="s">
        <v>410</v>
      </c>
      <c r="E22" s="414">
        <v>31</v>
      </c>
      <c r="F22" s="414" t="s">
        <v>551</v>
      </c>
      <c r="G22" s="414" t="s">
        <v>366</v>
      </c>
      <c r="H22" s="414">
        <v>30</v>
      </c>
      <c r="I22" s="414" t="s">
        <v>551</v>
      </c>
      <c r="J22" s="414"/>
      <c r="K22" s="414"/>
      <c r="L22" s="414"/>
      <c r="M22" s="414"/>
      <c r="N22" s="414"/>
      <c r="O22" s="414"/>
      <c r="P22" s="414"/>
      <c r="Q22" s="414"/>
      <c r="R22" s="414"/>
      <c r="S22" s="414"/>
      <c r="T22" s="414"/>
      <c r="U22" s="414"/>
      <c r="V22" s="414"/>
      <c r="W22" s="414"/>
      <c r="X22" s="414"/>
      <c r="Y22" s="414"/>
      <c r="Z22" s="414"/>
      <c r="AA22" s="414"/>
      <c r="AB22" s="414"/>
      <c r="AC22" s="414"/>
      <c r="AD22" s="414"/>
      <c r="AE22" s="414"/>
      <c r="AF22" s="414"/>
      <c r="AG22" s="414"/>
      <c r="AH22" s="414"/>
      <c r="AI22" s="414"/>
      <c r="AJ22" s="414"/>
      <c r="AK22" s="414"/>
      <c r="AL22" s="414"/>
      <c r="AM22" s="414"/>
      <c r="AN22" s="414"/>
      <c r="AO22" s="414"/>
      <c r="AP22" s="414"/>
      <c r="AQ22" s="414"/>
      <c r="AR22" s="414"/>
      <c r="AS22" s="414"/>
      <c r="AT22" s="414"/>
      <c r="AU22" s="414"/>
      <c r="AV22" s="414"/>
      <c r="AW22" s="414"/>
      <c r="AX22" s="414"/>
      <c r="AY22" s="414"/>
      <c r="AZ22" s="414"/>
    </row>
    <row r="23" spans="1:52" s="415" customFormat="1" ht="10.95" customHeight="1">
      <c r="A23" s="414"/>
      <c r="B23" s="589"/>
      <c r="C23" s="414"/>
      <c r="D23" s="414" t="s">
        <v>411</v>
      </c>
      <c r="E23" s="414">
        <v>30</v>
      </c>
      <c r="F23" s="414" t="s">
        <v>551</v>
      </c>
      <c r="G23" s="414" t="s">
        <v>465</v>
      </c>
      <c r="H23" s="414">
        <v>31</v>
      </c>
      <c r="I23" s="414" t="s">
        <v>551</v>
      </c>
      <c r="J23" s="414"/>
      <c r="K23" s="414"/>
      <c r="L23" s="414"/>
      <c r="M23" s="414"/>
      <c r="N23" s="414"/>
      <c r="O23" s="414"/>
      <c r="P23" s="414"/>
      <c r="Q23" s="414"/>
      <c r="R23" s="414"/>
      <c r="S23" s="414"/>
      <c r="T23" s="414"/>
      <c r="U23" s="414"/>
      <c r="V23" s="414"/>
      <c r="W23" s="414"/>
      <c r="X23" s="414"/>
      <c r="Y23" s="414"/>
      <c r="Z23" s="414"/>
      <c r="AA23" s="414"/>
      <c r="AB23" s="414"/>
      <c r="AC23" s="414"/>
      <c r="AD23" s="414"/>
      <c r="AE23" s="414"/>
      <c r="AF23" s="414"/>
      <c r="AG23" s="414"/>
      <c r="AH23" s="414"/>
      <c r="AI23" s="414"/>
      <c r="AJ23" s="414"/>
      <c r="AK23" s="414"/>
      <c r="AL23" s="414"/>
      <c r="AM23" s="414"/>
      <c r="AN23" s="414"/>
      <c r="AO23" s="414"/>
      <c r="AP23" s="414"/>
      <c r="AQ23" s="414"/>
      <c r="AR23" s="414"/>
      <c r="AS23" s="414"/>
      <c r="AT23" s="414"/>
      <c r="AU23" s="414"/>
      <c r="AV23" s="414"/>
      <c r="AW23" s="414"/>
      <c r="AX23" s="414"/>
      <c r="AY23" s="414"/>
      <c r="AZ23" s="414"/>
    </row>
    <row r="24" spans="1:52" s="415" customFormat="1" ht="10.95" customHeight="1">
      <c r="A24" s="414"/>
      <c r="B24" s="589"/>
      <c r="C24" s="414"/>
      <c r="D24" s="414"/>
      <c r="E24" s="414"/>
      <c r="F24" s="414"/>
      <c r="G24" s="414"/>
      <c r="H24" s="414"/>
      <c r="I24" s="414"/>
      <c r="J24" s="414"/>
      <c r="K24" s="414"/>
      <c r="L24" s="414"/>
      <c r="M24" s="414"/>
      <c r="N24" s="414"/>
      <c r="O24" s="414"/>
      <c r="P24" s="414"/>
      <c r="Q24" s="414"/>
      <c r="R24" s="414"/>
      <c r="S24" s="414"/>
      <c r="T24" s="414"/>
      <c r="U24" s="414"/>
      <c r="V24" s="414"/>
      <c r="W24" s="414"/>
      <c r="X24" s="414"/>
      <c r="Y24" s="414"/>
      <c r="Z24" s="414"/>
      <c r="AA24" s="414"/>
      <c r="AB24" s="414"/>
      <c r="AC24" s="414"/>
      <c r="AD24" s="414"/>
      <c r="AE24" s="414"/>
      <c r="AF24" s="414"/>
      <c r="AG24" s="414"/>
      <c r="AH24" s="414"/>
      <c r="AI24" s="414"/>
      <c r="AJ24" s="414"/>
      <c r="AK24" s="414"/>
      <c r="AL24" s="414"/>
      <c r="AM24" s="414"/>
      <c r="AN24" s="414"/>
      <c r="AO24" s="414"/>
      <c r="AP24" s="414"/>
      <c r="AQ24" s="414"/>
      <c r="AR24" s="414"/>
      <c r="AS24" s="414"/>
      <c r="AT24" s="414"/>
      <c r="AU24" s="414"/>
      <c r="AV24" s="414"/>
      <c r="AW24" s="414"/>
      <c r="AX24" s="414"/>
      <c r="AY24" s="414"/>
      <c r="AZ24" s="414"/>
    </row>
    <row r="25" spans="1:52" s="415" customFormat="1" ht="10.95" customHeight="1">
      <c r="A25" s="414"/>
      <c r="B25" s="590"/>
      <c r="C25" s="414"/>
      <c r="D25" s="414"/>
      <c r="G25" s="414"/>
      <c r="H25" s="414"/>
      <c r="I25" s="414"/>
      <c r="J25" s="414"/>
      <c r="K25" s="414"/>
      <c r="L25" s="414"/>
      <c r="M25" s="414"/>
      <c r="N25" s="414"/>
      <c r="O25" s="414"/>
      <c r="P25" s="414"/>
      <c r="Q25" s="414"/>
      <c r="R25" s="414"/>
      <c r="S25" s="414"/>
      <c r="T25" s="414"/>
      <c r="U25" s="414"/>
      <c r="V25" s="414"/>
      <c r="W25" s="414"/>
      <c r="X25" s="414"/>
      <c r="Y25" s="414"/>
      <c r="Z25" s="414"/>
      <c r="AA25" s="414"/>
      <c r="AB25" s="414"/>
      <c r="AC25" s="414"/>
      <c r="AD25" s="414"/>
      <c r="AE25" s="414"/>
      <c r="AF25" s="414"/>
      <c r="AG25" s="414"/>
      <c r="AH25" s="414"/>
      <c r="AI25" s="414"/>
      <c r="AJ25" s="414"/>
      <c r="AK25" s="414"/>
      <c r="AL25" s="414"/>
      <c r="AM25" s="414"/>
      <c r="AN25" s="414"/>
      <c r="AO25" s="414"/>
      <c r="AP25" s="414"/>
      <c r="AQ25" s="414"/>
      <c r="AR25" s="414"/>
      <c r="AS25" s="414"/>
      <c r="AT25" s="414"/>
      <c r="AU25" s="414"/>
      <c r="AV25" s="414"/>
      <c r="AW25" s="414"/>
      <c r="AX25" s="414"/>
      <c r="AY25" s="414"/>
      <c r="AZ25" s="414"/>
    </row>
    <row r="26" spans="1:52" s="415" customFormat="1" ht="10.95" customHeight="1">
      <c r="A26" s="414"/>
      <c r="B26" s="589"/>
      <c r="C26" s="414"/>
      <c r="D26" s="414"/>
      <c r="E26" s="414"/>
      <c r="F26" s="414"/>
      <c r="G26" s="414"/>
      <c r="H26" s="414"/>
      <c r="I26" s="414"/>
      <c r="J26" s="414"/>
      <c r="K26" s="414"/>
      <c r="L26" s="414"/>
      <c r="M26" s="414"/>
      <c r="N26" s="414"/>
      <c r="O26" s="414"/>
      <c r="P26" s="414"/>
      <c r="Q26" s="414"/>
      <c r="R26" s="414"/>
      <c r="S26" s="414"/>
      <c r="T26" s="414"/>
      <c r="U26" s="414"/>
      <c r="V26" s="414"/>
      <c r="W26" s="414"/>
      <c r="X26" s="414"/>
      <c r="Y26" s="414"/>
      <c r="Z26" s="414"/>
      <c r="AA26" s="414"/>
      <c r="AB26" s="414"/>
      <c r="AC26" s="414"/>
      <c r="AD26" s="414"/>
      <c r="AE26" s="414"/>
      <c r="AF26" s="414"/>
      <c r="AG26" s="414"/>
      <c r="AH26" s="414"/>
      <c r="AI26" s="414"/>
      <c r="AJ26" s="414"/>
      <c r="AK26" s="414"/>
      <c r="AL26" s="414"/>
      <c r="AM26" s="414"/>
      <c r="AN26" s="414"/>
      <c r="AO26" s="414"/>
      <c r="AP26" s="414"/>
      <c r="AQ26" s="414"/>
      <c r="AR26" s="414"/>
      <c r="AS26" s="414"/>
      <c r="AT26" s="414"/>
      <c r="AU26" s="414"/>
      <c r="AV26" s="414"/>
      <c r="AW26" s="414"/>
      <c r="AX26" s="414"/>
      <c r="AY26" s="414"/>
      <c r="AZ26" s="414"/>
    </row>
    <row r="27" spans="1:52" s="415" customFormat="1" ht="10.95" customHeight="1">
      <c r="A27" s="414"/>
      <c r="C27" s="414"/>
      <c r="D27" s="414" t="s">
        <v>448</v>
      </c>
      <c r="E27" s="416">
        <f>(EBF!F39)</f>
        <v>1.0000000000000001E-31</v>
      </c>
      <c r="F27" s="414" t="s">
        <v>491</v>
      </c>
      <c r="G27" s="414"/>
      <c r="H27" s="414"/>
      <c r="I27" s="414"/>
      <c r="J27" s="414"/>
      <c r="K27" s="414"/>
      <c r="L27" s="414"/>
      <c r="M27" s="414"/>
      <c r="N27" s="414"/>
      <c r="O27" s="414"/>
      <c r="P27" s="414"/>
      <c r="Q27" s="414"/>
      <c r="R27" s="414"/>
      <c r="S27" s="414"/>
      <c r="T27" s="414"/>
      <c r="U27" s="414"/>
      <c r="V27" s="414"/>
      <c r="W27" s="414"/>
      <c r="X27" s="414"/>
      <c r="Y27" s="414"/>
      <c r="Z27" s="414"/>
      <c r="AA27" s="414"/>
      <c r="AB27" s="414"/>
      <c r="AC27" s="414"/>
      <c r="AD27" s="414"/>
      <c r="AE27" s="414"/>
      <c r="AF27" s="414"/>
      <c r="AG27" s="414"/>
      <c r="AH27" s="414"/>
      <c r="AI27" s="414"/>
      <c r="AJ27" s="414"/>
      <c r="AK27" s="414"/>
      <c r="AL27" s="414"/>
      <c r="AM27" s="414"/>
      <c r="AN27" s="414"/>
      <c r="AO27" s="414"/>
      <c r="AP27" s="414"/>
      <c r="AQ27" s="414"/>
      <c r="AR27" s="414"/>
      <c r="AS27" s="414"/>
      <c r="AT27" s="414"/>
      <c r="AU27" s="414"/>
      <c r="AV27" s="414"/>
      <c r="AW27" s="414"/>
      <c r="AX27" s="414"/>
      <c r="AY27" s="414"/>
      <c r="AZ27" s="414"/>
    </row>
    <row r="28" spans="1:52" s="415" customFormat="1" ht="10.95" customHeight="1">
      <c r="A28" s="414"/>
      <c r="B28" s="414"/>
      <c r="C28" s="414"/>
      <c r="D28" s="414"/>
      <c r="E28" s="414"/>
      <c r="F28" s="414"/>
      <c r="G28" s="414"/>
      <c r="H28" s="414"/>
      <c r="I28" s="414"/>
      <c r="J28" s="414"/>
      <c r="K28" s="414"/>
      <c r="L28" s="414"/>
      <c r="M28" s="414"/>
      <c r="N28" s="414"/>
      <c r="O28" s="414"/>
      <c r="P28" s="414"/>
      <c r="Q28" s="414"/>
      <c r="R28" s="414"/>
      <c r="S28" s="414"/>
      <c r="T28" s="414"/>
      <c r="U28" s="414"/>
      <c r="V28" s="414"/>
      <c r="W28" s="414"/>
      <c r="X28" s="414"/>
      <c r="Y28" s="414"/>
      <c r="Z28" s="414"/>
      <c r="AA28" s="414"/>
      <c r="AB28" s="414"/>
      <c r="AC28" s="414"/>
      <c r="AD28" s="414"/>
      <c r="AE28" s="414"/>
      <c r="AF28" s="414"/>
      <c r="AG28" s="414"/>
      <c r="AH28" s="414"/>
      <c r="AI28" s="414"/>
      <c r="AJ28" s="414"/>
      <c r="AK28" s="414"/>
      <c r="AL28" s="414"/>
      <c r="AM28" s="414"/>
      <c r="AN28" s="414"/>
      <c r="AO28" s="414"/>
      <c r="AP28" s="414"/>
      <c r="AQ28" s="414"/>
      <c r="AR28" s="414"/>
      <c r="AS28" s="414"/>
      <c r="AT28" s="414"/>
      <c r="AU28" s="414"/>
      <c r="AV28" s="414"/>
      <c r="AW28" s="414"/>
      <c r="AX28" s="414"/>
      <c r="AY28" s="414"/>
      <c r="AZ28" s="414"/>
    </row>
    <row r="29" spans="1:52" s="415" customFormat="1" ht="10.95" customHeight="1">
      <c r="A29" s="414"/>
      <c r="B29" s="414"/>
      <c r="C29" s="414"/>
      <c r="D29" s="414"/>
      <c r="E29" s="414"/>
      <c r="F29" s="414"/>
      <c r="G29" s="414"/>
      <c r="H29" s="414"/>
      <c r="I29" s="414"/>
      <c r="J29" s="414"/>
      <c r="K29" s="414"/>
      <c r="L29" s="414"/>
      <c r="M29" s="414"/>
      <c r="N29" s="414"/>
      <c r="O29" s="414"/>
      <c r="P29" s="414"/>
      <c r="Q29" s="414"/>
      <c r="R29" s="414"/>
      <c r="S29" s="414"/>
      <c r="T29" s="414"/>
      <c r="U29" s="414"/>
      <c r="V29" s="414"/>
      <c r="W29" s="414"/>
      <c r="X29" s="414"/>
      <c r="Y29" s="414"/>
      <c r="Z29" s="414"/>
      <c r="AA29" s="414"/>
      <c r="AB29" s="414"/>
      <c r="AC29" s="414"/>
      <c r="AD29" s="414"/>
      <c r="AE29" s="414"/>
      <c r="AF29" s="414"/>
      <c r="AG29" s="414"/>
      <c r="AH29" s="414"/>
      <c r="AI29" s="414"/>
      <c r="AJ29" s="414"/>
      <c r="AK29" s="414"/>
      <c r="AL29" s="414"/>
      <c r="AM29" s="414"/>
      <c r="AN29" s="414"/>
      <c r="AO29" s="414"/>
      <c r="AP29" s="414"/>
      <c r="AQ29" s="414"/>
      <c r="AR29" s="414"/>
      <c r="AS29" s="414"/>
      <c r="AT29" s="414"/>
      <c r="AU29" s="414"/>
      <c r="AV29" s="414"/>
      <c r="AW29" s="414"/>
      <c r="AX29" s="414"/>
      <c r="AY29" s="414"/>
      <c r="AZ29" s="414"/>
    </row>
    <row r="30" spans="1:52" s="415" customFormat="1" ht="10.95" customHeight="1">
      <c r="A30" s="414"/>
      <c r="B30" s="414"/>
      <c r="C30" s="414"/>
      <c r="D30" s="414"/>
      <c r="E30" s="414"/>
      <c r="F30" s="414"/>
      <c r="G30" s="414"/>
      <c r="H30" s="414"/>
      <c r="I30" s="414"/>
      <c r="J30" s="414"/>
      <c r="K30" s="414"/>
      <c r="L30" s="414"/>
      <c r="M30" s="414"/>
      <c r="N30" s="414"/>
      <c r="O30" s="414"/>
      <c r="P30" s="414"/>
      <c r="Q30" s="414"/>
      <c r="R30" s="414"/>
      <c r="S30" s="414"/>
      <c r="T30" s="414"/>
      <c r="U30" s="414"/>
      <c r="V30" s="414"/>
      <c r="W30" s="414"/>
      <c r="X30" s="414"/>
      <c r="Y30" s="414"/>
      <c r="Z30" s="414"/>
      <c r="AA30" s="414"/>
      <c r="AB30" s="414"/>
      <c r="AC30" s="414"/>
      <c r="AD30" s="414"/>
      <c r="AE30" s="414"/>
      <c r="AF30" s="414"/>
      <c r="AG30" s="414"/>
      <c r="AH30" s="414"/>
      <c r="AI30" s="414"/>
      <c r="AJ30" s="414"/>
      <c r="AK30" s="414"/>
      <c r="AL30" s="414"/>
      <c r="AM30" s="414"/>
      <c r="AN30" s="414"/>
      <c r="AO30" s="414"/>
      <c r="AP30" s="414"/>
      <c r="AQ30" s="414"/>
      <c r="AR30" s="414"/>
      <c r="AS30" s="414"/>
      <c r="AT30" s="414"/>
      <c r="AU30" s="414"/>
      <c r="AV30" s="414"/>
      <c r="AW30" s="414"/>
      <c r="AX30" s="414"/>
      <c r="AY30" s="414"/>
      <c r="AZ30" s="414"/>
    </row>
    <row r="31" spans="1:52" s="415" customFormat="1" ht="10.95" customHeight="1">
      <c r="A31" s="414"/>
      <c r="B31" s="414"/>
      <c r="C31" s="414"/>
      <c r="D31" s="414"/>
      <c r="E31" s="414"/>
      <c r="F31" s="414"/>
      <c r="G31" s="414"/>
      <c r="H31" s="414"/>
      <c r="I31" s="414"/>
      <c r="J31" s="414"/>
      <c r="K31" s="414"/>
      <c r="L31" s="414"/>
      <c r="M31" s="414"/>
      <c r="N31" s="414"/>
      <c r="O31" s="414"/>
      <c r="P31" s="414"/>
      <c r="Q31" s="414"/>
      <c r="R31" s="414"/>
      <c r="S31" s="414"/>
      <c r="T31" s="414"/>
      <c r="U31" s="414"/>
      <c r="V31" s="414"/>
      <c r="W31" s="414"/>
      <c r="X31" s="414"/>
      <c r="Y31" s="414"/>
      <c r="Z31" s="414"/>
      <c r="AA31" s="414"/>
      <c r="AB31" s="414"/>
      <c r="AC31" s="414"/>
      <c r="AD31" s="414"/>
      <c r="AE31" s="414"/>
      <c r="AF31" s="414"/>
      <c r="AG31" s="414"/>
      <c r="AH31" s="414"/>
      <c r="AI31" s="414"/>
      <c r="AJ31" s="414"/>
      <c r="AK31" s="414"/>
      <c r="AL31" s="414"/>
      <c r="AM31" s="414"/>
      <c r="AN31" s="414"/>
      <c r="AO31" s="414"/>
      <c r="AP31" s="414"/>
      <c r="AQ31" s="414"/>
      <c r="AR31" s="414"/>
      <c r="AS31" s="414"/>
      <c r="AT31" s="414"/>
      <c r="AU31" s="414"/>
      <c r="AV31" s="414"/>
      <c r="AW31" s="414"/>
      <c r="AX31" s="414"/>
      <c r="AY31" s="414"/>
      <c r="AZ31" s="414"/>
    </row>
    <row r="32" spans="1:52" s="415" customFormat="1" ht="10.95" customHeight="1">
      <c r="A32" s="414"/>
      <c r="B32" s="414"/>
      <c r="C32" s="414"/>
      <c r="D32" s="414"/>
      <c r="E32" s="414"/>
      <c r="F32" s="414"/>
      <c r="G32" s="414"/>
      <c r="H32" s="414"/>
      <c r="I32" s="414"/>
      <c r="J32" s="414"/>
      <c r="K32" s="414"/>
      <c r="L32" s="414"/>
      <c r="M32" s="414"/>
      <c r="N32" s="414"/>
      <c r="O32" s="414"/>
      <c r="P32" s="414"/>
      <c r="Q32" s="414"/>
      <c r="R32" s="414"/>
      <c r="S32" s="414"/>
      <c r="T32" s="414"/>
      <c r="U32" s="414"/>
      <c r="V32" s="414"/>
      <c r="W32" s="414"/>
      <c r="X32" s="414"/>
      <c r="Y32" s="414"/>
      <c r="Z32" s="414"/>
      <c r="AA32" s="414"/>
      <c r="AB32" s="414"/>
      <c r="AC32" s="414"/>
      <c r="AD32" s="414"/>
      <c r="AE32" s="414"/>
      <c r="AF32" s="414"/>
      <c r="AG32" s="414"/>
      <c r="AH32" s="414"/>
      <c r="AI32" s="414"/>
      <c r="AJ32" s="414"/>
      <c r="AK32" s="414"/>
      <c r="AL32" s="414"/>
      <c r="AM32" s="414"/>
      <c r="AN32" s="414"/>
      <c r="AO32" s="414"/>
      <c r="AP32" s="414"/>
      <c r="AQ32" s="414"/>
      <c r="AR32" s="414"/>
      <c r="AS32" s="414"/>
      <c r="AT32" s="414"/>
      <c r="AU32" s="414"/>
      <c r="AV32" s="414"/>
      <c r="AW32" s="414"/>
      <c r="AX32" s="414"/>
      <c r="AY32" s="414"/>
      <c r="AZ32" s="414"/>
    </row>
    <row r="33" spans="1:52" s="415" customFormat="1" ht="10.95" customHeight="1">
      <c r="A33" s="414"/>
      <c r="B33" s="414"/>
      <c r="C33" s="414"/>
      <c r="D33" s="414"/>
      <c r="E33" s="414"/>
      <c r="F33" s="414"/>
      <c r="G33" s="414"/>
      <c r="H33" s="414"/>
      <c r="I33" s="414"/>
      <c r="J33" s="414"/>
      <c r="K33" s="414"/>
      <c r="L33" s="414"/>
      <c r="M33" s="414"/>
      <c r="N33" s="414"/>
      <c r="O33" s="414"/>
      <c r="P33" s="414"/>
      <c r="Q33" s="414"/>
      <c r="R33" s="414"/>
      <c r="S33" s="414"/>
      <c r="T33" s="414"/>
      <c r="U33" s="414"/>
      <c r="V33" s="414"/>
      <c r="W33" s="414"/>
      <c r="X33" s="414"/>
      <c r="Y33" s="414"/>
      <c r="Z33" s="414"/>
      <c r="AA33" s="414"/>
      <c r="AB33" s="414"/>
      <c r="AC33" s="414"/>
      <c r="AD33" s="414"/>
      <c r="AE33" s="414"/>
      <c r="AF33" s="414"/>
      <c r="AG33" s="414"/>
      <c r="AH33" s="414"/>
      <c r="AI33" s="414"/>
      <c r="AJ33" s="414"/>
      <c r="AK33" s="414"/>
      <c r="AL33" s="414"/>
      <c r="AM33" s="414"/>
      <c r="AN33" s="414"/>
      <c r="AO33" s="414"/>
      <c r="AP33" s="414"/>
      <c r="AQ33" s="414"/>
      <c r="AR33" s="414"/>
      <c r="AS33" s="414"/>
      <c r="AT33" s="414"/>
      <c r="AU33" s="414"/>
      <c r="AV33" s="414"/>
      <c r="AW33" s="414"/>
      <c r="AX33" s="414"/>
      <c r="AY33" s="414"/>
      <c r="AZ33" s="414"/>
    </row>
    <row r="34" spans="1:52" s="415" customFormat="1" ht="10.95" customHeight="1">
      <c r="A34" s="414"/>
      <c r="B34" s="414"/>
      <c r="C34" s="414"/>
      <c r="D34" s="414" t="s">
        <v>49</v>
      </c>
      <c r="E34" s="417">
        <f t="shared" ref="E34:E39" si="0">IF($E$27=0,"0",(($E$6+Regelung-1)-E8)*$E$15*E18*$E$4*24/(1000))</f>
        <v>0</v>
      </c>
      <c r="F34" s="37" t="s">
        <v>631</v>
      </c>
      <c r="G34" s="414" t="s">
        <v>221</v>
      </c>
      <c r="H34" s="417">
        <f t="shared" ref="H34:H39" si="1">IF($E$27=0,"0",(($E$6+Regelung-1)-H8)*$E$15*H18*$E$4*24/(1000))</f>
        <v>0</v>
      </c>
      <c r="I34" s="37" t="s">
        <v>631</v>
      </c>
      <c r="J34" s="414"/>
      <c r="K34" s="414"/>
      <c r="L34" s="414"/>
      <c r="M34" s="414"/>
      <c r="N34" s="417">
        <f t="shared" ref="N34:N39" si="2">E34</f>
        <v>0</v>
      </c>
      <c r="O34" s="414"/>
      <c r="P34" s="414"/>
      <c r="Q34" s="414"/>
      <c r="R34" s="414"/>
      <c r="S34" s="414"/>
      <c r="T34" s="414"/>
      <c r="U34" s="414"/>
      <c r="V34" s="414"/>
      <c r="W34" s="414"/>
      <c r="X34" s="414"/>
      <c r="Y34" s="414"/>
      <c r="Z34" s="414"/>
      <c r="AA34" s="414"/>
      <c r="AB34" s="414"/>
      <c r="AC34" s="414"/>
      <c r="AD34" s="414"/>
      <c r="AE34" s="414"/>
      <c r="AF34" s="414"/>
      <c r="AG34" s="414"/>
      <c r="AH34" s="414"/>
      <c r="AI34" s="414"/>
      <c r="AJ34" s="414"/>
      <c r="AK34" s="414"/>
      <c r="AL34" s="414"/>
      <c r="AM34" s="414"/>
      <c r="AN34" s="414"/>
      <c r="AO34" s="414"/>
      <c r="AP34" s="414"/>
      <c r="AQ34" s="414"/>
      <c r="AR34" s="414"/>
      <c r="AS34" s="414"/>
      <c r="AT34" s="414"/>
      <c r="AU34" s="414"/>
      <c r="AV34" s="414"/>
      <c r="AW34" s="414"/>
      <c r="AX34" s="414"/>
      <c r="AY34" s="414"/>
      <c r="AZ34" s="414"/>
    </row>
    <row r="35" spans="1:52" s="415" customFormat="1" ht="10.95" customHeight="1">
      <c r="A35" s="414"/>
      <c r="B35" s="414"/>
      <c r="C35" s="414"/>
      <c r="D35" s="414" t="s">
        <v>554</v>
      </c>
      <c r="E35" s="417">
        <f t="shared" si="0"/>
        <v>0</v>
      </c>
      <c r="F35" s="37" t="s">
        <v>631</v>
      </c>
      <c r="G35" s="414" t="s">
        <v>138</v>
      </c>
      <c r="H35" s="417">
        <f t="shared" si="1"/>
        <v>0</v>
      </c>
      <c r="I35" s="37" t="s">
        <v>631</v>
      </c>
      <c r="J35" s="414"/>
      <c r="K35" s="414"/>
      <c r="L35" s="414"/>
      <c r="M35" s="414"/>
      <c r="N35" s="417">
        <f t="shared" si="2"/>
        <v>0</v>
      </c>
      <c r="O35" s="414"/>
      <c r="P35" s="414"/>
      <c r="Q35" s="414"/>
      <c r="R35" s="414"/>
      <c r="S35" s="414"/>
      <c r="T35" s="414"/>
      <c r="U35" s="414"/>
      <c r="V35" s="414"/>
      <c r="W35" s="414"/>
      <c r="X35" s="414"/>
      <c r="Y35" s="414"/>
      <c r="Z35" s="414"/>
      <c r="AA35" s="414"/>
      <c r="AB35" s="414"/>
      <c r="AC35" s="414"/>
      <c r="AD35" s="414"/>
      <c r="AE35" s="414"/>
      <c r="AF35" s="414"/>
      <c r="AG35" s="414"/>
      <c r="AH35" s="414"/>
      <c r="AI35" s="414"/>
      <c r="AJ35" s="414"/>
      <c r="AK35" s="414"/>
      <c r="AL35" s="414"/>
      <c r="AM35" s="414"/>
      <c r="AN35" s="414"/>
      <c r="AO35" s="414"/>
      <c r="AP35" s="414"/>
      <c r="AQ35" s="414"/>
      <c r="AR35" s="414"/>
      <c r="AS35" s="414"/>
      <c r="AT35" s="414"/>
      <c r="AU35" s="414"/>
      <c r="AV35" s="414"/>
      <c r="AW35" s="414"/>
      <c r="AX35" s="414"/>
      <c r="AY35" s="414"/>
      <c r="AZ35" s="414"/>
    </row>
    <row r="36" spans="1:52" s="415" customFormat="1" ht="10.95" customHeight="1">
      <c r="A36" s="414"/>
      <c r="B36" s="414"/>
      <c r="C36" s="414"/>
      <c r="D36" s="414" t="s">
        <v>306</v>
      </c>
      <c r="E36" s="417">
        <f t="shared" si="0"/>
        <v>0</v>
      </c>
      <c r="F36" s="37" t="s">
        <v>631</v>
      </c>
      <c r="G36" s="414" t="s">
        <v>139</v>
      </c>
      <c r="H36" s="417">
        <f t="shared" si="1"/>
        <v>0</v>
      </c>
      <c r="I36" s="37" t="s">
        <v>631</v>
      </c>
      <c r="J36" s="414"/>
      <c r="K36" s="414"/>
      <c r="L36" s="414"/>
      <c r="M36" s="414"/>
      <c r="N36" s="417">
        <f t="shared" si="2"/>
        <v>0</v>
      </c>
      <c r="O36" s="414"/>
      <c r="P36" s="414"/>
      <c r="Q36" s="414"/>
      <c r="R36" s="414"/>
      <c r="S36" s="414"/>
      <c r="T36" s="414"/>
      <c r="U36" s="414"/>
      <c r="V36" s="414"/>
      <c r="W36" s="414"/>
      <c r="X36" s="414"/>
      <c r="Y36" s="414"/>
      <c r="Z36" s="414"/>
      <c r="AA36" s="414"/>
      <c r="AB36" s="414"/>
      <c r="AC36" s="414"/>
      <c r="AD36" s="414"/>
      <c r="AE36" s="414"/>
      <c r="AF36" s="414"/>
      <c r="AG36" s="414"/>
      <c r="AH36" s="414"/>
      <c r="AI36" s="414"/>
      <c r="AJ36" s="414"/>
      <c r="AK36" s="414"/>
      <c r="AL36" s="414"/>
      <c r="AM36" s="414"/>
      <c r="AN36" s="414"/>
      <c r="AO36" s="414"/>
      <c r="AP36" s="414"/>
      <c r="AQ36" s="414"/>
      <c r="AR36" s="414"/>
      <c r="AS36" s="414"/>
      <c r="AT36" s="414"/>
      <c r="AU36" s="414"/>
      <c r="AV36" s="414"/>
      <c r="AW36" s="414"/>
      <c r="AX36" s="414"/>
      <c r="AY36" s="414"/>
      <c r="AZ36" s="414"/>
    </row>
    <row r="37" spans="1:52" s="415" customFormat="1" ht="10.95" customHeight="1">
      <c r="A37" s="414"/>
      <c r="B37" s="414"/>
      <c r="C37" s="414"/>
      <c r="D37" s="414" t="s">
        <v>409</v>
      </c>
      <c r="E37" s="417">
        <f t="shared" si="0"/>
        <v>0</v>
      </c>
      <c r="F37" s="37" t="s">
        <v>631</v>
      </c>
      <c r="G37" s="414" t="s">
        <v>269</v>
      </c>
      <c r="H37" s="417">
        <f t="shared" si="1"/>
        <v>0</v>
      </c>
      <c r="I37" s="37" t="s">
        <v>631</v>
      </c>
      <c r="J37" s="414"/>
      <c r="K37" s="414"/>
      <c r="L37" s="414"/>
      <c r="M37" s="414"/>
      <c r="N37" s="417">
        <f t="shared" si="2"/>
        <v>0</v>
      </c>
      <c r="O37" s="414"/>
      <c r="P37" s="414"/>
      <c r="Q37" s="414"/>
      <c r="R37" s="414"/>
      <c r="S37" s="414"/>
      <c r="T37" s="414"/>
      <c r="U37" s="414"/>
      <c r="V37" s="414"/>
      <c r="W37" s="414"/>
      <c r="X37" s="414"/>
      <c r="Y37" s="414"/>
      <c r="Z37" s="414"/>
      <c r="AA37" s="414"/>
      <c r="AB37" s="414"/>
      <c r="AC37" s="414"/>
      <c r="AD37" s="414"/>
      <c r="AE37" s="414"/>
      <c r="AF37" s="414"/>
      <c r="AG37" s="414"/>
      <c r="AH37" s="414"/>
      <c r="AI37" s="414"/>
      <c r="AJ37" s="414"/>
      <c r="AK37" s="414"/>
      <c r="AL37" s="414"/>
      <c r="AM37" s="414"/>
      <c r="AN37" s="414"/>
      <c r="AO37" s="414"/>
      <c r="AP37" s="414"/>
      <c r="AQ37" s="414"/>
      <c r="AR37" s="414"/>
      <c r="AS37" s="414"/>
      <c r="AT37" s="414"/>
      <c r="AU37" s="414"/>
      <c r="AV37" s="414"/>
      <c r="AW37" s="414"/>
      <c r="AX37" s="414"/>
      <c r="AY37" s="414"/>
      <c r="AZ37" s="414"/>
    </row>
    <row r="38" spans="1:52" s="415" customFormat="1" ht="10.95" customHeight="1">
      <c r="A38" s="414"/>
      <c r="B38" s="414"/>
      <c r="C38" s="414"/>
      <c r="D38" s="414" t="s">
        <v>410</v>
      </c>
      <c r="E38" s="417">
        <f t="shared" si="0"/>
        <v>0</v>
      </c>
      <c r="F38" s="37" t="s">
        <v>631</v>
      </c>
      <c r="G38" s="414" t="s">
        <v>366</v>
      </c>
      <c r="H38" s="417">
        <f t="shared" si="1"/>
        <v>0</v>
      </c>
      <c r="I38" s="37" t="s">
        <v>631</v>
      </c>
      <c r="J38" s="414"/>
      <c r="K38" s="414"/>
      <c r="L38" s="414"/>
      <c r="M38" s="414"/>
      <c r="N38" s="417">
        <f t="shared" si="2"/>
        <v>0</v>
      </c>
      <c r="O38" s="414"/>
      <c r="P38" s="414"/>
      <c r="Q38" s="414"/>
      <c r="R38" s="414"/>
      <c r="S38" s="414"/>
      <c r="T38" s="414"/>
      <c r="U38" s="414"/>
      <c r="V38" s="414"/>
      <c r="W38" s="414"/>
      <c r="X38" s="414"/>
      <c r="Y38" s="414"/>
      <c r="Z38" s="414"/>
      <c r="AA38" s="414"/>
      <c r="AB38" s="414"/>
      <c r="AC38" s="414"/>
      <c r="AD38" s="414"/>
      <c r="AE38" s="414"/>
      <c r="AF38" s="414"/>
      <c r="AG38" s="414"/>
      <c r="AH38" s="414"/>
      <c r="AI38" s="414"/>
      <c r="AJ38" s="414"/>
      <c r="AK38" s="414"/>
      <c r="AL38" s="414"/>
      <c r="AM38" s="414"/>
      <c r="AN38" s="414"/>
      <c r="AO38" s="414"/>
      <c r="AP38" s="414"/>
      <c r="AQ38" s="414"/>
      <c r="AR38" s="414"/>
      <c r="AS38" s="414"/>
      <c r="AT38" s="414"/>
      <c r="AU38" s="414"/>
      <c r="AV38" s="414"/>
      <c r="AW38" s="414"/>
      <c r="AX38" s="414"/>
      <c r="AY38" s="414"/>
      <c r="AZ38" s="414"/>
    </row>
    <row r="39" spans="1:52" s="415" customFormat="1" ht="10.95" customHeight="1">
      <c r="A39" s="414"/>
      <c r="B39" s="414"/>
      <c r="C39" s="414"/>
      <c r="D39" s="418" t="s">
        <v>411</v>
      </c>
      <c r="E39" s="419">
        <f t="shared" si="0"/>
        <v>0</v>
      </c>
      <c r="F39" s="1091" t="s">
        <v>631</v>
      </c>
      <c r="G39" s="418" t="s">
        <v>465</v>
      </c>
      <c r="H39" s="419">
        <f t="shared" si="1"/>
        <v>0</v>
      </c>
      <c r="I39" s="1091" t="s">
        <v>631</v>
      </c>
      <c r="J39" s="414"/>
      <c r="K39" s="414"/>
      <c r="L39" s="414"/>
      <c r="M39" s="414"/>
      <c r="N39" s="417">
        <f t="shared" si="2"/>
        <v>0</v>
      </c>
      <c r="O39" s="414"/>
      <c r="P39" s="414"/>
      <c r="Q39" s="414"/>
      <c r="R39" s="414"/>
      <c r="S39" s="414"/>
      <c r="T39" s="414"/>
      <c r="U39" s="414"/>
      <c r="V39" s="414"/>
      <c r="W39" s="414"/>
      <c r="X39" s="414"/>
      <c r="Y39" s="414"/>
      <c r="Z39" s="414"/>
      <c r="AA39" s="414"/>
      <c r="AB39" s="414"/>
      <c r="AC39" s="414"/>
      <c r="AD39" s="414"/>
      <c r="AE39" s="414"/>
      <c r="AF39" s="414"/>
      <c r="AG39" s="414"/>
      <c r="AH39" s="414"/>
      <c r="AI39" s="414"/>
      <c r="AJ39" s="414"/>
      <c r="AK39" s="414"/>
      <c r="AL39" s="414"/>
      <c r="AM39" s="414"/>
      <c r="AN39" s="414"/>
      <c r="AO39" s="414"/>
      <c r="AP39" s="414"/>
      <c r="AQ39" s="414"/>
      <c r="AR39" s="414"/>
      <c r="AS39" s="414"/>
      <c r="AT39" s="414"/>
      <c r="AU39" s="414"/>
      <c r="AV39" s="414"/>
      <c r="AW39" s="414"/>
      <c r="AX39" s="414"/>
      <c r="AY39" s="414"/>
      <c r="AZ39" s="414"/>
    </row>
    <row r="40" spans="1:52" s="415" customFormat="1" ht="10.95" customHeight="1">
      <c r="A40" s="414"/>
      <c r="B40" s="414"/>
      <c r="C40" s="414"/>
      <c r="D40" s="414"/>
      <c r="E40" s="414"/>
      <c r="F40" s="414"/>
      <c r="G40" s="414"/>
      <c r="H40" s="414"/>
      <c r="I40" s="414"/>
      <c r="J40" s="414"/>
      <c r="K40" s="414"/>
      <c r="L40" s="414"/>
      <c r="M40" s="414"/>
      <c r="N40" s="417">
        <f t="shared" ref="N40:N45" si="3">H34</f>
        <v>0</v>
      </c>
      <c r="O40" s="414"/>
      <c r="P40" s="414"/>
      <c r="Q40" s="414"/>
      <c r="R40" s="414"/>
      <c r="S40" s="414"/>
      <c r="T40" s="414"/>
      <c r="U40" s="414"/>
      <c r="V40" s="414"/>
      <c r="W40" s="414"/>
      <c r="X40" s="414"/>
      <c r="Y40" s="414"/>
      <c r="Z40" s="414"/>
      <c r="AA40" s="414"/>
      <c r="AB40" s="414"/>
      <c r="AC40" s="414"/>
      <c r="AD40" s="414"/>
      <c r="AE40" s="414"/>
      <c r="AF40" s="414"/>
      <c r="AG40" s="414"/>
      <c r="AH40" s="414"/>
      <c r="AI40" s="414"/>
      <c r="AJ40" s="414"/>
      <c r="AK40" s="414"/>
      <c r="AL40" s="414"/>
      <c r="AM40" s="414"/>
      <c r="AN40" s="414"/>
      <c r="AO40" s="414"/>
      <c r="AP40" s="414"/>
      <c r="AQ40" s="414"/>
      <c r="AR40" s="414"/>
      <c r="AS40" s="414"/>
      <c r="AT40" s="414"/>
      <c r="AU40" s="414"/>
      <c r="AV40" s="414"/>
      <c r="AW40" s="414"/>
      <c r="AX40" s="414"/>
      <c r="AY40" s="414"/>
      <c r="AZ40" s="414"/>
    </row>
    <row r="41" spans="1:52" ht="10.95" customHeight="1">
      <c r="A41" s="414"/>
      <c r="B41" s="414" t="s">
        <v>68</v>
      </c>
      <c r="C41" s="414"/>
      <c r="D41" s="420" t="s">
        <v>385</v>
      </c>
      <c r="E41" s="421">
        <f>SUM(E34:E39)+SUM(H34:H39)</f>
        <v>0</v>
      </c>
      <c r="F41" s="39" t="s">
        <v>632</v>
      </c>
      <c r="G41" s="37"/>
      <c r="H41" s="37"/>
      <c r="I41" s="37"/>
      <c r="J41" s="37"/>
      <c r="K41" s="37"/>
      <c r="L41" s="37"/>
      <c r="M41" s="37"/>
      <c r="N41" s="38">
        <f t="shared" si="3"/>
        <v>0</v>
      </c>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row>
    <row r="42" spans="1:52">
      <c r="A42" s="37"/>
      <c r="B42" s="37"/>
      <c r="C42" s="37"/>
      <c r="D42" s="37"/>
      <c r="E42" s="37"/>
      <c r="F42" s="37"/>
      <c r="G42" s="37"/>
      <c r="H42" s="37"/>
      <c r="I42" s="37"/>
      <c r="J42" s="37"/>
      <c r="K42" s="37"/>
      <c r="L42" s="37"/>
      <c r="M42" s="37"/>
      <c r="N42" s="38">
        <f t="shared" si="3"/>
        <v>0</v>
      </c>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row>
    <row r="43" spans="1:52" hidden="1">
      <c r="A43" s="37"/>
      <c r="B43" s="37"/>
      <c r="C43" s="37"/>
      <c r="E43" s="38">
        <f>IF(Komfortlüftung!$I$9=1,Komfortlüftung!$I52,Lüftung!$E34)</f>
        <v>0</v>
      </c>
      <c r="F43" s="37"/>
      <c r="G43" s="37"/>
      <c r="H43" s="38">
        <f>IF(Komfortlüftung!$I$9=1,Komfortlüftung!$N52,Lüftung!$H34)</f>
        <v>0</v>
      </c>
      <c r="I43" s="37"/>
      <c r="J43" s="37"/>
      <c r="K43" s="37"/>
      <c r="L43" s="37"/>
      <c r="M43" s="37"/>
      <c r="N43" s="38">
        <f t="shared" si="3"/>
        <v>0</v>
      </c>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row>
    <row r="44" spans="1:52" hidden="1">
      <c r="A44" s="37"/>
      <c r="B44" s="37"/>
      <c r="C44" s="37"/>
      <c r="D44" s="37"/>
      <c r="E44" s="38">
        <f>IF(Komfortlüftung!$I$9=1,Komfortlüftung!$I53,Lüftung!$E35)</f>
        <v>0</v>
      </c>
      <c r="F44" s="37"/>
      <c r="G44" s="37"/>
      <c r="H44" s="38">
        <f>IF(Komfortlüftung!$I$9=1,Komfortlüftung!$N53,Lüftung!$H35)</f>
        <v>0</v>
      </c>
      <c r="I44" s="37"/>
      <c r="J44" s="37"/>
      <c r="K44" s="37"/>
      <c r="L44" s="37"/>
      <c r="M44" s="37"/>
      <c r="N44" s="38">
        <f t="shared" si="3"/>
        <v>0</v>
      </c>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row>
    <row r="45" spans="1:52" hidden="1">
      <c r="A45" s="37"/>
      <c r="B45" s="37"/>
      <c r="C45" s="37"/>
      <c r="D45" s="37"/>
      <c r="E45" s="38">
        <f>IF(Komfortlüftung!$I$9=1,Komfortlüftung!$I54,Lüftung!$E36)</f>
        <v>0</v>
      </c>
      <c r="F45" s="37"/>
      <c r="G45" s="37"/>
      <c r="H45" s="38">
        <f>IF(Komfortlüftung!$I$9=1,Komfortlüftung!$N54,Lüftung!$H36)</f>
        <v>0</v>
      </c>
      <c r="I45" s="37"/>
      <c r="J45" s="37"/>
      <c r="K45" s="37"/>
      <c r="L45" s="37"/>
      <c r="M45" s="37"/>
      <c r="N45" s="38">
        <f t="shared" si="3"/>
        <v>0</v>
      </c>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row>
    <row r="46" spans="1:52" hidden="1">
      <c r="A46" s="37"/>
      <c r="B46" s="37"/>
      <c r="C46" s="37"/>
      <c r="D46" s="37"/>
      <c r="E46" s="38">
        <f>IF(Komfortlüftung!$I$9=1,Komfortlüftung!$I55,Lüftung!$E37)</f>
        <v>0</v>
      </c>
      <c r="F46" s="37"/>
      <c r="G46" s="37"/>
      <c r="H46" s="38">
        <f>IF(Komfortlüftung!$I$9=1,Komfortlüftung!$N55,Lüftung!$H37)</f>
        <v>0</v>
      </c>
      <c r="I46" s="37"/>
      <c r="J46" s="37"/>
      <c r="K46" s="37"/>
      <c r="L46" s="37"/>
      <c r="M46" s="37"/>
      <c r="N46" s="38"/>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row>
    <row r="47" spans="1:52" hidden="1">
      <c r="A47" s="37"/>
      <c r="B47" s="37"/>
      <c r="C47" s="37"/>
      <c r="D47" s="37"/>
      <c r="E47" s="38">
        <f>IF(Komfortlüftung!$I$9=1,Komfortlüftung!$I56,Lüftung!$E38)</f>
        <v>0</v>
      </c>
      <c r="F47" s="37"/>
      <c r="G47" s="37"/>
      <c r="H47" s="38">
        <f>IF(Komfortlüftung!$I$9=1,Komfortlüftung!$N56,Lüftung!$H38)</f>
        <v>0</v>
      </c>
      <c r="I47" s="37"/>
      <c r="J47" s="37"/>
      <c r="K47" s="37"/>
      <c r="L47" s="37"/>
      <c r="M47" s="37"/>
      <c r="N47" s="38"/>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row>
    <row r="48" spans="1:52" hidden="1">
      <c r="A48" s="37"/>
      <c r="B48" s="37"/>
      <c r="C48" s="37"/>
      <c r="D48" s="37"/>
      <c r="E48" s="38">
        <f>IF(Komfortlüftung!$I$9=1,Komfortlüftung!$I57,Lüftung!$E39)</f>
        <v>0</v>
      </c>
      <c r="F48" s="37"/>
      <c r="G48" s="37"/>
      <c r="H48" s="38">
        <f>IF(Komfortlüftung!$I$9=1,Komfortlüftung!$N57,Lüftung!$H39)</f>
        <v>0</v>
      </c>
      <c r="I48" s="37"/>
      <c r="J48" s="37"/>
      <c r="K48" s="37"/>
      <c r="L48" s="37"/>
      <c r="M48" s="37"/>
      <c r="N48" s="38"/>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row>
    <row r="49" spans="1:52" hidden="1">
      <c r="A49" s="37"/>
      <c r="B49" s="37"/>
      <c r="C49" s="37"/>
      <c r="D49" s="37"/>
      <c r="E49" s="37"/>
      <c r="F49" s="37"/>
      <c r="G49" s="37"/>
      <c r="H49" s="37">
        <f>SUM(E42:H48)</f>
        <v>0</v>
      </c>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row>
    <row r="50" spans="1:52">
      <c r="A50" s="37"/>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row>
    <row r="51" spans="1:52">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row>
    <row r="52" spans="1:52">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row>
    <row r="53" spans="1:52">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row>
    <row r="54" spans="1:52">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row>
    <row r="55" spans="1:52">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row>
    <row r="56" spans="1:52">
      <c r="A56" s="37"/>
      <c r="B56" s="37"/>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row>
    <row r="57" spans="1:52">
      <c r="A57" s="37"/>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row>
    <row r="58" spans="1:52">
      <c r="A58" s="37"/>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row>
    <row r="59" spans="1:52">
      <c r="A59" s="37"/>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row>
    <row r="60" spans="1:52">
      <c r="A60" s="37"/>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row>
    <row r="61" spans="1:52">
      <c r="A61" s="37"/>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row>
    <row r="62" spans="1:52">
      <c r="A62" s="37"/>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row>
    <row r="63" spans="1:52">
      <c r="A63" s="37"/>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row>
    <row r="64" spans="1:52">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row>
    <row r="65" spans="1:52">
      <c r="A65" s="37"/>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row>
    <row r="66" spans="1:5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row>
    <row r="67" spans="1:52">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row>
    <row r="68" spans="1:52">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row>
    <row r="69" spans="1:52">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row>
    <row r="70" spans="1:52">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row>
    <row r="71" spans="1:52">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row>
    <row r="72" spans="1:5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row>
    <row r="73" spans="1:52">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row>
    <row r="74" spans="1:5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row>
    <row r="75" spans="1:5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row>
    <row r="76" spans="1:5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row>
    <row r="77" spans="1:5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row>
    <row r="78" spans="1:5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row>
    <row r="79" spans="1:52">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row>
    <row r="80" spans="1:5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row>
    <row r="81" spans="1:52" hidden="1">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row>
    <row r="82" spans="1:52" hidden="1">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row>
    <row r="83" spans="1:52" hidden="1">
      <c r="A83" s="37"/>
      <c r="B83" s="414" t="s">
        <v>49</v>
      </c>
      <c r="C83" s="417">
        <f t="shared" ref="C83:C88" si="4">E34</f>
        <v>0</v>
      </c>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row>
    <row r="84" spans="1:52" hidden="1">
      <c r="A84" s="37"/>
      <c r="B84" s="414" t="s">
        <v>554</v>
      </c>
      <c r="C84" s="417">
        <f t="shared" si="4"/>
        <v>0</v>
      </c>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row>
    <row r="85" spans="1:52" hidden="1">
      <c r="A85" s="37"/>
      <c r="B85" s="414" t="s">
        <v>306</v>
      </c>
      <c r="C85" s="417">
        <f t="shared" si="4"/>
        <v>0</v>
      </c>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row>
    <row r="86" spans="1:52" hidden="1">
      <c r="A86" s="37"/>
      <c r="B86" s="414" t="s">
        <v>409</v>
      </c>
      <c r="C86" s="417">
        <f t="shared" si="4"/>
        <v>0</v>
      </c>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row>
    <row r="87" spans="1:52" hidden="1">
      <c r="A87" s="37"/>
      <c r="B87" s="414" t="s">
        <v>410</v>
      </c>
      <c r="C87" s="417">
        <f t="shared" si="4"/>
        <v>0</v>
      </c>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row>
    <row r="88" spans="1:52" hidden="1">
      <c r="A88" s="37"/>
      <c r="B88" s="418" t="s">
        <v>411</v>
      </c>
      <c r="C88" s="417">
        <f t="shared" si="4"/>
        <v>0</v>
      </c>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row>
    <row r="89" spans="1:52" hidden="1">
      <c r="A89" s="37"/>
      <c r="B89" s="414" t="s">
        <v>221</v>
      </c>
      <c r="C89" s="38">
        <f t="shared" ref="C89:C94" si="5">H34</f>
        <v>0</v>
      </c>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row>
    <row r="90" spans="1:52" hidden="1">
      <c r="A90" s="37"/>
      <c r="B90" s="414" t="s">
        <v>138</v>
      </c>
      <c r="C90" s="38">
        <f t="shared" si="5"/>
        <v>0</v>
      </c>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row>
    <row r="91" spans="1:52" hidden="1">
      <c r="A91" s="37"/>
      <c r="B91" s="414" t="s">
        <v>139</v>
      </c>
      <c r="C91" s="38">
        <f t="shared" si="5"/>
        <v>0</v>
      </c>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row>
    <row r="92" spans="1:52" hidden="1">
      <c r="A92" s="37"/>
      <c r="B92" s="414" t="s">
        <v>269</v>
      </c>
      <c r="C92" s="38">
        <f t="shared" si="5"/>
        <v>0</v>
      </c>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row>
    <row r="93" spans="1:52" hidden="1">
      <c r="A93" s="37"/>
      <c r="B93" s="414" t="s">
        <v>366</v>
      </c>
      <c r="C93" s="38">
        <f t="shared" si="5"/>
        <v>0</v>
      </c>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row>
    <row r="94" spans="1:52" hidden="1">
      <c r="A94" s="37"/>
      <c r="B94" s="418" t="s">
        <v>465</v>
      </c>
      <c r="C94" s="38">
        <f t="shared" si="5"/>
        <v>0</v>
      </c>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row>
    <row r="95" spans="1:52" hidden="1">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row>
    <row r="96" spans="1:52" hidden="1">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row>
    <row r="97" spans="1:5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row>
    <row r="98" spans="1:5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row>
    <row r="99" spans="1:5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row>
    <row r="100" spans="1:5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row>
    <row r="101" spans="1:5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row>
    <row r="102" spans="1:5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row>
    <row r="103" spans="1:5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row>
    <row r="104" spans="1:5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row>
    <row r="105" spans="1:5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row>
    <row r="106" spans="1:5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row>
    <row r="107" spans="1:5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row>
    <row r="108" spans="1:5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row>
    <row r="109" spans="1:5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row>
    <row r="110" spans="1:5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row>
    <row r="111" spans="1:5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row>
    <row r="112" spans="1:5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row>
    <row r="113" spans="1:5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row>
    <row r="114" spans="1:5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row>
    <row r="115" spans="1:5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row>
    <row r="116" spans="1:5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row>
    <row r="117" spans="1:5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row>
    <row r="118" spans="1:5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row>
    <row r="119" spans="1:5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row>
    <row r="120" spans="1:5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row>
    <row r="121" spans="1:5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row>
    <row r="122" spans="1:5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row>
    <row r="123" spans="1:5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row>
    <row r="124" spans="1:5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row>
    <row r="125" spans="1:5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row>
    <row r="126" spans="1:5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row>
    <row r="127" spans="1:5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row>
    <row r="128" spans="1:5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row>
    <row r="129" spans="1:5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row>
    <row r="130" spans="1:5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row>
    <row r="131" spans="1:5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row>
    <row r="132" spans="1:5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row>
    <row r="133" spans="1:5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row>
    <row r="134" spans="1:5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row>
    <row r="135" spans="1:5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row>
    <row r="136" spans="1:5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row>
    <row r="137" spans="1:5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row>
    <row r="138" spans="1:5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row>
    <row r="139" spans="1:5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row>
    <row r="140" spans="1:5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row>
    <row r="141" spans="1:5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row>
    <row r="142" spans="1:5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row>
    <row r="143" spans="1:5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row>
    <row r="144" spans="1:5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row>
    <row r="145" spans="1:5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row>
    <row r="146" spans="1:5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row>
    <row r="147" spans="1:5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row>
    <row r="148" spans="1:5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row>
    <row r="149" spans="1:5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row>
    <row r="150" spans="1:5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row>
    <row r="151" spans="1:5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row>
    <row r="152" spans="1:5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row>
    <row r="153" spans="1:5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row>
    <row r="154" spans="1:5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row>
    <row r="155" spans="1:5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row>
    <row r="156" spans="1:5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row>
    <row r="157" spans="1:5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row>
    <row r="158" spans="1:5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row>
    <row r="159" spans="1:5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row>
    <row r="160" spans="1:5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row>
    <row r="161" spans="1:5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row>
    <row r="162" spans="1:5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row>
    <row r="163" spans="1:5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row>
    <row r="164" spans="1:5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row>
    <row r="165" spans="1:5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row>
    <row r="166" spans="1:5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row>
    <row r="167" spans="1:5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row>
    <row r="168" spans="1:5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row>
    <row r="169" spans="1:5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row>
    <row r="170" spans="1:5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row>
    <row r="171" spans="1:5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7"/>
      <c r="AT171" s="37"/>
      <c r="AU171" s="37"/>
      <c r="AV171" s="37"/>
      <c r="AW171" s="37"/>
      <c r="AX171" s="37"/>
      <c r="AY171" s="37"/>
      <c r="AZ171" s="37"/>
    </row>
    <row r="172" spans="1:5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c r="AS172" s="37"/>
      <c r="AT172" s="37"/>
      <c r="AU172" s="37"/>
      <c r="AV172" s="37"/>
      <c r="AW172" s="37"/>
      <c r="AX172" s="37"/>
      <c r="AY172" s="37"/>
      <c r="AZ172" s="37"/>
    </row>
    <row r="173" spans="1:5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c r="AS173" s="37"/>
      <c r="AT173" s="37"/>
      <c r="AU173" s="37"/>
      <c r="AV173" s="37"/>
      <c r="AW173" s="37"/>
      <c r="AX173" s="37"/>
      <c r="AY173" s="37"/>
      <c r="AZ173" s="37"/>
    </row>
    <row r="174" spans="1:5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7"/>
      <c r="AT174" s="37"/>
      <c r="AU174" s="37"/>
      <c r="AV174" s="37"/>
      <c r="AW174" s="37"/>
      <c r="AX174" s="37"/>
      <c r="AY174" s="37"/>
      <c r="AZ174" s="37"/>
    </row>
    <row r="175" spans="1:5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c r="AS175" s="37"/>
      <c r="AT175" s="37"/>
      <c r="AU175" s="37"/>
      <c r="AV175" s="37"/>
      <c r="AW175" s="37"/>
      <c r="AX175" s="37"/>
      <c r="AY175" s="37"/>
      <c r="AZ175" s="37"/>
    </row>
    <row r="176" spans="1:5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c r="AS176" s="37"/>
      <c r="AT176" s="37"/>
      <c r="AU176" s="37"/>
      <c r="AV176" s="37"/>
      <c r="AW176" s="37"/>
      <c r="AX176" s="37"/>
      <c r="AY176" s="37"/>
      <c r="AZ176" s="37"/>
    </row>
    <row r="177" spans="1:5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c r="AS177" s="37"/>
      <c r="AT177" s="37"/>
      <c r="AU177" s="37"/>
      <c r="AV177" s="37"/>
      <c r="AW177" s="37"/>
      <c r="AX177" s="37"/>
      <c r="AY177" s="37"/>
      <c r="AZ177" s="37"/>
    </row>
    <row r="178" spans="1:5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7"/>
      <c r="AT178" s="37"/>
      <c r="AU178" s="37"/>
      <c r="AV178" s="37"/>
      <c r="AW178" s="37"/>
      <c r="AX178" s="37"/>
      <c r="AY178" s="37"/>
      <c r="AZ178" s="37"/>
    </row>
    <row r="179" spans="1:5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c r="AS179" s="37"/>
      <c r="AT179" s="37"/>
      <c r="AU179" s="37"/>
      <c r="AV179" s="37"/>
      <c r="AW179" s="37"/>
      <c r="AX179" s="37"/>
      <c r="AY179" s="37"/>
      <c r="AZ179" s="37"/>
    </row>
    <row r="180" spans="1:5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c r="AS180" s="37"/>
      <c r="AT180" s="37"/>
      <c r="AU180" s="37"/>
      <c r="AV180" s="37"/>
      <c r="AW180" s="37"/>
      <c r="AX180" s="37"/>
      <c r="AY180" s="37"/>
      <c r="AZ180" s="37"/>
    </row>
    <row r="181" spans="1:5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c r="AS181" s="37"/>
      <c r="AT181" s="37"/>
      <c r="AU181" s="37"/>
      <c r="AV181" s="37"/>
      <c r="AW181" s="37"/>
      <c r="AX181" s="37"/>
      <c r="AY181" s="37"/>
      <c r="AZ181" s="37"/>
    </row>
    <row r="182" spans="1:5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row>
    <row r="183" spans="1:5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c r="AS183" s="37"/>
      <c r="AT183" s="37"/>
      <c r="AU183" s="37"/>
      <c r="AV183" s="37"/>
      <c r="AW183" s="37"/>
      <c r="AX183" s="37"/>
      <c r="AY183" s="37"/>
      <c r="AZ183" s="37"/>
    </row>
    <row r="184" spans="1:5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row>
    <row r="185" spans="1:5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7"/>
      <c r="AT185" s="37"/>
      <c r="AU185" s="37"/>
      <c r="AV185" s="37"/>
      <c r="AW185" s="37"/>
      <c r="AX185" s="37"/>
      <c r="AY185" s="37"/>
      <c r="AZ185" s="37"/>
    </row>
    <row r="186" spans="1:5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7"/>
      <c r="AT186" s="37"/>
      <c r="AU186" s="37"/>
      <c r="AV186" s="37"/>
      <c r="AW186" s="37"/>
      <c r="AX186" s="37"/>
      <c r="AY186" s="37"/>
      <c r="AZ186" s="37"/>
    </row>
    <row r="187" spans="1:5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c r="AS187" s="37"/>
      <c r="AT187" s="37"/>
      <c r="AU187" s="37"/>
      <c r="AV187" s="37"/>
      <c r="AW187" s="37"/>
      <c r="AX187" s="37"/>
      <c r="AY187" s="37"/>
      <c r="AZ187" s="37"/>
    </row>
    <row r="188" spans="1:5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7"/>
      <c r="AT188" s="37"/>
      <c r="AU188" s="37"/>
      <c r="AV188" s="37"/>
      <c r="AW188" s="37"/>
      <c r="AX188" s="37"/>
      <c r="AY188" s="37"/>
      <c r="AZ188" s="37"/>
    </row>
    <row r="189" spans="1:5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7"/>
      <c r="AT189" s="37"/>
      <c r="AU189" s="37"/>
      <c r="AV189" s="37"/>
      <c r="AW189" s="37"/>
      <c r="AX189" s="37"/>
      <c r="AY189" s="37"/>
      <c r="AZ189" s="37"/>
    </row>
    <row r="190" spans="1:5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7"/>
      <c r="AT190" s="37"/>
      <c r="AU190" s="37"/>
      <c r="AV190" s="37"/>
      <c r="AW190" s="37"/>
      <c r="AX190" s="37"/>
      <c r="AY190" s="37"/>
      <c r="AZ190" s="37"/>
    </row>
    <row r="191" spans="1:5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7"/>
      <c r="AT191" s="37"/>
      <c r="AU191" s="37"/>
      <c r="AV191" s="37"/>
      <c r="AW191" s="37"/>
      <c r="AX191" s="37"/>
      <c r="AY191" s="37"/>
      <c r="AZ191" s="37"/>
    </row>
    <row r="192" spans="1:5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c r="AR192" s="37"/>
      <c r="AS192" s="37"/>
      <c r="AT192" s="37"/>
      <c r="AU192" s="37"/>
      <c r="AV192" s="37"/>
      <c r="AW192" s="37"/>
      <c r="AX192" s="37"/>
      <c r="AY192" s="37"/>
      <c r="AZ192" s="37"/>
    </row>
    <row r="193" spans="1:5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7"/>
      <c r="AS193" s="37"/>
      <c r="AT193" s="37"/>
      <c r="AU193" s="37"/>
      <c r="AV193" s="37"/>
      <c r="AW193" s="37"/>
      <c r="AX193" s="37"/>
      <c r="AY193" s="37"/>
      <c r="AZ193" s="37"/>
    </row>
    <row r="194" spans="1:5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7"/>
      <c r="AS194" s="37"/>
      <c r="AT194" s="37"/>
      <c r="AU194" s="37"/>
      <c r="AV194" s="37"/>
      <c r="AW194" s="37"/>
      <c r="AX194" s="37"/>
      <c r="AY194" s="37"/>
      <c r="AZ194" s="37"/>
    </row>
    <row r="195" spans="1:5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7"/>
      <c r="AS195" s="37"/>
      <c r="AT195" s="37"/>
      <c r="AU195" s="37"/>
      <c r="AV195" s="37"/>
      <c r="AW195" s="37"/>
      <c r="AX195" s="37"/>
      <c r="AY195" s="37"/>
      <c r="AZ195" s="37"/>
    </row>
    <row r="196" spans="1:5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7"/>
      <c r="AS196" s="37"/>
      <c r="AT196" s="37"/>
      <c r="AU196" s="37"/>
      <c r="AV196" s="37"/>
      <c r="AW196" s="37"/>
      <c r="AX196" s="37"/>
      <c r="AY196" s="37"/>
      <c r="AZ196" s="37"/>
    </row>
    <row r="197" spans="1:5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row>
    <row r="198" spans="1:5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7"/>
      <c r="AS198" s="37"/>
      <c r="AT198" s="37"/>
      <c r="AU198" s="37"/>
      <c r="AV198" s="37"/>
      <c r="AW198" s="37"/>
      <c r="AX198" s="37"/>
      <c r="AY198" s="37"/>
      <c r="AZ198" s="37"/>
    </row>
    <row r="199" spans="1:5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7"/>
      <c r="AS199" s="37"/>
      <c r="AT199" s="37"/>
      <c r="AU199" s="37"/>
      <c r="AV199" s="37"/>
      <c r="AW199" s="37"/>
      <c r="AX199" s="37"/>
      <c r="AY199" s="37"/>
      <c r="AZ199" s="37"/>
    </row>
    <row r="200" spans="1:5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7"/>
      <c r="AS200" s="37"/>
      <c r="AT200" s="37"/>
      <c r="AU200" s="37"/>
      <c r="AV200" s="37"/>
      <c r="AW200" s="37"/>
      <c r="AX200" s="37"/>
      <c r="AY200" s="37"/>
      <c r="AZ200" s="37"/>
    </row>
    <row r="201" spans="1:5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7"/>
      <c r="AS201" s="37"/>
      <c r="AT201" s="37"/>
      <c r="AU201" s="37"/>
      <c r="AV201" s="37"/>
      <c r="AW201" s="37"/>
      <c r="AX201" s="37"/>
      <c r="AY201" s="37"/>
      <c r="AZ201" s="37"/>
    </row>
    <row r="202" spans="1:5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c r="AS202" s="37"/>
      <c r="AT202" s="37"/>
      <c r="AU202" s="37"/>
      <c r="AV202" s="37"/>
      <c r="AW202" s="37"/>
      <c r="AX202" s="37"/>
      <c r="AY202" s="37"/>
      <c r="AZ202" s="37"/>
    </row>
    <row r="203" spans="1:5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c r="AS203" s="37"/>
      <c r="AT203" s="37"/>
      <c r="AU203" s="37"/>
      <c r="AV203" s="37"/>
      <c r="AW203" s="37"/>
      <c r="AX203" s="37"/>
      <c r="AY203" s="37"/>
      <c r="AZ203" s="37"/>
    </row>
    <row r="204" spans="1:5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row>
    <row r="205" spans="1:5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c r="AR205" s="37"/>
      <c r="AS205" s="37"/>
      <c r="AT205" s="37"/>
      <c r="AU205" s="37"/>
      <c r="AV205" s="37"/>
      <c r="AW205" s="37"/>
      <c r="AX205" s="37"/>
      <c r="AY205" s="37"/>
      <c r="AZ205" s="37"/>
    </row>
    <row r="206" spans="1:5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7"/>
      <c r="AS206" s="37"/>
      <c r="AT206" s="37"/>
      <c r="AU206" s="37"/>
      <c r="AV206" s="37"/>
      <c r="AW206" s="37"/>
      <c r="AX206" s="37"/>
      <c r="AY206" s="37"/>
      <c r="AZ206" s="37"/>
    </row>
    <row r="207" spans="1:5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7"/>
      <c r="AS207" s="37"/>
      <c r="AT207" s="37"/>
      <c r="AU207" s="37"/>
      <c r="AV207" s="37"/>
      <c r="AW207" s="37"/>
      <c r="AX207" s="37"/>
      <c r="AY207" s="37"/>
      <c r="AZ207" s="37"/>
    </row>
    <row r="208" spans="1:5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7"/>
      <c r="AS208" s="37"/>
      <c r="AT208" s="37"/>
      <c r="AU208" s="37"/>
      <c r="AV208" s="37"/>
      <c r="AW208" s="37"/>
      <c r="AX208" s="37"/>
      <c r="AY208" s="37"/>
      <c r="AZ208" s="37"/>
    </row>
    <row r="209" spans="1:5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c r="AZ209" s="37"/>
    </row>
    <row r="210" spans="1:5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7"/>
      <c r="AS210" s="37"/>
      <c r="AT210" s="37"/>
      <c r="AU210" s="37"/>
      <c r="AV210" s="37"/>
      <c r="AW210" s="37"/>
      <c r="AX210" s="37"/>
      <c r="AY210" s="37"/>
      <c r="AZ210" s="37"/>
    </row>
    <row r="211" spans="1:5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7"/>
      <c r="AS211" s="37"/>
      <c r="AT211" s="37"/>
      <c r="AU211" s="37"/>
      <c r="AV211" s="37"/>
      <c r="AW211" s="37"/>
      <c r="AX211" s="37"/>
      <c r="AY211" s="37"/>
      <c r="AZ211" s="37"/>
    </row>
    <row r="212" spans="1:5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row>
    <row r="213" spans="1:5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7"/>
      <c r="AS213" s="37"/>
      <c r="AT213" s="37"/>
      <c r="AU213" s="37"/>
      <c r="AV213" s="37"/>
      <c r="AW213" s="37"/>
      <c r="AX213" s="37"/>
      <c r="AY213" s="37"/>
      <c r="AZ213" s="37"/>
    </row>
    <row r="214" spans="1:5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7"/>
      <c r="AS214" s="37"/>
      <c r="AT214" s="37"/>
      <c r="AU214" s="37"/>
      <c r="AV214" s="37"/>
      <c r="AW214" s="37"/>
      <c r="AX214" s="37"/>
      <c r="AY214" s="37"/>
      <c r="AZ214" s="37"/>
    </row>
    <row r="215" spans="1:5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c r="AZ215" s="37"/>
    </row>
    <row r="216" spans="1:5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c r="AS216" s="37"/>
      <c r="AT216" s="37"/>
      <c r="AU216" s="37"/>
      <c r="AV216" s="37"/>
      <c r="AW216" s="37"/>
      <c r="AX216" s="37"/>
      <c r="AY216" s="37"/>
      <c r="AZ216" s="37"/>
    </row>
    <row r="217" spans="1:5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row>
    <row r="218" spans="1:5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7"/>
      <c r="AS218" s="37"/>
      <c r="AT218" s="37"/>
      <c r="AU218" s="37"/>
      <c r="AV218" s="37"/>
      <c r="AW218" s="37"/>
      <c r="AX218" s="37"/>
      <c r="AY218" s="37"/>
      <c r="AZ218" s="37"/>
    </row>
    <row r="219" spans="1:5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row>
    <row r="220" spans="1:5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7"/>
      <c r="AS220" s="37"/>
      <c r="AT220" s="37"/>
      <c r="AU220" s="37"/>
      <c r="AV220" s="37"/>
      <c r="AW220" s="37"/>
      <c r="AX220" s="37"/>
      <c r="AY220" s="37"/>
      <c r="AZ220" s="37"/>
    </row>
    <row r="221" spans="1:5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7"/>
      <c r="AS221" s="37"/>
      <c r="AT221" s="37"/>
      <c r="AU221" s="37"/>
      <c r="AV221" s="37"/>
      <c r="AW221" s="37"/>
      <c r="AX221" s="37"/>
      <c r="AY221" s="37"/>
      <c r="AZ221" s="37"/>
    </row>
    <row r="222" spans="1:5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c r="AR222" s="37"/>
      <c r="AS222" s="37"/>
      <c r="AT222" s="37"/>
      <c r="AU222" s="37"/>
      <c r="AV222" s="37"/>
      <c r="AW222" s="37"/>
      <c r="AX222" s="37"/>
      <c r="AY222" s="37"/>
      <c r="AZ222" s="37"/>
    </row>
    <row r="223" spans="1:5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7"/>
      <c r="AS223" s="37"/>
      <c r="AT223" s="37"/>
      <c r="AU223" s="37"/>
      <c r="AV223" s="37"/>
      <c r="AW223" s="37"/>
      <c r="AX223" s="37"/>
      <c r="AY223" s="37"/>
      <c r="AZ223" s="37"/>
    </row>
    <row r="224" spans="1:5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7"/>
      <c r="AS224" s="37"/>
      <c r="AT224" s="37"/>
      <c r="AU224" s="37"/>
      <c r="AV224" s="37"/>
      <c r="AW224" s="37"/>
      <c r="AX224" s="37"/>
      <c r="AY224" s="37"/>
      <c r="AZ224" s="37"/>
    </row>
    <row r="225" spans="1:5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7"/>
      <c r="AS225" s="37"/>
      <c r="AT225" s="37"/>
      <c r="AU225" s="37"/>
      <c r="AV225" s="37"/>
      <c r="AW225" s="37"/>
      <c r="AX225" s="37"/>
      <c r="AY225" s="37"/>
      <c r="AZ225" s="37"/>
    </row>
    <row r="226" spans="1:5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7"/>
      <c r="AS226" s="37"/>
      <c r="AT226" s="37"/>
      <c r="AU226" s="37"/>
      <c r="AV226" s="37"/>
      <c r="AW226" s="37"/>
      <c r="AX226" s="37"/>
      <c r="AY226" s="37"/>
      <c r="AZ226" s="37"/>
    </row>
    <row r="227" spans="1:5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c r="AS227" s="37"/>
      <c r="AT227" s="37"/>
      <c r="AU227" s="37"/>
      <c r="AV227" s="37"/>
      <c r="AW227" s="37"/>
      <c r="AX227" s="37"/>
      <c r="AY227" s="37"/>
      <c r="AZ227" s="37"/>
    </row>
    <row r="228" spans="1:5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7"/>
      <c r="AS228" s="37"/>
      <c r="AT228" s="37"/>
      <c r="AU228" s="37"/>
      <c r="AV228" s="37"/>
      <c r="AW228" s="37"/>
      <c r="AX228" s="37"/>
      <c r="AY228" s="37"/>
      <c r="AZ228" s="37"/>
    </row>
    <row r="229" spans="1:5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7"/>
      <c r="AS229" s="37"/>
      <c r="AT229" s="37"/>
      <c r="AU229" s="37"/>
      <c r="AV229" s="37"/>
      <c r="AW229" s="37"/>
      <c r="AX229" s="37"/>
      <c r="AY229" s="37"/>
      <c r="AZ229" s="37"/>
    </row>
    <row r="230" spans="1:5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7"/>
      <c r="AS230" s="37"/>
      <c r="AT230" s="37"/>
      <c r="AU230" s="37"/>
      <c r="AV230" s="37"/>
      <c r="AW230" s="37"/>
      <c r="AX230" s="37"/>
      <c r="AY230" s="37"/>
      <c r="AZ230" s="37"/>
    </row>
    <row r="231" spans="1:5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7"/>
      <c r="AS231" s="37"/>
      <c r="AT231" s="37"/>
      <c r="AU231" s="37"/>
      <c r="AV231" s="37"/>
      <c r="AW231" s="37"/>
      <c r="AX231" s="37"/>
      <c r="AY231" s="37"/>
      <c r="AZ231" s="37"/>
    </row>
    <row r="232" spans="1:5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7"/>
      <c r="AS232" s="37"/>
      <c r="AT232" s="37"/>
      <c r="AU232" s="37"/>
      <c r="AV232" s="37"/>
      <c r="AW232" s="37"/>
      <c r="AX232" s="37"/>
      <c r="AY232" s="37"/>
      <c r="AZ232" s="37"/>
    </row>
    <row r="233" spans="1:5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7"/>
      <c r="AS233" s="37"/>
      <c r="AT233" s="37"/>
      <c r="AU233" s="37"/>
      <c r="AV233" s="37"/>
      <c r="AW233" s="37"/>
      <c r="AX233" s="37"/>
      <c r="AY233" s="37"/>
      <c r="AZ233" s="37"/>
    </row>
    <row r="234" spans="1:5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7"/>
      <c r="AS234" s="37"/>
      <c r="AT234" s="37"/>
      <c r="AU234" s="37"/>
      <c r="AV234" s="37"/>
      <c r="AW234" s="37"/>
      <c r="AX234" s="37"/>
      <c r="AY234" s="37"/>
      <c r="AZ234" s="37"/>
    </row>
    <row r="235" spans="1:5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7"/>
      <c r="AS235" s="37"/>
      <c r="AT235" s="37"/>
      <c r="AU235" s="37"/>
      <c r="AV235" s="37"/>
      <c r="AW235" s="37"/>
      <c r="AX235" s="37"/>
      <c r="AY235" s="37"/>
      <c r="AZ235" s="37"/>
    </row>
    <row r="236" spans="1:5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7"/>
      <c r="AS236" s="37"/>
      <c r="AT236" s="37"/>
      <c r="AU236" s="37"/>
      <c r="AV236" s="37"/>
      <c r="AW236" s="37"/>
      <c r="AX236" s="37"/>
      <c r="AY236" s="37"/>
      <c r="AZ236" s="37"/>
    </row>
    <row r="237" spans="1:5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c r="AS237" s="37"/>
      <c r="AT237" s="37"/>
      <c r="AU237" s="37"/>
      <c r="AV237" s="37"/>
      <c r="AW237" s="37"/>
      <c r="AX237" s="37"/>
      <c r="AY237" s="37"/>
      <c r="AZ237" s="37"/>
    </row>
    <row r="238" spans="1:5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7"/>
      <c r="AS238" s="37"/>
      <c r="AT238" s="37"/>
      <c r="AU238" s="37"/>
      <c r="AV238" s="37"/>
      <c r="AW238" s="37"/>
      <c r="AX238" s="37"/>
      <c r="AY238" s="37"/>
      <c r="AZ238" s="37"/>
    </row>
    <row r="239" spans="1:5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7"/>
      <c r="AS239" s="37"/>
      <c r="AT239" s="37"/>
      <c r="AU239" s="37"/>
      <c r="AV239" s="37"/>
      <c r="AW239" s="37"/>
      <c r="AX239" s="37"/>
      <c r="AY239" s="37"/>
      <c r="AZ239" s="37"/>
    </row>
    <row r="240" spans="1:5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7"/>
      <c r="AS240" s="37"/>
      <c r="AT240" s="37"/>
      <c r="AU240" s="37"/>
      <c r="AV240" s="37"/>
      <c r="AW240" s="37"/>
      <c r="AX240" s="37"/>
      <c r="AY240" s="37"/>
      <c r="AZ240" s="37"/>
    </row>
    <row r="241" spans="1:5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row>
    <row r="242" spans="1:5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c r="AS242" s="37"/>
      <c r="AT242" s="37"/>
      <c r="AU242" s="37"/>
      <c r="AV242" s="37"/>
      <c r="AW242" s="37"/>
      <c r="AX242" s="37"/>
      <c r="AY242" s="37"/>
      <c r="AZ242" s="37"/>
    </row>
    <row r="243" spans="1:5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7"/>
      <c r="AS243" s="37"/>
      <c r="AT243" s="37"/>
      <c r="AU243" s="37"/>
      <c r="AV243" s="37"/>
      <c r="AW243" s="37"/>
      <c r="AX243" s="37"/>
      <c r="AY243" s="37"/>
      <c r="AZ243" s="37"/>
    </row>
    <row r="244" spans="1:5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7"/>
      <c r="AS244" s="37"/>
      <c r="AT244" s="37"/>
      <c r="AU244" s="37"/>
      <c r="AV244" s="37"/>
      <c r="AW244" s="37"/>
      <c r="AX244" s="37"/>
      <c r="AY244" s="37"/>
      <c r="AZ244" s="37"/>
    </row>
    <row r="245" spans="1:5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c r="AR245" s="37"/>
      <c r="AS245" s="37"/>
      <c r="AT245" s="37"/>
      <c r="AU245" s="37"/>
      <c r="AV245" s="37"/>
      <c r="AW245" s="37"/>
      <c r="AX245" s="37"/>
      <c r="AY245" s="37"/>
      <c r="AZ245" s="37"/>
    </row>
    <row r="246" spans="1:5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7"/>
      <c r="AS246" s="37"/>
      <c r="AT246" s="37"/>
      <c r="AU246" s="37"/>
      <c r="AV246" s="37"/>
      <c r="AW246" s="37"/>
      <c r="AX246" s="37"/>
      <c r="AY246" s="37"/>
      <c r="AZ246" s="37"/>
    </row>
    <row r="247" spans="1:5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7"/>
      <c r="AS247" s="37"/>
      <c r="AT247" s="37"/>
      <c r="AU247" s="37"/>
      <c r="AV247" s="37"/>
      <c r="AW247" s="37"/>
      <c r="AX247" s="37"/>
      <c r="AY247" s="37"/>
      <c r="AZ247" s="37"/>
    </row>
    <row r="248" spans="1:5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row>
    <row r="249" spans="1:5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7"/>
      <c r="AS249" s="37"/>
      <c r="AT249" s="37"/>
      <c r="AU249" s="37"/>
      <c r="AV249" s="37"/>
      <c r="AW249" s="37"/>
      <c r="AX249" s="37"/>
      <c r="AY249" s="37"/>
      <c r="AZ249" s="37"/>
    </row>
    <row r="250" spans="1:5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7"/>
      <c r="AS250" s="37"/>
      <c r="AT250" s="37"/>
      <c r="AU250" s="37"/>
      <c r="AV250" s="37"/>
      <c r="AW250" s="37"/>
      <c r="AX250" s="37"/>
      <c r="AY250" s="37"/>
      <c r="AZ250" s="37"/>
    </row>
    <row r="251" spans="1:5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7"/>
      <c r="AS251" s="37"/>
      <c r="AT251" s="37"/>
      <c r="AU251" s="37"/>
      <c r="AV251" s="37"/>
      <c r="AW251" s="37"/>
      <c r="AX251" s="37"/>
      <c r="AY251" s="37"/>
      <c r="AZ251" s="37"/>
    </row>
    <row r="252" spans="1:5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7"/>
      <c r="AS252" s="37"/>
      <c r="AT252" s="37"/>
      <c r="AU252" s="37"/>
      <c r="AV252" s="37"/>
      <c r="AW252" s="37"/>
      <c r="AX252" s="37"/>
      <c r="AY252" s="37"/>
      <c r="AZ252" s="37"/>
    </row>
    <row r="253" spans="1:5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7"/>
      <c r="AS253" s="37"/>
      <c r="AT253" s="37"/>
      <c r="AU253" s="37"/>
      <c r="AV253" s="37"/>
      <c r="AW253" s="37"/>
      <c r="AX253" s="37"/>
      <c r="AY253" s="37"/>
      <c r="AZ253" s="37"/>
    </row>
    <row r="254" spans="1:5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7"/>
      <c r="AS254" s="37"/>
      <c r="AT254" s="37"/>
      <c r="AU254" s="37"/>
      <c r="AV254" s="37"/>
      <c r="AW254" s="37"/>
      <c r="AX254" s="37"/>
      <c r="AY254" s="37"/>
      <c r="AZ254" s="37"/>
    </row>
    <row r="255" spans="1:5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7"/>
      <c r="AS255" s="37"/>
      <c r="AT255" s="37"/>
      <c r="AU255" s="37"/>
      <c r="AV255" s="37"/>
      <c r="AW255" s="37"/>
      <c r="AX255" s="37"/>
      <c r="AY255" s="37"/>
      <c r="AZ255" s="37"/>
    </row>
    <row r="256" spans="1:5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7"/>
      <c r="AS256" s="37"/>
      <c r="AT256" s="37"/>
      <c r="AU256" s="37"/>
      <c r="AV256" s="37"/>
      <c r="AW256" s="37"/>
      <c r="AX256" s="37"/>
      <c r="AY256" s="37"/>
      <c r="AZ256" s="37"/>
    </row>
    <row r="257" spans="1:5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7"/>
      <c r="AS257" s="37"/>
      <c r="AT257" s="37"/>
      <c r="AU257" s="37"/>
      <c r="AV257" s="37"/>
      <c r="AW257" s="37"/>
      <c r="AX257" s="37"/>
      <c r="AY257" s="37"/>
      <c r="AZ257" s="37"/>
    </row>
    <row r="258" spans="1:5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row>
    <row r="259" spans="1:5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7"/>
      <c r="AS259" s="37"/>
      <c r="AT259" s="37"/>
      <c r="AU259" s="37"/>
      <c r="AV259" s="37"/>
      <c r="AW259" s="37"/>
      <c r="AX259" s="37"/>
      <c r="AY259" s="37"/>
      <c r="AZ259" s="37"/>
    </row>
    <row r="260" spans="1:5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7"/>
      <c r="AS260" s="37"/>
      <c r="AT260" s="37"/>
      <c r="AU260" s="37"/>
      <c r="AV260" s="37"/>
      <c r="AW260" s="37"/>
      <c r="AX260" s="37"/>
      <c r="AY260" s="37"/>
      <c r="AZ260" s="37"/>
    </row>
    <row r="261" spans="1:5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7"/>
      <c r="AS261" s="37"/>
      <c r="AT261" s="37"/>
      <c r="AU261" s="37"/>
      <c r="AV261" s="37"/>
      <c r="AW261" s="37"/>
      <c r="AX261" s="37"/>
      <c r="AY261" s="37"/>
      <c r="AZ261" s="37"/>
    </row>
    <row r="262" spans="1:5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c r="AR262" s="37"/>
      <c r="AS262" s="37"/>
      <c r="AT262" s="37"/>
      <c r="AU262" s="37"/>
      <c r="AV262" s="37"/>
      <c r="AW262" s="37"/>
      <c r="AX262" s="37"/>
      <c r="AY262" s="37"/>
      <c r="AZ262" s="37"/>
    </row>
    <row r="263" spans="1:5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7"/>
      <c r="AS263" s="37"/>
      <c r="AT263" s="37"/>
      <c r="AU263" s="37"/>
      <c r="AV263" s="37"/>
      <c r="AW263" s="37"/>
      <c r="AX263" s="37"/>
      <c r="AY263" s="37"/>
      <c r="AZ263" s="37"/>
    </row>
    <row r="264" spans="1:5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row>
    <row r="265" spans="1:5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row>
    <row r="266" spans="1:5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c r="AR266" s="37"/>
      <c r="AS266" s="37"/>
      <c r="AT266" s="37"/>
      <c r="AU266" s="37"/>
      <c r="AV266" s="37"/>
      <c r="AW266" s="37"/>
      <c r="AX266" s="37"/>
      <c r="AY266" s="37"/>
      <c r="AZ266" s="37"/>
    </row>
    <row r="267" spans="1:5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c r="AR267" s="37"/>
      <c r="AS267" s="37"/>
      <c r="AT267" s="37"/>
      <c r="AU267" s="37"/>
      <c r="AV267" s="37"/>
      <c r="AW267" s="37"/>
      <c r="AX267" s="37"/>
      <c r="AY267" s="37"/>
      <c r="AZ267" s="37"/>
    </row>
    <row r="268" spans="1:5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c r="AR268" s="37"/>
      <c r="AS268" s="37"/>
      <c r="AT268" s="37"/>
      <c r="AU268" s="37"/>
      <c r="AV268" s="37"/>
      <c r="AW268" s="37"/>
      <c r="AX268" s="37"/>
      <c r="AY268" s="37"/>
      <c r="AZ268" s="37"/>
    </row>
    <row r="269" spans="1:5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7"/>
      <c r="AS269" s="37"/>
      <c r="AT269" s="37"/>
      <c r="AU269" s="37"/>
      <c r="AV269" s="37"/>
      <c r="AW269" s="37"/>
      <c r="AX269" s="37"/>
      <c r="AY269" s="37"/>
      <c r="AZ269" s="37"/>
    </row>
    <row r="270" spans="1:5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7"/>
      <c r="AS270" s="37"/>
      <c r="AT270" s="37"/>
      <c r="AU270" s="37"/>
      <c r="AV270" s="37"/>
      <c r="AW270" s="37"/>
      <c r="AX270" s="37"/>
      <c r="AY270" s="37"/>
      <c r="AZ270" s="37"/>
    </row>
    <row r="271" spans="1:5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7"/>
      <c r="AS271" s="37"/>
      <c r="AT271" s="37"/>
      <c r="AU271" s="37"/>
      <c r="AV271" s="37"/>
      <c r="AW271" s="37"/>
      <c r="AX271" s="37"/>
      <c r="AY271" s="37"/>
      <c r="AZ271" s="37"/>
    </row>
    <row r="272" spans="1:5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7"/>
      <c r="AS272" s="37"/>
      <c r="AT272" s="37"/>
      <c r="AU272" s="37"/>
      <c r="AV272" s="37"/>
      <c r="AW272" s="37"/>
      <c r="AX272" s="37"/>
      <c r="AY272" s="37"/>
      <c r="AZ272" s="37"/>
    </row>
    <row r="273" spans="1:5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c r="AR273" s="37"/>
      <c r="AS273" s="37"/>
      <c r="AT273" s="37"/>
      <c r="AU273" s="37"/>
      <c r="AV273" s="37"/>
      <c r="AW273" s="37"/>
      <c r="AX273" s="37"/>
      <c r="AY273" s="37"/>
      <c r="AZ273" s="37"/>
    </row>
    <row r="274" spans="1:5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7"/>
      <c r="AS274" s="37"/>
      <c r="AT274" s="37"/>
      <c r="AU274" s="37"/>
      <c r="AV274" s="37"/>
      <c r="AW274" s="37"/>
      <c r="AX274" s="37"/>
      <c r="AY274" s="37"/>
      <c r="AZ274" s="37"/>
    </row>
    <row r="275" spans="1:5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7"/>
      <c r="AS275" s="37"/>
      <c r="AT275" s="37"/>
      <c r="AU275" s="37"/>
      <c r="AV275" s="37"/>
      <c r="AW275" s="37"/>
      <c r="AX275" s="37"/>
      <c r="AY275" s="37"/>
      <c r="AZ275" s="37"/>
    </row>
    <row r="276" spans="1:52">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c r="AR276" s="37"/>
      <c r="AS276" s="37"/>
      <c r="AT276" s="37"/>
      <c r="AU276" s="37"/>
      <c r="AV276" s="37"/>
      <c r="AW276" s="37"/>
      <c r="AX276" s="37"/>
      <c r="AY276" s="37"/>
      <c r="AZ276" s="37"/>
    </row>
    <row r="277" spans="1:52">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7"/>
      <c r="AS277" s="37"/>
      <c r="AT277" s="37"/>
      <c r="AU277" s="37"/>
      <c r="AV277" s="37"/>
      <c r="AW277" s="37"/>
      <c r="AX277" s="37"/>
      <c r="AY277" s="37"/>
      <c r="AZ277" s="37"/>
    </row>
    <row r="278" spans="1:52">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c r="AR278" s="37"/>
      <c r="AS278" s="37"/>
      <c r="AT278" s="37"/>
      <c r="AU278" s="37"/>
      <c r="AV278" s="37"/>
      <c r="AW278" s="37"/>
      <c r="AX278" s="37"/>
      <c r="AY278" s="37"/>
      <c r="AZ278" s="37"/>
    </row>
    <row r="279" spans="1:52">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c r="AR279" s="37"/>
      <c r="AS279" s="37"/>
      <c r="AT279" s="37"/>
      <c r="AU279" s="37"/>
      <c r="AV279" s="37"/>
      <c r="AW279" s="37"/>
      <c r="AX279" s="37"/>
      <c r="AY279" s="37"/>
      <c r="AZ279" s="37"/>
    </row>
    <row r="280" spans="1:52">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7"/>
      <c r="AS280" s="37"/>
      <c r="AT280" s="37"/>
      <c r="AU280" s="37"/>
      <c r="AV280" s="37"/>
      <c r="AW280" s="37"/>
      <c r="AX280" s="37"/>
      <c r="AY280" s="37"/>
      <c r="AZ280" s="37"/>
    </row>
    <row r="281" spans="1:52">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c r="AR281" s="37"/>
      <c r="AS281" s="37"/>
      <c r="AT281" s="37"/>
      <c r="AU281" s="37"/>
      <c r="AV281" s="37"/>
      <c r="AW281" s="37"/>
      <c r="AX281" s="37"/>
      <c r="AY281" s="37"/>
      <c r="AZ281" s="37"/>
    </row>
    <row r="282" spans="1:52">
      <c r="A282" s="37"/>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c r="AR282" s="37"/>
      <c r="AS282" s="37"/>
      <c r="AT282" s="37"/>
      <c r="AU282" s="37"/>
      <c r="AV282" s="37"/>
      <c r="AW282" s="37"/>
      <c r="AX282" s="37"/>
      <c r="AY282" s="37"/>
      <c r="AZ282" s="37"/>
    </row>
    <row r="283" spans="1:52">
      <c r="A283" s="37"/>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c r="AR283" s="37"/>
      <c r="AS283" s="37"/>
      <c r="AT283" s="37"/>
      <c r="AU283" s="37"/>
      <c r="AV283" s="37"/>
      <c r="AW283" s="37"/>
      <c r="AX283" s="37"/>
      <c r="AY283" s="37"/>
      <c r="AZ283" s="37"/>
    </row>
    <row r="284" spans="1:52">
      <c r="A284" s="37"/>
      <c r="B284" s="37"/>
      <c r="C284" s="37"/>
      <c r="D284" s="37"/>
      <c r="E284" s="37"/>
      <c r="F284" s="37"/>
      <c r="G284" s="37"/>
      <c r="H284" s="37"/>
      <c r="I284" s="37"/>
      <c r="J284" s="37"/>
      <c r="K284" s="37"/>
      <c r="L284" s="37"/>
      <c r="M284" s="37"/>
      <c r="N284" s="37"/>
      <c r="O284" s="37"/>
      <c r="P284" s="37"/>
      <c r="Q284" s="37"/>
      <c r="R284" s="37"/>
      <c r="S284" s="37"/>
      <c r="T284" s="37"/>
      <c r="U284" s="37"/>
      <c r="V284" s="37"/>
      <c r="W284" s="37"/>
      <c r="X284" s="37"/>
      <c r="Y284" s="37"/>
      <c r="Z284" s="37"/>
      <c r="AA284" s="37"/>
      <c r="AB284" s="37"/>
      <c r="AC284" s="37"/>
      <c r="AD284" s="37"/>
      <c r="AE284" s="37"/>
      <c r="AF284" s="37"/>
      <c r="AG284" s="37"/>
      <c r="AH284" s="37"/>
      <c r="AI284" s="37"/>
      <c r="AJ284" s="37"/>
      <c r="AK284" s="37"/>
      <c r="AL284" s="37"/>
      <c r="AM284" s="37"/>
      <c r="AN284" s="37"/>
      <c r="AO284" s="37"/>
      <c r="AP284" s="37"/>
      <c r="AQ284" s="37"/>
      <c r="AR284" s="37"/>
      <c r="AS284" s="37"/>
      <c r="AT284" s="37"/>
      <c r="AU284" s="37"/>
      <c r="AV284" s="37"/>
      <c r="AW284" s="37"/>
      <c r="AX284" s="37"/>
      <c r="AY284" s="37"/>
      <c r="AZ284" s="37"/>
    </row>
    <row r="285" spans="1:52">
      <c r="A285" s="37"/>
      <c r="B285" s="37"/>
      <c r="C285" s="37"/>
      <c r="D285" s="37"/>
      <c r="E285" s="37"/>
      <c r="F285" s="37"/>
      <c r="G285" s="37"/>
      <c r="H285" s="37"/>
      <c r="I285" s="37"/>
      <c r="J285" s="37"/>
      <c r="K285" s="37"/>
      <c r="L285" s="37"/>
      <c r="M285" s="37"/>
      <c r="N285" s="37"/>
      <c r="O285" s="37"/>
      <c r="P285" s="37"/>
      <c r="Q285" s="37"/>
      <c r="R285" s="37"/>
      <c r="S285" s="37"/>
      <c r="T285" s="37"/>
      <c r="U285" s="37"/>
      <c r="V285" s="37"/>
      <c r="W285" s="37"/>
      <c r="X285" s="37"/>
      <c r="Y285" s="37"/>
      <c r="Z285" s="37"/>
      <c r="AA285" s="37"/>
      <c r="AB285" s="37"/>
      <c r="AC285" s="37"/>
      <c r="AD285" s="37"/>
      <c r="AE285" s="37"/>
      <c r="AF285" s="37"/>
      <c r="AG285" s="37"/>
      <c r="AH285" s="37"/>
      <c r="AI285" s="37"/>
      <c r="AJ285" s="37"/>
      <c r="AK285" s="37"/>
      <c r="AL285" s="37"/>
      <c r="AM285" s="37"/>
      <c r="AN285" s="37"/>
      <c r="AO285" s="37"/>
      <c r="AP285" s="37"/>
      <c r="AQ285" s="37"/>
      <c r="AR285" s="37"/>
      <c r="AS285" s="37"/>
      <c r="AT285" s="37"/>
      <c r="AU285" s="37"/>
      <c r="AV285" s="37"/>
      <c r="AW285" s="37"/>
      <c r="AX285" s="37"/>
      <c r="AY285" s="37"/>
      <c r="AZ285" s="37"/>
    </row>
    <row r="286" spans="1:52">
      <c r="A286" s="37"/>
      <c r="B286" s="37"/>
      <c r="C286" s="37"/>
      <c r="D286" s="37"/>
      <c r="E286" s="37"/>
      <c r="F286" s="37"/>
      <c r="G286" s="37"/>
      <c r="H286" s="37"/>
      <c r="I286" s="37"/>
      <c r="J286" s="37"/>
      <c r="K286" s="37"/>
      <c r="L286" s="37"/>
      <c r="M286" s="37"/>
      <c r="N286" s="37"/>
      <c r="O286" s="37"/>
      <c r="P286" s="37"/>
      <c r="Q286" s="37"/>
      <c r="R286" s="37"/>
      <c r="S286" s="37"/>
      <c r="T286" s="37"/>
      <c r="U286" s="37"/>
      <c r="V286" s="37"/>
      <c r="W286" s="37"/>
      <c r="X286" s="37"/>
      <c r="Y286" s="37"/>
      <c r="Z286" s="37"/>
      <c r="AA286" s="37"/>
      <c r="AB286" s="37"/>
      <c r="AC286" s="37"/>
      <c r="AD286" s="37"/>
      <c r="AE286" s="37"/>
      <c r="AF286" s="37"/>
      <c r="AG286" s="37"/>
      <c r="AH286" s="37"/>
      <c r="AI286" s="37"/>
      <c r="AJ286" s="37"/>
      <c r="AK286" s="37"/>
      <c r="AL286" s="37"/>
      <c r="AM286" s="37"/>
      <c r="AN286" s="37"/>
      <c r="AO286" s="37"/>
      <c r="AP286" s="37"/>
      <c r="AQ286" s="37"/>
      <c r="AR286" s="37"/>
      <c r="AS286" s="37"/>
      <c r="AT286" s="37"/>
      <c r="AU286" s="37"/>
      <c r="AV286" s="37"/>
      <c r="AW286" s="37"/>
      <c r="AX286" s="37"/>
      <c r="AY286" s="37"/>
      <c r="AZ286" s="37"/>
    </row>
    <row r="287" spans="1:52">
      <c r="A287" s="37"/>
      <c r="B287" s="37"/>
      <c r="C287" s="37"/>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AL287" s="37"/>
      <c r="AM287" s="37"/>
      <c r="AN287" s="37"/>
      <c r="AO287" s="37"/>
      <c r="AP287" s="37"/>
      <c r="AQ287" s="37"/>
      <c r="AR287" s="37"/>
      <c r="AS287" s="37"/>
      <c r="AT287" s="37"/>
      <c r="AU287" s="37"/>
      <c r="AV287" s="37"/>
      <c r="AW287" s="37"/>
      <c r="AX287" s="37"/>
      <c r="AY287" s="37"/>
      <c r="AZ287" s="37"/>
    </row>
    <row r="288" spans="1:52">
      <c r="A288" s="37"/>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AL288" s="37"/>
      <c r="AM288" s="37"/>
      <c r="AN288" s="37"/>
      <c r="AO288" s="37"/>
      <c r="AP288" s="37"/>
      <c r="AQ288" s="37"/>
      <c r="AR288" s="37"/>
      <c r="AS288" s="37"/>
      <c r="AT288" s="37"/>
      <c r="AU288" s="37"/>
      <c r="AV288" s="37"/>
      <c r="AW288" s="37"/>
      <c r="AX288" s="37"/>
      <c r="AY288" s="37"/>
      <c r="AZ288" s="37"/>
    </row>
    <row r="289" spans="1:52">
      <c r="A289" s="37"/>
      <c r="B289" s="37"/>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c r="AM289" s="37"/>
      <c r="AN289" s="37"/>
      <c r="AO289" s="37"/>
      <c r="AP289" s="37"/>
      <c r="AQ289" s="37"/>
      <c r="AR289" s="37"/>
      <c r="AS289" s="37"/>
      <c r="AT289" s="37"/>
      <c r="AU289" s="37"/>
      <c r="AV289" s="37"/>
      <c r="AW289" s="37"/>
      <c r="AX289" s="37"/>
      <c r="AY289" s="37"/>
      <c r="AZ289" s="37"/>
    </row>
    <row r="290" spans="1:52">
      <c r="A290" s="37"/>
      <c r="B290" s="37"/>
      <c r="C290" s="37"/>
      <c r="D290" s="37"/>
      <c r="E290" s="37"/>
      <c r="F290" s="37"/>
      <c r="G290" s="37"/>
      <c r="H290" s="37"/>
      <c r="I290" s="37"/>
      <c r="J290" s="37"/>
      <c r="K290" s="37"/>
      <c r="L290" s="37"/>
      <c r="M290" s="37"/>
      <c r="N290" s="37"/>
      <c r="O290" s="37"/>
      <c r="P290" s="37"/>
      <c r="Q290" s="37"/>
      <c r="R290" s="37"/>
      <c r="S290" s="37"/>
      <c r="T290" s="37"/>
      <c r="U290" s="37"/>
      <c r="V290" s="37"/>
      <c r="W290" s="37"/>
      <c r="X290" s="37"/>
      <c r="Y290" s="37"/>
      <c r="Z290" s="37"/>
      <c r="AA290" s="37"/>
      <c r="AB290" s="37"/>
      <c r="AC290" s="37"/>
      <c r="AD290" s="37"/>
      <c r="AE290" s="37"/>
      <c r="AF290" s="37"/>
      <c r="AG290" s="37"/>
      <c r="AH290" s="37"/>
      <c r="AI290" s="37"/>
      <c r="AJ290" s="37"/>
      <c r="AK290" s="37"/>
      <c r="AL290" s="37"/>
      <c r="AM290" s="37"/>
      <c r="AN290" s="37"/>
      <c r="AO290" s="37"/>
      <c r="AP290" s="37"/>
      <c r="AQ290" s="37"/>
      <c r="AR290" s="37"/>
      <c r="AS290" s="37"/>
      <c r="AT290" s="37"/>
      <c r="AU290" s="37"/>
      <c r="AV290" s="37"/>
      <c r="AW290" s="37"/>
      <c r="AX290" s="37"/>
      <c r="AY290" s="37"/>
      <c r="AZ290" s="37"/>
    </row>
    <row r="291" spans="1:52">
      <c r="A291" s="37"/>
      <c r="B291" s="37"/>
      <c r="C291" s="37"/>
      <c r="D291" s="37"/>
      <c r="E291" s="37"/>
      <c r="F291" s="37"/>
      <c r="G291" s="37"/>
      <c r="H291" s="37"/>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c r="AJ291" s="37"/>
      <c r="AK291" s="37"/>
      <c r="AL291" s="37"/>
      <c r="AM291" s="37"/>
      <c r="AN291" s="37"/>
      <c r="AO291" s="37"/>
      <c r="AP291" s="37"/>
      <c r="AQ291" s="37"/>
      <c r="AR291" s="37"/>
      <c r="AS291" s="37"/>
      <c r="AT291" s="37"/>
      <c r="AU291" s="37"/>
      <c r="AV291" s="37"/>
      <c r="AW291" s="37"/>
      <c r="AX291" s="37"/>
      <c r="AY291" s="37"/>
      <c r="AZ291" s="37"/>
    </row>
    <row r="292" spans="1:52">
      <c r="A292" s="37"/>
      <c r="B292" s="37"/>
      <c r="C292" s="37"/>
      <c r="D292" s="37"/>
      <c r="E292" s="37"/>
      <c r="F292" s="37"/>
      <c r="G292" s="37"/>
      <c r="H292" s="37"/>
      <c r="I292" s="37"/>
      <c r="J292" s="37"/>
      <c r="K292" s="37"/>
      <c r="L292" s="37"/>
      <c r="M292" s="37"/>
      <c r="N292" s="37"/>
      <c r="O292" s="37"/>
      <c r="P292" s="37"/>
      <c r="Q292" s="37"/>
      <c r="R292" s="37"/>
      <c r="S292" s="37"/>
      <c r="T292" s="37"/>
      <c r="U292" s="37"/>
      <c r="V292" s="37"/>
      <c r="W292" s="37"/>
      <c r="X292" s="37"/>
      <c r="Y292" s="37"/>
      <c r="Z292" s="37"/>
      <c r="AA292" s="37"/>
      <c r="AB292" s="37"/>
      <c r="AC292" s="37"/>
      <c r="AD292" s="37"/>
      <c r="AE292" s="37"/>
      <c r="AF292" s="37"/>
      <c r="AG292" s="37"/>
      <c r="AH292" s="37"/>
      <c r="AI292" s="37"/>
      <c r="AJ292" s="37"/>
      <c r="AK292" s="37"/>
      <c r="AL292" s="37"/>
      <c r="AM292" s="37"/>
      <c r="AN292" s="37"/>
      <c r="AO292" s="37"/>
      <c r="AP292" s="37"/>
      <c r="AQ292" s="37"/>
      <c r="AR292" s="37"/>
      <c r="AS292" s="37"/>
      <c r="AT292" s="37"/>
      <c r="AU292" s="37"/>
      <c r="AV292" s="37"/>
      <c r="AW292" s="37"/>
      <c r="AX292" s="37"/>
      <c r="AY292" s="37"/>
      <c r="AZ292" s="37"/>
    </row>
    <row r="293" spans="1:52">
      <c r="A293" s="37"/>
      <c r="B293" s="37"/>
      <c r="C293" s="37"/>
      <c r="D293" s="37"/>
      <c r="E293" s="37"/>
      <c r="F293" s="37"/>
      <c r="G293" s="37"/>
      <c r="H293" s="37"/>
      <c r="I293" s="37"/>
      <c r="J293" s="37"/>
      <c r="K293" s="37"/>
      <c r="L293" s="37"/>
      <c r="M293" s="37"/>
      <c r="N293" s="37"/>
      <c r="O293" s="37"/>
      <c r="P293" s="37"/>
      <c r="Q293" s="37"/>
      <c r="R293" s="37"/>
      <c r="S293" s="37"/>
      <c r="T293" s="37"/>
      <c r="U293" s="37"/>
      <c r="V293" s="37"/>
      <c r="W293" s="37"/>
      <c r="X293" s="37"/>
      <c r="Y293" s="37"/>
      <c r="Z293" s="37"/>
      <c r="AA293" s="37"/>
      <c r="AB293" s="37"/>
      <c r="AC293" s="37"/>
      <c r="AD293" s="37"/>
      <c r="AE293" s="37"/>
      <c r="AF293" s="37"/>
      <c r="AG293" s="37"/>
      <c r="AH293" s="37"/>
      <c r="AI293" s="37"/>
      <c r="AJ293" s="37"/>
      <c r="AK293" s="37"/>
      <c r="AL293" s="37"/>
      <c r="AM293" s="37"/>
      <c r="AN293" s="37"/>
      <c r="AO293" s="37"/>
      <c r="AP293" s="37"/>
      <c r="AQ293" s="37"/>
      <c r="AR293" s="37"/>
      <c r="AS293" s="37"/>
      <c r="AT293" s="37"/>
      <c r="AU293" s="37"/>
      <c r="AV293" s="37"/>
      <c r="AW293" s="37"/>
      <c r="AX293" s="37"/>
      <c r="AY293" s="37"/>
      <c r="AZ293" s="37"/>
    </row>
    <row r="294" spans="1:52">
      <c r="A294" s="37"/>
      <c r="B294" s="37"/>
      <c r="C294" s="37"/>
      <c r="D294" s="37"/>
      <c r="E294" s="37"/>
      <c r="F294" s="37"/>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c r="AM294" s="37"/>
      <c r="AN294" s="37"/>
      <c r="AO294" s="37"/>
      <c r="AP294" s="37"/>
      <c r="AQ294" s="37"/>
      <c r="AR294" s="37"/>
      <c r="AS294" s="37"/>
      <c r="AT294" s="37"/>
      <c r="AU294" s="37"/>
      <c r="AV294" s="37"/>
      <c r="AW294" s="37"/>
      <c r="AX294" s="37"/>
      <c r="AY294" s="37"/>
      <c r="AZ294" s="37"/>
    </row>
    <row r="295" spans="1:52">
      <c r="A295" s="37"/>
      <c r="B295" s="37"/>
      <c r="C295" s="37"/>
      <c r="D295" s="37"/>
      <c r="E295" s="37"/>
      <c r="F295" s="37"/>
      <c r="G295" s="37"/>
      <c r="H295" s="37"/>
      <c r="I295" s="37"/>
      <c r="J295" s="37"/>
      <c r="K295" s="37"/>
      <c r="L295" s="37"/>
      <c r="M295" s="37"/>
      <c r="N295" s="37"/>
      <c r="O295" s="37"/>
      <c r="P295" s="37"/>
      <c r="Q295" s="37"/>
      <c r="R295" s="37"/>
      <c r="S295" s="37"/>
      <c r="T295" s="37"/>
      <c r="U295" s="37"/>
      <c r="V295" s="37"/>
      <c r="W295" s="37"/>
      <c r="X295" s="37"/>
      <c r="Y295" s="37"/>
      <c r="Z295" s="37"/>
      <c r="AA295" s="37"/>
      <c r="AB295" s="37"/>
      <c r="AC295" s="37"/>
      <c r="AD295" s="37"/>
      <c r="AE295" s="37"/>
      <c r="AF295" s="37"/>
      <c r="AG295" s="37"/>
      <c r="AH295" s="37"/>
      <c r="AI295" s="37"/>
      <c r="AJ295" s="37"/>
      <c r="AK295" s="37"/>
      <c r="AL295" s="37"/>
      <c r="AM295" s="37"/>
      <c r="AN295" s="37"/>
      <c r="AO295" s="37"/>
      <c r="AP295" s="37"/>
      <c r="AQ295" s="37"/>
      <c r="AR295" s="37"/>
      <c r="AS295" s="37"/>
      <c r="AT295" s="37"/>
      <c r="AU295" s="37"/>
      <c r="AV295" s="37"/>
      <c r="AW295" s="37"/>
      <c r="AX295" s="37"/>
      <c r="AY295" s="37"/>
      <c r="AZ295" s="37"/>
    </row>
    <row r="296" spans="1:52">
      <c r="A296" s="37"/>
      <c r="B296" s="37"/>
      <c r="C296" s="37"/>
      <c r="D296" s="37"/>
      <c r="E296" s="37"/>
      <c r="F296" s="37"/>
      <c r="G296" s="37"/>
      <c r="H296" s="37"/>
      <c r="I296" s="37"/>
      <c r="J296" s="37"/>
      <c r="K296" s="37"/>
      <c r="L296" s="37"/>
      <c r="M296" s="37"/>
      <c r="N296" s="37"/>
      <c r="O296" s="37"/>
      <c r="P296" s="37"/>
      <c r="Q296" s="37"/>
      <c r="R296" s="37"/>
      <c r="S296" s="37"/>
      <c r="T296" s="37"/>
      <c r="U296" s="37"/>
      <c r="V296" s="37"/>
      <c r="W296" s="37"/>
      <c r="X296" s="37"/>
      <c r="Y296" s="37"/>
      <c r="Z296" s="37"/>
      <c r="AA296" s="37"/>
      <c r="AB296" s="37"/>
      <c r="AC296" s="37"/>
      <c r="AD296" s="37"/>
      <c r="AE296" s="37"/>
      <c r="AF296" s="37"/>
      <c r="AG296" s="37"/>
      <c r="AH296" s="37"/>
      <c r="AI296" s="37"/>
      <c r="AJ296" s="37"/>
      <c r="AK296" s="37"/>
      <c r="AL296" s="37"/>
      <c r="AM296" s="37"/>
      <c r="AN296" s="37"/>
      <c r="AO296" s="37"/>
      <c r="AP296" s="37"/>
      <c r="AQ296" s="37"/>
      <c r="AR296" s="37"/>
      <c r="AS296" s="37"/>
      <c r="AT296" s="37"/>
      <c r="AU296" s="37"/>
      <c r="AV296" s="37"/>
      <c r="AW296" s="37"/>
      <c r="AX296" s="37"/>
      <c r="AY296" s="37"/>
      <c r="AZ296" s="37"/>
    </row>
    <row r="297" spans="1:52">
      <c r="A297" s="37"/>
      <c r="B297" s="37"/>
      <c r="C297" s="37"/>
      <c r="D297" s="37"/>
      <c r="E297" s="37"/>
      <c r="F297" s="37"/>
      <c r="G297" s="37"/>
      <c r="H297" s="37"/>
      <c r="I297" s="37"/>
      <c r="J297" s="37"/>
      <c r="K297" s="37"/>
      <c r="L297" s="37"/>
      <c r="M297" s="37"/>
      <c r="N297" s="37"/>
      <c r="O297" s="37"/>
      <c r="P297" s="37"/>
      <c r="Q297" s="37"/>
      <c r="R297" s="37"/>
      <c r="S297" s="37"/>
      <c r="T297" s="37"/>
      <c r="U297" s="37"/>
      <c r="V297" s="37"/>
      <c r="W297" s="37"/>
      <c r="X297" s="37"/>
      <c r="Y297" s="37"/>
      <c r="Z297" s="37"/>
      <c r="AA297" s="37"/>
      <c r="AB297" s="37"/>
      <c r="AC297" s="37"/>
      <c r="AD297" s="37"/>
      <c r="AE297" s="37"/>
      <c r="AF297" s="37"/>
      <c r="AG297" s="37"/>
      <c r="AH297" s="37"/>
      <c r="AI297" s="37"/>
      <c r="AJ297" s="37"/>
      <c r="AK297" s="37"/>
      <c r="AL297" s="37"/>
      <c r="AM297" s="37"/>
      <c r="AN297" s="37"/>
      <c r="AO297" s="37"/>
      <c r="AP297" s="37"/>
      <c r="AQ297" s="37"/>
      <c r="AR297" s="37"/>
      <c r="AS297" s="37"/>
      <c r="AT297" s="37"/>
      <c r="AU297" s="37"/>
      <c r="AV297" s="37"/>
      <c r="AW297" s="37"/>
      <c r="AX297" s="37"/>
      <c r="AY297" s="37"/>
      <c r="AZ297" s="37"/>
    </row>
    <row r="298" spans="1:52">
      <c r="A298" s="37"/>
      <c r="B298" s="37"/>
      <c r="C298" s="37"/>
      <c r="D298" s="37"/>
      <c r="E298" s="37"/>
      <c r="F298" s="37"/>
      <c r="G298" s="37"/>
      <c r="H298" s="37"/>
      <c r="I298" s="37"/>
      <c r="J298" s="37"/>
      <c r="K298" s="37"/>
      <c r="L298" s="37"/>
      <c r="M298" s="37"/>
      <c r="N298" s="37"/>
      <c r="O298" s="37"/>
      <c r="P298" s="37"/>
      <c r="Q298" s="37"/>
      <c r="R298" s="37"/>
      <c r="S298" s="37"/>
      <c r="T298" s="37"/>
      <c r="U298" s="37"/>
      <c r="V298" s="37"/>
      <c r="W298" s="37"/>
      <c r="X298" s="37"/>
      <c r="Y298" s="37"/>
      <c r="Z298" s="37"/>
      <c r="AA298" s="37"/>
      <c r="AB298" s="37"/>
      <c r="AC298" s="37"/>
      <c r="AD298" s="37"/>
      <c r="AE298" s="37"/>
      <c r="AF298" s="37"/>
      <c r="AG298" s="37"/>
      <c r="AH298" s="37"/>
      <c r="AI298" s="37"/>
      <c r="AJ298" s="37"/>
      <c r="AK298" s="37"/>
      <c r="AL298" s="37"/>
      <c r="AM298" s="37"/>
      <c r="AN298" s="37"/>
      <c r="AO298" s="37"/>
      <c r="AP298" s="37"/>
      <c r="AQ298" s="37"/>
      <c r="AR298" s="37"/>
      <c r="AS298" s="37"/>
      <c r="AT298" s="37"/>
      <c r="AU298" s="37"/>
      <c r="AV298" s="37"/>
      <c r="AW298" s="37"/>
      <c r="AX298" s="37"/>
      <c r="AY298" s="37"/>
      <c r="AZ298" s="37"/>
    </row>
    <row r="299" spans="1:52">
      <c r="A299" s="37"/>
      <c r="B299" s="37"/>
      <c r="C299" s="37"/>
      <c r="D299" s="37"/>
      <c r="E299" s="37"/>
      <c r="F299" s="37"/>
      <c r="G299" s="37"/>
      <c r="H299" s="37"/>
      <c r="I299" s="37"/>
      <c r="J299" s="37"/>
      <c r="K299" s="37"/>
      <c r="L299" s="37"/>
      <c r="M299" s="37"/>
      <c r="N299" s="37"/>
      <c r="O299" s="37"/>
      <c r="P299" s="37"/>
      <c r="Q299" s="37"/>
      <c r="R299" s="37"/>
      <c r="S299" s="37"/>
      <c r="T299" s="37"/>
      <c r="U299" s="37"/>
      <c r="V299" s="37"/>
      <c r="W299" s="37"/>
      <c r="X299" s="37"/>
      <c r="Y299" s="37"/>
      <c r="Z299" s="37"/>
      <c r="AA299" s="37"/>
      <c r="AB299" s="37"/>
      <c r="AC299" s="37"/>
      <c r="AD299" s="37"/>
      <c r="AE299" s="37"/>
      <c r="AF299" s="37"/>
      <c r="AG299" s="37"/>
      <c r="AH299" s="37"/>
      <c r="AI299" s="37"/>
      <c r="AJ299" s="37"/>
      <c r="AK299" s="37"/>
      <c r="AL299" s="37"/>
      <c r="AM299" s="37"/>
      <c r="AN299" s="37"/>
      <c r="AO299" s="37"/>
      <c r="AP299" s="37"/>
      <c r="AQ299" s="37"/>
      <c r="AR299" s="37"/>
      <c r="AS299" s="37"/>
      <c r="AT299" s="37"/>
      <c r="AU299" s="37"/>
      <c r="AV299" s="37"/>
      <c r="AW299" s="37"/>
      <c r="AX299" s="37"/>
      <c r="AY299" s="37"/>
      <c r="AZ299" s="37"/>
    </row>
    <row r="300" spans="1:52">
      <c r="A300" s="37"/>
      <c r="B300" s="37"/>
      <c r="C300" s="37"/>
      <c r="D300" s="37"/>
      <c r="E300" s="37"/>
      <c r="F300" s="37"/>
      <c r="G300" s="37"/>
      <c r="H300" s="37"/>
      <c r="I300" s="37"/>
      <c r="J300" s="37"/>
      <c r="K300" s="37"/>
      <c r="L300" s="37"/>
      <c r="M300" s="37"/>
      <c r="N300" s="37"/>
      <c r="O300" s="37"/>
      <c r="P300" s="37"/>
      <c r="Q300" s="37"/>
      <c r="R300" s="37"/>
      <c r="S300" s="37"/>
      <c r="T300" s="37"/>
      <c r="U300" s="37"/>
      <c r="V300" s="37"/>
      <c r="W300" s="37"/>
      <c r="X300" s="37"/>
      <c r="Y300" s="37"/>
      <c r="Z300" s="37"/>
      <c r="AA300" s="37"/>
      <c r="AB300" s="37"/>
      <c r="AC300" s="37"/>
      <c r="AD300" s="37"/>
      <c r="AE300" s="37"/>
      <c r="AF300" s="37"/>
      <c r="AG300" s="37"/>
      <c r="AH300" s="37"/>
      <c r="AI300" s="37"/>
      <c r="AJ300" s="37"/>
      <c r="AK300" s="37"/>
      <c r="AL300" s="37"/>
      <c r="AM300" s="37"/>
      <c r="AN300" s="37"/>
      <c r="AO300" s="37"/>
      <c r="AP300" s="37"/>
      <c r="AQ300" s="37"/>
      <c r="AR300" s="37"/>
      <c r="AS300" s="37"/>
      <c r="AT300" s="37"/>
      <c r="AU300" s="37"/>
      <c r="AV300" s="37"/>
      <c r="AW300" s="37"/>
      <c r="AX300" s="37"/>
      <c r="AY300" s="37"/>
      <c r="AZ300" s="37"/>
    </row>
    <row r="301" spans="1:52">
      <c r="A301" s="37"/>
      <c r="B301" s="37"/>
      <c r="C301" s="37"/>
      <c r="D301" s="37"/>
      <c r="E301" s="37"/>
      <c r="F301" s="37"/>
      <c r="G301" s="37"/>
      <c r="H301" s="37"/>
      <c r="I301" s="37"/>
      <c r="J301" s="37"/>
      <c r="K301" s="37"/>
      <c r="L301" s="37"/>
      <c r="M301" s="37"/>
      <c r="N301" s="37"/>
      <c r="O301" s="37"/>
      <c r="P301" s="37"/>
      <c r="Q301" s="37"/>
      <c r="R301" s="37"/>
      <c r="S301" s="37"/>
      <c r="T301" s="37"/>
      <c r="U301" s="37"/>
      <c r="V301" s="37"/>
      <c r="W301" s="37"/>
      <c r="X301" s="37"/>
      <c r="Y301" s="37"/>
      <c r="Z301" s="37"/>
      <c r="AA301" s="37"/>
      <c r="AB301" s="37"/>
      <c r="AC301" s="37"/>
      <c r="AD301" s="37"/>
      <c r="AE301" s="37"/>
      <c r="AF301" s="37"/>
      <c r="AG301" s="37"/>
      <c r="AH301" s="37"/>
      <c r="AI301" s="37"/>
      <c r="AJ301" s="37"/>
      <c r="AK301" s="37"/>
      <c r="AL301" s="37"/>
      <c r="AM301" s="37"/>
      <c r="AN301" s="37"/>
      <c r="AO301" s="37"/>
      <c r="AP301" s="37"/>
      <c r="AQ301" s="37"/>
      <c r="AR301" s="37"/>
      <c r="AS301" s="37"/>
      <c r="AT301" s="37"/>
      <c r="AU301" s="37"/>
      <c r="AV301" s="37"/>
      <c r="AW301" s="37"/>
      <c r="AX301" s="37"/>
      <c r="AY301" s="37"/>
      <c r="AZ301" s="37"/>
    </row>
    <row r="302" spans="1:52">
      <c r="A302" s="37"/>
      <c r="B302" s="37"/>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c r="AM302" s="37"/>
      <c r="AN302" s="37"/>
      <c r="AO302" s="37"/>
      <c r="AP302" s="37"/>
      <c r="AQ302" s="37"/>
      <c r="AR302" s="37"/>
      <c r="AS302" s="37"/>
      <c r="AT302" s="37"/>
      <c r="AU302" s="37"/>
      <c r="AV302" s="37"/>
      <c r="AW302" s="37"/>
      <c r="AX302" s="37"/>
      <c r="AY302" s="37"/>
      <c r="AZ302" s="37"/>
    </row>
    <row r="303" spans="1:52">
      <c r="A303" s="37"/>
      <c r="B303" s="37"/>
      <c r="C303" s="37"/>
      <c r="D303" s="37"/>
      <c r="E303" s="37"/>
      <c r="F303" s="37"/>
      <c r="G303" s="37"/>
      <c r="H303" s="37"/>
      <c r="I303" s="37"/>
      <c r="J303" s="37"/>
      <c r="K303" s="37"/>
      <c r="L303" s="37"/>
      <c r="M303" s="37"/>
      <c r="N303" s="37"/>
      <c r="O303" s="37"/>
      <c r="P303" s="37"/>
      <c r="Q303" s="37"/>
      <c r="R303" s="37"/>
      <c r="S303" s="37"/>
      <c r="T303" s="37"/>
      <c r="U303" s="37"/>
      <c r="V303" s="37"/>
      <c r="W303" s="37"/>
      <c r="X303" s="37"/>
      <c r="Y303" s="37"/>
      <c r="Z303" s="37"/>
      <c r="AA303" s="37"/>
      <c r="AB303" s="37"/>
      <c r="AC303" s="37"/>
      <c r="AD303" s="37"/>
      <c r="AE303" s="37"/>
      <c r="AF303" s="37"/>
      <c r="AG303" s="37"/>
      <c r="AH303" s="37"/>
      <c r="AI303" s="37"/>
      <c r="AJ303" s="37"/>
      <c r="AK303" s="37"/>
      <c r="AL303" s="37"/>
      <c r="AM303" s="37"/>
      <c r="AN303" s="37"/>
      <c r="AO303" s="37"/>
      <c r="AP303" s="37"/>
      <c r="AQ303" s="37"/>
      <c r="AR303" s="37"/>
      <c r="AS303" s="37"/>
      <c r="AT303" s="37"/>
      <c r="AU303" s="37"/>
      <c r="AV303" s="37"/>
      <c r="AW303" s="37"/>
      <c r="AX303" s="37"/>
      <c r="AY303" s="37"/>
      <c r="AZ303" s="37"/>
    </row>
    <row r="304" spans="1:52">
      <c r="A304" s="37"/>
      <c r="B304" s="37"/>
      <c r="C304" s="37"/>
      <c r="D304" s="37"/>
      <c r="E304" s="37"/>
      <c r="F304" s="37"/>
      <c r="G304" s="37"/>
      <c r="H304" s="37"/>
      <c r="I304" s="37"/>
      <c r="J304" s="37"/>
      <c r="K304" s="37"/>
      <c r="L304" s="37"/>
      <c r="M304" s="37"/>
      <c r="N304" s="37"/>
      <c r="O304" s="37"/>
      <c r="P304" s="37"/>
      <c r="Q304" s="37"/>
      <c r="R304" s="37"/>
      <c r="S304" s="37"/>
      <c r="T304" s="37"/>
      <c r="U304" s="37"/>
      <c r="V304" s="37"/>
      <c r="W304" s="37"/>
      <c r="X304" s="37"/>
      <c r="Y304" s="37"/>
      <c r="Z304" s="37"/>
      <c r="AA304" s="37"/>
      <c r="AB304" s="37"/>
      <c r="AC304" s="37"/>
      <c r="AD304" s="37"/>
      <c r="AE304" s="37"/>
      <c r="AF304" s="37"/>
      <c r="AG304" s="37"/>
      <c r="AH304" s="37"/>
      <c r="AI304" s="37"/>
      <c r="AJ304" s="37"/>
      <c r="AK304" s="37"/>
      <c r="AL304" s="37"/>
      <c r="AM304" s="37"/>
      <c r="AN304" s="37"/>
      <c r="AO304" s="37"/>
      <c r="AP304" s="37"/>
      <c r="AQ304" s="37"/>
      <c r="AR304" s="37"/>
      <c r="AS304" s="37"/>
      <c r="AT304" s="37"/>
      <c r="AU304" s="37"/>
      <c r="AV304" s="37"/>
      <c r="AW304" s="37"/>
      <c r="AX304" s="37"/>
      <c r="AY304" s="37"/>
      <c r="AZ304" s="37"/>
    </row>
    <row r="305" spans="1:52">
      <c r="A305" s="37"/>
      <c r="B305" s="37"/>
      <c r="C305" s="37"/>
      <c r="D305" s="37"/>
      <c r="E305" s="37"/>
      <c r="F305" s="37"/>
      <c r="G305" s="37"/>
      <c r="H305" s="37"/>
      <c r="I305" s="37"/>
      <c r="J305" s="37"/>
      <c r="K305" s="37"/>
      <c r="L305" s="37"/>
      <c r="M305" s="37"/>
      <c r="N305" s="37"/>
      <c r="O305" s="37"/>
      <c r="P305" s="37"/>
      <c r="Q305" s="37"/>
      <c r="R305" s="37"/>
      <c r="S305" s="37"/>
      <c r="T305" s="37"/>
      <c r="U305" s="37"/>
      <c r="V305" s="37"/>
      <c r="W305" s="37"/>
      <c r="X305" s="37"/>
      <c r="Y305" s="37"/>
      <c r="Z305" s="37"/>
      <c r="AA305" s="37"/>
      <c r="AB305" s="37"/>
      <c r="AC305" s="37"/>
      <c r="AD305" s="37"/>
      <c r="AE305" s="37"/>
      <c r="AF305" s="37"/>
      <c r="AG305" s="37"/>
      <c r="AH305" s="37"/>
      <c r="AI305" s="37"/>
      <c r="AJ305" s="37"/>
      <c r="AK305" s="37"/>
      <c r="AL305" s="37"/>
      <c r="AM305" s="37"/>
      <c r="AN305" s="37"/>
      <c r="AO305" s="37"/>
      <c r="AP305" s="37"/>
      <c r="AQ305" s="37"/>
      <c r="AR305" s="37"/>
      <c r="AS305" s="37"/>
      <c r="AT305" s="37"/>
      <c r="AU305" s="37"/>
      <c r="AV305" s="37"/>
      <c r="AW305" s="37"/>
      <c r="AX305" s="37"/>
      <c r="AY305" s="37"/>
      <c r="AZ305" s="37"/>
    </row>
    <row r="306" spans="1:52">
      <c r="A306" s="37"/>
      <c r="B306" s="37"/>
      <c r="C306" s="37"/>
      <c r="D306" s="37"/>
      <c r="E306" s="37"/>
      <c r="F306" s="37"/>
      <c r="G306" s="37"/>
      <c r="H306" s="37"/>
      <c r="I306" s="37"/>
      <c r="J306" s="37"/>
      <c r="K306" s="37"/>
      <c r="L306" s="37"/>
      <c r="M306" s="37"/>
      <c r="N306" s="37"/>
      <c r="O306" s="37"/>
      <c r="P306" s="37"/>
      <c r="Q306" s="37"/>
      <c r="R306" s="37"/>
      <c r="S306" s="37"/>
      <c r="T306" s="37"/>
      <c r="U306" s="37"/>
      <c r="V306" s="37"/>
      <c r="W306" s="37"/>
      <c r="X306" s="37"/>
      <c r="Y306" s="37"/>
      <c r="Z306" s="37"/>
      <c r="AA306" s="37"/>
      <c r="AB306" s="37"/>
      <c r="AC306" s="37"/>
      <c r="AD306" s="37"/>
      <c r="AE306" s="37"/>
      <c r="AF306" s="37"/>
      <c r="AG306" s="37"/>
      <c r="AH306" s="37"/>
      <c r="AI306" s="37"/>
      <c r="AJ306" s="37"/>
      <c r="AK306" s="37"/>
      <c r="AL306" s="37"/>
      <c r="AM306" s="37"/>
      <c r="AN306" s="37"/>
      <c r="AO306" s="37"/>
      <c r="AP306" s="37"/>
      <c r="AQ306" s="37"/>
      <c r="AR306" s="37"/>
      <c r="AS306" s="37"/>
      <c r="AT306" s="37"/>
      <c r="AU306" s="37"/>
      <c r="AV306" s="37"/>
      <c r="AW306" s="37"/>
      <c r="AX306" s="37"/>
      <c r="AY306" s="37"/>
      <c r="AZ306" s="37"/>
    </row>
    <row r="307" spans="1:52">
      <c r="A307" s="37"/>
      <c r="B307" s="37"/>
      <c r="C307" s="37"/>
      <c r="D307" s="37"/>
      <c r="E307" s="37"/>
      <c r="F307" s="37"/>
      <c r="G307" s="37"/>
      <c r="H307" s="37"/>
      <c r="I307" s="37"/>
      <c r="J307" s="37"/>
      <c r="K307" s="37"/>
      <c r="L307" s="37"/>
      <c r="M307" s="37"/>
      <c r="N307" s="37"/>
      <c r="O307" s="37"/>
      <c r="P307" s="37"/>
      <c r="Q307" s="37"/>
      <c r="R307" s="37"/>
      <c r="S307" s="37"/>
      <c r="T307" s="37"/>
      <c r="U307" s="37"/>
      <c r="V307" s="37"/>
      <c r="W307" s="37"/>
      <c r="X307" s="37"/>
      <c r="Y307" s="37"/>
      <c r="Z307" s="37"/>
      <c r="AA307" s="37"/>
      <c r="AB307" s="37"/>
      <c r="AC307" s="37"/>
      <c r="AD307" s="37"/>
      <c r="AE307" s="37"/>
      <c r="AF307" s="37"/>
      <c r="AG307" s="37"/>
      <c r="AH307" s="37"/>
      <c r="AI307" s="37"/>
      <c r="AJ307" s="37"/>
      <c r="AK307" s="37"/>
      <c r="AL307" s="37"/>
      <c r="AM307" s="37"/>
      <c r="AN307" s="37"/>
      <c r="AO307" s="37"/>
      <c r="AP307" s="37"/>
      <c r="AQ307" s="37"/>
      <c r="AR307" s="37"/>
      <c r="AS307" s="37"/>
      <c r="AT307" s="37"/>
      <c r="AU307" s="37"/>
      <c r="AV307" s="37"/>
      <c r="AW307" s="37"/>
      <c r="AX307" s="37"/>
      <c r="AY307" s="37"/>
      <c r="AZ307" s="37"/>
    </row>
    <row r="308" spans="1:52">
      <c r="A308" s="37"/>
      <c r="B308" s="37"/>
      <c r="C308" s="37"/>
      <c r="D308" s="37"/>
      <c r="E308" s="37"/>
      <c r="F308" s="37"/>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7"/>
      <c r="AF308" s="37"/>
      <c r="AG308" s="37"/>
      <c r="AH308" s="37"/>
      <c r="AI308" s="37"/>
      <c r="AJ308" s="37"/>
      <c r="AK308" s="37"/>
      <c r="AL308" s="37"/>
      <c r="AM308" s="37"/>
      <c r="AN308" s="37"/>
      <c r="AO308" s="37"/>
      <c r="AP308" s="37"/>
      <c r="AQ308" s="37"/>
      <c r="AR308" s="37"/>
      <c r="AS308" s="37"/>
      <c r="AT308" s="37"/>
      <c r="AU308" s="37"/>
      <c r="AV308" s="37"/>
      <c r="AW308" s="37"/>
      <c r="AX308" s="37"/>
      <c r="AY308" s="37"/>
      <c r="AZ308" s="37"/>
    </row>
    <row r="309" spans="1:52">
      <c r="A309" s="37"/>
      <c r="B309" s="37"/>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c r="AM309" s="37"/>
      <c r="AN309" s="37"/>
      <c r="AO309" s="37"/>
      <c r="AP309" s="37"/>
      <c r="AQ309" s="37"/>
      <c r="AR309" s="37"/>
      <c r="AS309" s="37"/>
      <c r="AT309" s="37"/>
      <c r="AU309" s="37"/>
      <c r="AV309" s="37"/>
      <c r="AW309" s="37"/>
      <c r="AX309" s="37"/>
      <c r="AY309" s="37"/>
      <c r="AZ309" s="37"/>
    </row>
    <row r="310" spans="1:52">
      <c r="A310" s="37"/>
      <c r="B310" s="37"/>
      <c r="C310" s="37"/>
      <c r="D310" s="37"/>
      <c r="E310" s="37"/>
      <c r="F310" s="37"/>
      <c r="G310" s="37"/>
      <c r="H310" s="37"/>
      <c r="I310" s="37"/>
      <c r="J310" s="37"/>
      <c r="K310" s="37"/>
      <c r="L310" s="37"/>
      <c r="M310" s="37"/>
      <c r="N310" s="37"/>
      <c r="O310" s="37"/>
      <c r="P310" s="37"/>
      <c r="Q310" s="37"/>
      <c r="R310" s="37"/>
      <c r="S310" s="37"/>
      <c r="T310" s="37"/>
      <c r="U310" s="37"/>
      <c r="V310" s="37"/>
      <c r="W310" s="37"/>
      <c r="X310" s="37"/>
      <c r="Y310" s="37"/>
      <c r="Z310" s="37"/>
      <c r="AA310" s="37"/>
      <c r="AB310" s="37"/>
      <c r="AC310" s="37"/>
      <c r="AD310" s="37"/>
      <c r="AE310" s="37"/>
      <c r="AF310" s="37"/>
      <c r="AG310" s="37"/>
      <c r="AH310" s="37"/>
      <c r="AI310" s="37"/>
      <c r="AJ310" s="37"/>
      <c r="AK310" s="37"/>
      <c r="AL310" s="37"/>
      <c r="AM310" s="37"/>
      <c r="AN310" s="37"/>
      <c r="AO310" s="37"/>
      <c r="AP310" s="37"/>
      <c r="AQ310" s="37"/>
      <c r="AR310" s="37"/>
      <c r="AS310" s="37"/>
      <c r="AT310" s="37"/>
      <c r="AU310" s="37"/>
      <c r="AV310" s="37"/>
      <c r="AW310" s="37"/>
      <c r="AX310" s="37"/>
      <c r="AY310" s="37"/>
      <c r="AZ310" s="37"/>
    </row>
    <row r="311" spans="1:52">
      <c r="A311" s="37"/>
      <c r="B311" s="37"/>
      <c r="C311" s="37"/>
      <c r="D311" s="37"/>
      <c r="E311" s="37"/>
      <c r="F311" s="37"/>
      <c r="G311" s="37"/>
      <c r="H311" s="37"/>
      <c r="I311" s="37"/>
      <c r="J311" s="37"/>
      <c r="K311" s="37"/>
      <c r="L311" s="37"/>
      <c r="M311" s="37"/>
      <c r="N311" s="37"/>
      <c r="O311" s="37"/>
      <c r="P311" s="37"/>
      <c r="Q311" s="37"/>
      <c r="R311" s="37"/>
      <c r="S311" s="37"/>
      <c r="T311" s="37"/>
      <c r="U311" s="37"/>
      <c r="V311" s="37"/>
      <c r="W311" s="37"/>
      <c r="X311" s="37"/>
      <c r="Y311" s="37"/>
      <c r="Z311" s="37"/>
      <c r="AA311" s="37"/>
      <c r="AB311" s="37"/>
      <c r="AC311" s="37"/>
      <c r="AD311" s="37"/>
      <c r="AE311" s="37"/>
      <c r="AF311" s="37"/>
      <c r="AG311" s="37"/>
      <c r="AH311" s="37"/>
      <c r="AI311" s="37"/>
      <c r="AJ311" s="37"/>
      <c r="AK311" s="37"/>
      <c r="AL311" s="37"/>
      <c r="AM311" s="37"/>
      <c r="AN311" s="37"/>
      <c r="AO311" s="37"/>
      <c r="AP311" s="37"/>
      <c r="AQ311" s="37"/>
      <c r="AR311" s="37"/>
      <c r="AS311" s="37"/>
      <c r="AT311" s="37"/>
      <c r="AU311" s="37"/>
      <c r="AV311" s="37"/>
      <c r="AW311" s="37"/>
      <c r="AX311" s="37"/>
      <c r="AY311" s="37"/>
      <c r="AZ311" s="37"/>
    </row>
    <row r="312" spans="1:52">
      <c r="A312" s="37"/>
      <c r="B312" s="37"/>
      <c r="C312" s="37"/>
      <c r="D312" s="37"/>
      <c r="E312" s="37"/>
      <c r="F312" s="37"/>
      <c r="G312" s="37"/>
      <c r="H312" s="37"/>
      <c r="I312" s="37"/>
      <c r="J312" s="37"/>
      <c r="K312" s="37"/>
      <c r="L312" s="37"/>
      <c r="M312" s="37"/>
      <c r="N312" s="37"/>
      <c r="O312" s="37"/>
      <c r="P312" s="37"/>
      <c r="Q312" s="37"/>
      <c r="R312" s="37"/>
      <c r="S312" s="37"/>
      <c r="T312" s="37"/>
      <c r="U312" s="37"/>
      <c r="V312" s="37"/>
      <c r="W312" s="37"/>
      <c r="X312" s="37"/>
      <c r="Y312" s="37"/>
      <c r="Z312" s="37"/>
      <c r="AA312" s="37"/>
      <c r="AB312" s="37"/>
      <c r="AC312" s="37"/>
      <c r="AD312" s="37"/>
      <c r="AE312" s="37"/>
      <c r="AF312" s="37"/>
      <c r="AG312" s="37"/>
      <c r="AH312" s="37"/>
      <c r="AI312" s="37"/>
      <c r="AJ312" s="37"/>
      <c r="AK312" s="37"/>
      <c r="AL312" s="37"/>
      <c r="AM312" s="37"/>
      <c r="AN312" s="37"/>
      <c r="AO312" s="37"/>
      <c r="AP312" s="37"/>
      <c r="AQ312" s="37"/>
      <c r="AR312" s="37"/>
      <c r="AS312" s="37"/>
      <c r="AT312" s="37"/>
      <c r="AU312" s="37"/>
      <c r="AV312" s="37"/>
      <c r="AW312" s="37"/>
      <c r="AX312" s="37"/>
      <c r="AY312" s="37"/>
      <c r="AZ312" s="37"/>
    </row>
    <row r="313" spans="1:52">
      <c r="A313" s="37"/>
      <c r="B313" s="37"/>
      <c r="C313" s="37"/>
      <c r="D313" s="37"/>
      <c r="E313" s="37"/>
      <c r="F313" s="37"/>
      <c r="G313" s="37"/>
      <c r="H313" s="37"/>
      <c r="I313" s="37"/>
      <c r="J313" s="37"/>
      <c r="K313" s="37"/>
      <c r="L313" s="37"/>
      <c r="M313" s="37"/>
      <c r="N313" s="37"/>
      <c r="O313" s="37"/>
      <c r="P313" s="37"/>
      <c r="Q313" s="37"/>
      <c r="R313" s="37"/>
      <c r="S313" s="37"/>
      <c r="T313" s="37"/>
      <c r="U313" s="37"/>
      <c r="V313" s="37"/>
      <c r="W313" s="37"/>
      <c r="X313" s="37"/>
      <c r="Y313" s="37"/>
      <c r="Z313" s="37"/>
      <c r="AA313" s="37"/>
      <c r="AB313" s="37"/>
      <c r="AC313" s="37"/>
      <c r="AD313" s="37"/>
      <c r="AE313" s="37"/>
      <c r="AF313" s="37"/>
      <c r="AG313" s="37"/>
      <c r="AH313" s="37"/>
      <c r="AI313" s="37"/>
      <c r="AJ313" s="37"/>
      <c r="AK313" s="37"/>
      <c r="AL313" s="37"/>
      <c r="AM313" s="37"/>
      <c r="AN313" s="37"/>
      <c r="AO313" s="37"/>
      <c r="AP313" s="37"/>
      <c r="AQ313" s="37"/>
      <c r="AR313" s="37"/>
      <c r="AS313" s="37"/>
      <c r="AT313" s="37"/>
      <c r="AU313" s="37"/>
      <c r="AV313" s="37"/>
      <c r="AW313" s="37"/>
      <c r="AX313" s="37"/>
      <c r="AY313" s="37"/>
      <c r="AZ313" s="37"/>
    </row>
    <row r="314" spans="1:52">
      <c r="A314" s="37"/>
      <c r="B314" s="37"/>
      <c r="C314" s="37"/>
      <c r="D314" s="37"/>
      <c r="E314" s="37"/>
      <c r="F314" s="37"/>
      <c r="G314" s="37"/>
      <c r="H314" s="37"/>
      <c r="I314" s="37"/>
      <c r="J314" s="37"/>
      <c r="K314" s="37"/>
      <c r="L314" s="37"/>
      <c r="M314" s="37"/>
      <c r="N314" s="37"/>
      <c r="O314" s="37"/>
      <c r="P314" s="37"/>
      <c r="Q314" s="37"/>
      <c r="R314" s="37"/>
      <c r="S314" s="37"/>
      <c r="T314" s="37"/>
      <c r="U314" s="37"/>
      <c r="V314" s="37"/>
      <c r="W314" s="37"/>
      <c r="X314" s="37"/>
      <c r="Y314" s="37"/>
      <c r="Z314" s="37"/>
      <c r="AA314" s="37"/>
      <c r="AB314" s="37"/>
      <c r="AC314" s="37"/>
      <c r="AD314" s="37"/>
      <c r="AE314" s="37"/>
      <c r="AF314" s="37"/>
      <c r="AG314" s="37"/>
      <c r="AH314" s="37"/>
      <c r="AI314" s="37"/>
      <c r="AJ314" s="37"/>
      <c r="AK314" s="37"/>
      <c r="AL314" s="37"/>
      <c r="AM314" s="37"/>
      <c r="AN314" s="37"/>
      <c r="AO314" s="37"/>
      <c r="AP314" s="37"/>
      <c r="AQ314" s="37"/>
      <c r="AR314" s="37"/>
      <c r="AS314" s="37"/>
      <c r="AT314" s="37"/>
      <c r="AU314" s="37"/>
      <c r="AV314" s="37"/>
      <c r="AW314" s="37"/>
      <c r="AX314" s="37"/>
      <c r="AY314" s="37"/>
      <c r="AZ314" s="37"/>
    </row>
    <row r="315" spans="1:52">
      <c r="A315" s="37"/>
      <c r="B315" s="37"/>
      <c r="C315" s="37"/>
      <c r="D315" s="37"/>
      <c r="E315" s="37"/>
      <c r="F315" s="37"/>
      <c r="G315" s="37"/>
      <c r="H315" s="37"/>
      <c r="I315" s="37"/>
      <c r="J315" s="37"/>
      <c r="K315" s="37"/>
      <c r="L315" s="37"/>
      <c r="M315" s="37"/>
      <c r="N315" s="37"/>
      <c r="O315" s="37"/>
      <c r="P315" s="37"/>
      <c r="Q315" s="37"/>
      <c r="R315" s="37"/>
      <c r="S315" s="37"/>
      <c r="T315" s="37"/>
      <c r="U315" s="37"/>
      <c r="V315" s="37"/>
      <c r="W315" s="37"/>
      <c r="X315" s="37"/>
      <c r="Y315" s="37"/>
      <c r="Z315" s="37"/>
      <c r="AA315" s="37"/>
      <c r="AB315" s="37"/>
      <c r="AC315" s="37"/>
      <c r="AD315" s="37"/>
      <c r="AE315" s="37"/>
      <c r="AF315" s="37"/>
      <c r="AG315" s="37"/>
      <c r="AH315" s="37"/>
      <c r="AI315" s="37"/>
      <c r="AJ315" s="37"/>
      <c r="AK315" s="37"/>
      <c r="AL315" s="37"/>
      <c r="AM315" s="37"/>
      <c r="AN315" s="37"/>
      <c r="AO315" s="37"/>
      <c r="AP315" s="37"/>
      <c r="AQ315" s="37"/>
      <c r="AR315" s="37"/>
      <c r="AS315" s="37"/>
      <c r="AT315" s="37"/>
      <c r="AU315" s="37"/>
      <c r="AV315" s="37"/>
      <c r="AW315" s="37"/>
      <c r="AX315" s="37"/>
      <c r="AY315" s="37"/>
      <c r="AZ315" s="37"/>
    </row>
    <row r="316" spans="1:52">
      <c r="A316" s="37"/>
      <c r="B316" s="37"/>
      <c r="C316" s="37"/>
      <c r="D316" s="37"/>
      <c r="E316" s="37"/>
      <c r="F316" s="37"/>
      <c r="G316" s="37"/>
      <c r="H316" s="37"/>
      <c r="I316" s="37"/>
      <c r="J316" s="37"/>
      <c r="K316" s="37"/>
      <c r="L316" s="37"/>
      <c r="M316" s="37"/>
      <c r="N316" s="37"/>
      <c r="O316" s="37"/>
      <c r="P316" s="37"/>
      <c r="Q316" s="37"/>
      <c r="R316" s="37"/>
      <c r="S316" s="37"/>
      <c r="T316" s="37"/>
      <c r="U316" s="37"/>
      <c r="V316" s="37"/>
      <c r="W316" s="37"/>
      <c r="X316" s="37"/>
      <c r="Y316" s="37"/>
      <c r="Z316" s="37"/>
      <c r="AA316" s="37"/>
      <c r="AB316" s="37"/>
      <c r="AC316" s="37"/>
      <c r="AD316" s="37"/>
      <c r="AE316" s="37"/>
      <c r="AF316" s="37"/>
      <c r="AG316" s="37"/>
      <c r="AH316" s="37"/>
      <c r="AI316" s="37"/>
      <c r="AJ316" s="37"/>
      <c r="AK316" s="37"/>
      <c r="AL316" s="37"/>
      <c r="AM316" s="37"/>
      <c r="AN316" s="37"/>
      <c r="AO316" s="37"/>
      <c r="AP316" s="37"/>
      <c r="AQ316" s="37"/>
      <c r="AR316" s="37"/>
      <c r="AS316" s="37"/>
      <c r="AT316" s="37"/>
      <c r="AU316" s="37"/>
      <c r="AV316" s="37"/>
      <c r="AW316" s="37"/>
      <c r="AX316" s="37"/>
      <c r="AY316" s="37"/>
      <c r="AZ316" s="37"/>
    </row>
    <row r="317" spans="1:52">
      <c r="A317" s="37"/>
      <c r="B317" s="37"/>
      <c r="C317" s="37"/>
      <c r="D317" s="37"/>
      <c r="E317" s="37"/>
      <c r="F317" s="37"/>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7"/>
      <c r="AF317" s="37"/>
      <c r="AG317" s="37"/>
      <c r="AH317" s="37"/>
      <c r="AI317" s="37"/>
      <c r="AJ317" s="37"/>
      <c r="AK317" s="37"/>
      <c r="AL317" s="37"/>
      <c r="AM317" s="37"/>
      <c r="AN317" s="37"/>
      <c r="AO317" s="37"/>
      <c r="AP317" s="37"/>
      <c r="AQ317" s="37"/>
      <c r="AR317" s="37"/>
      <c r="AS317" s="37"/>
      <c r="AT317" s="37"/>
      <c r="AU317" s="37"/>
      <c r="AV317" s="37"/>
      <c r="AW317" s="37"/>
      <c r="AX317" s="37"/>
      <c r="AY317" s="37"/>
      <c r="AZ317" s="37"/>
    </row>
    <row r="318" spans="1:52">
      <c r="A318" s="37"/>
      <c r="B318" s="37"/>
      <c r="C318" s="37"/>
      <c r="D318" s="37"/>
      <c r="E318" s="37"/>
      <c r="F318" s="37"/>
      <c r="G318" s="37"/>
      <c r="H318" s="37"/>
      <c r="I318" s="37"/>
      <c r="J318" s="37"/>
      <c r="K318" s="37"/>
      <c r="L318" s="37"/>
      <c r="M318" s="37"/>
      <c r="N318" s="37"/>
      <c r="O318" s="37"/>
      <c r="P318" s="37"/>
      <c r="Q318" s="37"/>
      <c r="R318" s="37"/>
      <c r="S318" s="37"/>
      <c r="T318" s="37"/>
      <c r="U318" s="37"/>
      <c r="V318" s="37"/>
      <c r="W318" s="37"/>
      <c r="X318" s="37"/>
      <c r="Y318" s="37"/>
      <c r="Z318" s="37"/>
      <c r="AA318" s="37"/>
      <c r="AB318" s="37"/>
      <c r="AC318" s="37"/>
      <c r="AD318" s="37"/>
      <c r="AE318" s="37"/>
      <c r="AF318" s="37"/>
      <c r="AG318" s="37"/>
      <c r="AH318" s="37"/>
      <c r="AI318" s="37"/>
      <c r="AJ318" s="37"/>
      <c r="AK318" s="37"/>
      <c r="AL318" s="37"/>
      <c r="AM318" s="37"/>
      <c r="AN318" s="37"/>
      <c r="AO318" s="37"/>
      <c r="AP318" s="37"/>
      <c r="AQ318" s="37"/>
      <c r="AR318" s="37"/>
      <c r="AS318" s="37"/>
      <c r="AT318" s="37"/>
      <c r="AU318" s="37"/>
      <c r="AV318" s="37"/>
      <c r="AW318" s="37"/>
      <c r="AX318" s="37"/>
      <c r="AY318" s="37"/>
      <c r="AZ318" s="37"/>
    </row>
    <row r="319" spans="1:52">
      <c r="A319" s="37"/>
      <c r="B319" s="37"/>
      <c r="C319" s="37"/>
      <c r="D319" s="37"/>
      <c r="E319" s="37"/>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c r="AM319" s="37"/>
      <c r="AN319" s="37"/>
      <c r="AO319" s="37"/>
      <c r="AP319" s="37"/>
      <c r="AQ319" s="37"/>
      <c r="AR319" s="37"/>
      <c r="AS319" s="37"/>
      <c r="AT319" s="37"/>
      <c r="AU319" s="37"/>
      <c r="AV319" s="37"/>
      <c r="AW319" s="37"/>
      <c r="AX319" s="37"/>
      <c r="AY319" s="37"/>
      <c r="AZ319" s="37"/>
    </row>
    <row r="320" spans="1:52">
      <c r="A320" s="37"/>
      <c r="B320" s="37"/>
      <c r="C320" s="37"/>
      <c r="D320" s="37"/>
      <c r="E320" s="37"/>
      <c r="F320" s="37"/>
      <c r="G320" s="37"/>
      <c r="H320" s="37"/>
      <c r="I320" s="37"/>
      <c r="J320" s="37"/>
      <c r="K320" s="37"/>
      <c r="L320" s="37"/>
      <c r="M320" s="37"/>
      <c r="N320" s="37"/>
      <c r="O320" s="37"/>
      <c r="P320" s="37"/>
      <c r="Q320" s="37"/>
      <c r="R320" s="37"/>
      <c r="S320" s="37"/>
      <c r="T320" s="37"/>
      <c r="U320" s="37"/>
      <c r="V320" s="37"/>
      <c r="W320" s="37"/>
      <c r="X320" s="37"/>
      <c r="Y320" s="37"/>
      <c r="Z320" s="37"/>
      <c r="AA320" s="37"/>
      <c r="AB320" s="37"/>
      <c r="AC320" s="37"/>
      <c r="AD320" s="37"/>
      <c r="AE320" s="37"/>
      <c r="AF320" s="37"/>
      <c r="AG320" s="37"/>
      <c r="AH320" s="37"/>
      <c r="AI320" s="37"/>
      <c r="AJ320" s="37"/>
      <c r="AK320" s="37"/>
      <c r="AL320" s="37"/>
      <c r="AM320" s="37"/>
      <c r="AN320" s="37"/>
      <c r="AO320" s="37"/>
      <c r="AP320" s="37"/>
      <c r="AQ320" s="37"/>
      <c r="AR320" s="37"/>
      <c r="AS320" s="37"/>
      <c r="AT320" s="37"/>
      <c r="AU320" s="37"/>
      <c r="AV320" s="37"/>
      <c r="AW320" s="37"/>
      <c r="AX320" s="37"/>
      <c r="AY320" s="37"/>
      <c r="AZ320" s="37"/>
    </row>
    <row r="321" spans="1:52">
      <c r="A321" s="37"/>
      <c r="B321" s="37"/>
      <c r="C321" s="37"/>
      <c r="D321" s="37"/>
      <c r="E321" s="37"/>
      <c r="F321" s="37"/>
      <c r="G321" s="37"/>
      <c r="H321" s="37"/>
      <c r="I321" s="37"/>
      <c r="J321" s="37"/>
      <c r="K321" s="37"/>
      <c r="L321" s="37"/>
      <c r="M321" s="37"/>
      <c r="N321" s="37"/>
      <c r="O321" s="37"/>
      <c r="P321" s="37"/>
      <c r="Q321" s="37"/>
      <c r="R321" s="37"/>
      <c r="S321" s="37"/>
      <c r="T321" s="37"/>
      <c r="U321" s="37"/>
      <c r="V321" s="37"/>
      <c r="W321" s="37"/>
      <c r="X321" s="37"/>
      <c r="Y321" s="37"/>
      <c r="Z321" s="37"/>
      <c r="AA321" s="37"/>
      <c r="AB321" s="37"/>
      <c r="AC321" s="37"/>
      <c r="AD321" s="37"/>
      <c r="AE321" s="37"/>
      <c r="AF321" s="37"/>
      <c r="AG321" s="37"/>
      <c r="AH321" s="37"/>
      <c r="AI321" s="37"/>
      <c r="AJ321" s="37"/>
      <c r="AK321" s="37"/>
      <c r="AL321" s="37"/>
      <c r="AM321" s="37"/>
      <c r="AN321" s="37"/>
      <c r="AO321" s="37"/>
      <c r="AP321" s="37"/>
      <c r="AQ321" s="37"/>
      <c r="AR321" s="37"/>
      <c r="AS321" s="37"/>
      <c r="AT321" s="37"/>
      <c r="AU321" s="37"/>
      <c r="AV321" s="37"/>
      <c r="AW321" s="37"/>
      <c r="AX321" s="37"/>
      <c r="AY321" s="37"/>
      <c r="AZ321" s="37"/>
    </row>
    <row r="322" spans="1:52">
      <c r="A322" s="37"/>
      <c r="B322" s="37"/>
      <c r="C322" s="37"/>
      <c r="D322" s="37"/>
      <c r="E322" s="37"/>
      <c r="F322" s="37"/>
      <c r="G322" s="37"/>
      <c r="H322" s="37"/>
      <c r="I322" s="37"/>
      <c r="J322" s="37"/>
      <c r="K322" s="37"/>
      <c r="L322" s="37"/>
      <c r="M322" s="37"/>
      <c r="N322" s="37"/>
      <c r="O322" s="37"/>
      <c r="P322" s="37"/>
      <c r="Q322" s="37"/>
      <c r="R322" s="37"/>
      <c r="S322" s="37"/>
      <c r="T322" s="37"/>
      <c r="U322" s="37"/>
      <c r="V322" s="37"/>
      <c r="W322" s="37"/>
      <c r="X322" s="37"/>
      <c r="Y322" s="37"/>
      <c r="Z322" s="37"/>
      <c r="AA322" s="37"/>
      <c r="AB322" s="37"/>
      <c r="AC322" s="37"/>
      <c r="AD322" s="37"/>
      <c r="AE322" s="37"/>
      <c r="AF322" s="37"/>
      <c r="AG322" s="37"/>
      <c r="AH322" s="37"/>
      <c r="AI322" s="37"/>
      <c r="AJ322" s="37"/>
      <c r="AK322" s="37"/>
      <c r="AL322" s="37"/>
      <c r="AM322" s="37"/>
      <c r="AN322" s="37"/>
      <c r="AO322" s="37"/>
      <c r="AP322" s="37"/>
      <c r="AQ322" s="37"/>
      <c r="AR322" s="37"/>
      <c r="AS322" s="37"/>
      <c r="AT322" s="37"/>
      <c r="AU322" s="37"/>
      <c r="AV322" s="37"/>
      <c r="AW322" s="37"/>
      <c r="AX322" s="37"/>
      <c r="AY322" s="37"/>
      <c r="AZ322" s="37"/>
    </row>
    <row r="323" spans="1:52">
      <c r="A323" s="37"/>
      <c r="B323" s="37"/>
      <c r="C323" s="37"/>
      <c r="D323" s="37"/>
      <c r="E323" s="37"/>
      <c r="F323" s="37"/>
      <c r="G323" s="37"/>
      <c r="H323" s="37"/>
      <c r="I323" s="37"/>
      <c r="J323" s="37"/>
      <c r="K323" s="37"/>
      <c r="L323" s="37"/>
      <c r="M323" s="37"/>
      <c r="N323" s="37"/>
      <c r="O323" s="37"/>
      <c r="P323" s="37"/>
      <c r="Q323" s="37"/>
      <c r="R323" s="37"/>
      <c r="S323" s="37"/>
      <c r="T323" s="37"/>
      <c r="U323" s="37"/>
      <c r="V323" s="37"/>
      <c r="W323" s="37"/>
      <c r="X323" s="37"/>
      <c r="Y323" s="37"/>
      <c r="Z323" s="37"/>
      <c r="AA323" s="37"/>
      <c r="AB323" s="37"/>
      <c r="AC323" s="37"/>
      <c r="AD323" s="37"/>
      <c r="AE323" s="37"/>
      <c r="AF323" s="37"/>
      <c r="AG323" s="37"/>
      <c r="AH323" s="37"/>
      <c r="AI323" s="37"/>
      <c r="AJ323" s="37"/>
      <c r="AK323" s="37"/>
      <c r="AL323" s="37"/>
      <c r="AM323" s="37"/>
      <c r="AN323" s="37"/>
      <c r="AO323" s="37"/>
      <c r="AP323" s="37"/>
      <c r="AQ323" s="37"/>
      <c r="AR323" s="37"/>
      <c r="AS323" s="37"/>
      <c r="AT323" s="37"/>
      <c r="AU323" s="37"/>
      <c r="AV323" s="37"/>
      <c r="AW323" s="37"/>
      <c r="AX323" s="37"/>
      <c r="AY323" s="37"/>
      <c r="AZ323" s="37"/>
    </row>
    <row r="324" spans="1:52">
      <c r="A324" s="37"/>
      <c r="B324" s="37"/>
      <c r="C324" s="37"/>
      <c r="D324" s="37"/>
      <c r="E324" s="37"/>
      <c r="F324" s="37"/>
      <c r="G324" s="37"/>
      <c r="H324" s="37"/>
      <c r="I324" s="37"/>
      <c r="J324" s="37"/>
      <c r="K324" s="37"/>
      <c r="L324" s="37"/>
      <c r="M324" s="37"/>
      <c r="N324" s="37"/>
      <c r="O324" s="37"/>
      <c r="P324" s="37"/>
      <c r="Q324" s="37"/>
      <c r="R324" s="37"/>
      <c r="S324" s="37"/>
      <c r="T324" s="37"/>
      <c r="U324" s="37"/>
      <c r="V324" s="37"/>
      <c r="W324" s="37"/>
      <c r="X324" s="37"/>
      <c r="Y324" s="37"/>
      <c r="Z324" s="37"/>
      <c r="AA324" s="37"/>
      <c r="AB324" s="37"/>
      <c r="AC324" s="37"/>
      <c r="AD324" s="37"/>
      <c r="AE324" s="37"/>
      <c r="AF324" s="37"/>
      <c r="AG324" s="37"/>
      <c r="AH324" s="37"/>
      <c r="AI324" s="37"/>
      <c r="AJ324" s="37"/>
      <c r="AK324" s="37"/>
      <c r="AL324" s="37"/>
      <c r="AM324" s="37"/>
      <c r="AN324" s="37"/>
      <c r="AO324" s="37"/>
      <c r="AP324" s="37"/>
      <c r="AQ324" s="37"/>
      <c r="AR324" s="37"/>
      <c r="AS324" s="37"/>
      <c r="AT324" s="37"/>
      <c r="AU324" s="37"/>
      <c r="AV324" s="37"/>
      <c r="AW324" s="37"/>
      <c r="AX324" s="37"/>
      <c r="AY324" s="37"/>
      <c r="AZ324" s="37"/>
    </row>
    <row r="325" spans="1:52">
      <c r="A325" s="37"/>
      <c r="B325" s="37"/>
      <c r="C325" s="37"/>
      <c r="D325" s="37"/>
      <c r="E325" s="37"/>
      <c r="F325" s="37"/>
      <c r="G325" s="37"/>
      <c r="H325" s="37"/>
      <c r="I325" s="37"/>
      <c r="J325" s="37"/>
      <c r="K325" s="37"/>
      <c r="L325" s="37"/>
      <c r="M325" s="37"/>
      <c r="N325" s="37"/>
      <c r="O325" s="37"/>
      <c r="P325" s="37"/>
      <c r="Q325" s="37"/>
      <c r="R325" s="37"/>
      <c r="S325" s="37"/>
      <c r="T325" s="37"/>
      <c r="U325" s="37"/>
      <c r="V325" s="37"/>
      <c r="W325" s="37"/>
      <c r="X325" s="37"/>
      <c r="Y325" s="37"/>
      <c r="Z325" s="37"/>
      <c r="AA325" s="37"/>
      <c r="AB325" s="37"/>
      <c r="AC325" s="37"/>
      <c r="AD325" s="37"/>
      <c r="AE325" s="37"/>
      <c r="AF325" s="37"/>
      <c r="AG325" s="37"/>
      <c r="AH325" s="37"/>
      <c r="AI325" s="37"/>
      <c r="AJ325" s="37"/>
      <c r="AK325" s="37"/>
      <c r="AL325" s="37"/>
      <c r="AM325" s="37"/>
      <c r="AN325" s="37"/>
      <c r="AO325" s="37"/>
      <c r="AP325" s="37"/>
      <c r="AQ325" s="37"/>
      <c r="AR325" s="37"/>
      <c r="AS325" s="37"/>
      <c r="AT325" s="37"/>
      <c r="AU325" s="37"/>
      <c r="AV325" s="37"/>
      <c r="AW325" s="37"/>
      <c r="AX325" s="37"/>
      <c r="AY325" s="37"/>
      <c r="AZ325" s="37"/>
    </row>
    <row r="326" spans="1:52">
      <c r="A326" s="37"/>
      <c r="B326" s="37"/>
      <c r="C326" s="37"/>
      <c r="D326" s="37"/>
      <c r="E326" s="37"/>
      <c r="F326" s="37"/>
      <c r="G326" s="37"/>
      <c r="H326" s="37"/>
      <c r="I326" s="37"/>
      <c r="J326" s="37"/>
      <c r="K326" s="37"/>
      <c r="L326" s="37"/>
      <c r="M326" s="37"/>
      <c r="N326" s="37"/>
      <c r="O326" s="37"/>
      <c r="P326" s="37"/>
      <c r="Q326" s="37"/>
      <c r="R326" s="37"/>
      <c r="S326" s="37"/>
      <c r="T326" s="37"/>
      <c r="U326" s="37"/>
      <c r="V326" s="37"/>
      <c r="W326" s="37"/>
      <c r="X326" s="37"/>
      <c r="Y326" s="37"/>
      <c r="Z326" s="37"/>
      <c r="AA326" s="37"/>
      <c r="AB326" s="37"/>
      <c r="AC326" s="37"/>
      <c r="AD326" s="37"/>
      <c r="AE326" s="37"/>
      <c r="AF326" s="37"/>
      <c r="AG326" s="37"/>
      <c r="AH326" s="37"/>
      <c r="AI326" s="37"/>
      <c r="AJ326" s="37"/>
      <c r="AK326" s="37"/>
      <c r="AL326" s="37"/>
      <c r="AM326" s="37"/>
      <c r="AN326" s="37"/>
      <c r="AO326" s="37"/>
      <c r="AP326" s="37"/>
      <c r="AQ326" s="37"/>
      <c r="AR326" s="37"/>
      <c r="AS326" s="37"/>
      <c r="AT326" s="37"/>
      <c r="AU326" s="37"/>
      <c r="AV326" s="37"/>
      <c r="AW326" s="37"/>
      <c r="AX326" s="37"/>
      <c r="AY326" s="37"/>
      <c r="AZ326" s="37"/>
    </row>
    <row r="327" spans="1:52">
      <c r="A327" s="37"/>
      <c r="B327" s="37"/>
      <c r="C327" s="37"/>
      <c r="D327" s="37"/>
      <c r="E327" s="37"/>
      <c r="F327" s="37"/>
      <c r="G327" s="37"/>
      <c r="H327" s="37"/>
      <c r="I327" s="37"/>
      <c r="J327" s="37"/>
      <c r="K327" s="37"/>
      <c r="L327" s="37"/>
      <c r="M327" s="37"/>
      <c r="N327" s="37"/>
      <c r="O327" s="37"/>
      <c r="P327" s="37"/>
      <c r="Q327" s="37"/>
      <c r="R327" s="37"/>
      <c r="S327" s="37"/>
      <c r="T327" s="37"/>
      <c r="U327" s="37"/>
      <c r="V327" s="37"/>
      <c r="W327" s="37"/>
      <c r="X327" s="37"/>
      <c r="Y327" s="37"/>
      <c r="Z327" s="37"/>
      <c r="AA327" s="37"/>
      <c r="AB327" s="37"/>
      <c r="AC327" s="37"/>
      <c r="AD327" s="37"/>
      <c r="AE327" s="37"/>
      <c r="AF327" s="37"/>
      <c r="AG327" s="37"/>
      <c r="AH327" s="37"/>
      <c r="AI327" s="37"/>
      <c r="AJ327" s="37"/>
      <c r="AK327" s="37"/>
      <c r="AL327" s="37"/>
      <c r="AM327" s="37"/>
      <c r="AN327" s="37"/>
      <c r="AO327" s="37"/>
      <c r="AP327" s="37"/>
      <c r="AQ327" s="37"/>
      <c r="AR327" s="37"/>
      <c r="AS327" s="37"/>
      <c r="AT327" s="37"/>
      <c r="AU327" s="37"/>
      <c r="AV327" s="37"/>
      <c r="AW327" s="37"/>
      <c r="AX327" s="37"/>
      <c r="AY327" s="37"/>
      <c r="AZ327" s="37"/>
    </row>
    <row r="328" spans="1:52">
      <c r="A328" s="37"/>
      <c r="B328" s="37"/>
      <c r="C328" s="37"/>
      <c r="D328" s="37"/>
      <c r="E328" s="37"/>
      <c r="F328" s="37"/>
      <c r="G328" s="37"/>
      <c r="H328" s="37"/>
      <c r="I328" s="37"/>
      <c r="J328" s="37"/>
      <c r="K328" s="37"/>
      <c r="L328" s="37"/>
      <c r="M328" s="37"/>
      <c r="N328" s="37"/>
      <c r="O328" s="37"/>
      <c r="P328" s="37"/>
      <c r="Q328" s="37"/>
      <c r="R328" s="37"/>
      <c r="S328" s="37"/>
      <c r="T328" s="37"/>
      <c r="U328" s="37"/>
      <c r="V328" s="37"/>
      <c r="W328" s="37"/>
      <c r="X328" s="37"/>
      <c r="Y328" s="37"/>
      <c r="Z328" s="37"/>
      <c r="AA328" s="37"/>
      <c r="AB328" s="37"/>
      <c r="AC328" s="37"/>
      <c r="AD328" s="37"/>
      <c r="AE328" s="37"/>
      <c r="AF328" s="37"/>
      <c r="AG328" s="37"/>
      <c r="AH328" s="37"/>
      <c r="AI328" s="37"/>
      <c r="AJ328" s="37"/>
      <c r="AK328" s="37"/>
      <c r="AL328" s="37"/>
      <c r="AM328" s="37"/>
      <c r="AN328" s="37"/>
      <c r="AO328" s="37"/>
      <c r="AP328" s="37"/>
      <c r="AQ328" s="37"/>
      <c r="AR328" s="37"/>
      <c r="AS328" s="37"/>
      <c r="AT328" s="37"/>
      <c r="AU328" s="37"/>
      <c r="AV328" s="37"/>
      <c r="AW328" s="37"/>
      <c r="AX328" s="37"/>
      <c r="AY328" s="37"/>
      <c r="AZ328" s="37"/>
    </row>
    <row r="329" spans="1:52">
      <c r="A329" s="37"/>
      <c r="B329" s="37"/>
      <c r="C329" s="37"/>
      <c r="D329" s="37"/>
      <c r="E329" s="37"/>
      <c r="F329" s="37"/>
      <c r="G329" s="37"/>
      <c r="H329" s="37"/>
      <c r="I329" s="37"/>
      <c r="J329" s="37"/>
      <c r="K329" s="37"/>
      <c r="L329" s="37"/>
      <c r="M329" s="37"/>
      <c r="N329" s="37"/>
      <c r="O329" s="37"/>
      <c r="P329" s="37"/>
      <c r="Q329" s="37"/>
      <c r="R329" s="37"/>
      <c r="S329" s="37"/>
      <c r="T329" s="37"/>
      <c r="U329" s="37"/>
      <c r="V329" s="37"/>
      <c r="W329" s="37"/>
      <c r="X329" s="37"/>
      <c r="Y329" s="37"/>
      <c r="Z329" s="37"/>
      <c r="AA329" s="37"/>
      <c r="AB329" s="37"/>
      <c r="AC329" s="37"/>
      <c r="AD329" s="37"/>
      <c r="AE329" s="37"/>
      <c r="AF329" s="37"/>
      <c r="AG329" s="37"/>
      <c r="AH329" s="37"/>
      <c r="AI329" s="37"/>
      <c r="AJ329" s="37"/>
      <c r="AK329" s="37"/>
      <c r="AL329" s="37"/>
      <c r="AM329" s="37"/>
      <c r="AN329" s="37"/>
      <c r="AO329" s="37"/>
      <c r="AP329" s="37"/>
      <c r="AQ329" s="37"/>
      <c r="AR329" s="37"/>
      <c r="AS329" s="37"/>
      <c r="AT329" s="37"/>
      <c r="AU329" s="37"/>
      <c r="AV329" s="37"/>
      <c r="AW329" s="37"/>
      <c r="AX329" s="37"/>
      <c r="AY329" s="37"/>
      <c r="AZ329" s="37"/>
    </row>
    <row r="330" spans="1:52">
      <c r="A330" s="37"/>
      <c r="B330" s="37"/>
      <c r="C330" s="37"/>
      <c r="D330" s="37"/>
      <c r="E330" s="37"/>
      <c r="F330" s="37"/>
      <c r="G330" s="37"/>
      <c r="H330" s="37"/>
      <c r="I330" s="37"/>
      <c r="J330" s="37"/>
      <c r="K330" s="37"/>
      <c r="L330" s="37"/>
      <c r="M330" s="37"/>
      <c r="N330" s="37"/>
      <c r="O330" s="37"/>
      <c r="P330" s="37"/>
      <c r="Q330" s="37"/>
      <c r="R330" s="37"/>
      <c r="S330" s="37"/>
      <c r="T330" s="37"/>
      <c r="U330" s="37"/>
      <c r="V330" s="37"/>
      <c r="W330" s="37"/>
      <c r="X330" s="37"/>
      <c r="Y330" s="37"/>
      <c r="Z330" s="37"/>
      <c r="AA330" s="37"/>
      <c r="AB330" s="37"/>
      <c r="AC330" s="37"/>
      <c r="AD330" s="37"/>
      <c r="AE330" s="37"/>
      <c r="AF330" s="37"/>
      <c r="AG330" s="37"/>
      <c r="AH330" s="37"/>
      <c r="AI330" s="37"/>
      <c r="AJ330" s="37"/>
      <c r="AK330" s="37"/>
      <c r="AL330" s="37"/>
      <c r="AM330" s="37"/>
      <c r="AN330" s="37"/>
      <c r="AO330" s="37"/>
      <c r="AP330" s="37"/>
      <c r="AQ330" s="37"/>
      <c r="AR330" s="37"/>
      <c r="AS330" s="37"/>
      <c r="AT330" s="37"/>
      <c r="AU330" s="37"/>
      <c r="AV330" s="37"/>
      <c r="AW330" s="37"/>
      <c r="AX330" s="37"/>
      <c r="AY330" s="37"/>
      <c r="AZ330" s="37"/>
    </row>
    <row r="331" spans="1:52">
      <c r="A331" s="37"/>
      <c r="B331" s="37"/>
      <c r="C331" s="37"/>
      <c r="D331" s="37"/>
      <c r="E331" s="37"/>
      <c r="F331" s="37"/>
      <c r="G331" s="37"/>
      <c r="H331" s="37"/>
      <c r="I331" s="37"/>
      <c r="J331" s="37"/>
      <c r="K331" s="37"/>
      <c r="L331" s="37"/>
      <c r="M331" s="37"/>
      <c r="N331" s="37"/>
      <c r="O331" s="37"/>
      <c r="P331" s="37"/>
      <c r="Q331" s="37"/>
      <c r="R331" s="37"/>
      <c r="S331" s="37"/>
      <c r="T331" s="37"/>
      <c r="U331" s="37"/>
      <c r="V331" s="37"/>
      <c r="W331" s="37"/>
      <c r="X331" s="37"/>
      <c r="Y331" s="37"/>
      <c r="Z331" s="37"/>
      <c r="AA331" s="37"/>
      <c r="AB331" s="37"/>
      <c r="AC331" s="37"/>
      <c r="AD331" s="37"/>
      <c r="AE331" s="37"/>
      <c r="AF331" s="37"/>
      <c r="AG331" s="37"/>
      <c r="AH331" s="37"/>
      <c r="AI331" s="37"/>
      <c r="AJ331" s="37"/>
      <c r="AK331" s="37"/>
      <c r="AL331" s="37"/>
      <c r="AM331" s="37"/>
      <c r="AN331" s="37"/>
      <c r="AO331" s="37"/>
      <c r="AP331" s="37"/>
      <c r="AQ331" s="37"/>
      <c r="AR331" s="37"/>
      <c r="AS331" s="37"/>
      <c r="AT331" s="37"/>
      <c r="AU331" s="37"/>
      <c r="AV331" s="37"/>
      <c r="AW331" s="37"/>
      <c r="AX331" s="37"/>
      <c r="AY331" s="37"/>
      <c r="AZ331" s="37"/>
    </row>
    <row r="332" spans="1:52">
      <c r="A332" s="37"/>
      <c r="B332" s="37"/>
      <c r="C332" s="37"/>
      <c r="D332" s="37"/>
      <c r="E332" s="37"/>
      <c r="F332" s="37"/>
      <c r="G332" s="37"/>
      <c r="H332" s="37"/>
      <c r="I332" s="37"/>
      <c r="J332" s="37"/>
      <c r="K332" s="37"/>
      <c r="L332" s="37"/>
      <c r="M332" s="37"/>
      <c r="N332" s="37"/>
      <c r="O332" s="37"/>
      <c r="P332" s="37"/>
      <c r="Q332" s="37"/>
      <c r="R332" s="37"/>
      <c r="S332" s="37"/>
      <c r="T332" s="37"/>
      <c r="U332" s="37"/>
      <c r="V332" s="37"/>
      <c r="W332" s="37"/>
      <c r="X332" s="37"/>
      <c r="Y332" s="37"/>
      <c r="Z332" s="37"/>
      <c r="AA332" s="37"/>
      <c r="AB332" s="37"/>
      <c r="AC332" s="37"/>
      <c r="AD332" s="37"/>
      <c r="AE332" s="37"/>
      <c r="AF332" s="37"/>
      <c r="AG332" s="37"/>
      <c r="AH332" s="37"/>
      <c r="AI332" s="37"/>
      <c r="AJ332" s="37"/>
      <c r="AK332" s="37"/>
      <c r="AL332" s="37"/>
      <c r="AM332" s="37"/>
      <c r="AN332" s="37"/>
      <c r="AO332" s="37"/>
      <c r="AP332" s="37"/>
      <c r="AQ332" s="37"/>
      <c r="AR332" s="37"/>
      <c r="AS332" s="37"/>
      <c r="AT332" s="37"/>
      <c r="AU332" s="37"/>
      <c r="AV332" s="37"/>
      <c r="AW332" s="37"/>
      <c r="AX332" s="37"/>
      <c r="AY332" s="37"/>
      <c r="AZ332" s="37"/>
    </row>
    <row r="333" spans="1:52">
      <c r="A333" s="37"/>
      <c r="B333" s="37"/>
      <c r="C333" s="37"/>
      <c r="D333" s="37"/>
      <c r="E333" s="37"/>
      <c r="F333" s="37"/>
      <c r="G333" s="37"/>
      <c r="H333" s="37"/>
      <c r="I333" s="37"/>
      <c r="J333" s="37"/>
      <c r="K333" s="37"/>
      <c r="L333" s="37"/>
      <c r="M333" s="37"/>
      <c r="N333" s="37"/>
      <c r="O333" s="37"/>
      <c r="P333" s="37"/>
      <c r="Q333" s="37"/>
      <c r="R333" s="37"/>
      <c r="S333" s="37"/>
      <c r="T333" s="37"/>
      <c r="U333" s="37"/>
      <c r="V333" s="37"/>
      <c r="W333" s="37"/>
      <c r="X333" s="37"/>
      <c r="Y333" s="37"/>
      <c r="Z333" s="37"/>
      <c r="AA333" s="37"/>
      <c r="AB333" s="37"/>
      <c r="AC333" s="37"/>
      <c r="AD333" s="37"/>
      <c r="AE333" s="37"/>
      <c r="AF333" s="37"/>
      <c r="AG333" s="37"/>
      <c r="AH333" s="37"/>
      <c r="AI333" s="37"/>
      <c r="AJ333" s="37"/>
      <c r="AK333" s="37"/>
      <c r="AL333" s="37"/>
      <c r="AM333" s="37"/>
      <c r="AN333" s="37"/>
      <c r="AO333" s="37"/>
      <c r="AP333" s="37"/>
      <c r="AQ333" s="37"/>
      <c r="AR333" s="37"/>
      <c r="AS333" s="37"/>
      <c r="AT333" s="37"/>
      <c r="AU333" s="37"/>
      <c r="AV333" s="37"/>
      <c r="AW333" s="37"/>
      <c r="AX333" s="37"/>
      <c r="AY333" s="37"/>
      <c r="AZ333" s="37"/>
    </row>
    <row r="334" spans="1:52">
      <c r="A334" s="37"/>
      <c r="B334" s="37"/>
      <c r="C334" s="37"/>
      <c r="D334" s="37"/>
      <c r="E334" s="37"/>
      <c r="F334" s="37"/>
      <c r="G334" s="37"/>
      <c r="H334" s="37"/>
      <c r="I334" s="37"/>
      <c r="J334" s="37"/>
      <c r="K334" s="37"/>
      <c r="L334" s="37"/>
      <c r="M334" s="37"/>
      <c r="N334" s="37"/>
      <c r="O334" s="37"/>
      <c r="P334" s="37"/>
      <c r="Q334" s="37"/>
      <c r="R334" s="37"/>
      <c r="S334" s="37"/>
      <c r="T334" s="37"/>
      <c r="U334" s="37"/>
      <c r="V334" s="37"/>
      <c r="W334" s="37"/>
      <c r="X334" s="37"/>
      <c r="Y334" s="37"/>
      <c r="Z334" s="37"/>
      <c r="AA334" s="37"/>
      <c r="AB334" s="37"/>
      <c r="AC334" s="37"/>
      <c r="AD334" s="37"/>
      <c r="AE334" s="37"/>
      <c r="AF334" s="37"/>
      <c r="AG334" s="37"/>
      <c r="AH334" s="37"/>
      <c r="AI334" s="37"/>
      <c r="AJ334" s="37"/>
      <c r="AK334" s="37"/>
      <c r="AL334" s="37"/>
      <c r="AM334" s="37"/>
      <c r="AN334" s="37"/>
      <c r="AO334" s="37"/>
      <c r="AP334" s="37"/>
      <c r="AQ334" s="37"/>
      <c r="AR334" s="37"/>
      <c r="AS334" s="37"/>
      <c r="AT334" s="37"/>
      <c r="AU334" s="37"/>
      <c r="AV334" s="37"/>
      <c r="AW334" s="37"/>
      <c r="AX334" s="37"/>
      <c r="AY334" s="37"/>
      <c r="AZ334" s="37"/>
    </row>
    <row r="335" spans="1:52">
      <c r="A335" s="37"/>
      <c r="B335" s="37"/>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37"/>
      <c r="AX335" s="37"/>
      <c r="AY335" s="37"/>
      <c r="AZ335" s="37"/>
    </row>
    <row r="336" spans="1:52">
      <c r="A336" s="37"/>
      <c r="B336" s="37"/>
      <c r="C336" s="37"/>
      <c r="D336" s="37"/>
      <c r="E336" s="37"/>
      <c r="F336" s="37"/>
      <c r="G336" s="37"/>
      <c r="H336" s="37"/>
      <c r="I336" s="37"/>
      <c r="J336" s="37"/>
      <c r="K336" s="37"/>
      <c r="L336" s="37"/>
      <c r="M336" s="37"/>
      <c r="N336" s="37"/>
      <c r="O336" s="37"/>
      <c r="P336" s="37"/>
      <c r="Q336" s="37"/>
      <c r="R336" s="37"/>
      <c r="S336" s="37"/>
      <c r="T336" s="37"/>
      <c r="U336" s="37"/>
      <c r="V336" s="37"/>
      <c r="W336" s="37"/>
      <c r="X336" s="37"/>
      <c r="Y336" s="37"/>
      <c r="Z336" s="37"/>
      <c r="AA336" s="37"/>
      <c r="AB336" s="37"/>
      <c r="AC336" s="37"/>
      <c r="AD336" s="37"/>
      <c r="AE336" s="37"/>
      <c r="AF336" s="37"/>
      <c r="AG336" s="37"/>
      <c r="AH336" s="37"/>
      <c r="AI336" s="37"/>
      <c r="AJ336" s="37"/>
      <c r="AK336" s="37"/>
      <c r="AL336" s="37"/>
      <c r="AM336" s="37"/>
      <c r="AN336" s="37"/>
      <c r="AO336" s="37"/>
      <c r="AP336" s="37"/>
      <c r="AQ336" s="37"/>
      <c r="AR336" s="37"/>
      <c r="AS336" s="37"/>
      <c r="AT336" s="37"/>
      <c r="AU336" s="37"/>
      <c r="AV336" s="37"/>
      <c r="AW336" s="37"/>
      <c r="AX336" s="37"/>
      <c r="AY336" s="37"/>
      <c r="AZ336" s="37"/>
    </row>
    <row r="337" spans="1:52">
      <c r="A337" s="37"/>
      <c r="B337" s="37"/>
      <c r="C337" s="37"/>
      <c r="D337" s="37"/>
      <c r="E337" s="37"/>
      <c r="F337" s="37"/>
      <c r="G337" s="37"/>
      <c r="H337" s="37"/>
      <c r="I337" s="37"/>
      <c r="J337" s="37"/>
      <c r="K337" s="37"/>
      <c r="L337" s="37"/>
      <c r="M337" s="37"/>
      <c r="N337" s="37"/>
      <c r="O337" s="37"/>
      <c r="P337" s="37"/>
      <c r="Q337" s="37"/>
      <c r="R337" s="37"/>
      <c r="S337" s="37"/>
      <c r="T337" s="37"/>
      <c r="U337" s="37"/>
      <c r="V337" s="37"/>
      <c r="W337" s="37"/>
      <c r="X337" s="37"/>
      <c r="Y337" s="37"/>
      <c r="Z337" s="37"/>
      <c r="AA337" s="37"/>
      <c r="AB337" s="37"/>
      <c r="AC337" s="37"/>
      <c r="AD337" s="37"/>
      <c r="AE337" s="37"/>
      <c r="AF337" s="37"/>
      <c r="AG337" s="37"/>
      <c r="AH337" s="37"/>
      <c r="AI337" s="37"/>
      <c r="AJ337" s="37"/>
      <c r="AK337" s="37"/>
      <c r="AL337" s="37"/>
      <c r="AM337" s="37"/>
      <c r="AN337" s="37"/>
      <c r="AO337" s="37"/>
      <c r="AP337" s="37"/>
      <c r="AQ337" s="37"/>
      <c r="AR337" s="37"/>
      <c r="AS337" s="37"/>
      <c r="AT337" s="37"/>
      <c r="AU337" s="37"/>
      <c r="AV337" s="37"/>
      <c r="AW337" s="37"/>
      <c r="AX337" s="37"/>
      <c r="AY337" s="37"/>
      <c r="AZ337" s="37"/>
    </row>
    <row r="338" spans="1:52">
      <c r="A338" s="37"/>
      <c r="B338" s="37"/>
      <c r="C338" s="37"/>
      <c r="D338" s="37"/>
      <c r="E338" s="37"/>
      <c r="F338" s="37"/>
      <c r="G338" s="37"/>
      <c r="H338" s="37"/>
      <c r="I338" s="37"/>
      <c r="J338" s="37"/>
      <c r="K338" s="37"/>
      <c r="L338" s="37"/>
      <c r="M338" s="37"/>
      <c r="N338" s="37"/>
      <c r="O338" s="37"/>
      <c r="P338" s="37"/>
      <c r="Q338" s="37"/>
      <c r="R338" s="37"/>
      <c r="S338" s="37"/>
      <c r="T338" s="37"/>
      <c r="U338" s="37"/>
      <c r="V338" s="37"/>
      <c r="W338" s="37"/>
      <c r="X338" s="37"/>
      <c r="Y338" s="37"/>
      <c r="Z338" s="37"/>
      <c r="AA338" s="37"/>
      <c r="AB338" s="37"/>
      <c r="AC338" s="37"/>
      <c r="AD338" s="37"/>
      <c r="AE338" s="37"/>
      <c r="AF338" s="37"/>
      <c r="AG338" s="37"/>
      <c r="AH338" s="37"/>
      <c r="AI338" s="37"/>
      <c r="AJ338" s="37"/>
      <c r="AK338" s="37"/>
      <c r="AL338" s="37"/>
      <c r="AM338" s="37"/>
      <c r="AN338" s="37"/>
      <c r="AO338" s="37"/>
      <c r="AP338" s="37"/>
      <c r="AQ338" s="37"/>
      <c r="AR338" s="37"/>
      <c r="AS338" s="37"/>
      <c r="AT338" s="37"/>
      <c r="AU338" s="37"/>
      <c r="AV338" s="37"/>
      <c r="AW338" s="37"/>
      <c r="AX338" s="37"/>
      <c r="AY338" s="37"/>
      <c r="AZ338" s="37"/>
    </row>
    <row r="339" spans="1:52">
      <c r="A339" s="37"/>
      <c r="B339" s="37"/>
      <c r="C339" s="37"/>
      <c r="D339" s="37"/>
      <c r="E339" s="37"/>
      <c r="F339" s="37"/>
      <c r="G339" s="37"/>
      <c r="H339" s="37"/>
      <c r="I339" s="37"/>
      <c r="J339" s="37"/>
      <c r="K339" s="37"/>
      <c r="L339" s="37"/>
      <c r="M339" s="37"/>
      <c r="N339" s="37"/>
      <c r="O339" s="37"/>
      <c r="P339" s="37"/>
      <c r="Q339" s="37"/>
      <c r="R339" s="37"/>
      <c r="S339" s="37"/>
      <c r="T339" s="37"/>
      <c r="U339" s="37"/>
      <c r="V339" s="37"/>
      <c r="W339" s="37"/>
      <c r="X339" s="37"/>
      <c r="Y339" s="37"/>
      <c r="Z339" s="37"/>
      <c r="AA339" s="37"/>
      <c r="AB339" s="37"/>
      <c r="AC339" s="37"/>
      <c r="AD339" s="37"/>
      <c r="AE339" s="37"/>
      <c r="AF339" s="37"/>
      <c r="AG339" s="37"/>
      <c r="AH339" s="37"/>
      <c r="AI339" s="37"/>
      <c r="AJ339" s="37"/>
      <c r="AK339" s="37"/>
      <c r="AL339" s="37"/>
      <c r="AM339" s="37"/>
      <c r="AN339" s="37"/>
      <c r="AO339" s="37"/>
      <c r="AP339" s="37"/>
      <c r="AQ339" s="37"/>
      <c r="AR339" s="37"/>
      <c r="AS339" s="37"/>
      <c r="AT339" s="37"/>
      <c r="AU339" s="37"/>
      <c r="AV339" s="37"/>
      <c r="AW339" s="37"/>
      <c r="AX339" s="37"/>
      <c r="AY339" s="37"/>
      <c r="AZ339" s="37"/>
    </row>
    <row r="340" spans="1:52">
      <c r="A340" s="37"/>
      <c r="B340" s="37"/>
      <c r="C340" s="37"/>
      <c r="D340" s="37"/>
      <c r="E340" s="37"/>
      <c r="F340" s="37"/>
      <c r="G340" s="37"/>
      <c r="H340" s="37"/>
      <c r="I340" s="37"/>
      <c r="J340" s="37"/>
      <c r="K340" s="37"/>
      <c r="L340" s="37"/>
      <c r="M340" s="37"/>
      <c r="N340" s="37"/>
      <c r="O340" s="37"/>
      <c r="P340" s="37"/>
      <c r="Q340" s="37"/>
      <c r="R340" s="37"/>
      <c r="S340" s="37"/>
      <c r="T340" s="37"/>
      <c r="U340" s="37"/>
      <c r="V340" s="37"/>
      <c r="W340" s="37"/>
      <c r="X340" s="37"/>
      <c r="Y340" s="37"/>
      <c r="Z340" s="37"/>
      <c r="AA340" s="37"/>
      <c r="AB340" s="37"/>
      <c r="AC340" s="37"/>
      <c r="AD340" s="37"/>
      <c r="AE340" s="37"/>
      <c r="AF340" s="37"/>
      <c r="AG340" s="37"/>
      <c r="AH340" s="37"/>
      <c r="AI340" s="37"/>
      <c r="AJ340" s="37"/>
      <c r="AK340" s="37"/>
      <c r="AL340" s="37"/>
      <c r="AM340" s="37"/>
      <c r="AN340" s="37"/>
      <c r="AO340" s="37"/>
      <c r="AP340" s="37"/>
      <c r="AQ340" s="37"/>
      <c r="AR340" s="37"/>
      <c r="AS340" s="37"/>
      <c r="AT340" s="37"/>
      <c r="AU340" s="37"/>
      <c r="AV340" s="37"/>
      <c r="AW340" s="37"/>
      <c r="AX340" s="37"/>
      <c r="AY340" s="37"/>
      <c r="AZ340" s="37"/>
    </row>
    <row r="341" spans="1:52">
      <c r="A341" s="37"/>
      <c r="B341" s="37"/>
      <c r="C341" s="37"/>
      <c r="D341" s="37"/>
      <c r="E341" s="37"/>
      <c r="F341" s="37"/>
      <c r="G341" s="37"/>
      <c r="H341" s="37"/>
      <c r="I341" s="37"/>
      <c r="J341" s="37"/>
      <c r="K341" s="37"/>
      <c r="L341" s="37"/>
      <c r="M341" s="37"/>
      <c r="N341" s="37"/>
      <c r="O341" s="37"/>
      <c r="P341" s="37"/>
      <c r="Q341" s="37"/>
      <c r="R341" s="37"/>
      <c r="S341" s="37"/>
      <c r="T341" s="37"/>
      <c r="U341" s="37"/>
      <c r="V341" s="37"/>
      <c r="W341" s="37"/>
      <c r="X341" s="37"/>
      <c r="Y341" s="37"/>
      <c r="Z341" s="37"/>
      <c r="AA341" s="37"/>
      <c r="AB341" s="37"/>
      <c r="AC341" s="37"/>
      <c r="AD341" s="37"/>
      <c r="AE341" s="37"/>
      <c r="AF341" s="37"/>
      <c r="AG341" s="37"/>
      <c r="AH341" s="37"/>
      <c r="AI341" s="37"/>
      <c r="AJ341" s="37"/>
      <c r="AK341" s="37"/>
      <c r="AL341" s="37"/>
      <c r="AM341" s="37"/>
      <c r="AN341" s="37"/>
      <c r="AO341" s="37"/>
      <c r="AP341" s="37"/>
      <c r="AQ341" s="37"/>
      <c r="AR341" s="37"/>
      <c r="AS341" s="37"/>
      <c r="AT341" s="37"/>
      <c r="AU341" s="37"/>
      <c r="AV341" s="37"/>
      <c r="AW341" s="37"/>
      <c r="AX341" s="37"/>
      <c r="AY341" s="37"/>
      <c r="AZ341" s="37"/>
    </row>
    <row r="342" spans="1:52">
      <c r="A342" s="37"/>
      <c r="B342" s="37"/>
      <c r="C342" s="37"/>
      <c r="D342" s="37"/>
      <c r="E342" s="37"/>
      <c r="F342" s="37"/>
      <c r="G342" s="37"/>
      <c r="H342" s="37"/>
      <c r="I342" s="37"/>
      <c r="J342" s="37"/>
      <c r="K342" s="37"/>
      <c r="L342" s="37"/>
      <c r="M342" s="37"/>
      <c r="N342" s="37"/>
      <c r="O342" s="37"/>
      <c r="P342" s="37"/>
      <c r="Q342" s="37"/>
      <c r="R342" s="37"/>
      <c r="S342" s="37"/>
      <c r="T342" s="37"/>
      <c r="U342" s="37"/>
      <c r="V342" s="37"/>
      <c r="W342" s="37"/>
      <c r="X342" s="37"/>
      <c r="Y342" s="37"/>
      <c r="Z342" s="37"/>
      <c r="AA342" s="37"/>
      <c r="AB342" s="37"/>
      <c r="AC342" s="37"/>
      <c r="AD342" s="37"/>
      <c r="AE342" s="37"/>
      <c r="AF342" s="37"/>
      <c r="AG342" s="37"/>
      <c r="AH342" s="37"/>
      <c r="AI342" s="37"/>
      <c r="AJ342" s="37"/>
      <c r="AK342" s="37"/>
      <c r="AL342" s="37"/>
      <c r="AM342" s="37"/>
      <c r="AN342" s="37"/>
      <c r="AO342" s="37"/>
      <c r="AP342" s="37"/>
      <c r="AQ342" s="37"/>
      <c r="AR342" s="37"/>
      <c r="AS342" s="37"/>
      <c r="AT342" s="37"/>
      <c r="AU342" s="37"/>
      <c r="AV342" s="37"/>
      <c r="AW342" s="37"/>
      <c r="AX342" s="37"/>
      <c r="AY342" s="37"/>
      <c r="AZ342" s="37"/>
    </row>
    <row r="343" spans="1:52">
      <c r="A343" s="37"/>
      <c r="B343" s="37"/>
      <c r="C343" s="37"/>
      <c r="D343" s="37"/>
      <c r="E343" s="37"/>
      <c r="F343" s="37"/>
      <c r="G343" s="37"/>
      <c r="H343" s="37"/>
      <c r="I343" s="37"/>
      <c r="J343" s="37"/>
      <c r="K343" s="37"/>
      <c r="L343" s="37"/>
      <c r="M343" s="37"/>
      <c r="N343" s="37"/>
      <c r="O343" s="37"/>
      <c r="P343" s="37"/>
      <c r="Q343" s="37"/>
      <c r="R343" s="37"/>
      <c r="S343" s="37"/>
      <c r="T343" s="37"/>
      <c r="U343" s="37"/>
      <c r="V343" s="37"/>
      <c r="W343" s="37"/>
      <c r="X343" s="37"/>
      <c r="Y343" s="37"/>
      <c r="Z343" s="37"/>
      <c r="AA343" s="37"/>
      <c r="AB343" s="37"/>
      <c r="AC343" s="37"/>
      <c r="AD343" s="37"/>
      <c r="AE343" s="37"/>
      <c r="AF343" s="37"/>
      <c r="AG343" s="37"/>
      <c r="AH343" s="37"/>
      <c r="AI343" s="37"/>
      <c r="AJ343" s="37"/>
      <c r="AK343" s="37"/>
      <c r="AL343" s="37"/>
      <c r="AM343" s="37"/>
      <c r="AN343" s="37"/>
      <c r="AO343" s="37"/>
      <c r="AP343" s="37"/>
      <c r="AQ343" s="37"/>
      <c r="AR343" s="37"/>
      <c r="AS343" s="37"/>
      <c r="AT343" s="37"/>
      <c r="AU343" s="37"/>
      <c r="AV343" s="37"/>
      <c r="AW343" s="37"/>
      <c r="AX343" s="37"/>
      <c r="AY343" s="37"/>
      <c r="AZ343" s="37"/>
    </row>
    <row r="344" spans="1:52">
      <c r="A344" s="37"/>
      <c r="B344" s="37"/>
      <c r="C344" s="37"/>
      <c r="D344" s="37"/>
      <c r="E344" s="37"/>
      <c r="F344" s="37"/>
      <c r="G344" s="37"/>
      <c r="H344" s="37"/>
      <c r="I344" s="37"/>
      <c r="J344" s="37"/>
      <c r="K344" s="37"/>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row>
    <row r="345" spans="1:52">
      <c r="A345" s="37"/>
      <c r="B345" s="37"/>
      <c r="C345" s="37"/>
      <c r="D345" s="37"/>
      <c r="E345" s="37"/>
      <c r="F345" s="37"/>
      <c r="G345" s="37"/>
      <c r="H345" s="37"/>
      <c r="I345" s="37"/>
      <c r="J345" s="37"/>
      <c r="K345" s="37"/>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row>
    <row r="346" spans="1:52">
      <c r="A346" s="37"/>
      <c r="B346" s="37"/>
      <c r="C346" s="37"/>
      <c r="D346" s="37"/>
      <c r="E346" s="37"/>
      <c r="F346" s="37"/>
      <c r="G346" s="37"/>
      <c r="H346" s="37"/>
      <c r="I346" s="37"/>
      <c r="J346" s="37"/>
      <c r="K346" s="37"/>
      <c r="L346" s="37"/>
      <c r="M346" s="37"/>
      <c r="N346" s="37"/>
      <c r="O346" s="37"/>
      <c r="P346" s="37"/>
      <c r="Q346" s="37"/>
      <c r="R346" s="37"/>
      <c r="S346" s="37"/>
      <c r="T346" s="37"/>
      <c r="U346" s="37"/>
      <c r="V346" s="37"/>
      <c r="W346" s="37"/>
      <c r="X346" s="37"/>
      <c r="Y346" s="37"/>
      <c r="Z346" s="37"/>
      <c r="AA346" s="37"/>
      <c r="AB346" s="37"/>
      <c r="AC346" s="37"/>
      <c r="AD346" s="37"/>
      <c r="AE346" s="37"/>
      <c r="AF346" s="37"/>
      <c r="AG346" s="37"/>
      <c r="AH346" s="37"/>
      <c r="AI346" s="37"/>
      <c r="AJ346" s="37"/>
      <c r="AK346" s="37"/>
      <c r="AL346" s="37"/>
      <c r="AM346" s="37"/>
      <c r="AN346" s="37"/>
      <c r="AO346" s="37"/>
      <c r="AP346" s="37"/>
      <c r="AQ346" s="37"/>
      <c r="AR346" s="37"/>
      <c r="AS346" s="37"/>
      <c r="AT346" s="37"/>
      <c r="AU346" s="37"/>
      <c r="AV346" s="37"/>
      <c r="AW346" s="37"/>
      <c r="AX346" s="37"/>
      <c r="AY346" s="37"/>
      <c r="AZ346" s="37"/>
    </row>
    <row r="347" spans="1:52">
      <c r="A347" s="37"/>
      <c r="B347" s="37"/>
      <c r="C347" s="37"/>
      <c r="D347" s="37"/>
      <c r="E347" s="37"/>
      <c r="F347" s="37"/>
      <c r="G347" s="37"/>
      <c r="H347" s="37"/>
      <c r="I347" s="37"/>
      <c r="J347" s="37"/>
      <c r="K347" s="37"/>
      <c r="L347" s="37"/>
      <c r="M347" s="37"/>
      <c r="N347" s="37"/>
      <c r="O347" s="37"/>
      <c r="P347" s="37"/>
      <c r="Q347" s="37"/>
      <c r="R347" s="37"/>
      <c r="S347" s="37"/>
      <c r="T347" s="37"/>
      <c r="U347" s="37"/>
      <c r="V347" s="37"/>
      <c r="W347" s="37"/>
      <c r="X347" s="37"/>
      <c r="Y347" s="37"/>
      <c r="Z347" s="37"/>
      <c r="AA347" s="37"/>
      <c r="AB347" s="37"/>
      <c r="AC347" s="37"/>
      <c r="AD347" s="37"/>
      <c r="AE347" s="37"/>
      <c r="AF347" s="37"/>
      <c r="AG347" s="37"/>
      <c r="AH347" s="37"/>
      <c r="AI347" s="37"/>
      <c r="AJ347" s="37"/>
      <c r="AK347" s="37"/>
      <c r="AL347" s="37"/>
      <c r="AM347" s="37"/>
      <c r="AN347" s="37"/>
      <c r="AO347" s="37"/>
      <c r="AP347" s="37"/>
      <c r="AQ347" s="37"/>
      <c r="AR347" s="37"/>
      <c r="AS347" s="37"/>
      <c r="AT347" s="37"/>
      <c r="AU347" s="37"/>
      <c r="AV347" s="37"/>
      <c r="AW347" s="37"/>
      <c r="AX347" s="37"/>
      <c r="AY347" s="37"/>
      <c r="AZ347" s="37"/>
    </row>
    <row r="348" spans="1:52">
      <c r="A348" s="37"/>
      <c r="B348" s="37"/>
      <c r="C348" s="37"/>
      <c r="D348" s="37"/>
      <c r="E348" s="37"/>
      <c r="F348" s="37"/>
      <c r="G348" s="37"/>
      <c r="H348" s="37"/>
      <c r="I348" s="37"/>
      <c r="J348" s="37"/>
      <c r="K348" s="37"/>
      <c r="L348" s="37"/>
      <c r="M348" s="37"/>
      <c r="N348" s="37"/>
      <c r="O348" s="37"/>
      <c r="P348" s="37"/>
      <c r="Q348" s="37"/>
      <c r="R348" s="37"/>
      <c r="S348" s="37"/>
      <c r="T348" s="37"/>
      <c r="U348" s="37"/>
      <c r="V348" s="37"/>
      <c r="W348" s="37"/>
      <c r="X348" s="37"/>
      <c r="Y348" s="37"/>
      <c r="Z348" s="37"/>
      <c r="AA348" s="37"/>
      <c r="AB348" s="37"/>
      <c r="AC348" s="37"/>
      <c r="AD348" s="37"/>
      <c r="AE348" s="37"/>
      <c r="AF348" s="37"/>
      <c r="AG348" s="37"/>
      <c r="AH348" s="37"/>
      <c r="AI348" s="37"/>
      <c r="AJ348" s="37"/>
      <c r="AK348" s="37"/>
      <c r="AL348" s="37"/>
      <c r="AM348" s="37"/>
      <c r="AN348" s="37"/>
      <c r="AO348" s="37"/>
      <c r="AP348" s="37"/>
      <c r="AQ348" s="37"/>
      <c r="AR348" s="37"/>
      <c r="AS348" s="37"/>
      <c r="AT348" s="37"/>
      <c r="AU348" s="37"/>
      <c r="AV348" s="37"/>
      <c r="AW348" s="37"/>
      <c r="AX348" s="37"/>
      <c r="AY348" s="37"/>
      <c r="AZ348" s="37"/>
    </row>
    <row r="349" spans="1:52">
      <c r="A349" s="37"/>
      <c r="B349" s="37"/>
      <c r="C349" s="37"/>
      <c r="D349" s="37"/>
      <c r="E349" s="37"/>
      <c r="F349" s="37"/>
      <c r="G349" s="37"/>
      <c r="H349" s="37"/>
      <c r="I349" s="37"/>
      <c r="J349" s="37"/>
      <c r="K349" s="37"/>
      <c r="L349" s="37"/>
      <c r="M349" s="37"/>
      <c r="N349" s="37"/>
      <c r="O349" s="37"/>
      <c r="P349" s="37"/>
      <c r="Q349" s="37"/>
      <c r="R349" s="37"/>
      <c r="S349" s="37"/>
      <c r="T349" s="37"/>
      <c r="U349" s="37"/>
      <c r="V349" s="37"/>
      <c r="W349" s="37"/>
      <c r="X349" s="37"/>
      <c r="Y349" s="37"/>
      <c r="Z349" s="37"/>
      <c r="AA349" s="37"/>
      <c r="AB349" s="37"/>
      <c r="AC349" s="37"/>
      <c r="AD349" s="37"/>
      <c r="AE349" s="37"/>
      <c r="AF349" s="37"/>
      <c r="AG349" s="37"/>
      <c r="AH349" s="37"/>
      <c r="AI349" s="37"/>
      <c r="AJ349" s="37"/>
      <c r="AK349" s="37"/>
      <c r="AL349" s="37"/>
      <c r="AM349" s="37"/>
      <c r="AN349" s="37"/>
      <c r="AO349" s="37"/>
      <c r="AP349" s="37"/>
      <c r="AQ349" s="37"/>
      <c r="AR349" s="37"/>
      <c r="AS349" s="37"/>
      <c r="AT349" s="37"/>
      <c r="AU349" s="37"/>
      <c r="AV349" s="37"/>
      <c r="AW349" s="37"/>
      <c r="AX349" s="37"/>
      <c r="AY349" s="37"/>
      <c r="AZ349" s="37"/>
    </row>
    <row r="350" spans="1:52">
      <c r="A350" s="37"/>
      <c r="B350" s="37"/>
      <c r="C350" s="37"/>
      <c r="D350" s="37"/>
      <c r="E350" s="37"/>
      <c r="F350" s="37"/>
      <c r="G350" s="37"/>
      <c r="H350" s="37"/>
      <c r="I350" s="37"/>
      <c r="J350" s="37"/>
      <c r="K350" s="37"/>
      <c r="L350" s="37"/>
      <c r="M350" s="37"/>
      <c r="N350" s="37"/>
      <c r="O350" s="37"/>
      <c r="P350" s="37"/>
      <c r="Q350" s="37"/>
      <c r="R350" s="37"/>
      <c r="S350" s="37"/>
      <c r="T350" s="37"/>
      <c r="U350" s="37"/>
      <c r="V350" s="37"/>
      <c r="W350" s="37"/>
      <c r="X350" s="37"/>
      <c r="Y350" s="37"/>
      <c r="Z350" s="37"/>
      <c r="AA350" s="37"/>
      <c r="AB350" s="37"/>
      <c r="AC350" s="37"/>
      <c r="AD350" s="37"/>
      <c r="AE350" s="37"/>
      <c r="AF350" s="37"/>
      <c r="AG350" s="37"/>
      <c r="AH350" s="37"/>
      <c r="AI350" s="37"/>
      <c r="AJ350" s="37"/>
      <c r="AK350" s="37"/>
      <c r="AL350" s="37"/>
      <c r="AM350" s="37"/>
      <c r="AN350" s="37"/>
      <c r="AO350" s="37"/>
      <c r="AP350" s="37"/>
      <c r="AQ350" s="37"/>
      <c r="AR350" s="37"/>
      <c r="AS350" s="37"/>
      <c r="AT350" s="37"/>
      <c r="AU350" s="37"/>
      <c r="AV350" s="37"/>
      <c r="AW350" s="37"/>
      <c r="AX350" s="37"/>
      <c r="AY350" s="37"/>
      <c r="AZ350" s="37"/>
    </row>
    <row r="351" spans="1:52">
      <c r="A351" s="37"/>
      <c r="B351" s="37"/>
      <c r="C351" s="37"/>
      <c r="D351" s="37"/>
      <c r="E351" s="37"/>
      <c r="F351" s="37"/>
      <c r="G351" s="37"/>
      <c r="H351" s="37"/>
      <c r="I351" s="37"/>
      <c r="J351" s="37"/>
      <c r="K351" s="37"/>
      <c r="L351" s="37"/>
      <c r="M351" s="37"/>
      <c r="N351" s="37"/>
      <c r="O351" s="37"/>
      <c r="P351" s="37"/>
      <c r="Q351" s="37"/>
      <c r="R351" s="37"/>
      <c r="S351" s="37"/>
      <c r="T351" s="37"/>
      <c r="U351" s="37"/>
      <c r="V351" s="37"/>
      <c r="W351" s="37"/>
      <c r="X351" s="37"/>
      <c r="Y351" s="37"/>
      <c r="Z351" s="37"/>
      <c r="AA351" s="37"/>
      <c r="AB351" s="37"/>
      <c r="AC351" s="37"/>
      <c r="AD351" s="37"/>
      <c r="AE351" s="37"/>
      <c r="AF351" s="37"/>
      <c r="AG351" s="37"/>
      <c r="AH351" s="37"/>
      <c r="AI351" s="37"/>
      <c r="AJ351" s="37"/>
      <c r="AK351" s="37"/>
      <c r="AL351" s="37"/>
      <c r="AM351" s="37"/>
      <c r="AN351" s="37"/>
      <c r="AO351" s="37"/>
      <c r="AP351" s="37"/>
      <c r="AQ351" s="37"/>
      <c r="AR351" s="37"/>
      <c r="AS351" s="37"/>
      <c r="AT351" s="37"/>
      <c r="AU351" s="37"/>
      <c r="AV351" s="37"/>
      <c r="AW351" s="37"/>
      <c r="AX351" s="37"/>
      <c r="AY351" s="37"/>
      <c r="AZ351" s="37"/>
    </row>
    <row r="352" spans="1:52">
      <c r="A352" s="37"/>
      <c r="B352" s="37"/>
      <c r="C352" s="37"/>
      <c r="D352" s="37"/>
      <c r="E352" s="37"/>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c r="AM352" s="37"/>
      <c r="AN352" s="37"/>
      <c r="AO352" s="37"/>
      <c r="AP352" s="37"/>
      <c r="AQ352" s="37"/>
      <c r="AR352" s="37"/>
      <c r="AS352" s="37"/>
      <c r="AT352" s="37"/>
      <c r="AU352" s="37"/>
      <c r="AV352" s="37"/>
      <c r="AW352" s="37"/>
      <c r="AX352" s="37"/>
      <c r="AY352" s="37"/>
      <c r="AZ352" s="37"/>
    </row>
    <row r="353" spans="1:52">
      <c r="A353" s="37"/>
      <c r="B353" s="37"/>
      <c r="C353" s="37"/>
      <c r="D353" s="37"/>
      <c r="E353" s="37"/>
      <c r="F353" s="37"/>
      <c r="G353" s="37"/>
      <c r="H353" s="37"/>
      <c r="I353" s="37"/>
      <c r="J353" s="37"/>
      <c r="K353" s="37"/>
      <c r="L353" s="37"/>
      <c r="M353" s="37"/>
      <c r="N353" s="37"/>
      <c r="O353" s="37"/>
      <c r="P353" s="37"/>
      <c r="Q353" s="37"/>
      <c r="R353" s="37"/>
      <c r="S353" s="37"/>
      <c r="T353" s="37"/>
      <c r="U353" s="37"/>
      <c r="V353" s="37"/>
      <c r="W353" s="37"/>
      <c r="X353" s="37"/>
      <c r="Y353" s="37"/>
      <c r="Z353" s="37"/>
      <c r="AA353" s="37"/>
      <c r="AB353" s="37"/>
      <c r="AC353" s="37"/>
      <c r="AD353" s="37"/>
      <c r="AE353" s="37"/>
      <c r="AF353" s="37"/>
      <c r="AG353" s="37"/>
      <c r="AH353" s="37"/>
      <c r="AI353" s="37"/>
      <c r="AJ353" s="37"/>
      <c r="AK353" s="37"/>
      <c r="AL353" s="37"/>
      <c r="AM353" s="37"/>
      <c r="AN353" s="37"/>
      <c r="AO353" s="37"/>
      <c r="AP353" s="37"/>
      <c r="AQ353" s="37"/>
      <c r="AR353" s="37"/>
      <c r="AS353" s="37"/>
      <c r="AT353" s="37"/>
      <c r="AU353" s="37"/>
      <c r="AV353" s="37"/>
      <c r="AW353" s="37"/>
      <c r="AX353" s="37"/>
      <c r="AY353" s="37"/>
      <c r="AZ353" s="37"/>
    </row>
    <row r="354" spans="1:52">
      <c r="A354" s="37"/>
      <c r="B354" s="37"/>
      <c r="C354" s="37"/>
      <c r="D354" s="37"/>
      <c r="E354" s="37"/>
      <c r="F354" s="37"/>
      <c r="G354" s="37"/>
      <c r="H354" s="37"/>
      <c r="I354" s="37"/>
      <c r="J354" s="37"/>
      <c r="K354" s="37"/>
      <c r="L354" s="37"/>
      <c r="M354" s="37"/>
      <c r="N354" s="37"/>
      <c r="O354" s="37"/>
      <c r="P354" s="37"/>
      <c r="Q354" s="37"/>
      <c r="R354" s="37"/>
      <c r="S354" s="37"/>
      <c r="T354" s="37"/>
      <c r="U354" s="37"/>
      <c r="V354" s="37"/>
      <c r="W354" s="37"/>
      <c r="X354" s="37"/>
      <c r="Y354" s="37"/>
      <c r="Z354" s="37"/>
      <c r="AA354" s="37"/>
      <c r="AB354" s="37"/>
      <c r="AC354" s="37"/>
      <c r="AD354" s="37"/>
      <c r="AE354" s="37"/>
      <c r="AF354" s="37"/>
      <c r="AG354" s="37"/>
      <c r="AH354" s="37"/>
      <c r="AI354" s="37"/>
      <c r="AJ354" s="37"/>
      <c r="AK354" s="37"/>
      <c r="AL354" s="37"/>
      <c r="AM354" s="37"/>
      <c r="AN354" s="37"/>
      <c r="AO354" s="37"/>
      <c r="AP354" s="37"/>
      <c r="AQ354" s="37"/>
      <c r="AR354" s="37"/>
      <c r="AS354" s="37"/>
      <c r="AT354" s="37"/>
      <c r="AU354" s="37"/>
      <c r="AV354" s="37"/>
      <c r="AW354" s="37"/>
      <c r="AX354" s="37"/>
      <c r="AY354" s="37"/>
      <c r="AZ354" s="37"/>
    </row>
    <row r="355" spans="1:52">
      <c r="A355" s="37"/>
      <c r="B355" s="37"/>
      <c r="C355" s="37"/>
      <c r="D355" s="37"/>
      <c r="E355" s="37"/>
      <c r="F355" s="37"/>
      <c r="G355" s="37"/>
      <c r="H355" s="37"/>
      <c r="I355" s="37"/>
      <c r="J355" s="37"/>
      <c r="K355" s="37"/>
      <c r="L355" s="37"/>
      <c r="M355" s="37"/>
      <c r="N355" s="37"/>
      <c r="O355" s="37"/>
      <c r="P355" s="37"/>
      <c r="Q355" s="37"/>
      <c r="R355" s="37"/>
      <c r="S355" s="37"/>
      <c r="T355" s="37"/>
      <c r="U355" s="37"/>
      <c r="V355" s="37"/>
      <c r="W355" s="37"/>
      <c r="X355" s="37"/>
      <c r="Y355" s="37"/>
      <c r="Z355" s="37"/>
      <c r="AA355" s="37"/>
      <c r="AB355" s="37"/>
      <c r="AC355" s="37"/>
      <c r="AD355" s="37"/>
      <c r="AE355" s="37"/>
      <c r="AF355" s="37"/>
      <c r="AG355" s="37"/>
      <c r="AH355" s="37"/>
      <c r="AI355" s="37"/>
      <c r="AJ355" s="37"/>
      <c r="AK355" s="37"/>
      <c r="AL355" s="37"/>
      <c r="AM355" s="37"/>
      <c r="AN355" s="37"/>
      <c r="AO355" s="37"/>
      <c r="AP355" s="37"/>
      <c r="AQ355" s="37"/>
      <c r="AR355" s="37"/>
      <c r="AS355" s="37"/>
      <c r="AT355" s="37"/>
      <c r="AU355" s="37"/>
      <c r="AV355" s="37"/>
      <c r="AW355" s="37"/>
      <c r="AX355" s="37"/>
      <c r="AY355" s="37"/>
      <c r="AZ355" s="37"/>
    </row>
    <row r="356" spans="1:52">
      <c r="A356" s="37"/>
      <c r="B356" s="37"/>
      <c r="C356" s="37"/>
      <c r="D356" s="37"/>
      <c r="E356" s="37"/>
      <c r="F356" s="37"/>
      <c r="G356" s="37"/>
      <c r="H356" s="37"/>
      <c r="I356" s="37"/>
      <c r="J356" s="37"/>
      <c r="K356" s="37"/>
      <c r="L356" s="37"/>
      <c r="M356" s="37"/>
      <c r="N356" s="37"/>
      <c r="O356" s="37"/>
      <c r="P356" s="37"/>
      <c r="Q356" s="37"/>
      <c r="R356" s="37"/>
      <c r="S356" s="37"/>
      <c r="T356" s="37"/>
      <c r="U356" s="37"/>
      <c r="V356" s="37"/>
      <c r="W356" s="37"/>
      <c r="X356" s="37"/>
      <c r="Y356" s="37"/>
      <c r="Z356" s="37"/>
      <c r="AA356" s="37"/>
      <c r="AB356" s="37"/>
      <c r="AC356" s="37"/>
      <c r="AD356" s="37"/>
      <c r="AE356" s="37"/>
      <c r="AF356" s="37"/>
      <c r="AG356" s="37"/>
      <c r="AH356" s="37"/>
      <c r="AI356" s="37"/>
      <c r="AJ356" s="37"/>
      <c r="AK356" s="37"/>
      <c r="AL356" s="37"/>
      <c r="AM356" s="37"/>
      <c r="AN356" s="37"/>
      <c r="AO356" s="37"/>
      <c r="AP356" s="37"/>
      <c r="AQ356" s="37"/>
      <c r="AR356" s="37"/>
      <c r="AS356" s="37"/>
      <c r="AT356" s="37"/>
      <c r="AU356" s="37"/>
      <c r="AV356" s="37"/>
      <c r="AW356" s="37"/>
      <c r="AX356" s="37"/>
      <c r="AY356" s="37"/>
      <c r="AZ356" s="37"/>
    </row>
    <row r="357" spans="1:52">
      <c r="A357" s="37"/>
      <c r="B357" s="37"/>
      <c r="C357" s="37"/>
      <c r="D357" s="37"/>
      <c r="E357" s="37"/>
      <c r="F357" s="37"/>
      <c r="G357" s="37"/>
      <c r="H357" s="37"/>
      <c r="I357" s="37"/>
      <c r="J357" s="37"/>
      <c r="K357" s="37"/>
      <c r="L357" s="37"/>
      <c r="M357" s="37"/>
      <c r="N357" s="37"/>
      <c r="O357" s="37"/>
      <c r="P357" s="37"/>
      <c r="Q357" s="37"/>
      <c r="R357" s="37"/>
      <c r="S357" s="37"/>
      <c r="T357" s="37"/>
      <c r="U357" s="37"/>
      <c r="V357" s="37"/>
      <c r="W357" s="37"/>
      <c r="X357" s="37"/>
      <c r="Y357" s="37"/>
      <c r="Z357" s="37"/>
      <c r="AA357" s="37"/>
      <c r="AB357" s="37"/>
      <c r="AC357" s="37"/>
      <c r="AD357" s="37"/>
      <c r="AE357" s="37"/>
      <c r="AF357" s="37"/>
      <c r="AG357" s="37"/>
      <c r="AH357" s="37"/>
      <c r="AI357" s="37"/>
      <c r="AJ357" s="37"/>
      <c r="AK357" s="37"/>
      <c r="AL357" s="37"/>
      <c r="AM357" s="37"/>
      <c r="AN357" s="37"/>
      <c r="AO357" s="37"/>
      <c r="AP357" s="37"/>
      <c r="AQ357" s="37"/>
      <c r="AR357" s="37"/>
      <c r="AS357" s="37"/>
      <c r="AT357" s="37"/>
      <c r="AU357" s="37"/>
      <c r="AV357" s="37"/>
      <c r="AW357" s="37"/>
      <c r="AX357" s="37"/>
      <c r="AY357" s="37"/>
      <c r="AZ357" s="37"/>
    </row>
    <row r="358" spans="1:52">
      <c r="A358" s="37"/>
      <c r="B358" s="37"/>
      <c r="C358" s="37"/>
      <c r="D358" s="37"/>
      <c r="E358" s="37"/>
      <c r="F358" s="37"/>
      <c r="G358" s="37"/>
      <c r="H358" s="37"/>
      <c r="I358" s="37"/>
      <c r="J358" s="37"/>
      <c r="K358" s="37"/>
      <c r="L358" s="37"/>
      <c r="M358" s="37"/>
      <c r="N358" s="37"/>
      <c r="O358" s="37"/>
      <c r="P358" s="37"/>
      <c r="Q358" s="37"/>
      <c r="R358" s="37"/>
      <c r="S358" s="37"/>
      <c r="T358" s="37"/>
      <c r="U358" s="37"/>
      <c r="V358" s="37"/>
      <c r="W358" s="37"/>
      <c r="X358" s="37"/>
      <c r="Y358" s="37"/>
      <c r="Z358" s="37"/>
      <c r="AA358" s="37"/>
      <c r="AB358" s="37"/>
      <c r="AC358" s="37"/>
      <c r="AD358" s="37"/>
      <c r="AE358" s="37"/>
      <c r="AF358" s="37"/>
      <c r="AG358" s="37"/>
      <c r="AH358" s="37"/>
      <c r="AI358" s="37"/>
      <c r="AJ358" s="37"/>
      <c r="AK358" s="37"/>
      <c r="AL358" s="37"/>
      <c r="AM358" s="37"/>
      <c r="AN358" s="37"/>
      <c r="AO358" s="37"/>
      <c r="AP358" s="37"/>
      <c r="AQ358" s="37"/>
      <c r="AR358" s="37"/>
      <c r="AS358" s="37"/>
      <c r="AT358" s="37"/>
      <c r="AU358" s="37"/>
      <c r="AV358" s="37"/>
      <c r="AW358" s="37"/>
      <c r="AX358" s="37"/>
      <c r="AY358" s="37"/>
      <c r="AZ358" s="37"/>
    </row>
    <row r="359" spans="1:52">
      <c r="A359" s="37"/>
      <c r="B359" s="37"/>
      <c r="C359" s="37"/>
      <c r="D359" s="37"/>
      <c r="E359" s="37"/>
      <c r="F359" s="37"/>
      <c r="G359" s="37"/>
      <c r="H359" s="37"/>
      <c r="I359" s="37"/>
      <c r="J359" s="37"/>
      <c r="K359" s="37"/>
      <c r="L359" s="37"/>
      <c r="M359" s="37"/>
      <c r="N359" s="37"/>
      <c r="O359" s="37"/>
      <c r="P359" s="37"/>
      <c r="Q359" s="37"/>
      <c r="R359" s="37"/>
      <c r="S359" s="37"/>
      <c r="T359" s="37"/>
      <c r="U359" s="37"/>
      <c r="V359" s="37"/>
      <c r="W359" s="37"/>
      <c r="X359" s="37"/>
      <c r="Y359" s="37"/>
      <c r="Z359" s="37"/>
      <c r="AA359" s="37"/>
      <c r="AB359" s="37"/>
      <c r="AC359" s="37"/>
      <c r="AD359" s="37"/>
      <c r="AE359" s="37"/>
      <c r="AF359" s="37"/>
      <c r="AG359" s="37"/>
      <c r="AH359" s="37"/>
      <c r="AI359" s="37"/>
      <c r="AJ359" s="37"/>
      <c r="AK359" s="37"/>
      <c r="AL359" s="37"/>
      <c r="AM359" s="37"/>
      <c r="AN359" s="37"/>
      <c r="AO359" s="37"/>
      <c r="AP359" s="37"/>
      <c r="AQ359" s="37"/>
      <c r="AR359" s="37"/>
      <c r="AS359" s="37"/>
      <c r="AT359" s="37"/>
      <c r="AU359" s="37"/>
      <c r="AV359" s="37"/>
      <c r="AW359" s="37"/>
      <c r="AX359" s="37"/>
      <c r="AY359" s="37"/>
      <c r="AZ359" s="37"/>
    </row>
    <row r="360" spans="1:52">
      <c r="A360" s="37"/>
      <c r="B360" s="37"/>
      <c r="C360" s="37"/>
      <c r="D360" s="37"/>
      <c r="E360" s="37"/>
      <c r="F360" s="37"/>
      <c r="G360" s="37"/>
      <c r="H360" s="37"/>
      <c r="I360" s="37"/>
      <c r="J360" s="37"/>
      <c r="K360" s="37"/>
      <c r="L360" s="37"/>
      <c r="M360" s="37"/>
      <c r="N360" s="37"/>
      <c r="O360" s="37"/>
      <c r="P360" s="37"/>
      <c r="Q360" s="37"/>
      <c r="R360" s="37"/>
      <c r="S360" s="37"/>
      <c r="T360" s="37"/>
      <c r="U360" s="37"/>
      <c r="V360" s="37"/>
      <c r="W360" s="37"/>
      <c r="X360" s="37"/>
      <c r="Y360" s="37"/>
      <c r="Z360" s="37"/>
      <c r="AA360" s="37"/>
      <c r="AB360" s="37"/>
      <c r="AC360" s="37"/>
      <c r="AD360" s="37"/>
      <c r="AE360" s="37"/>
      <c r="AF360" s="37"/>
      <c r="AG360" s="37"/>
      <c r="AH360" s="37"/>
      <c r="AI360" s="37"/>
      <c r="AJ360" s="37"/>
      <c r="AK360" s="37"/>
      <c r="AL360" s="37"/>
      <c r="AM360" s="37"/>
      <c r="AN360" s="37"/>
      <c r="AO360" s="37"/>
      <c r="AP360" s="37"/>
      <c r="AQ360" s="37"/>
      <c r="AR360" s="37"/>
      <c r="AS360" s="37"/>
      <c r="AT360" s="37"/>
      <c r="AU360" s="37"/>
      <c r="AV360" s="37"/>
      <c r="AW360" s="37"/>
      <c r="AX360" s="37"/>
      <c r="AY360" s="37"/>
      <c r="AZ360" s="37"/>
    </row>
    <row r="361" spans="1:52">
      <c r="A361" s="37"/>
      <c r="B361" s="37"/>
      <c r="C361" s="37"/>
      <c r="D361" s="37"/>
      <c r="E361" s="37"/>
      <c r="F361" s="37"/>
      <c r="G361" s="37"/>
      <c r="H361" s="37"/>
      <c r="I361" s="37"/>
      <c r="J361" s="37"/>
      <c r="K361" s="37"/>
      <c r="L361" s="37"/>
      <c r="M361" s="37"/>
      <c r="N361" s="37"/>
      <c r="O361" s="37"/>
      <c r="P361" s="37"/>
      <c r="Q361" s="37"/>
      <c r="R361" s="37"/>
      <c r="S361" s="37"/>
      <c r="T361" s="37"/>
      <c r="U361" s="37"/>
      <c r="V361" s="37"/>
      <c r="W361" s="37"/>
      <c r="X361" s="37"/>
      <c r="Y361" s="37"/>
      <c r="Z361" s="37"/>
      <c r="AA361" s="37"/>
      <c r="AB361" s="37"/>
      <c r="AC361" s="37"/>
      <c r="AD361" s="37"/>
      <c r="AE361" s="37"/>
      <c r="AF361" s="37"/>
      <c r="AG361" s="37"/>
      <c r="AH361" s="37"/>
      <c r="AI361" s="37"/>
      <c r="AJ361" s="37"/>
      <c r="AK361" s="37"/>
      <c r="AL361" s="37"/>
      <c r="AM361" s="37"/>
      <c r="AN361" s="37"/>
      <c r="AO361" s="37"/>
      <c r="AP361" s="37"/>
      <c r="AQ361" s="37"/>
      <c r="AR361" s="37"/>
      <c r="AS361" s="37"/>
      <c r="AT361" s="37"/>
      <c r="AU361" s="37"/>
      <c r="AV361" s="37"/>
      <c r="AW361" s="37"/>
      <c r="AX361" s="37"/>
      <c r="AY361" s="37"/>
      <c r="AZ361" s="37"/>
    </row>
    <row r="362" spans="1:52">
      <c r="A362" s="37"/>
      <c r="B362" s="37"/>
      <c r="C362" s="37"/>
      <c r="D362" s="37"/>
      <c r="E362" s="37"/>
      <c r="F362" s="37"/>
      <c r="G362" s="37"/>
      <c r="H362" s="37"/>
      <c r="I362" s="37"/>
      <c r="J362" s="37"/>
      <c r="K362" s="37"/>
      <c r="L362" s="37"/>
      <c r="M362" s="37"/>
      <c r="N362" s="37"/>
      <c r="O362" s="37"/>
      <c r="P362" s="37"/>
      <c r="Q362" s="37"/>
      <c r="R362" s="37"/>
      <c r="S362" s="37"/>
      <c r="T362" s="37"/>
      <c r="U362" s="37"/>
      <c r="V362" s="37"/>
      <c r="W362" s="37"/>
      <c r="X362" s="37"/>
      <c r="Y362" s="37"/>
      <c r="Z362" s="37"/>
      <c r="AA362" s="37"/>
      <c r="AB362" s="37"/>
      <c r="AC362" s="37"/>
      <c r="AD362" s="37"/>
      <c r="AE362" s="37"/>
      <c r="AF362" s="37"/>
      <c r="AG362" s="37"/>
      <c r="AH362" s="37"/>
      <c r="AI362" s="37"/>
      <c r="AJ362" s="37"/>
      <c r="AK362" s="37"/>
      <c r="AL362" s="37"/>
      <c r="AM362" s="37"/>
      <c r="AN362" s="37"/>
      <c r="AO362" s="37"/>
      <c r="AP362" s="37"/>
      <c r="AQ362" s="37"/>
      <c r="AR362" s="37"/>
      <c r="AS362" s="37"/>
      <c r="AT362" s="37"/>
      <c r="AU362" s="37"/>
      <c r="AV362" s="37"/>
      <c r="AW362" s="37"/>
      <c r="AX362" s="37"/>
      <c r="AY362" s="37"/>
      <c r="AZ362" s="37"/>
    </row>
    <row r="363" spans="1:52">
      <c r="A363" s="37"/>
      <c r="B363" s="37"/>
      <c r="C363" s="37"/>
      <c r="D363" s="37"/>
      <c r="E363" s="37"/>
      <c r="F363" s="37"/>
      <c r="G363" s="37"/>
      <c r="H363" s="37"/>
      <c r="I363" s="37"/>
      <c r="J363" s="37"/>
      <c r="K363" s="37"/>
      <c r="L363" s="37"/>
      <c r="M363" s="37"/>
      <c r="N363" s="37"/>
      <c r="O363" s="37"/>
      <c r="P363" s="37"/>
      <c r="Q363" s="37"/>
      <c r="R363" s="37"/>
      <c r="S363" s="37"/>
      <c r="T363" s="37"/>
      <c r="U363" s="37"/>
      <c r="V363" s="37"/>
      <c r="W363" s="37"/>
      <c r="X363" s="37"/>
      <c r="Y363" s="37"/>
      <c r="Z363" s="37"/>
      <c r="AA363" s="37"/>
      <c r="AB363" s="37"/>
      <c r="AC363" s="37"/>
      <c r="AD363" s="37"/>
      <c r="AE363" s="37"/>
      <c r="AF363" s="37"/>
      <c r="AG363" s="37"/>
      <c r="AH363" s="37"/>
      <c r="AI363" s="37"/>
      <c r="AJ363" s="37"/>
      <c r="AK363" s="37"/>
      <c r="AL363" s="37"/>
      <c r="AM363" s="37"/>
      <c r="AN363" s="37"/>
      <c r="AO363" s="37"/>
      <c r="AP363" s="37"/>
      <c r="AQ363" s="37"/>
      <c r="AR363" s="37"/>
      <c r="AS363" s="37"/>
      <c r="AT363" s="37"/>
      <c r="AU363" s="37"/>
      <c r="AV363" s="37"/>
      <c r="AW363" s="37"/>
      <c r="AX363" s="37"/>
      <c r="AY363" s="37"/>
      <c r="AZ363" s="37"/>
    </row>
    <row r="364" spans="1:52">
      <c r="A364" s="37"/>
      <c r="B364" s="37"/>
      <c r="C364" s="37"/>
      <c r="D364" s="37"/>
      <c r="E364" s="37"/>
      <c r="F364" s="37"/>
      <c r="G364" s="37"/>
      <c r="H364" s="37"/>
      <c r="I364" s="37"/>
      <c r="J364" s="37"/>
      <c r="K364" s="37"/>
      <c r="L364" s="37"/>
      <c r="M364" s="37"/>
      <c r="N364" s="37"/>
      <c r="O364" s="37"/>
      <c r="P364" s="37"/>
      <c r="Q364" s="37"/>
      <c r="R364" s="37"/>
      <c r="S364" s="37"/>
      <c r="T364" s="37"/>
      <c r="U364" s="37"/>
      <c r="V364" s="37"/>
      <c r="W364" s="37"/>
      <c r="X364" s="37"/>
      <c r="Y364" s="37"/>
      <c r="Z364" s="37"/>
      <c r="AA364" s="37"/>
      <c r="AB364" s="37"/>
      <c r="AC364" s="37"/>
      <c r="AD364" s="37"/>
      <c r="AE364" s="37"/>
      <c r="AF364" s="37"/>
      <c r="AG364" s="37"/>
      <c r="AH364" s="37"/>
      <c r="AI364" s="37"/>
      <c r="AJ364" s="37"/>
      <c r="AK364" s="37"/>
      <c r="AL364" s="37"/>
      <c r="AM364" s="37"/>
      <c r="AN364" s="37"/>
      <c r="AO364" s="37"/>
      <c r="AP364" s="37"/>
      <c r="AQ364" s="37"/>
      <c r="AR364" s="37"/>
      <c r="AS364" s="37"/>
      <c r="AT364" s="37"/>
      <c r="AU364" s="37"/>
      <c r="AV364" s="37"/>
      <c r="AW364" s="37"/>
      <c r="AX364" s="37"/>
      <c r="AY364" s="37"/>
      <c r="AZ364" s="37"/>
    </row>
    <row r="365" spans="1:52">
      <c r="A365" s="37"/>
      <c r="B365" s="37"/>
      <c r="C365" s="37"/>
      <c r="D365" s="37"/>
      <c r="E365" s="37"/>
      <c r="F365" s="37"/>
      <c r="G365" s="37"/>
      <c r="H365" s="37"/>
      <c r="I365" s="37"/>
      <c r="J365" s="37"/>
      <c r="K365" s="37"/>
      <c r="L365" s="37"/>
      <c r="M365" s="37"/>
      <c r="N365" s="37"/>
      <c r="O365" s="37"/>
      <c r="P365" s="37"/>
      <c r="Q365" s="37"/>
      <c r="R365" s="37"/>
      <c r="S365" s="37"/>
      <c r="T365" s="37"/>
      <c r="U365" s="37"/>
      <c r="V365" s="37"/>
      <c r="W365" s="37"/>
      <c r="X365" s="37"/>
      <c r="Y365" s="37"/>
      <c r="Z365" s="37"/>
      <c r="AA365" s="37"/>
      <c r="AB365" s="37"/>
      <c r="AC365" s="37"/>
      <c r="AD365" s="37"/>
      <c r="AE365" s="37"/>
      <c r="AF365" s="37"/>
      <c r="AG365" s="37"/>
      <c r="AH365" s="37"/>
      <c r="AI365" s="37"/>
      <c r="AJ365" s="37"/>
      <c r="AK365" s="37"/>
      <c r="AL365" s="37"/>
      <c r="AM365" s="37"/>
      <c r="AN365" s="37"/>
      <c r="AO365" s="37"/>
      <c r="AP365" s="37"/>
      <c r="AQ365" s="37"/>
      <c r="AR365" s="37"/>
      <c r="AS365" s="37"/>
      <c r="AT365" s="37"/>
      <c r="AU365" s="37"/>
      <c r="AV365" s="37"/>
      <c r="AW365" s="37"/>
      <c r="AX365" s="37"/>
      <c r="AY365" s="37"/>
      <c r="AZ365" s="37"/>
    </row>
    <row r="366" spans="1:52">
      <c r="A366" s="37"/>
      <c r="B366" s="37"/>
      <c r="C366" s="37"/>
      <c r="D366" s="37"/>
      <c r="E366" s="37"/>
      <c r="F366" s="37"/>
      <c r="G366" s="37"/>
      <c r="H366" s="37"/>
      <c r="I366" s="37"/>
      <c r="J366" s="37"/>
      <c r="K366" s="37"/>
      <c r="L366" s="37"/>
      <c r="M366" s="37"/>
      <c r="N366" s="37"/>
      <c r="O366" s="37"/>
      <c r="P366" s="37"/>
      <c r="Q366" s="37"/>
      <c r="R366" s="37"/>
      <c r="S366" s="37"/>
      <c r="T366" s="37"/>
      <c r="U366" s="37"/>
      <c r="V366" s="37"/>
      <c r="W366" s="37"/>
      <c r="X366" s="37"/>
      <c r="Y366" s="37"/>
      <c r="Z366" s="37"/>
      <c r="AA366" s="37"/>
      <c r="AB366" s="37"/>
      <c r="AC366" s="37"/>
      <c r="AD366" s="37"/>
      <c r="AE366" s="37"/>
      <c r="AF366" s="37"/>
      <c r="AG366" s="37"/>
      <c r="AH366" s="37"/>
      <c r="AI366" s="37"/>
      <c r="AJ366" s="37"/>
      <c r="AK366" s="37"/>
      <c r="AL366" s="37"/>
      <c r="AM366" s="37"/>
      <c r="AN366" s="37"/>
      <c r="AO366" s="37"/>
      <c r="AP366" s="37"/>
      <c r="AQ366" s="37"/>
      <c r="AR366" s="37"/>
      <c r="AS366" s="37"/>
      <c r="AT366" s="37"/>
      <c r="AU366" s="37"/>
      <c r="AV366" s="37"/>
      <c r="AW366" s="37"/>
      <c r="AX366" s="37"/>
      <c r="AY366" s="37"/>
      <c r="AZ366" s="37"/>
    </row>
    <row r="367" spans="1:52">
      <c r="A367" s="37"/>
      <c r="B367" s="37"/>
      <c r="C367" s="37"/>
      <c r="D367" s="37"/>
      <c r="E367" s="37"/>
      <c r="F367" s="37"/>
      <c r="G367" s="37"/>
      <c r="H367" s="37"/>
      <c r="I367" s="37"/>
      <c r="J367" s="37"/>
      <c r="K367" s="37"/>
      <c r="L367" s="37"/>
      <c r="M367" s="37"/>
      <c r="N367" s="37"/>
      <c r="O367" s="37"/>
      <c r="P367" s="37"/>
      <c r="Q367" s="37"/>
      <c r="R367" s="37"/>
      <c r="S367" s="37"/>
      <c r="T367" s="37"/>
      <c r="U367" s="37"/>
      <c r="V367" s="37"/>
      <c r="W367" s="37"/>
      <c r="X367" s="37"/>
      <c r="Y367" s="37"/>
      <c r="Z367" s="37"/>
      <c r="AA367" s="37"/>
      <c r="AB367" s="37"/>
      <c r="AC367" s="37"/>
      <c r="AD367" s="37"/>
      <c r="AE367" s="37"/>
      <c r="AF367" s="37"/>
      <c r="AG367" s="37"/>
      <c r="AH367" s="37"/>
      <c r="AI367" s="37"/>
      <c r="AJ367" s="37"/>
      <c r="AK367" s="37"/>
      <c r="AL367" s="37"/>
      <c r="AM367" s="37"/>
      <c r="AN367" s="37"/>
      <c r="AO367" s="37"/>
      <c r="AP367" s="37"/>
      <c r="AQ367" s="37"/>
      <c r="AR367" s="37"/>
      <c r="AS367" s="37"/>
      <c r="AT367" s="37"/>
      <c r="AU367" s="37"/>
      <c r="AV367" s="37"/>
      <c r="AW367" s="37"/>
      <c r="AX367" s="37"/>
      <c r="AY367" s="37"/>
      <c r="AZ367" s="37"/>
    </row>
    <row r="368" spans="1:52">
      <c r="A368" s="37"/>
      <c r="B368" s="37"/>
      <c r="C368" s="37"/>
      <c r="D368" s="37"/>
      <c r="E368" s="37"/>
      <c r="F368" s="37"/>
      <c r="G368" s="37"/>
      <c r="H368" s="37"/>
      <c r="I368" s="37"/>
      <c r="J368" s="37"/>
      <c r="K368" s="37"/>
      <c r="L368" s="37"/>
      <c r="M368" s="37"/>
      <c r="N368" s="37"/>
      <c r="O368" s="37"/>
      <c r="P368" s="37"/>
      <c r="Q368" s="37"/>
      <c r="R368" s="37"/>
      <c r="S368" s="37"/>
      <c r="T368" s="37"/>
      <c r="U368" s="37"/>
      <c r="V368" s="37"/>
      <c r="W368" s="37"/>
      <c r="X368" s="37"/>
      <c r="Y368" s="37"/>
      <c r="Z368" s="37"/>
      <c r="AA368" s="37"/>
      <c r="AB368" s="37"/>
      <c r="AC368" s="37"/>
      <c r="AD368" s="37"/>
      <c r="AE368" s="37"/>
      <c r="AF368" s="37"/>
      <c r="AG368" s="37"/>
      <c r="AH368" s="37"/>
      <c r="AI368" s="37"/>
      <c r="AJ368" s="37"/>
      <c r="AK368" s="37"/>
      <c r="AL368" s="37"/>
      <c r="AM368" s="37"/>
      <c r="AN368" s="37"/>
      <c r="AO368" s="37"/>
      <c r="AP368" s="37"/>
      <c r="AQ368" s="37"/>
      <c r="AR368" s="37"/>
      <c r="AS368" s="37"/>
      <c r="AT368" s="37"/>
      <c r="AU368" s="37"/>
      <c r="AV368" s="37"/>
      <c r="AW368" s="37"/>
      <c r="AX368" s="37"/>
      <c r="AY368" s="37"/>
      <c r="AZ368" s="37"/>
    </row>
    <row r="369" spans="1:52">
      <c r="A369" s="37"/>
      <c r="B369" s="37"/>
      <c r="C369" s="37"/>
      <c r="D369" s="37"/>
      <c r="E369" s="37"/>
      <c r="F369" s="37"/>
      <c r="G369" s="37"/>
      <c r="H369" s="37"/>
      <c r="I369" s="37"/>
      <c r="J369" s="37"/>
      <c r="K369" s="37"/>
      <c r="L369" s="37"/>
      <c r="M369" s="37"/>
      <c r="N369" s="37"/>
      <c r="O369" s="37"/>
      <c r="P369" s="37"/>
      <c r="Q369" s="37"/>
      <c r="R369" s="37"/>
      <c r="S369" s="37"/>
      <c r="T369" s="37"/>
      <c r="U369" s="37"/>
      <c r="V369" s="37"/>
      <c r="W369" s="37"/>
      <c r="X369" s="37"/>
      <c r="Y369" s="37"/>
      <c r="Z369" s="37"/>
      <c r="AA369" s="37"/>
      <c r="AB369" s="37"/>
      <c r="AC369" s="37"/>
      <c r="AD369" s="37"/>
      <c r="AE369" s="37"/>
      <c r="AF369" s="37"/>
      <c r="AG369" s="37"/>
      <c r="AH369" s="37"/>
      <c r="AI369" s="37"/>
      <c r="AJ369" s="37"/>
      <c r="AK369" s="37"/>
      <c r="AL369" s="37"/>
      <c r="AM369" s="37"/>
      <c r="AN369" s="37"/>
      <c r="AO369" s="37"/>
      <c r="AP369" s="37"/>
      <c r="AQ369" s="37"/>
      <c r="AR369" s="37"/>
      <c r="AS369" s="37"/>
      <c r="AT369" s="37"/>
      <c r="AU369" s="37"/>
      <c r="AV369" s="37"/>
      <c r="AW369" s="37"/>
      <c r="AX369" s="37"/>
      <c r="AY369" s="37"/>
      <c r="AZ369" s="37"/>
    </row>
    <row r="370" spans="1:52">
      <c r="A370" s="37"/>
      <c r="B370" s="37"/>
      <c r="C370" s="37"/>
      <c r="D370" s="37"/>
      <c r="E370" s="37"/>
      <c r="F370" s="37"/>
      <c r="G370" s="37"/>
      <c r="H370" s="37"/>
      <c r="I370" s="37"/>
      <c r="J370" s="37"/>
      <c r="K370" s="37"/>
      <c r="L370" s="37"/>
      <c r="M370" s="37"/>
      <c r="N370" s="37"/>
      <c r="O370" s="37"/>
      <c r="P370" s="37"/>
      <c r="Q370" s="37"/>
      <c r="R370" s="37"/>
      <c r="S370" s="37"/>
      <c r="T370" s="37"/>
      <c r="U370" s="37"/>
      <c r="V370" s="37"/>
      <c r="W370" s="37"/>
      <c r="X370" s="37"/>
      <c r="Y370" s="37"/>
      <c r="Z370" s="37"/>
      <c r="AA370" s="37"/>
      <c r="AB370" s="37"/>
      <c r="AC370" s="37"/>
      <c r="AD370" s="37"/>
      <c r="AE370" s="37"/>
      <c r="AF370" s="37"/>
      <c r="AG370" s="37"/>
      <c r="AH370" s="37"/>
      <c r="AI370" s="37"/>
      <c r="AJ370" s="37"/>
      <c r="AK370" s="37"/>
      <c r="AL370" s="37"/>
      <c r="AM370" s="37"/>
      <c r="AN370" s="37"/>
      <c r="AO370" s="37"/>
      <c r="AP370" s="37"/>
      <c r="AQ370" s="37"/>
      <c r="AR370" s="37"/>
      <c r="AS370" s="37"/>
      <c r="AT370" s="37"/>
      <c r="AU370" s="37"/>
      <c r="AV370" s="37"/>
      <c r="AW370" s="37"/>
      <c r="AX370" s="37"/>
      <c r="AY370" s="37"/>
      <c r="AZ370" s="37"/>
    </row>
    <row r="371" spans="1:52">
      <c r="A371" s="37"/>
      <c r="B371" s="37"/>
      <c r="C371" s="37"/>
      <c r="D371" s="37"/>
      <c r="E371" s="37"/>
      <c r="F371" s="37"/>
      <c r="G371" s="37"/>
      <c r="H371" s="37"/>
      <c r="I371" s="37"/>
      <c r="J371" s="37"/>
      <c r="K371" s="37"/>
      <c r="L371" s="37"/>
      <c r="M371" s="37"/>
      <c r="N371" s="37"/>
      <c r="O371" s="37"/>
      <c r="P371" s="37"/>
      <c r="Q371" s="37"/>
      <c r="R371" s="37"/>
      <c r="S371" s="37"/>
      <c r="T371" s="37"/>
      <c r="U371" s="37"/>
      <c r="V371" s="37"/>
      <c r="W371" s="37"/>
      <c r="X371" s="37"/>
      <c r="Y371" s="37"/>
      <c r="Z371" s="37"/>
      <c r="AA371" s="37"/>
      <c r="AB371" s="37"/>
      <c r="AC371" s="37"/>
      <c r="AD371" s="37"/>
      <c r="AE371" s="37"/>
      <c r="AF371" s="37"/>
      <c r="AG371" s="37"/>
      <c r="AH371" s="37"/>
      <c r="AI371" s="37"/>
      <c r="AJ371" s="37"/>
      <c r="AK371" s="37"/>
      <c r="AL371" s="37"/>
      <c r="AM371" s="37"/>
      <c r="AN371" s="37"/>
      <c r="AO371" s="37"/>
      <c r="AP371" s="37"/>
      <c r="AQ371" s="37"/>
      <c r="AR371" s="37"/>
      <c r="AS371" s="37"/>
      <c r="AT371" s="37"/>
      <c r="AU371" s="37"/>
      <c r="AV371" s="37"/>
      <c r="AW371" s="37"/>
      <c r="AX371" s="37"/>
      <c r="AY371" s="37"/>
      <c r="AZ371" s="37"/>
    </row>
    <row r="372" spans="1:52">
      <c r="A372" s="37"/>
      <c r="B372" s="37"/>
      <c r="C372" s="37"/>
      <c r="D372" s="37"/>
      <c r="E372" s="37"/>
      <c r="F372" s="37"/>
      <c r="G372" s="37"/>
      <c r="H372" s="37"/>
      <c r="I372" s="37"/>
      <c r="J372" s="37"/>
      <c r="K372" s="37"/>
      <c r="L372" s="37"/>
      <c r="M372" s="37"/>
      <c r="N372" s="37"/>
      <c r="O372" s="37"/>
      <c r="P372" s="37"/>
      <c r="Q372" s="37"/>
      <c r="R372" s="37"/>
      <c r="S372" s="37"/>
      <c r="T372" s="37"/>
      <c r="U372" s="37"/>
      <c r="V372" s="37"/>
      <c r="W372" s="37"/>
      <c r="X372" s="37"/>
      <c r="Y372" s="37"/>
      <c r="Z372" s="37"/>
      <c r="AA372" s="37"/>
      <c r="AB372" s="37"/>
      <c r="AC372" s="37"/>
      <c r="AD372" s="37"/>
      <c r="AE372" s="37"/>
      <c r="AF372" s="37"/>
      <c r="AG372" s="37"/>
      <c r="AH372" s="37"/>
      <c r="AI372" s="37"/>
      <c r="AJ372" s="37"/>
      <c r="AK372" s="37"/>
      <c r="AL372" s="37"/>
      <c r="AM372" s="37"/>
      <c r="AN372" s="37"/>
      <c r="AO372" s="37"/>
      <c r="AP372" s="37"/>
      <c r="AQ372" s="37"/>
      <c r="AR372" s="37"/>
      <c r="AS372" s="37"/>
      <c r="AT372" s="37"/>
      <c r="AU372" s="37"/>
      <c r="AV372" s="37"/>
      <c r="AW372" s="37"/>
      <c r="AX372" s="37"/>
      <c r="AY372" s="37"/>
      <c r="AZ372" s="37"/>
    </row>
    <row r="373" spans="1:52">
      <c r="A373" s="37"/>
      <c r="B373" s="37"/>
      <c r="C373" s="37"/>
      <c r="D373" s="37"/>
      <c r="E373" s="37"/>
      <c r="F373" s="37"/>
      <c r="G373" s="37"/>
      <c r="H373" s="37"/>
      <c r="I373" s="37"/>
      <c r="J373" s="37"/>
      <c r="K373" s="37"/>
      <c r="L373" s="37"/>
      <c r="M373" s="37"/>
      <c r="N373" s="37"/>
      <c r="O373" s="37"/>
      <c r="P373" s="37"/>
      <c r="Q373" s="37"/>
      <c r="R373" s="37"/>
      <c r="S373" s="37"/>
      <c r="T373" s="37"/>
      <c r="U373" s="37"/>
      <c r="V373" s="37"/>
      <c r="W373" s="37"/>
      <c r="X373" s="37"/>
      <c r="Y373" s="37"/>
      <c r="Z373" s="37"/>
      <c r="AA373" s="37"/>
      <c r="AB373" s="37"/>
      <c r="AC373" s="37"/>
      <c r="AD373" s="37"/>
      <c r="AE373" s="37"/>
      <c r="AF373" s="37"/>
      <c r="AG373" s="37"/>
      <c r="AH373" s="37"/>
      <c r="AI373" s="37"/>
      <c r="AJ373" s="37"/>
      <c r="AK373" s="37"/>
      <c r="AL373" s="37"/>
      <c r="AM373" s="37"/>
      <c r="AN373" s="37"/>
      <c r="AO373" s="37"/>
      <c r="AP373" s="37"/>
      <c r="AQ373" s="37"/>
      <c r="AR373" s="37"/>
      <c r="AS373" s="37"/>
      <c r="AT373" s="37"/>
      <c r="AU373" s="37"/>
      <c r="AV373" s="37"/>
      <c r="AW373" s="37"/>
      <c r="AX373" s="37"/>
      <c r="AY373" s="37"/>
      <c r="AZ373" s="37"/>
    </row>
    <row r="374" spans="1:52">
      <c r="A374" s="37"/>
      <c r="B374" s="37"/>
      <c r="C374" s="37"/>
      <c r="D374" s="37"/>
      <c r="E374" s="37"/>
      <c r="F374" s="37"/>
      <c r="G374" s="37"/>
      <c r="H374" s="37"/>
      <c r="I374" s="37"/>
      <c r="J374" s="37"/>
      <c r="K374" s="37"/>
      <c r="L374" s="37"/>
      <c r="M374" s="37"/>
      <c r="N374" s="37"/>
      <c r="O374" s="37"/>
      <c r="P374" s="37"/>
      <c r="Q374" s="37"/>
      <c r="R374" s="37"/>
      <c r="S374" s="37"/>
      <c r="T374" s="37"/>
      <c r="U374" s="37"/>
      <c r="V374" s="37"/>
      <c r="W374" s="37"/>
      <c r="X374" s="37"/>
      <c r="Y374" s="37"/>
      <c r="Z374" s="37"/>
      <c r="AA374" s="37"/>
      <c r="AB374" s="37"/>
      <c r="AC374" s="37"/>
      <c r="AD374" s="37"/>
      <c r="AE374" s="37"/>
      <c r="AF374" s="37"/>
      <c r="AG374" s="37"/>
      <c r="AH374" s="37"/>
      <c r="AI374" s="37"/>
      <c r="AJ374" s="37"/>
      <c r="AK374" s="37"/>
      <c r="AL374" s="37"/>
      <c r="AM374" s="37"/>
      <c r="AN374" s="37"/>
      <c r="AO374" s="37"/>
      <c r="AP374" s="37"/>
      <c r="AQ374" s="37"/>
      <c r="AR374" s="37"/>
      <c r="AS374" s="37"/>
      <c r="AT374" s="37"/>
      <c r="AU374" s="37"/>
      <c r="AV374" s="37"/>
      <c r="AW374" s="37"/>
      <c r="AX374" s="37"/>
      <c r="AY374" s="37"/>
      <c r="AZ374" s="37"/>
    </row>
    <row r="375" spans="1:52">
      <c r="A375" s="37"/>
      <c r="B375" s="37"/>
      <c r="C375" s="37"/>
      <c r="D375" s="37"/>
      <c r="E375" s="37"/>
      <c r="F375" s="37"/>
      <c r="G375" s="37"/>
      <c r="H375" s="37"/>
      <c r="I375" s="37"/>
      <c r="J375" s="37"/>
      <c r="K375" s="37"/>
      <c r="L375" s="37"/>
      <c r="M375" s="37"/>
      <c r="N375" s="37"/>
      <c r="O375" s="37"/>
      <c r="P375" s="37"/>
      <c r="Q375" s="37"/>
      <c r="R375" s="37"/>
      <c r="S375" s="37"/>
      <c r="T375" s="37"/>
      <c r="U375" s="37"/>
      <c r="V375" s="37"/>
      <c r="W375" s="37"/>
      <c r="X375" s="37"/>
      <c r="Y375" s="37"/>
      <c r="Z375" s="37"/>
      <c r="AA375" s="37"/>
      <c r="AB375" s="37"/>
      <c r="AC375" s="37"/>
      <c r="AD375" s="37"/>
      <c r="AE375" s="37"/>
      <c r="AF375" s="37"/>
      <c r="AG375" s="37"/>
      <c r="AH375" s="37"/>
      <c r="AI375" s="37"/>
      <c r="AJ375" s="37"/>
      <c r="AK375" s="37"/>
      <c r="AL375" s="37"/>
      <c r="AM375" s="37"/>
      <c r="AN375" s="37"/>
      <c r="AO375" s="37"/>
      <c r="AP375" s="37"/>
      <c r="AQ375" s="37"/>
      <c r="AR375" s="37"/>
      <c r="AS375" s="37"/>
      <c r="AT375" s="37"/>
      <c r="AU375" s="37"/>
      <c r="AV375" s="37"/>
      <c r="AW375" s="37"/>
      <c r="AX375" s="37"/>
      <c r="AY375" s="37"/>
      <c r="AZ375" s="37"/>
    </row>
    <row r="376" spans="1:52">
      <c r="A376" s="37"/>
      <c r="B376" s="37"/>
      <c r="C376" s="37"/>
      <c r="D376" s="37"/>
      <c r="E376" s="37"/>
      <c r="F376" s="37"/>
      <c r="G376" s="37"/>
      <c r="H376" s="37"/>
      <c r="I376" s="37"/>
      <c r="J376" s="37"/>
      <c r="K376" s="37"/>
      <c r="L376" s="37"/>
      <c r="M376" s="37"/>
      <c r="N376" s="37"/>
      <c r="O376" s="37"/>
      <c r="P376" s="37"/>
      <c r="Q376" s="37"/>
      <c r="R376" s="37"/>
      <c r="S376" s="37"/>
      <c r="T376" s="37"/>
      <c r="U376" s="37"/>
      <c r="V376" s="37"/>
      <c r="W376" s="37"/>
      <c r="X376" s="37"/>
      <c r="Y376" s="37"/>
      <c r="Z376" s="37"/>
      <c r="AA376" s="37"/>
      <c r="AB376" s="37"/>
      <c r="AC376" s="37"/>
      <c r="AD376" s="37"/>
      <c r="AE376" s="37"/>
      <c r="AF376" s="37"/>
      <c r="AG376" s="37"/>
      <c r="AH376" s="37"/>
      <c r="AI376" s="37"/>
      <c r="AJ376" s="37"/>
      <c r="AK376" s="37"/>
      <c r="AL376" s="37"/>
      <c r="AM376" s="37"/>
      <c r="AN376" s="37"/>
      <c r="AO376" s="37"/>
      <c r="AP376" s="37"/>
      <c r="AQ376" s="37"/>
      <c r="AR376" s="37"/>
      <c r="AS376" s="37"/>
      <c r="AT376" s="37"/>
      <c r="AU376" s="37"/>
      <c r="AV376" s="37"/>
      <c r="AW376" s="37"/>
      <c r="AX376" s="37"/>
      <c r="AY376" s="37"/>
      <c r="AZ376" s="37"/>
    </row>
    <row r="377" spans="1:52">
      <c r="A377" s="37"/>
      <c r="B377" s="37"/>
      <c r="C377" s="37"/>
      <c r="D377" s="37"/>
      <c r="E377" s="37"/>
      <c r="F377" s="37"/>
      <c r="G377" s="37"/>
      <c r="H377" s="37"/>
      <c r="I377" s="37"/>
      <c r="J377" s="37"/>
      <c r="K377" s="37"/>
      <c r="L377" s="37"/>
      <c r="M377" s="37"/>
      <c r="N377" s="37"/>
      <c r="O377" s="37"/>
      <c r="P377" s="37"/>
      <c r="Q377" s="37"/>
      <c r="R377" s="37"/>
      <c r="S377" s="37"/>
      <c r="T377" s="37"/>
      <c r="U377" s="37"/>
      <c r="V377" s="37"/>
      <c r="W377" s="37"/>
      <c r="X377" s="37"/>
      <c r="Y377" s="37"/>
      <c r="Z377" s="37"/>
      <c r="AA377" s="37"/>
      <c r="AB377" s="37"/>
      <c r="AC377" s="37"/>
      <c r="AD377" s="37"/>
      <c r="AE377" s="37"/>
      <c r="AF377" s="37"/>
      <c r="AG377" s="37"/>
      <c r="AH377" s="37"/>
      <c r="AI377" s="37"/>
      <c r="AJ377" s="37"/>
      <c r="AK377" s="37"/>
      <c r="AL377" s="37"/>
      <c r="AM377" s="37"/>
      <c r="AN377" s="37"/>
      <c r="AO377" s="37"/>
      <c r="AP377" s="37"/>
      <c r="AQ377" s="37"/>
      <c r="AR377" s="37"/>
      <c r="AS377" s="37"/>
      <c r="AT377" s="37"/>
      <c r="AU377" s="37"/>
      <c r="AV377" s="37"/>
      <c r="AW377" s="37"/>
      <c r="AX377" s="37"/>
      <c r="AY377" s="37"/>
      <c r="AZ377" s="37"/>
    </row>
    <row r="378" spans="1:52">
      <c r="A378" s="37"/>
      <c r="B378" s="37"/>
      <c r="C378" s="37"/>
      <c r="D378" s="37"/>
      <c r="E378" s="37"/>
      <c r="F378" s="37"/>
      <c r="G378" s="37"/>
      <c r="H378" s="37"/>
      <c r="I378" s="37"/>
      <c r="J378" s="37"/>
      <c r="K378" s="37"/>
      <c r="L378" s="37"/>
      <c r="M378" s="37"/>
      <c r="N378" s="37"/>
      <c r="O378" s="37"/>
      <c r="P378" s="37"/>
      <c r="Q378" s="37"/>
      <c r="R378" s="37"/>
      <c r="S378" s="37"/>
      <c r="T378" s="37"/>
      <c r="U378" s="37"/>
      <c r="V378" s="37"/>
      <c r="W378" s="37"/>
      <c r="X378" s="37"/>
      <c r="Y378" s="37"/>
      <c r="Z378" s="37"/>
      <c r="AA378" s="37"/>
      <c r="AB378" s="37"/>
      <c r="AC378" s="37"/>
      <c r="AD378" s="37"/>
      <c r="AE378" s="37"/>
      <c r="AF378" s="37"/>
      <c r="AG378" s="37"/>
      <c r="AH378" s="37"/>
      <c r="AI378" s="37"/>
      <c r="AJ378" s="37"/>
      <c r="AK378" s="37"/>
      <c r="AL378" s="37"/>
      <c r="AM378" s="37"/>
      <c r="AN378" s="37"/>
      <c r="AO378" s="37"/>
      <c r="AP378" s="37"/>
      <c r="AQ378" s="37"/>
      <c r="AR378" s="37"/>
      <c r="AS378" s="37"/>
      <c r="AT378" s="37"/>
      <c r="AU378" s="37"/>
      <c r="AV378" s="37"/>
      <c r="AW378" s="37"/>
      <c r="AX378" s="37"/>
      <c r="AY378" s="37"/>
      <c r="AZ378" s="37"/>
    </row>
    <row r="379" spans="1:52">
      <c r="A379" s="37"/>
      <c r="B379" s="37"/>
      <c r="C379" s="37"/>
      <c r="D379" s="37"/>
      <c r="E379" s="37"/>
      <c r="F379" s="37"/>
      <c r="G379" s="37"/>
      <c r="H379" s="37"/>
      <c r="I379" s="37"/>
      <c r="J379" s="37"/>
      <c r="K379" s="37"/>
      <c r="L379" s="37"/>
      <c r="M379" s="37"/>
      <c r="N379" s="37"/>
      <c r="O379" s="37"/>
      <c r="P379" s="37"/>
      <c r="Q379" s="37"/>
      <c r="R379" s="37"/>
      <c r="S379" s="37"/>
      <c r="T379" s="37"/>
      <c r="U379" s="37"/>
      <c r="V379" s="37"/>
      <c r="W379" s="37"/>
      <c r="X379" s="37"/>
      <c r="Y379" s="37"/>
      <c r="Z379" s="37"/>
      <c r="AA379" s="37"/>
      <c r="AB379" s="37"/>
      <c r="AC379" s="37"/>
      <c r="AD379" s="37"/>
      <c r="AE379" s="37"/>
      <c r="AF379" s="37"/>
      <c r="AG379" s="37"/>
      <c r="AH379" s="37"/>
      <c r="AI379" s="37"/>
      <c r="AJ379" s="37"/>
      <c r="AK379" s="37"/>
      <c r="AL379" s="37"/>
      <c r="AM379" s="37"/>
      <c r="AN379" s="37"/>
      <c r="AO379" s="37"/>
      <c r="AP379" s="37"/>
      <c r="AQ379" s="37"/>
      <c r="AR379" s="37"/>
      <c r="AS379" s="37"/>
      <c r="AT379" s="37"/>
      <c r="AU379" s="37"/>
      <c r="AV379" s="37"/>
      <c r="AW379" s="37"/>
      <c r="AX379" s="37"/>
      <c r="AY379" s="37"/>
      <c r="AZ379" s="37"/>
    </row>
    <row r="380" spans="1:52">
      <c r="A380" s="37"/>
      <c r="B380" s="37"/>
      <c r="C380" s="37"/>
      <c r="D380" s="37"/>
      <c r="E380" s="37"/>
      <c r="F380" s="37"/>
      <c r="G380" s="37"/>
      <c r="H380" s="37"/>
      <c r="I380" s="37"/>
      <c r="J380" s="37"/>
      <c r="K380" s="37"/>
      <c r="L380" s="37"/>
      <c r="M380" s="37"/>
      <c r="N380" s="37"/>
      <c r="O380" s="37"/>
      <c r="P380" s="37"/>
      <c r="Q380" s="37"/>
      <c r="R380" s="37"/>
      <c r="S380" s="37"/>
      <c r="T380" s="37"/>
      <c r="U380" s="37"/>
      <c r="V380" s="37"/>
      <c r="W380" s="37"/>
      <c r="X380" s="37"/>
      <c r="Y380" s="37"/>
      <c r="Z380" s="37"/>
      <c r="AA380" s="37"/>
      <c r="AB380" s="37"/>
      <c r="AC380" s="37"/>
      <c r="AD380" s="37"/>
      <c r="AE380" s="37"/>
      <c r="AF380" s="37"/>
      <c r="AG380" s="37"/>
      <c r="AH380" s="37"/>
      <c r="AI380" s="37"/>
      <c r="AJ380" s="37"/>
      <c r="AK380" s="37"/>
      <c r="AL380" s="37"/>
      <c r="AM380" s="37"/>
      <c r="AN380" s="37"/>
      <c r="AO380" s="37"/>
      <c r="AP380" s="37"/>
      <c r="AQ380" s="37"/>
      <c r="AR380" s="37"/>
      <c r="AS380" s="37"/>
      <c r="AT380" s="37"/>
      <c r="AU380" s="37"/>
      <c r="AV380" s="37"/>
      <c r="AW380" s="37"/>
      <c r="AX380" s="37"/>
      <c r="AY380" s="37"/>
      <c r="AZ380" s="37"/>
    </row>
    <row r="381" spans="1:52">
      <c r="A381" s="37"/>
      <c r="B381" s="37"/>
      <c r="C381" s="37"/>
      <c r="D381" s="37"/>
      <c r="E381" s="37"/>
      <c r="F381" s="37"/>
      <c r="G381" s="37"/>
      <c r="H381" s="37"/>
      <c r="I381" s="37"/>
      <c r="J381" s="37"/>
      <c r="K381" s="37"/>
      <c r="L381" s="37"/>
      <c r="M381" s="37"/>
      <c r="N381" s="37"/>
      <c r="O381" s="37"/>
      <c r="P381" s="37"/>
      <c r="Q381" s="37"/>
      <c r="R381" s="37"/>
      <c r="S381" s="37"/>
      <c r="T381" s="37"/>
      <c r="U381" s="37"/>
      <c r="V381" s="37"/>
      <c r="W381" s="37"/>
      <c r="X381" s="37"/>
      <c r="Y381" s="37"/>
      <c r="Z381" s="37"/>
      <c r="AA381" s="37"/>
      <c r="AB381" s="37"/>
      <c r="AC381" s="37"/>
      <c r="AD381" s="37"/>
      <c r="AE381" s="37"/>
      <c r="AF381" s="37"/>
      <c r="AG381" s="37"/>
      <c r="AH381" s="37"/>
      <c r="AI381" s="37"/>
      <c r="AJ381" s="37"/>
      <c r="AK381" s="37"/>
      <c r="AL381" s="37"/>
      <c r="AM381" s="37"/>
      <c r="AN381" s="37"/>
      <c r="AO381" s="37"/>
      <c r="AP381" s="37"/>
      <c r="AQ381" s="37"/>
      <c r="AR381" s="37"/>
      <c r="AS381" s="37"/>
      <c r="AT381" s="37"/>
      <c r="AU381" s="37"/>
      <c r="AV381" s="37"/>
      <c r="AW381" s="37"/>
      <c r="AX381" s="37"/>
      <c r="AY381" s="37"/>
      <c r="AZ381" s="37"/>
    </row>
    <row r="382" spans="1:52">
      <c r="A382" s="37"/>
      <c r="B382" s="37"/>
      <c r="C382" s="37"/>
      <c r="D382" s="37"/>
      <c r="E382" s="37"/>
      <c r="F382" s="37"/>
      <c r="G382" s="37"/>
      <c r="H382" s="37"/>
      <c r="I382" s="37"/>
      <c r="J382" s="37"/>
      <c r="K382" s="37"/>
      <c r="L382" s="37"/>
      <c r="M382" s="37"/>
      <c r="N382" s="37"/>
      <c r="O382" s="37"/>
      <c r="P382" s="37"/>
      <c r="Q382" s="37"/>
      <c r="R382" s="37"/>
      <c r="S382" s="37"/>
      <c r="T382" s="37"/>
      <c r="U382" s="37"/>
      <c r="V382" s="37"/>
      <c r="W382" s="37"/>
      <c r="X382" s="37"/>
      <c r="Y382" s="37"/>
      <c r="Z382" s="37"/>
      <c r="AA382" s="37"/>
      <c r="AB382" s="37"/>
      <c r="AC382" s="37"/>
      <c r="AD382" s="37"/>
      <c r="AE382" s="37"/>
      <c r="AF382" s="37"/>
      <c r="AG382" s="37"/>
      <c r="AH382" s="37"/>
      <c r="AI382" s="37"/>
      <c r="AJ382" s="37"/>
      <c r="AK382" s="37"/>
      <c r="AL382" s="37"/>
      <c r="AM382" s="37"/>
      <c r="AN382" s="37"/>
      <c r="AO382" s="37"/>
      <c r="AP382" s="37"/>
      <c r="AQ382" s="37"/>
      <c r="AR382" s="37"/>
      <c r="AS382" s="37"/>
      <c r="AT382" s="37"/>
      <c r="AU382" s="37"/>
      <c r="AV382" s="37"/>
      <c r="AW382" s="37"/>
      <c r="AX382" s="37"/>
      <c r="AY382" s="37"/>
      <c r="AZ382" s="37"/>
    </row>
    <row r="383" spans="1:52">
      <c r="A383" s="37"/>
      <c r="B383" s="37"/>
      <c r="C383" s="37"/>
      <c r="D383" s="37"/>
      <c r="E383" s="37"/>
      <c r="F383" s="37"/>
      <c r="G383" s="37"/>
      <c r="H383" s="37"/>
      <c r="I383" s="37"/>
      <c r="J383" s="37"/>
      <c r="K383" s="37"/>
      <c r="L383" s="37"/>
      <c r="M383" s="37"/>
      <c r="N383" s="37"/>
      <c r="O383" s="37"/>
      <c r="P383" s="37"/>
      <c r="Q383" s="37"/>
      <c r="R383" s="37"/>
      <c r="S383" s="37"/>
      <c r="T383" s="37"/>
      <c r="U383" s="37"/>
      <c r="V383" s="37"/>
      <c r="W383" s="37"/>
      <c r="X383" s="37"/>
      <c r="Y383" s="37"/>
      <c r="Z383" s="37"/>
      <c r="AA383" s="37"/>
      <c r="AB383" s="37"/>
      <c r="AC383" s="37"/>
      <c r="AD383" s="37"/>
      <c r="AE383" s="37"/>
      <c r="AF383" s="37"/>
      <c r="AG383" s="37"/>
      <c r="AH383" s="37"/>
      <c r="AI383" s="37"/>
      <c r="AJ383" s="37"/>
      <c r="AK383" s="37"/>
      <c r="AL383" s="37"/>
      <c r="AM383" s="37"/>
      <c r="AN383" s="37"/>
      <c r="AO383" s="37"/>
      <c r="AP383" s="37"/>
      <c r="AQ383" s="37"/>
      <c r="AR383" s="37"/>
      <c r="AS383" s="37"/>
      <c r="AT383" s="37"/>
      <c r="AU383" s="37"/>
      <c r="AV383" s="37"/>
      <c r="AW383" s="37"/>
      <c r="AX383" s="37"/>
      <c r="AY383" s="37"/>
      <c r="AZ383" s="37"/>
    </row>
    <row r="384" spans="1:52">
      <c r="A384" s="37"/>
      <c r="B384" s="37"/>
      <c r="C384" s="37"/>
      <c r="D384" s="37"/>
      <c r="E384" s="37"/>
      <c r="F384" s="37"/>
      <c r="G384" s="37"/>
      <c r="H384" s="37"/>
      <c r="I384" s="37"/>
      <c r="J384" s="37"/>
      <c r="K384" s="37"/>
      <c r="L384" s="37"/>
      <c r="M384" s="37"/>
      <c r="N384" s="37"/>
      <c r="O384" s="37"/>
      <c r="P384" s="37"/>
      <c r="Q384" s="37"/>
      <c r="R384" s="37"/>
      <c r="S384" s="37"/>
      <c r="T384" s="37"/>
      <c r="U384" s="37"/>
      <c r="V384" s="37"/>
      <c r="W384" s="37"/>
      <c r="X384" s="37"/>
      <c r="Y384" s="37"/>
      <c r="Z384" s="37"/>
      <c r="AA384" s="37"/>
      <c r="AB384" s="37"/>
      <c r="AC384" s="37"/>
      <c r="AD384" s="37"/>
      <c r="AE384" s="37"/>
      <c r="AF384" s="37"/>
      <c r="AG384" s="37"/>
      <c r="AH384" s="37"/>
      <c r="AI384" s="37"/>
      <c r="AJ384" s="37"/>
      <c r="AK384" s="37"/>
      <c r="AL384" s="37"/>
      <c r="AM384" s="37"/>
      <c r="AN384" s="37"/>
      <c r="AO384" s="37"/>
      <c r="AP384" s="37"/>
      <c r="AQ384" s="37"/>
      <c r="AR384" s="37"/>
      <c r="AS384" s="37"/>
      <c r="AT384" s="37"/>
      <c r="AU384" s="37"/>
      <c r="AV384" s="37"/>
      <c r="AW384" s="37"/>
      <c r="AX384" s="37"/>
      <c r="AY384" s="37"/>
      <c r="AZ384" s="37"/>
    </row>
    <row r="385" spans="1:52">
      <c r="A385" s="37"/>
      <c r="B385" s="37"/>
      <c r="C385" s="37"/>
      <c r="D385" s="37"/>
      <c r="E385" s="37"/>
      <c r="F385" s="37"/>
      <c r="G385" s="37"/>
      <c r="H385" s="37"/>
      <c r="I385" s="37"/>
      <c r="J385" s="37"/>
      <c r="K385" s="37"/>
      <c r="L385" s="37"/>
      <c r="M385" s="37"/>
      <c r="N385" s="37"/>
      <c r="O385" s="37"/>
      <c r="P385" s="37"/>
      <c r="Q385" s="37"/>
      <c r="R385" s="37"/>
      <c r="S385" s="37"/>
      <c r="T385" s="37"/>
      <c r="U385" s="37"/>
      <c r="V385" s="37"/>
      <c r="W385" s="37"/>
      <c r="X385" s="37"/>
      <c r="Y385" s="37"/>
      <c r="Z385" s="37"/>
      <c r="AA385" s="37"/>
      <c r="AB385" s="37"/>
      <c r="AC385" s="37"/>
      <c r="AD385" s="37"/>
      <c r="AE385" s="37"/>
      <c r="AF385" s="37"/>
      <c r="AG385" s="37"/>
      <c r="AH385" s="37"/>
      <c r="AI385" s="37"/>
      <c r="AJ385" s="37"/>
      <c r="AK385" s="37"/>
      <c r="AL385" s="37"/>
      <c r="AM385" s="37"/>
      <c r="AN385" s="37"/>
      <c r="AO385" s="37"/>
      <c r="AP385" s="37"/>
      <c r="AQ385" s="37"/>
      <c r="AR385" s="37"/>
      <c r="AS385" s="37"/>
      <c r="AT385" s="37"/>
      <c r="AU385" s="37"/>
      <c r="AV385" s="37"/>
      <c r="AW385" s="37"/>
      <c r="AX385" s="37"/>
      <c r="AY385" s="37"/>
      <c r="AZ385" s="37"/>
    </row>
    <row r="386" spans="1:52">
      <c r="A386" s="37"/>
      <c r="B386" s="37"/>
      <c r="C386" s="37"/>
      <c r="D386" s="37"/>
      <c r="E386" s="37"/>
      <c r="F386" s="37"/>
      <c r="G386" s="37"/>
      <c r="H386" s="37"/>
      <c r="I386" s="37"/>
      <c r="J386" s="37"/>
      <c r="K386" s="37"/>
      <c r="L386" s="37"/>
      <c r="M386" s="37"/>
      <c r="N386" s="37"/>
      <c r="O386" s="37"/>
      <c r="P386" s="37"/>
      <c r="Q386" s="37"/>
      <c r="R386" s="37"/>
      <c r="S386" s="37"/>
      <c r="T386" s="37"/>
      <c r="U386" s="37"/>
      <c r="V386" s="37"/>
      <c r="W386" s="37"/>
      <c r="X386" s="37"/>
      <c r="Y386" s="37"/>
      <c r="Z386" s="37"/>
      <c r="AA386" s="37"/>
      <c r="AB386" s="37"/>
      <c r="AC386" s="37"/>
      <c r="AD386" s="37"/>
      <c r="AE386" s="37"/>
      <c r="AF386" s="37"/>
      <c r="AG386" s="37"/>
      <c r="AH386" s="37"/>
      <c r="AI386" s="37"/>
      <c r="AJ386" s="37"/>
      <c r="AK386" s="37"/>
      <c r="AL386" s="37"/>
      <c r="AM386" s="37"/>
      <c r="AN386" s="37"/>
      <c r="AO386" s="37"/>
      <c r="AP386" s="37"/>
      <c r="AQ386" s="37"/>
      <c r="AR386" s="37"/>
      <c r="AS386" s="37"/>
      <c r="AT386" s="37"/>
      <c r="AU386" s="37"/>
      <c r="AV386" s="37"/>
      <c r="AW386" s="37"/>
      <c r="AX386" s="37"/>
      <c r="AY386" s="37"/>
      <c r="AZ386" s="37"/>
    </row>
    <row r="387" spans="1:52">
      <c r="A387" s="37"/>
      <c r="B387" s="37"/>
      <c r="C387" s="37"/>
      <c r="D387" s="37"/>
      <c r="E387" s="37"/>
      <c r="F387" s="37"/>
      <c r="G387" s="37"/>
      <c r="H387" s="37"/>
      <c r="I387" s="37"/>
      <c r="J387" s="37"/>
      <c r="K387" s="37"/>
      <c r="L387" s="37"/>
      <c r="M387" s="37"/>
      <c r="N387" s="37"/>
      <c r="O387" s="37"/>
      <c r="P387" s="37"/>
      <c r="Q387" s="37"/>
      <c r="R387" s="37"/>
      <c r="S387" s="37"/>
      <c r="T387" s="37"/>
      <c r="U387" s="37"/>
      <c r="V387" s="37"/>
      <c r="W387" s="37"/>
      <c r="X387" s="37"/>
      <c r="Y387" s="37"/>
      <c r="Z387" s="37"/>
      <c r="AA387" s="37"/>
      <c r="AB387" s="37"/>
      <c r="AC387" s="37"/>
      <c r="AD387" s="37"/>
      <c r="AE387" s="37"/>
      <c r="AF387" s="37"/>
      <c r="AG387" s="37"/>
      <c r="AH387" s="37"/>
      <c r="AI387" s="37"/>
      <c r="AJ387" s="37"/>
      <c r="AK387" s="37"/>
      <c r="AL387" s="37"/>
      <c r="AM387" s="37"/>
      <c r="AN387" s="37"/>
      <c r="AO387" s="37"/>
      <c r="AP387" s="37"/>
      <c r="AQ387" s="37"/>
      <c r="AR387" s="37"/>
      <c r="AS387" s="37"/>
      <c r="AT387" s="37"/>
      <c r="AU387" s="37"/>
      <c r="AV387" s="37"/>
      <c r="AW387" s="37"/>
      <c r="AX387" s="37"/>
      <c r="AY387" s="37"/>
      <c r="AZ387" s="37"/>
    </row>
    <row r="388" spans="1:52">
      <c r="A388" s="37"/>
      <c r="B388" s="37"/>
      <c r="C388" s="37"/>
      <c r="D388" s="37"/>
      <c r="E388" s="37"/>
      <c r="F388" s="37"/>
      <c r="G388" s="37"/>
      <c r="H388" s="37"/>
      <c r="I388" s="37"/>
      <c r="J388" s="37"/>
      <c r="K388" s="37"/>
      <c r="L388" s="37"/>
      <c r="M388" s="37"/>
      <c r="N388" s="37"/>
      <c r="O388" s="37"/>
      <c r="P388" s="37"/>
      <c r="Q388" s="37"/>
      <c r="R388" s="37"/>
      <c r="S388" s="37"/>
      <c r="T388" s="37"/>
      <c r="U388" s="37"/>
      <c r="V388" s="37"/>
      <c r="W388" s="37"/>
      <c r="X388" s="37"/>
      <c r="Y388" s="37"/>
      <c r="Z388" s="37"/>
      <c r="AA388" s="37"/>
      <c r="AB388" s="37"/>
      <c r="AC388" s="37"/>
      <c r="AD388" s="37"/>
      <c r="AE388" s="37"/>
      <c r="AF388" s="37"/>
      <c r="AG388" s="37"/>
      <c r="AH388" s="37"/>
      <c r="AI388" s="37"/>
      <c r="AJ388" s="37"/>
      <c r="AK388" s="37"/>
      <c r="AL388" s="37"/>
      <c r="AM388" s="37"/>
      <c r="AN388" s="37"/>
      <c r="AO388" s="37"/>
      <c r="AP388" s="37"/>
      <c r="AQ388" s="37"/>
      <c r="AR388" s="37"/>
      <c r="AS388" s="37"/>
      <c r="AT388" s="37"/>
      <c r="AU388" s="37"/>
      <c r="AV388" s="37"/>
      <c r="AW388" s="37"/>
      <c r="AX388" s="37"/>
      <c r="AY388" s="37"/>
      <c r="AZ388" s="37"/>
    </row>
    <row r="389" spans="1:52">
      <c r="A389" s="37"/>
      <c r="B389" s="37"/>
      <c r="C389" s="37"/>
      <c r="D389" s="37"/>
      <c r="E389" s="37"/>
      <c r="F389" s="37"/>
      <c r="G389" s="37"/>
      <c r="H389" s="37"/>
      <c r="I389" s="37"/>
      <c r="J389" s="37"/>
      <c r="K389" s="37"/>
      <c r="L389" s="37"/>
      <c r="M389" s="37"/>
      <c r="N389" s="37"/>
      <c r="O389" s="37"/>
      <c r="P389" s="37"/>
      <c r="Q389" s="37"/>
      <c r="R389" s="37"/>
      <c r="S389" s="37"/>
      <c r="T389" s="37"/>
      <c r="U389" s="37"/>
      <c r="V389" s="37"/>
      <c r="W389" s="37"/>
      <c r="X389" s="37"/>
      <c r="Y389" s="37"/>
      <c r="Z389" s="37"/>
      <c r="AA389" s="37"/>
      <c r="AB389" s="37"/>
      <c r="AC389" s="37"/>
      <c r="AD389" s="37"/>
      <c r="AE389" s="37"/>
      <c r="AF389" s="37"/>
      <c r="AG389" s="37"/>
      <c r="AH389" s="37"/>
      <c r="AI389" s="37"/>
      <c r="AJ389" s="37"/>
      <c r="AK389" s="37"/>
      <c r="AL389" s="37"/>
      <c r="AM389" s="37"/>
      <c r="AN389" s="37"/>
      <c r="AO389" s="37"/>
      <c r="AP389" s="37"/>
      <c r="AQ389" s="37"/>
      <c r="AR389" s="37"/>
      <c r="AS389" s="37"/>
      <c r="AT389" s="37"/>
      <c r="AU389" s="37"/>
      <c r="AV389" s="37"/>
      <c r="AW389" s="37"/>
      <c r="AX389" s="37"/>
      <c r="AY389" s="37"/>
      <c r="AZ389" s="37"/>
    </row>
    <row r="390" spans="1:52">
      <c r="A390" s="37"/>
      <c r="B390" s="37"/>
      <c r="C390" s="37"/>
      <c r="D390" s="37"/>
      <c r="E390" s="37"/>
      <c r="F390" s="37"/>
      <c r="G390" s="37"/>
      <c r="H390" s="37"/>
      <c r="I390" s="37"/>
      <c r="J390" s="37"/>
      <c r="K390" s="37"/>
      <c r="L390" s="37"/>
      <c r="M390" s="37"/>
      <c r="N390" s="37"/>
      <c r="O390" s="37"/>
      <c r="P390" s="37"/>
      <c r="Q390" s="37"/>
      <c r="R390" s="37"/>
      <c r="S390" s="37"/>
      <c r="T390" s="37"/>
      <c r="U390" s="37"/>
      <c r="V390" s="37"/>
      <c r="W390" s="37"/>
      <c r="X390" s="37"/>
      <c r="Y390" s="37"/>
      <c r="Z390" s="37"/>
      <c r="AA390" s="37"/>
      <c r="AB390" s="37"/>
      <c r="AC390" s="37"/>
      <c r="AD390" s="37"/>
      <c r="AE390" s="37"/>
      <c r="AF390" s="37"/>
      <c r="AG390" s="37"/>
      <c r="AH390" s="37"/>
      <c r="AI390" s="37"/>
      <c r="AJ390" s="37"/>
      <c r="AK390" s="37"/>
      <c r="AL390" s="37"/>
      <c r="AM390" s="37"/>
      <c r="AN390" s="37"/>
      <c r="AO390" s="37"/>
      <c r="AP390" s="37"/>
      <c r="AQ390" s="37"/>
      <c r="AR390" s="37"/>
      <c r="AS390" s="37"/>
      <c r="AT390" s="37"/>
      <c r="AU390" s="37"/>
      <c r="AV390" s="37"/>
      <c r="AW390" s="37"/>
      <c r="AX390" s="37"/>
      <c r="AY390" s="37"/>
      <c r="AZ390" s="37"/>
    </row>
    <row r="391" spans="1:52">
      <c r="A391" s="37"/>
      <c r="B391" s="37"/>
      <c r="C391" s="37"/>
      <c r="D391" s="37"/>
      <c r="E391" s="37"/>
      <c r="F391" s="37"/>
      <c r="G391" s="37"/>
      <c r="H391" s="37"/>
      <c r="I391" s="37"/>
      <c r="J391" s="37"/>
      <c r="K391" s="37"/>
      <c r="L391" s="37"/>
      <c r="M391" s="37"/>
      <c r="N391" s="37"/>
      <c r="O391" s="37"/>
      <c r="P391" s="37"/>
      <c r="Q391" s="37"/>
      <c r="R391" s="37"/>
      <c r="S391" s="37"/>
      <c r="T391" s="37"/>
      <c r="U391" s="37"/>
      <c r="V391" s="37"/>
      <c r="W391" s="37"/>
      <c r="X391" s="37"/>
      <c r="Y391" s="37"/>
      <c r="Z391" s="37"/>
      <c r="AA391" s="37"/>
      <c r="AB391" s="37"/>
      <c r="AC391" s="37"/>
      <c r="AD391" s="37"/>
      <c r="AE391" s="37"/>
      <c r="AF391" s="37"/>
      <c r="AG391" s="37"/>
      <c r="AH391" s="37"/>
      <c r="AI391" s="37"/>
      <c r="AJ391" s="37"/>
      <c r="AK391" s="37"/>
      <c r="AL391" s="37"/>
      <c r="AM391" s="37"/>
      <c r="AN391" s="37"/>
      <c r="AO391" s="37"/>
      <c r="AP391" s="37"/>
      <c r="AQ391" s="37"/>
      <c r="AR391" s="37"/>
      <c r="AS391" s="37"/>
      <c r="AT391" s="37"/>
      <c r="AU391" s="37"/>
      <c r="AV391" s="37"/>
      <c r="AW391" s="37"/>
      <c r="AX391" s="37"/>
      <c r="AY391" s="37"/>
      <c r="AZ391" s="37"/>
    </row>
    <row r="392" spans="1:52">
      <c r="A392" s="37"/>
      <c r="B392" s="37"/>
      <c r="C392" s="37"/>
      <c r="D392" s="37"/>
      <c r="E392" s="37"/>
      <c r="F392" s="37"/>
      <c r="G392" s="37"/>
      <c r="H392" s="37"/>
      <c r="I392" s="37"/>
      <c r="J392" s="37"/>
      <c r="K392" s="37"/>
      <c r="L392" s="37"/>
      <c r="M392" s="37"/>
      <c r="N392" s="37"/>
      <c r="O392" s="37"/>
      <c r="P392" s="37"/>
      <c r="Q392" s="37"/>
      <c r="R392" s="37"/>
      <c r="S392" s="37"/>
      <c r="T392" s="37"/>
      <c r="U392" s="37"/>
      <c r="V392" s="37"/>
      <c r="W392" s="37"/>
      <c r="X392" s="37"/>
      <c r="Y392" s="37"/>
      <c r="Z392" s="37"/>
      <c r="AA392" s="37"/>
      <c r="AB392" s="37"/>
      <c r="AC392" s="37"/>
      <c r="AD392" s="37"/>
      <c r="AE392" s="37"/>
      <c r="AF392" s="37"/>
      <c r="AG392" s="37"/>
      <c r="AH392" s="37"/>
      <c r="AI392" s="37"/>
      <c r="AJ392" s="37"/>
      <c r="AK392" s="37"/>
      <c r="AL392" s="37"/>
      <c r="AM392" s="37"/>
      <c r="AN392" s="37"/>
      <c r="AO392" s="37"/>
      <c r="AP392" s="37"/>
      <c r="AQ392" s="37"/>
      <c r="AR392" s="37"/>
      <c r="AS392" s="37"/>
      <c r="AT392" s="37"/>
      <c r="AU392" s="37"/>
      <c r="AV392" s="37"/>
      <c r="AW392" s="37"/>
      <c r="AX392" s="37"/>
      <c r="AY392" s="37"/>
      <c r="AZ392" s="37"/>
    </row>
    <row r="393" spans="1:52">
      <c r="A393" s="37"/>
      <c r="B393" s="37"/>
      <c r="C393" s="37"/>
      <c r="D393" s="37"/>
      <c r="E393" s="37"/>
      <c r="F393" s="37"/>
      <c r="G393" s="37"/>
      <c r="H393" s="37"/>
      <c r="I393" s="37"/>
      <c r="J393" s="37"/>
      <c r="K393" s="37"/>
      <c r="L393" s="37"/>
      <c r="M393" s="37"/>
      <c r="N393" s="37"/>
      <c r="O393" s="37"/>
      <c r="P393" s="37"/>
      <c r="Q393" s="37"/>
      <c r="R393" s="37"/>
      <c r="S393" s="37"/>
      <c r="T393" s="37"/>
      <c r="U393" s="37"/>
      <c r="V393" s="37"/>
      <c r="W393" s="37"/>
      <c r="X393" s="37"/>
      <c r="Y393" s="37"/>
      <c r="Z393" s="37"/>
      <c r="AA393" s="37"/>
      <c r="AB393" s="37"/>
      <c r="AC393" s="37"/>
      <c r="AD393" s="37"/>
      <c r="AE393" s="37"/>
      <c r="AF393" s="37"/>
      <c r="AG393" s="37"/>
      <c r="AH393" s="37"/>
      <c r="AI393" s="37"/>
      <c r="AJ393" s="37"/>
      <c r="AK393" s="37"/>
      <c r="AL393" s="37"/>
      <c r="AM393" s="37"/>
      <c r="AN393" s="37"/>
      <c r="AO393" s="37"/>
      <c r="AP393" s="37"/>
      <c r="AQ393" s="37"/>
      <c r="AR393" s="37"/>
      <c r="AS393" s="37"/>
      <c r="AT393" s="37"/>
      <c r="AU393" s="37"/>
      <c r="AV393" s="37"/>
      <c r="AW393" s="37"/>
      <c r="AX393" s="37"/>
      <c r="AY393" s="37"/>
      <c r="AZ393" s="37"/>
    </row>
    <row r="394" spans="1:52">
      <c r="A394" s="37"/>
      <c r="B394" s="37"/>
      <c r="C394" s="37"/>
      <c r="D394" s="37"/>
      <c r="E394" s="37"/>
      <c r="F394" s="37"/>
      <c r="G394" s="37"/>
      <c r="H394" s="37"/>
      <c r="I394" s="37"/>
      <c r="J394" s="37"/>
      <c r="K394" s="37"/>
      <c r="L394" s="37"/>
      <c r="M394" s="37"/>
      <c r="N394" s="37"/>
      <c r="O394" s="37"/>
      <c r="P394" s="37"/>
      <c r="Q394" s="37"/>
      <c r="R394" s="37"/>
      <c r="S394" s="37"/>
      <c r="T394" s="37"/>
      <c r="U394" s="37"/>
      <c r="V394" s="37"/>
      <c r="W394" s="37"/>
      <c r="X394" s="37"/>
      <c r="Y394" s="37"/>
      <c r="Z394" s="37"/>
      <c r="AA394" s="37"/>
      <c r="AB394" s="37"/>
      <c r="AC394" s="37"/>
      <c r="AD394" s="37"/>
      <c r="AE394" s="37"/>
      <c r="AF394" s="37"/>
      <c r="AG394" s="37"/>
      <c r="AH394" s="37"/>
      <c r="AI394" s="37"/>
      <c r="AJ394" s="37"/>
      <c r="AK394" s="37"/>
      <c r="AL394" s="37"/>
      <c r="AM394" s="37"/>
      <c r="AN394" s="37"/>
      <c r="AO394" s="37"/>
      <c r="AP394" s="37"/>
      <c r="AQ394" s="37"/>
      <c r="AR394" s="37"/>
      <c r="AS394" s="37"/>
      <c r="AT394" s="37"/>
      <c r="AU394" s="37"/>
      <c r="AV394" s="37"/>
      <c r="AW394" s="37"/>
      <c r="AX394" s="37"/>
      <c r="AY394" s="37"/>
      <c r="AZ394" s="37"/>
    </row>
    <row r="395" spans="1:52">
      <c r="A395" s="37"/>
      <c r="B395" s="37"/>
      <c r="C395" s="37"/>
      <c r="D395" s="37"/>
      <c r="E395" s="37"/>
      <c r="F395" s="37"/>
      <c r="G395" s="37"/>
      <c r="H395" s="37"/>
      <c r="I395" s="37"/>
      <c r="J395" s="37"/>
      <c r="K395" s="37"/>
      <c r="L395" s="37"/>
      <c r="M395" s="37"/>
      <c r="N395" s="37"/>
      <c r="O395" s="37"/>
      <c r="P395" s="37"/>
      <c r="Q395" s="37"/>
      <c r="R395" s="37"/>
      <c r="S395" s="37"/>
      <c r="T395" s="37"/>
      <c r="U395" s="37"/>
      <c r="V395" s="37"/>
      <c r="W395" s="37"/>
      <c r="X395" s="37"/>
      <c r="Y395" s="37"/>
      <c r="Z395" s="37"/>
      <c r="AA395" s="37"/>
      <c r="AB395" s="37"/>
      <c r="AC395" s="37"/>
      <c r="AD395" s="37"/>
      <c r="AE395" s="37"/>
      <c r="AF395" s="37"/>
      <c r="AG395" s="37"/>
      <c r="AH395" s="37"/>
      <c r="AI395" s="37"/>
      <c r="AJ395" s="37"/>
      <c r="AK395" s="37"/>
      <c r="AL395" s="37"/>
      <c r="AM395" s="37"/>
      <c r="AN395" s="37"/>
      <c r="AO395" s="37"/>
      <c r="AP395" s="37"/>
      <c r="AQ395" s="37"/>
      <c r="AR395" s="37"/>
      <c r="AS395" s="37"/>
      <c r="AT395" s="37"/>
      <c r="AU395" s="37"/>
      <c r="AV395" s="37"/>
      <c r="AW395" s="37"/>
      <c r="AX395" s="37"/>
      <c r="AY395" s="37"/>
      <c r="AZ395" s="37"/>
    </row>
    <row r="396" spans="1:52">
      <c r="A396" s="37"/>
      <c r="B396" s="37"/>
      <c r="C396" s="37"/>
      <c r="D396" s="37"/>
      <c r="E396" s="37"/>
      <c r="F396" s="37"/>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7"/>
      <c r="AF396" s="37"/>
      <c r="AG396" s="37"/>
      <c r="AH396" s="37"/>
      <c r="AI396" s="37"/>
      <c r="AJ396" s="37"/>
      <c r="AK396" s="37"/>
      <c r="AL396" s="37"/>
      <c r="AM396" s="37"/>
      <c r="AN396" s="37"/>
      <c r="AO396" s="37"/>
      <c r="AP396" s="37"/>
      <c r="AQ396" s="37"/>
      <c r="AR396" s="37"/>
      <c r="AS396" s="37"/>
      <c r="AT396" s="37"/>
      <c r="AU396" s="37"/>
      <c r="AV396" s="37"/>
      <c r="AW396" s="37"/>
      <c r="AX396" s="37"/>
      <c r="AY396" s="37"/>
      <c r="AZ396" s="37"/>
    </row>
    <row r="397" spans="1:52">
      <c r="A397" s="37"/>
      <c r="B397" s="37"/>
      <c r="C397" s="37"/>
      <c r="D397" s="37"/>
      <c r="E397" s="37"/>
      <c r="F397" s="37"/>
      <c r="G397" s="37"/>
      <c r="H397" s="37"/>
      <c r="I397" s="37"/>
      <c r="J397" s="37"/>
      <c r="K397" s="37"/>
      <c r="L397" s="37"/>
      <c r="M397" s="37"/>
      <c r="N397" s="37"/>
      <c r="O397" s="37"/>
      <c r="P397" s="37"/>
      <c r="Q397" s="37"/>
      <c r="R397" s="37"/>
      <c r="S397" s="37"/>
      <c r="T397" s="37"/>
      <c r="U397" s="37"/>
      <c r="V397" s="37"/>
      <c r="W397" s="37"/>
      <c r="X397" s="37"/>
      <c r="Y397" s="37"/>
      <c r="Z397" s="37"/>
      <c r="AA397" s="37"/>
      <c r="AB397" s="37"/>
      <c r="AC397" s="37"/>
      <c r="AD397" s="37"/>
      <c r="AE397" s="37"/>
      <c r="AF397" s="37"/>
      <c r="AG397" s="37"/>
      <c r="AH397" s="37"/>
      <c r="AI397" s="37"/>
      <c r="AJ397" s="37"/>
      <c r="AK397" s="37"/>
      <c r="AL397" s="37"/>
      <c r="AM397" s="37"/>
      <c r="AN397" s="37"/>
      <c r="AO397" s="37"/>
      <c r="AP397" s="37"/>
      <c r="AQ397" s="37"/>
      <c r="AR397" s="37"/>
      <c r="AS397" s="37"/>
      <c r="AT397" s="37"/>
      <c r="AU397" s="37"/>
      <c r="AV397" s="37"/>
      <c r="AW397" s="37"/>
      <c r="AX397" s="37"/>
      <c r="AY397" s="37"/>
      <c r="AZ397" s="37"/>
    </row>
    <row r="398" spans="1:52">
      <c r="A398" s="37"/>
      <c r="B398" s="37"/>
      <c r="C398" s="37"/>
      <c r="D398" s="37"/>
      <c r="E398" s="37"/>
      <c r="F398" s="37"/>
      <c r="G398" s="37"/>
      <c r="H398" s="37"/>
      <c r="I398" s="37"/>
      <c r="J398" s="37"/>
      <c r="K398" s="37"/>
      <c r="L398" s="37"/>
      <c r="M398" s="37"/>
      <c r="N398" s="37"/>
      <c r="O398" s="37"/>
      <c r="P398" s="37"/>
      <c r="Q398" s="37"/>
      <c r="R398" s="37"/>
      <c r="S398" s="37"/>
      <c r="T398" s="37"/>
      <c r="U398" s="37"/>
      <c r="V398" s="37"/>
      <c r="W398" s="37"/>
      <c r="X398" s="37"/>
      <c r="Y398" s="37"/>
      <c r="Z398" s="37"/>
      <c r="AA398" s="37"/>
      <c r="AB398" s="37"/>
      <c r="AC398" s="37"/>
      <c r="AD398" s="37"/>
      <c r="AE398" s="37"/>
      <c r="AF398" s="37"/>
      <c r="AG398" s="37"/>
      <c r="AH398" s="37"/>
      <c r="AI398" s="37"/>
      <c r="AJ398" s="37"/>
      <c r="AK398" s="37"/>
      <c r="AL398" s="37"/>
      <c r="AM398" s="37"/>
      <c r="AN398" s="37"/>
      <c r="AO398" s="37"/>
      <c r="AP398" s="37"/>
      <c r="AQ398" s="37"/>
      <c r="AR398" s="37"/>
      <c r="AS398" s="37"/>
      <c r="AT398" s="37"/>
      <c r="AU398" s="37"/>
      <c r="AV398" s="37"/>
      <c r="AW398" s="37"/>
      <c r="AX398" s="37"/>
      <c r="AY398" s="37"/>
      <c r="AZ398" s="37"/>
    </row>
    <row r="399" spans="1:52">
      <c r="A399" s="37"/>
      <c r="B399" s="37"/>
      <c r="C399" s="37"/>
      <c r="D399" s="37"/>
      <c r="E399" s="37"/>
      <c r="F399" s="37"/>
      <c r="G399" s="37"/>
      <c r="H399" s="37"/>
      <c r="I399" s="37"/>
      <c r="J399" s="37"/>
      <c r="K399" s="37"/>
      <c r="L399" s="37"/>
      <c r="M399" s="37"/>
      <c r="N399" s="37"/>
      <c r="O399" s="37"/>
      <c r="P399" s="37"/>
      <c r="Q399" s="37"/>
      <c r="R399" s="37"/>
      <c r="S399" s="37"/>
      <c r="T399" s="37"/>
      <c r="U399" s="37"/>
      <c r="V399" s="37"/>
      <c r="W399" s="37"/>
      <c r="X399" s="37"/>
      <c r="Y399" s="37"/>
      <c r="Z399" s="37"/>
      <c r="AA399" s="37"/>
      <c r="AB399" s="37"/>
      <c r="AC399" s="37"/>
      <c r="AD399" s="37"/>
      <c r="AE399" s="37"/>
      <c r="AF399" s="37"/>
      <c r="AG399" s="37"/>
      <c r="AH399" s="37"/>
      <c r="AI399" s="37"/>
      <c r="AJ399" s="37"/>
      <c r="AK399" s="37"/>
      <c r="AL399" s="37"/>
      <c r="AM399" s="37"/>
      <c r="AN399" s="37"/>
      <c r="AO399" s="37"/>
      <c r="AP399" s="37"/>
      <c r="AQ399" s="37"/>
      <c r="AR399" s="37"/>
      <c r="AS399" s="37"/>
      <c r="AT399" s="37"/>
      <c r="AU399" s="37"/>
      <c r="AV399" s="37"/>
      <c r="AW399" s="37"/>
      <c r="AX399" s="37"/>
      <c r="AY399" s="37"/>
      <c r="AZ399" s="37"/>
    </row>
    <row r="400" spans="1:52">
      <c r="A400" s="37"/>
      <c r="B400" s="37"/>
      <c r="C400" s="37"/>
      <c r="D400" s="37"/>
      <c r="E400" s="37"/>
      <c r="F400" s="37"/>
      <c r="G400" s="37"/>
      <c r="H400" s="37"/>
      <c r="I400" s="37"/>
      <c r="J400" s="37"/>
      <c r="K400" s="37"/>
      <c r="L400" s="37"/>
      <c r="M400" s="37"/>
      <c r="N400" s="37"/>
      <c r="O400" s="37"/>
      <c r="P400" s="37"/>
      <c r="Q400" s="37"/>
      <c r="R400" s="37"/>
      <c r="S400" s="37"/>
      <c r="T400" s="37"/>
      <c r="U400" s="37"/>
      <c r="V400" s="37"/>
      <c r="W400" s="37"/>
      <c r="X400" s="37"/>
      <c r="Y400" s="37"/>
      <c r="Z400" s="37"/>
      <c r="AA400" s="37"/>
      <c r="AB400" s="37"/>
      <c r="AC400" s="37"/>
      <c r="AD400" s="37"/>
      <c r="AE400" s="37"/>
      <c r="AF400" s="37"/>
      <c r="AG400" s="37"/>
      <c r="AH400" s="37"/>
      <c r="AI400" s="37"/>
      <c r="AJ400" s="37"/>
      <c r="AK400" s="37"/>
      <c r="AL400" s="37"/>
      <c r="AM400" s="37"/>
      <c r="AN400" s="37"/>
      <c r="AO400" s="37"/>
      <c r="AP400" s="37"/>
      <c r="AQ400" s="37"/>
      <c r="AR400" s="37"/>
      <c r="AS400" s="37"/>
      <c r="AT400" s="37"/>
      <c r="AU400" s="37"/>
      <c r="AV400" s="37"/>
      <c r="AW400" s="37"/>
      <c r="AX400" s="37"/>
      <c r="AY400" s="37"/>
      <c r="AZ400" s="37"/>
    </row>
    <row r="401" spans="1:52">
      <c r="A401" s="37"/>
      <c r="B401" s="37"/>
      <c r="C401" s="37"/>
      <c r="D401" s="37"/>
      <c r="E401" s="37"/>
      <c r="F401" s="37"/>
      <c r="G401" s="37"/>
      <c r="H401" s="37"/>
      <c r="I401" s="37"/>
      <c r="J401" s="37"/>
      <c r="K401" s="37"/>
      <c r="L401" s="37"/>
      <c r="M401" s="37"/>
      <c r="N401" s="37"/>
      <c r="O401" s="37"/>
      <c r="P401" s="37"/>
      <c r="Q401" s="37"/>
      <c r="R401" s="37"/>
      <c r="S401" s="37"/>
      <c r="T401" s="37"/>
      <c r="U401" s="37"/>
      <c r="V401" s="37"/>
      <c r="W401" s="37"/>
      <c r="X401" s="37"/>
      <c r="Y401" s="37"/>
      <c r="Z401" s="37"/>
      <c r="AA401" s="37"/>
      <c r="AB401" s="37"/>
      <c r="AC401" s="37"/>
      <c r="AD401" s="37"/>
      <c r="AE401" s="37"/>
      <c r="AF401" s="37"/>
      <c r="AG401" s="37"/>
      <c r="AH401" s="37"/>
      <c r="AI401" s="37"/>
      <c r="AJ401" s="37"/>
      <c r="AK401" s="37"/>
      <c r="AL401" s="37"/>
      <c r="AM401" s="37"/>
      <c r="AN401" s="37"/>
      <c r="AO401" s="37"/>
      <c r="AP401" s="37"/>
      <c r="AQ401" s="37"/>
      <c r="AR401" s="37"/>
      <c r="AS401" s="37"/>
      <c r="AT401" s="37"/>
      <c r="AU401" s="37"/>
      <c r="AV401" s="37"/>
      <c r="AW401" s="37"/>
      <c r="AX401" s="37"/>
      <c r="AY401" s="37"/>
      <c r="AZ401" s="37"/>
    </row>
    <row r="402" spans="1:52">
      <c r="A402" s="37"/>
      <c r="B402" s="37"/>
      <c r="C402" s="37"/>
      <c r="D402" s="37"/>
      <c r="E402" s="37"/>
      <c r="F402" s="37"/>
      <c r="G402" s="37"/>
      <c r="H402" s="37"/>
      <c r="I402" s="37"/>
      <c r="J402" s="37"/>
      <c r="K402" s="37"/>
      <c r="L402" s="37"/>
      <c r="M402" s="37"/>
      <c r="N402" s="37"/>
      <c r="O402" s="37"/>
      <c r="P402" s="37"/>
      <c r="Q402" s="37"/>
      <c r="R402" s="37"/>
      <c r="S402" s="37"/>
      <c r="T402" s="37"/>
      <c r="U402" s="37"/>
      <c r="V402" s="37"/>
      <c r="W402" s="37"/>
      <c r="X402" s="37"/>
      <c r="Y402" s="37"/>
      <c r="Z402" s="37"/>
      <c r="AA402" s="37"/>
      <c r="AB402" s="37"/>
      <c r="AC402" s="37"/>
      <c r="AD402" s="37"/>
      <c r="AE402" s="37"/>
      <c r="AF402" s="37"/>
      <c r="AG402" s="37"/>
      <c r="AH402" s="37"/>
      <c r="AI402" s="37"/>
      <c r="AJ402" s="37"/>
      <c r="AK402" s="37"/>
      <c r="AL402" s="37"/>
      <c r="AM402" s="37"/>
      <c r="AN402" s="37"/>
      <c r="AO402" s="37"/>
      <c r="AP402" s="37"/>
      <c r="AQ402" s="37"/>
      <c r="AR402" s="37"/>
      <c r="AS402" s="37"/>
      <c r="AT402" s="37"/>
      <c r="AU402" s="37"/>
      <c r="AV402" s="37"/>
      <c r="AW402" s="37"/>
      <c r="AX402" s="37"/>
      <c r="AY402" s="37"/>
      <c r="AZ402" s="37"/>
    </row>
    <row r="403" spans="1:52">
      <c r="A403" s="37"/>
      <c r="B403" s="37"/>
      <c r="C403" s="37"/>
      <c r="D403" s="37"/>
      <c r="E403" s="37"/>
      <c r="F403" s="37"/>
      <c r="G403" s="37"/>
      <c r="H403" s="37"/>
      <c r="I403" s="37"/>
      <c r="J403" s="37"/>
      <c r="K403" s="37"/>
      <c r="L403" s="37"/>
      <c r="M403" s="37"/>
      <c r="N403" s="37"/>
      <c r="O403" s="37"/>
      <c r="P403" s="37"/>
      <c r="Q403" s="37"/>
      <c r="R403" s="37"/>
      <c r="S403" s="37"/>
      <c r="T403" s="37"/>
      <c r="U403" s="37"/>
      <c r="V403" s="37"/>
      <c r="W403" s="37"/>
      <c r="X403" s="37"/>
      <c r="Y403" s="37"/>
      <c r="Z403" s="37"/>
      <c r="AA403" s="37"/>
      <c r="AB403" s="37"/>
      <c r="AC403" s="37"/>
      <c r="AD403" s="37"/>
      <c r="AE403" s="37"/>
      <c r="AF403" s="37"/>
      <c r="AG403" s="37"/>
      <c r="AH403" s="37"/>
      <c r="AI403" s="37"/>
      <c r="AJ403" s="37"/>
      <c r="AK403" s="37"/>
      <c r="AL403" s="37"/>
      <c r="AM403" s="37"/>
      <c r="AN403" s="37"/>
      <c r="AO403" s="37"/>
      <c r="AP403" s="37"/>
      <c r="AQ403" s="37"/>
      <c r="AR403" s="37"/>
      <c r="AS403" s="37"/>
      <c r="AT403" s="37"/>
      <c r="AU403" s="37"/>
      <c r="AV403" s="37"/>
      <c r="AW403" s="37"/>
      <c r="AX403" s="37"/>
      <c r="AY403" s="37"/>
      <c r="AZ403" s="37"/>
    </row>
    <row r="404" spans="1:52">
      <c r="A404" s="37"/>
      <c r="B404" s="37"/>
      <c r="C404" s="37"/>
      <c r="D404" s="37"/>
      <c r="E404" s="37"/>
      <c r="F404" s="37"/>
      <c r="G404" s="37"/>
      <c r="H404" s="37"/>
      <c r="I404" s="37"/>
      <c r="J404" s="37"/>
      <c r="K404" s="37"/>
      <c r="L404" s="37"/>
      <c r="M404" s="37"/>
      <c r="N404" s="37"/>
      <c r="O404" s="37"/>
      <c r="P404" s="37"/>
      <c r="Q404" s="37"/>
      <c r="R404" s="37"/>
      <c r="S404" s="37"/>
      <c r="T404" s="37"/>
      <c r="U404" s="37"/>
      <c r="V404" s="37"/>
      <c r="W404" s="37"/>
      <c r="X404" s="37"/>
      <c r="Y404" s="37"/>
      <c r="Z404" s="37"/>
      <c r="AA404" s="37"/>
      <c r="AB404" s="37"/>
      <c r="AC404" s="37"/>
      <c r="AD404" s="37"/>
      <c r="AE404" s="37"/>
      <c r="AF404" s="37"/>
      <c r="AG404" s="37"/>
      <c r="AH404" s="37"/>
      <c r="AI404" s="37"/>
      <c r="AJ404" s="37"/>
      <c r="AK404" s="37"/>
      <c r="AL404" s="37"/>
      <c r="AM404" s="37"/>
      <c r="AN404" s="37"/>
      <c r="AO404" s="37"/>
      <c r="AP404" s="37"/>
      <c r="AQ404" s="37"/>
      <c r="AR404" s="37"/>
      <c r="AS404" s="37"/>
      <c r="AT404" s="37"/>
      <c r="AU404" s="37"/>
      <c r="AV404" s="37"/>
      <c r="AW404" s="37"/>
      <c r="AX404" s="37"/>
      <c r="AY404" s="37"/>
      <c r="AZ404" s="37"/>
    </row>
    <row r="405" spans="1:52">
      <c r="A405" s="37"/>
      <c r="B405" s="37"/>
      <c r="C405" s="37"/>
      <c r="D405" s="37"/>
      <c r="E405" s="37"/>
      <c r="F405" s="37"/>
      <c r="G405" s="37"/>
      <c r="H405" s="37"/>
      <c r="I405" s="37"/>
      <c r="J405" s="37"/>
      <c r="K405" s="37"/>
      <c r="L405" s="37"/>
      <c r="M405" s="37"/>
      <c r="N405" s="37"/>
      <c r="O405" s="37"/>
      <c r="P405" s="37"/>
      <c r="Q405" s="37"/>
      <c r="R405" s="37"/>
      <c r="S405" s="37"/>
      <c r="T405" s="37"/>
      <c r="U405" s="37"/>
      <c r="V405" s="37"/>
      <c r="W405" s="37"/>
      <c r="X405" s="37"/>
      <c r="Y405" s="37"/>
      <c r="Z405" s="37"/>
      <c r="AA405" s="37"/>
      <c r="AB405" s="37"/>
      <c r="AC405" s="37"/>
      <c r="AD405" s="37"/>
      <c r="AE405" s="37"/>
      <c r="AF405" s="37"/>
      <c r="AG405" s="37"/>
      <c r="AH405" s="37"/>
      <c r="AI405" s="37"/>
      <c r="AJ405" s="37"/>
      <c r="AK405" s="37"/>
      <c r="AL405" s="37"/>
      <c r="AM405" s="37"/>
      <c r="AN405" s="37"/>
      <c r="AO405" s="37"/>
      <c r="AP405" s="37"/>
      <c r="AQ405" s="37"/>
      <c r="AR405" s="37"/>
      <c r="AS405" s="37"/>
      <c r="AT405" s="37"/>
      <c r="AU405" s="37"/>
      <c r="AV405" s="37"/>
      <c r="AW405" s="37"/>
      <c r="AX405" s="37"/>
      <c r="AY405" s="37"/>
      <c r="AZ405" s="37"/>
    </row>
    <row r="406" spans="1:52">
      <c r="A406" s="37"/>
      <c r="B406" s="37"/>
      <c r="C406" s="37"/>
      <c r="D406" s="37"/>
      <c r="E406" s="37"/>
      <c r="F406" s="37"/>
      <c r="G406" s="37"/>
      <c r="H406" s="37"/>
      <c r="I406" s="37"/>
      <c r="J406" s="37"/>
      <c r="K406" s="37"/>
      <c r="L406" s="37"/>
      <c r="M406" s="37"/>
      <c r="N406" s="37"/>
      <c r="O406" s="37"/>
      <c r="P406" s="37"/>
      <c r="Q406" s="37"/>
      <c r="R406" s="37"/>
      <c r="S406" s="37"/>
      <c r="T406" s="37"/>
      <c r="U406" s="37"/>
      <c r="V406" s="37"/>
      <c r="W406" s="37"/>
      <c r="X406" s="37"/>
      <c r="Y406" s="37"/>
      <c r="Z406" s="37"/>
      <c r="AA406" s="37"/>
      <c r="AB406" s="37"/>
      <c r="AC406" s="37"/>
      <c r="AD406" s="37"/>
      <c r="AE406" s="37"/>
      <c r="AF406" s="37"/>
      <c r="AG406" s="37"/>
      <c r="AH406" s="37"/>
      <c r="AI406" s="37"/>
      <c r="AJ406" s="37"/>
      <c r="AK406" s="37"/>
      <c r="AL406" s="37"/>
      <c r="AM406" s="37"/>
      <c r="AN406" s="37"/>
      <c r="AO406" s="37"/>
      <c r="AP406" s="37"/>
      <c r="AQ406" s="37"/>
      <c r="AR406" s="37"/>
      <c r="AS406" s="37"/>
      <c r="AT406" s="37"/>
      <c r="AU406" s="37"/>
      <c r="AV406" s="37"/>
      <c r="AW406" s="37"/>
      <c r="AX406" s="37"/>
      <c r="AY406" s="37"/>
      <c r="AZ406" s="37"/>
    </row>
    <row r="407" spans="1:52">
      <c r="A407" s="37"/>
      <c r="B407" s="37"/>
      <c r="C407" s="37"/>
      <c r="D407" s="37"/>
      <c r="E407" s="37"/>
      <c r="F407" s="37"/>
      <c r="G407" s="37"/>
      <c r="H407" s="37"/>
      <c r="I407" s="37"/>
      <c r="J407" s="37"/>
      <c r="K407" s="37"/>
      <c r="L407" s="37"/>
      <c r="M407" s="37"/>
      <c r="N407" s="37"/>
      <c r="O407" s="37"/>
      <c r="P407" s="37"/>
      <c r="Q407" s="37"/>
      <c r="R407" s="37"/>
      <c r="S407" s="37"/>
      <c r="T407" s="37"/>
      <c r="U407" s="37"/>
      <c r="V407" s="37"/>
      <c r="W407" s="37"/>
      <c r="X407" s="37"/>
      <c r="Y407" s="37"/>
      <c r="Z407" s="37"/>
      <c r="AA407" s="37"/>
      <c r="AB407" s="37"/>
      <c r="AC407" s="37"/>
      <c r="AD407" s="37"/>
      <c r="AE407" s="37"/>
      <c r="AF407" s="37"/>
      <c r="AG407" s="37"/>
      <c r="AH407" s="37"/>
      <c r="AI407" s="37"/>
      <c r="AJ407" s="37"/>
      <c r="AK407" s="37"/>
      <c r="AL407" s="37"/>
      <c r="AM407" s="37"/>
      <c r="AN407" s="37"/>
      <c r="AO407" s="37"/>
      <c r="AP407" s="37"/>
      <c r="AQ407" s="37"/>
      <c r="AR407" s="37"/>
      <c r="AS407" s="37"/>
      <c r="AT407" s="37"/>
      <c r="AU407" s="37"/>
      <c r="AV407" s="37"/>
      <c r="AW407" s="37"/>
      <c r="AX407" s="37"/>
      <c r="AY407" s="37"/>
      <c r="AZ407" s="37"/>
    </row>
    <row r="408" spans="1:52">
      <c r="A408" s="37"/>
      <c r="B408" s="37"/>
      <c r="C408" s="37"/>
      <c r="D408" s="37"/>
      <c r="E408" s="37"/>
      <c r="F408" s="37"/>
      <c r="G408" s="37"/>
      <c r="H408" s="37"/>
      <c r="I408" s="37"/>
      <c r="J408" s="37"/>
      <c r="K408" s="37"/>
      <c r="L408" s="37"/>
      <c r="M408" s="37"/>
      <c r="N408" s="37"/>
      <c r="O408" s="37"/>
      <c r="P408" s="37"/>
      <c r="Q408" s="37"/>
      <c r="R408" s="37"/>
      <c r="S408" s="37"/>
      <c r="T408" s="37"/>
      <c r="U408" s="37"/>
      <c r="V408" s="37"/>
      <c r="W408" s="37"/>
      <c r="X408" s="37"/>
      <c r="Y408" s="37"/>
      <c r="Z408" s="37"/>
      <c r="AA408" s="37"/>
      <c r="AB408" s="37"/>
      <c r="AC408" s="37"/>
      <c r="AD408" s="37"/>
      <c r="AE408" s="37"/>
      <c r="AF408" s="37"/>
      <c r="AG408" s="37"/>
      <c r="AH408" s="37"/>
      <c r="AI408" s="37"/>
      <c r="AJ408" s="37"/>
      <c r="AK408" s="37"/>
      <c r="AL408" s="37"/>
      <c r="AM408" s="37"/>
      <c r="AN408" s="37"/>
      <c r="AO408" s="37"/>
      <c r="AP408" s="37"/>
      <c r="AQ408" s="37"/>
      <c r="AR408" s="37"/>
      <c r="AS408" s="37"/>
      <c r="AT408" s="37"/>
      <c r="AU408" s="37"/>
      <c r="AV408" s="37"/>
      <c r="AW408" s="37"/>
      <c r="AX408" s="37"/>
      <c r="AY408" s="37"/>
      <c r="AZ408" s="37"/>
    </row>
    <row r="409" spans="1:52">
      <c r="A409" s="37"/>
      <c r="B409" s="37"/>
      <c r="C409" s="37"/>
      <c r="D409" s="37"/>
      <c r="E409" s="37"/>
      <c r="F409" s="37"/>
      <c r="G409" s="37"/>
      <c r="H409" s="37"/>
      <c r="I409" s="37"/>
      <c r="J409" s="37"/>
      <c r="K409" s="37"/>
      <c r="L409" s="37"/>
      <c r="M409" s="37"/>
      <c r="N409" s="37"/>
      <c r="O409" s="37"/>
      <c r="P409" s="37"/>
      <c r="Q409" s="37"/>
      <c r="R409" s="37"/>
      <c r="S409" s="37"/>
      <c r="T409" s="37"/>
      <c r="U409" s="37"/>
      <c r="V409" s="37"/>
      <c r="W409" s="37"/>
      <c r="X409" s="37"/>
      <c r="Y409" s="37"/>
      <c r="Z409" s="37"/>
      <c r="AA409" s="37"/>
      <c r="AB409" s="37"/>
      <c r="AC409" s="37"/>
      <c r="AD409" s="37"/>
      <c r="AE409" s="37"/>
      <c r="AF409" s="37"/>
      <c r="AG409" s="37"/>
      <c r="AH409" s="37"/>
      <c r="AI409" s="37"/>
      <c r="AJ409" s="37"/>
      <c r="AK409" s="37"/>
      <c r="AL409" s="37"/>
      <c r="AM409" s="37"/>
      <c r="AN409" s="37"/>
      <c r="AO409" s="37"/>
      <c r="AP409" s="37"/>
      <c r="AQ409" s="37"/>
      <c r="AR409" s="37"/>
      <c r="AS409" s="37"/>
      <c r="AT409" s="37"/>
      <c r="AU409" s="37"/>
      <c r="AV409" s="37"/>
      <c r="AW409" s="37"/>
      <c r="AX409" s="37"/>
      <c r="AY409" s="37"/>
      <c r="AZ409" s="37"/>
    </row>
    <row r="410" spans="1:52">
      <c r="A410" s="37"/>
      <c r="B410" s="37"/>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c r="AA410" s="37"/>
      <c r="AB410" s="37"/>
      <c r="AC410" s="37"/>
      <c r="AD410" s="37"/>
      <c r="AE410" s="37"/>
      <c r="AF410" s="37"/>
      <c r="AG410" s="37"/>
      <c r="AH410" s="37"/>
      <c r="AI410" s="37"/>
      <c r="AJ410" s="37"/>
      <c r="AK410" s="37"/>
      <c r="AL410" s="37"/>
      <c r="AM410" s="37"/>
      <c r="AN410" s="37"/>
      <c r="AO410" s="37"/>
      <c r="AP410" s="37"/>
      <c r="AQ410" s="37"/>
      <c r="AR410" s="37"/>
      <c r="AS410" s="37"/>
      <c r="AT410" s="37"/>
      <c r="AU410" s="37"/>
      <c r="AV410" s="37"/>
      <c r="AW410" s="37"/>
      <c r="AX410" s="37"/>
      <c r="AY410" s="37"/>
      <c r="AZ410" s="37"/>
    </row>
    <row r="411" spans="1:52">
      <c r="A411" s="37"/>
      <c r="B411" s="37"/>
      <c r="C411" s="37"/>
      <c r="D411" s="37"/>
      <c r="E411" s="37"/>
      <c r="F411" s="37"/>
      <c r="G411" s="37"/>
      <c r="H411" s="37"/>
      <c r="I411" s="37"/>
      <c r="J411" s="37"/>
      <c r="K411" s="37"/>
      <c r="L411" s="37"/>
      <c r="M411" s="37"/>
      <c r="N411" s="37"/>
      <c r="O411" s="37"/>
      <c r="P411" s="37"/>
      <c r="Q411" s="37"/>
      <c r="R411" s="37"/>
      <c r="S411" s="37"/>
      <c r="T411" s="37"/>
      <c r="U411" s="37"/>
      <c r="V411" s="37"/>
      <c r="W411" s="37"/>
      <c r="X411" s="37"/>
      <c r="Y411" s="37"/>
      <c r="Z411" s="37"/>
      <c r="AA411" s="37"/>
      <c r="AB411" s="37"/>
      <c r="AC411" s="37"/>
      <c r="AD411" s="37"/>
      <c r="AE411" s="37"/>
      <c r="AF411" s="37"/>
      <c r="AG411" s="37"/>
      <c r="AH411" s="37"/>
      <c r="AI411" s="37"/>
      <c r="AJ411" s="37"/>
      <c r="AK411" s="37"/>
      <c r="AL411" s="37"/>
      <c r="AM411" s="37"/>
      <c r="AN411" s="37"/>
      <c r="AO411" s="37"/>
      <c r="AP411" s="37"/>
      <c r="AQ411" s="37"/>
      <c r="AR411" s="37"/>
      <c r="AS411" s="37"/>
      <c r="AT411" s="37"/>
      <c r="AU411" s="37"/>
      <c r="AV411" s="37"/>
      <c r="AW411" s="37"/>
      <c r="AX411" s="37"/>
      <c r="AY411" s="37"/>
      <c r="AZ411" s="37"/>
    </row>
    <row r="412" spans="1:52">
      <c r="A412" s="37"/>
      <c r="B412" s="37"/>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c r="AA412" s="37"/>
      <c r="AB412" s="37"/>
      <c r="AC412" s="37"/>
      <c r="AD412" s="37"/>
      <c r="AE412" s="37"/>
      <c r="AF412" s="37"/>
      <c r="AG412" s="37"/>
      <c r="AH412" s="37"/>
      <c r="AI412" s="37"/>
      <c r="AJ412" s="37"/>
      <c r="AK412" s="37"/>
      <c r="AL412" s="37"/>
      <c r="AM412" s="37"/>
      <c r="AN412" s="37"/>
      <c r="AO412" s="37"/>
      <c r="AP412" s="37"/>
      <c r="AQ412" s="37"/>
      <c r="AR412" s="37"/>
      <c r="AS412" s="37"/>
      <c r="AT412" s="37"/>
      <c r="AU412" s="37"/>
      <c r="AV412" s="37"/>
      <c r="AW412" s="37"/>
      <c r="AX412" s="37"/>
      <c r="AY412" s="37"/>
      <c r="AZ412" s="37"/>
    </row>
    <row r="413" spans="1:52">
      <c r="A413" s="37"/>
      <c r="B413" s="37"/>
      <c r="C413" s="37"/>
      <c r="D413" s="37"/>
      <c r="E413" s="37"/>
      <c r="F413" s="37"/>
      <c r="G413" s="37"/>
      <c r="H413" s="37"/>
      <c r="I413" s="37"/>
      <c r="J413" s="37"/>
      <c r="K413" s="37"/>
      <c r="L413" s="37"/>
      <c r="M413" s="37"/>
      <c r="N413" s="37"/>
      <c r="O413" s="37"/>
      <c r="P413" s="37"/>
      <c r="Q413" s="37"/>
      <c r="R413" s="37"/>
      <c r="S413" s="37"/>
      <c r="T413" s="37"/>
      <c r="U413" s="37"/>
      <c r="V413" s="37"/>
      <c r="W413" s="37"/>
      <c r="X413" s="37"/>
      <c r="Y413" s="37"/>
      <c r="Z413" s="37"/>
      <c r="AA413" s="37"/>
      <c r="AB413" s="37"/>
      <c r="AC413" s="37"/>
      <c r="AD413" s="37"/>
      <c r="AE413" s="37"/>
      <c r="AF413" s="37"/>
      <c r="AG413" s="37"/>
      <c r="AH413" s="37"/>
      <c r="AI413" s="37"/>
      <c r="AJ413" s="37"/>
      <c r="AK413" s="37"/>
      <c r="AL413" s="37"/>
      <c r="AM413" s="37"/>
      <c r="AN413" s="37"/>
      <c r="AO413" s="37"/>
      <c r="AP413" s="37"/>
      <c r="AQ413" s="37"/>
      <c r="AR413" s="37"/>
      <c r="AS413" s="37"/>
      <c r="AT413" s="37"/>
      <c r="AU413" s="37"/>
      <c r="AV413" s="37"/>
      <c r="AW413" s="37"/>
      <c r="AX413" s="37"/>
      <c r="AY413" s="37"/>
      <c r="AZ413" s="37"/>
    </row>
    <row r="414" spans="1:52">
      <c r="A414" s="37"/>
      <c r="B414" s="37"/>
      <c r="C414" s="37"/>
      <c r="D414" s="37"/>
      <c r="E414" s="37"/>
      <c r="F414" s="37"/>
      <c r="G414" s="37"/>
      <c r="H414" s="37"/>
      <c r="I414" s="37"/>
      <c r="J414" s="37"/>
      <c r="K414" s="37"/>
      <c r="L414" s="37"/>
      <c r="M414" s="37"/>
      <c r="N414" s="37"/>
      <c r="O414" s="37"/>
      <c r="P414" s="37"/>
      <c r="Q414" s="37"/>
      <c r="R414" s="37"/>
      <c r="S414" s="37"/>
      <c r="T414" s="37"/>
      <c r="U414" s="37"/>
      <c r="V414" s="37"/>
      <c r="W414" s="37"/>
      <c r="X414" s="37"/>
      <c r="Y414" s="37"/>
      <c r="Z414" s="37"/>
      <c r="AA414" s="37"/>
      <c r="AB414" s="37"/>
      <c r="AC414" s="37"/>
      <c r="AD414" s="37"/>
      <c r="AE414" s="37"/>
      <c r="AF414" s="37"/>
      <c r="AG414" s="37"/>
      <c r="AH414" s="37"/>
      <c r="AI414" s="37"/>
      <c r="AJ414" s="37"/>
      <c r="AK414" s="37"/>
      <c r="AL414" s="37"/>
      <c r="AM414" s="37"/>
      <c r="AN414" s="37"/>
      <c r="AO414" s="37"/>
      <c r="AP414" s="37"/>
      <c r="AQ414" s="37"/>
      <c r="AR414" s="37"/>
      <c r="AS414" s="37"/>
      <c r="AT414" s="37"/>
      <c r="AU414" s="37"/>
      <c r="AV414" s="37"/>
      <c r="AW414" s="37"/>
      <c r="AX414" s="37"/>
      <c r="AY414" s="37"/>
      <c r="AZ414" s="37"/>
    </row>
    <row r="415" spans="1:52">
      <c r="A415" s="37"/>
      <c r="B415" s="37"/>
      <c r="C415" s="37"/>
      <c r="D415" s="37"/>
      <c r="E415" s="37"/>
      <c r="F415" s="37"/>
      <c r="G415" s="37"/>
      <c r="H415" s="37"/>
      <c r="I415" s="37"/>
      <c r="J415" s="37"/>
      <c r="K415" s="37"/>
      <c r="L415" s="37"/>
      <c r="M415" s="37"/>
      <c r="N415" s="37"/>
      <c r="O415" s="37"/>
      <c r="P415" s="37"/>
      <c r="Q415" s="37"/>
      <c r="R415" s="37"/>
      <c r="S415" s="37"/>
      <c r="T415" s="37"/>
      <c r="U415" s="37"/>
      <c r="V415" s="37"/>
      <c r="W415" s="37"/>
      <c r="X415" s="37"/>
      <c r="Y415" s="37"/>
      <c r="Z415" s="37"/>
      <c r="AA415" s="37"/>
      <c r="AB415" s="37"/>
      <c r="AC415" s="37"/>
      <c r="AD415" s="37"/>
      <c r="AE415" s="37"/>
      <c r="AF415" s="37"/>
      <c r="AG415" s="37"/>
      <c r="AH415" s="37"/>
      <c r="AI415" s="37"/>
      <c r="AJ415" s="37"/>
      <c r="AK415" s="37"/>
      <c r="AL415" s="37"/>
      <c r="AM415" s="37"/>
      <c r="AN415" s="37"/>
      <c r="AO415" s="37"/>
      <c r="AP415" s="37"/>
      <c r="AQ415" s="37"/>
      <c r="AR415" s="37"/>
      <c r="AS415" s="37"/>
      <c r="AT415" s="37"/>
      <c r="AU415" s="37"/>
      <c r="AV415" s="37"/>
      <c r="AW415" s="37"/>
      <c r="AX415" s="37"/>
      <c r="AY415" s="37"/>
      <c r="AZ415" s="37"/>
    </row>
    <row r="416" spans="1:52">
      <c r="A416" s="37"/>
      <c r="B416" s="37"/>
      <c r="C416" s="37"/>
      <c r="D416" s="37"/>
      <c r="E416" s="37"/>
      <c r="F416" s="37"/>
      <c r="G416" s="37"/>
      <c r="H416" s="37"/>
      <c r="I416" s="37"/>
      <c r="J416" s="37"/>
      <c r="K416" s="37"/>
      <c r="L416" s="37"/>
      <c r="M416" s="37"/>
      <c r="N416" s="37"/>
      <c r="O416" s="37"/>
      <c r="P416" s="37"/>
      <c r="Q416" s="37"/>
      <c r="R416" s="37"/>
      <c r="S416" s="37"/>
      <c r="T416" s="37"/>
      <c r="U416" s="37"/>
      <c r="V416" s="37"/>
      <c r="W416" s="37"/>
      <c r="X416" s="37"/>
      <c r="Y416" s="37"/>
      <c r="Z416" s="37"/>
      <c r="AA416" s="37"/>
      <c r="AB416" s="37"/>
      <c r="AC416" s="37"/>
      <c r="AD416" s="37"/>
      <c r="AE416" s="37"/>
      <c r="AF416" s="37"/>
      <c r="AG416" s="37"/>
      <c r="AH416" s="37"/>
      <c r="AI416" s="37"/>
      <c r="AJ416" s="37"/>
      <c r="AK416" s="37"/>
      <c r="AL416" s="37"/>
      <c r="AM416" s="37"/>
      <c r="AN416" s="37"/>
      <c r="AO416" s="37"/>
      <c r="AP416" s="37"/>
      <c r="AQ416" s="37"/>
      <c r="AR416" s="37"/>
      <c r="AS416" s="37"/>
      <c r="AT416" s="37"/>
      <c r="AU416" s="37"/>
      <c r="AV416" s="37"/>
      <c r="AW416" s="37"/>
      <c r="AX416" s="37"/>
      <c r="AY416" s="37"/>
      <c r="AZ416" s="37"/>
    </row>
    <row r="417" spans="1:52">
      <c r="A417" s="37"/>
      <c r="B417" s="37"/>
      <c r="C417" s="37"/>
      <c r="D417" s="37"/>
      <c r="E417" s="37"/>
      <c r="F417" s="37"/>
      <c r="G417" s="37"/>
      <c r="H417" s="37"/>
      <c r="I417" s="37"/>
      <c r="J417" s="37"/>
      <c r="K417" s="37"/>
      <c r="L417" s="37"/>
      <c r="M417" s="37"/>
      <c r="N417" s="37"/>
      <c r="O417" s="37"/>
      <c r="P417" s="37"/>
      <c r="Q417" s="37"/>
      <c r="R417" s="37"/>
      <c r="S417" s="37"/>
      <c r="T417" s="37"/>
      <c r="U417" s="37"/>
      <c r="V417" s="37"/>
      <c r="W417" s="37"/>
      <c r="X417" s="37"/>
      <c r="Y417" s="37"/>
      <c r="Z417" s="37"/>
      <c r="AA417" s="37"/>
      <c r="AB417" s="37"/>
      <c r="AC417" s="37"/>
      <c r="AD417" s="37"/>
      <c r="AE417" s="37"/>
      <c r="AF417" s="37"/>
      <c r="AG417" s="37"/>
      <c r="AH417" s="37"/>
      <c r="AI417" s="37"/>
      <c r="AJ417" s="37"/>
      <c r="AK417" s="37"/>
      <c r="AL417" s="37"/>
      <c r="AM417" s="37"/>
      <c r="AN417" s="37"/>
      <c r="AO417" s="37"/>
      <c r="AP417" s="37"/>
      <c r="AQ417" s="37"/>
      <c r="AR417" s="37"/>
      <c r="AS417" s="37"/>
      <c r="AT417" s="37"/>
      <c r="AU417" s="37"/>
      <c r="AV417" s="37"/>
      <c r="AW417" s="37"/>
      <c r="AX417" s="37"/>
      <c r="AY417" s="37"/>
      <c r="AZ417" s="37"/>
    </row>
    <row r="418" spans="1:52">
      <c r="A418" s="37"/>
      <c r="B418" s="37"/>
      <c r="C418" s="37"/>
      <c r="D418" s="37"/>
      <c r="E418" s="37"/>
      <c r="F418" s="37"/>
      <c r="G418" s="37"/>
      <c r="H418" s="37"/>
      <c r="I418" s="37"/>
      <c r="J418" s="37"/>
      <c r="K418" s="37"/>
      <c r="L418" s="37"/>
      <c r="M418" s="37"/>
      <c r="N418" s="37"/>
      <c r="O418" s="37"/>
      <c r="P418" s="37"/>
      <c r="Q418" s="37"/>
      <c r="R418" s="37"/>
      <c r="S418" s="37"/>
      <c r="T418" s="37"/>
      <c r="U418" s="37"/>
      <c r="V418" s="37"/>
      <c r="W418" s="37"/>
      <c r="X418" s="37"/>
      <c r="Y418" s="37"/>
      <c r="Z418" s="37"/>
      <c r="AA418" s="37"/>
      <c r="AB418" s="37"/>
      <c r="AC418" s="37"/>
      <c r="AD418" s="37"/>
      <c r="AE418" s="37"/>
      <c r="AF418" s="37"/>
      <c r="AG418" s="37"/>
      <c r="AH418" s="37"/>
      <c r="AI418" s="37"/>
      <c r="AJ418" s="37"/>
      <c r="AK418" s="37"/>
      <c r="AL418" s="37"/>
      <c r="AM418" s="37"/>
      <c r="AN418" s="37"/>
      <c r="AO418" s="37"/>
      <c r="AP418" s="37"/>
      <c r="AQ418" s="37"/>
      <c r="AR418" s="37"/>
      <c r="AS418" s="37"/>
      <c r="AT418" s="37"/>
      <c r="AU418" s="37"/>
      <c r="AV418" s="37"/>
      <c r="AW418" s="37"/>
      <c r="AX418" s="37"/>
      <c r="AY418" s="37"/>
      <c r="AZ418" s="37"/>
    </row>
    <row r="419" spans="1:52">
      <c r="A419" s="37"/>
      <c r="B419" s="37"/>
      <c r="C419" s="37"/>
      <c r="D419" s="37"/>
      <c r="E419" s="37"/>
      <c r="F419" s="37"/>
      <c r="G419" s="37"/>
      <c r="H419" s="37"/>
      <c r="I419" s="37"/>
      <c r="J419" s="37"/>
      <c r="K419" s="37"/>
      <c r="L419" s="37"/>
      <c r="M419" s="37"/>
      <c r="N419" s="37"/>
      <c r="O419" s="37"/>
      <c r="P419" s="37"/>
      <c r="Q419" s="37"/>
      <c r="R419" s="37"/>
      <c r="S419" s="37"/>
      <c r="T419" s="37"/>
      <c r="U419" s="37"/>
      <c r="V419" s="37"/>
      <c r="W419" s="37"/>
      <c r="X419" s="37"/>
      <c r="Y419" s="37"/>
      <c r="Z419" s="37"/>
      <c r="AA419" s="37"/>
      <c r="AB419" s="37"/>
      <c r="AC419" s="37"/>
      <c r="AD419" s="37"/>
      <c r="AE419" s="37"/>
      <c r="AF419" s="37"/>
      <c r="AG419" s="37"/>
      <c r="AH419" s="37"/>
      <c r="AI419" s="37"/>
      <c r="AJ419" s="37"/>
      <c r="AK419" s="37"/>
      <c r="AL419" s="37"/>
      <c r="AM419" s="37"/>
      <c r="AN419" s="37"/>
      <c r="AO419" s="37"/>
      <c r="AP419" s="37"/>
      <c r="AQ419" s="37"/>
      <c r="AR419" s="37"/>
      <c r="AS419" s="37"/>
      <c r="AT419" s="37"/>
      <c r="AU419" s="37"/>
      <c r="AV419" s="37"/>
      <c r="AW419" s="37"/>
      <c r="AX419" s="37"/>
      <c r="AY419" s="37"/>
      <c r="AZ419" s="37"/>
    </row>
    <row r="420" spans="1:52">
      <c r="A420" s="37"/>
      <c r="B420" s="37"/>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c r="AM420" s="37"/>
      <c r="AN420" s="37"/>
      <c r="AO420" s="37"/>
      <c r="AP420" s="37"/>
      <c r="AQ420" s="37"/>
      <c r="AR420" s="37"/>
      <c r="AS420" s="37"/>
      <c r="AT420" s="37"/>
      <c r="AU420" s="37"/>
      <c r="AV420" s="37"/>
      <c r="AW420" s="37"/>
      <c r="AX420" s="37"/>
      <c r="AY420" s="37"/>
      <c r="AZ420" s="37"/>
    </row>
    <row r="421" spans="1:52">
      <c r="A421" s="37"/>
      <c r="B421" s="37"/>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c r="AA421" s="37"/>
      <c r="AB421" s="37"/>
      <c r="AC421" s="37"/>
      <c r="AD421" s="37"/>
      <c r="AE421" s="37"/>
      <c r="AF421" s="37"/>
      <c r="AG421" s="37"/>
      <c r="AH421" s="37"/>
      <c r="AI421" s="37"/>
      <c r="AJ421" s="37"/>
      <c r="AK421" s="37"/>
      <c r="AL421" s="37"/>
      <c r="AM421" s="37"/>
      <c r="AN421" s="37"/>
      <c r="AO421" s="37"/>
      <c r="AP421" s="37"/>
      <c r="AQ421" s="37"/>
      <c r="AR421" s="37"/>
      <c r="AS421" s="37"/>
      <c r="AT421" s="37"/>
      <c r="AU421" s="37"/>
      <c r="AV421" s="37"/>
      <c r="AW421" s="37"/>
      <c r="AX421" s="37"/>
      <c r="AY421" s="37"/>
      <c r="AZ421" s="37"/>
    </row>
    <row r="422" spans="1:52">
      <c r="A422" s="37"/>
      <c r="B422" s="37"/>
      <c r="C422" s="37"/>
      <c r="D422" s="37"/>
      <c r="E422" s="37"/>
      <c r="F422" s="37"/>
      <c r="G422" s="37"/>
      <c r="H422" s="37"/>
      <c r="I422" s="37"/>
      <c r="J422" s="37"/>
      <c r="K422" s="37"/>
      <c r="L422" s="37"/>
      <c r="M422" s="37"/>
      <c r="N422" s="37"/>
      <c r="O422" s="37"/>
      <c r="P422" s="37"/>
      <c r="Q422" s="37"/>
      <c r="R422" s="37"/>
      <c r="S422" s="37"/>
      <c r="T422" s="37"/>
      <c r="U422" s="37"/>
      <c r="V422" s="37"/>
      <c r="W422" s="37"/>
      <c r="X422" s="37"/>
      <c r="Y422" s="37"/>
      <c r="Z422" s="37"/>
      <c r="AA422" s="37"/>
      <c r="AB422" s="37"/>
      <c r="AC422" s="37"/>
      <c r="AD422" s="37"/>
      <c r="AE422" s="37"/>
      <c r="AF422" s="37"/>
      <c r="AG422" s="37"/>
      <c r="AH422" s="37"/>
      <c r="AI422" s="37"/>
      <c r="AJ422" s="37"/>
      <c r="AK422" s="37"/>
      <c r="AL422" s="37"/>
      <c r="AM422" s="37"/>
      <c r="AN422" s="37"/>
      <c r="AO422" s="37"/>
      <c r="AP422" s="37"/>
      <c r="AQ422" s="37"/>
      <c r="AR422" s="37"/>
      <c r="AS422" s="37"/>
      <c r="AT422" s="37"/>
      <c r="AU422" s="37"/>
      <c r="AV422" s="37"/>
      <c r="AW422" s="37"/>
      <c r="AX422" s="37"/>
      <c r="AY422" s="37"/>
      <c r="AZ422" s="37"/>
    </row>
    <row r="423" spans="1:52">
      <c r="A423" s="37"/>
      <c r="B423" s="37"/>
      <c r="C423" s="37"/>
      <c r="D423" s="37"/>
      <c r="E423" s="37"/>
      <c r="F423" s="37"/>
      <c r="G423" s="37"/>
      <c r="H423" s="37"/>
      <c r="I423" s="37"/>
      <c r="J423" s="37"/>
      <c r="K423" s="37"/>
      <c r="L423" s="37"/>
      <c r="M423" s="37"/>
      <c r="N423" s="37"/>
      <c r="O423" s="37"/>
      <c r="P423" s="37"/>
      <c r="Q423" s="37"/>
      <c r="R423" s="37"/>
      <c r="S423" s="37"/>
      <c r="T423" s="37"/>
      <c r="U423" s="37"/>
      <c r="V423" s="37"/>
      <c r="W423" s="37"/>
      <c r="X423" s="37"/>
      <c r="Y423" s="37"/>
      <c r="Z423" s="37"/>
      <c r="AA423" s="37"/>
      <c r="AB423" s="37"/>
      <c r="AC423" s="37"/>
      <c r="AD423" s="37"/>
      <c r="AE423" s="37"/>
      <c r="AF423" s="37"/>
      <c r="AG423" s="37"/>
      <c r="AH423" s="37"/>
      <c r="AI423" s="37"/>
      <c r="AJ423" s="37"/>
      <c r="AK423" s="37"/>
      <c r="AL423" s="37"/>
      <c r="AM423" s="37"/>
      <c r="AN423" s="37"/>
      <c r="AO423" s="37"/>
      <c r="AP423" s="37"/>
      <c r="AQ423" s="37"/>
      <c r="AR423" s="37"/>
      <c r="AS423" s="37"/>
      <c r="AT423" s="37"/>
      <c r="AU423" s="37"/>
      <c r="AV423" s="37"/>
      <c r="AW423" s="37"/>
      <c r="AX423" s="37"/>
      <c r="AY423" s="37"/>
      <c r="AZ423" s="37"/>
    </row>
    <row r="424" spans="1:52">
      <c r="A424" s="37"/>
      <c r="B424" s="37"/>
      <c r="C424" s="37"/>
      <c r="D424" s="37"/>
      <c r="E424" s="37"/>
      <c r="F424" s="37"/>
      <c r="G424" s="37"/>
      <c r="H424" s="37"/>
      <c r="I424" s="37"/>
      <c r="J424" s="37"/>
      <c r="K424" s="37"/>
      <c r="L424" s="37"/>
      <c r="M424" s="37"/>
      <c r="N424" s="37"/>
      <c r="O424" s="37"/>
      <c r="P424" s="37"/>
      <c r="Q424" s="37"/>
      <c r="R424" s="37"/>
      <c r="S424" s="37"/>
      <c r="T424" s="37"/>
      <c r="U424" s="37"/>
      <c r="V424" s="37"/>
      <c r="W424" s="37"/>
      <c r="X424" s="37"/>
      <c r="Y424" s="37"/>
      <c r="Z424" s="37"/>
      <c r="AA424" s="37"/>
      <c r="AB424" s="37"/>
      <c r="AC424" s="37"/>
      <c r="AD424" s="37"/>
      <c r="AE424" s="37"/>
      <c r="AF424" s="37"/>
      <c r="AG424" s="37"/>
      <c r="AH424" s="37"/>
      <c r="AI424" s="37"/>
      <c r="AJ424" s="37"/>
      <c r="AK424" s="37"/>
      <c r="AL424" s="37"/>
      <c r="AM424" s="37"/>
      <c r="AN424" s="37"/>
      <c r="AO424" s="37"/>
      <c r="AP424" s="37"/>
      <c r="AQ424" s="37"/>
      <c r="AR424" s="37"/>
      <c r="AS424" s="37"/>
      <c r="AT424" s="37"/>
      <c r="AU424" s="37"/>
      <c r="AV424" s="37"/>
      <c r="AW424" s="37"/>
      <c r="AX424" s="37"/>
      <c r="AY424" s="37"/>
      <c r="AZ424" s="37"/>
    </row>
    <row r="425" spans="1:52">
      <c r="A425" s="37"/>
      <c r="B425" s="37"/>
      <c r="C425" s="37"/>
      <c r="D425" s="37"/>
      <c r="E425" s="37"/>
      <c r="F425" s="37"/>
      <c r="G425" s="37"/>
      <c r="H425" s="37"/>
      <c r="I425" s="37"/>
      <c r="J425" s="37"/>
      <c r="K425" s="37"/>
      <c r="L425" s="37"/>
      <c r="M425" s="37"/>
      <c r="N425" s="37"/>
      <c r="O425" s="37"/>
      <c r="P425" s="37"/>
      <c r="Q425" s="37"/>
      <c r="R425" s="37"/>
      <c r="S425" s="37"/>
      <c r="T425" s="37"/>
      <c r="U425" s="37"/>
      <c r="V425" s="37"/>
      <c r="W425" s="37"/>
      <c r="X425" s="37"/>
      <c r="Y425" s="37"/>
      <c r="Z425" s="37"/>
      <c r="AA425" s="37"/>
      <c r="AB425" s="37"/>
      <c r="AC425" s="37"/>
      <c r="AD425" s="37"/>
      <c r="AE425" s="37"/>
      <c r="AF425" s="37"/>
      <c r="AG425" s="37"/>
      <c r="AH425" s="37"/>
      <c r="AI425" s="37"/>
      <c r="AJ425" s="37"/>
      <c r="AK425" s="37"/>
      <c r="AL425" s="37"/>
      <c r="AM425" s="37"/>
      <c r="AN425" s="37"/>
      <c r="AO425" s="37"/>
      <c r="AP425" s="37"/>
      <c r="AQ425" s="37"/>
      <c r="AR425" s="37"/>
      <c r="AS425" s="37"/>
      <c r="AT425" s="37"/>
      <c r="AU425" s="37"/>
      <c r="AV425" s="37"/>
      <c r="AW425" s="37"/>
      <c r="AX425" s="37"/>
      <c r="AY425" s="37"/>
      <c r="AZ425" s="37"/>
    </row>
    <row r="426" spans="1:52">
      <c r="A426" s="37"/>
      <c r="B426" s="37"/>
      <c r="C426" s="37"/>
      <c r="D426" s="37"/>
      <c r="E426" s="37"/>
      <c r="F426" s="37"/>
      <c r="G426" s="37"/>
      <c r="H426" s="37"/>
      <c r="I426" s="37"/>
      <c r="J426" s="37"/>
      <c r="K426" s="37"/>
      <c r="L426" s="37"/>
      <c r="M426" s="37"/>
      <c r="N426" s="37"/>
      <c r="O426" s="37"/>
      <c r="P426" s="37"/>
      <c r="Q426" s="37"/>
      <c r="R426" s="37"/>
      <c r="S426" s="37"/>
      <c r="T426" s="37"/>
      <c r="U426" s="37"/>
      <c r="V426" s="37"/>
      <c r="W426" s="37"/>
      <c r="X426" s="37"/>
      <c r="Y426" s="37"/>
      <c r="Z426" s="37"/>
      <c r="AA426" s="37"/>
      <c r="AB426" s="37"/>
      <c r="AC426" s="37"/>
      <c r="AD426" s="37"/>
      <c r="AE426" s="37"/>
      <c r="AF426" s="37"/>
      <c r="AG426" s="37"/>
      <c r="AH426" s="37"/>
      <c r="AI426" s="37"/>
      <c r="AJ426" s="37"/>
      <c r="AK426" s="37"/>
      <c r="AL426" s="37"/>
      <c r="AM426" s="37"/>
      <c r="AN426" s="37"/>
      <c r="AO426" s="37"/>
      <c r="AP426" s="37"/>
      <c r="AQ426" s="37"/>
      <c r="AR426" s="37"/>
      <c r="AS426" s="37"/>
      <c r="AT426" s="37"/>
      <c r="AU426" s="37"/>
      <c r="AV426" s="37"/>
      <c r="AW426" s="37"/>
      <c r="AX426" s="37"/>
      <c r="AY426" s="37"/>
      <c r="AZ426" s="37"/>
    </row>
    <row r="427" spans="1:52">
      <c r="A427" s="37"/>
      <c r="B427" s="37"/>
      <c r="C427" s="37"/>
      <c r="D427" s="37"/>
      <c r="E427" s="37"/>
      <c r="F427" s="37"/>
      <c r="G427" s="37"/>
      <c r="H427" s="37"/>
      <c r="I427" s="37"/>
      <c r="J427" s="37"/>
      <c r="K427" s="37"/>
      <c r="L427" s="37"/>
      <c r="M427" s="37"/>
      <c r="N427" s="37"/>
      <c r="O427" s="37"/>
      <c r="P427" s="37"/>
      <c r="Q427" s="37"/>
      <c r="R427" s="37"/>
      <c r="S427" s="37"/>
      <c r="T427" s="37"/>
      <c r="U427" s="37"/>
      <c r="V427" s="37"/>
      <c r="W427" s="37"/>
      <c r="X427" s="37"/>
      <c r="Y427" s="37"/>
      <c r="Z427" s="37"/>
      <c r="AA427" s="37"/>
      <c r="AB427" s="37"/>
      <c r="AC427" s="37"/>
      <c r="AD427" s="37"/>
      <c r="AE427" s="37"/>
      <c r="AF427" s="37"/>
      <c r="AG427" s="37"/>
      <c r="AH427" s="37"/>
      <c r="AI427" s="37"/>
      <c r="AJ427" s="37"/>
      <c r="AK427" s="37"/>
      <c r="AL427" s="37"/>
      <c r="AM427" s="37"/>
      <c r="AN427" s="37"/>
      <c r="AO427" s="37"/>
      <c r="AP427" s="37"/>
      <c r="AQ427" s="37"/>
      <c r="AR427" s="37"/>
      <c r="AS427" s="37"/>
      <c r="AT427" s="37"/>
      <c r="AU427" s="37"/>
      <c r="AV427" s="37"/>
      <c r="AW427" s="37"/>
      <c r="AX427" s="37"/>
      <c r="AY427" s="37"/>
      <c r="AZ427" s="37"/>
    </row>
    <row r="428" spans="1:52">
      <c r="A428" s="37"/>
      <c r="B428" s="37"/>
      <c r="C428" s="37"/>
      <c r="D428" s="37"/>
      <c r="E428" s="37"/>
      <c r="F428" s="37"/>
      <c r="G428" s="37"/>
      <c r="H428" s="37"/>
      <c r="I428" s="37"/>
      <c r="J428" s="37"/>
      <c r="K428" s="37"/>
      <c r="L428" s="37"/>
      <c r="M428" s="37"/>
      <c r="N428" s="37"/>
      <c r="O428" s="37"/>
      <c r="P428" s="37"/>
      <c r="Q428" s="37"/>
      <c r="R428" s="37"/>
      <c r="S428" s="37"/>
      <c r="T428" s="37"/>
      <c r="U428" s="37"/>
      <c r="V428" s="37"/>
      <c r="W428" s="37"/>
      <c r="X428" s="37"/>
      <c r="Y428" s="37"/>
      <c r="Z428" s="37"/>
      <c r="AA428" s="37"/>
      <c r="AB428" s="37"/>
      <c r="AC428" s="37"/>
      <c r="AD428" s="37"/>
      <c r="AE428" s="37"/>
      <c r="AF428" s="37"/>
      <c r="AG428" s="37"/>
      <c r="AH428" s="37"/>
      <c r="AI428" s="37"/>
      <c r="AJ428" s="37"/>
      <c r="AK428" s="37"/>
      <c r="AL428" s="37"/>
      <c r="AM428" s="37"/>
      <c r="AN428" s="37"/>
      <c r="AO428" s="37"/>
      <c r="AP428" s="37"/>
      <c r="AQ428" s="37"/>
      <c r="AR428" s="37"/>
      <c r="AS428" s="37"/>
      <c r="AT428" s="37"/>
      <c r="AU428" s="37"/>
      <c r="AV428" s="37"/>
      <c r="AW428" s="37"/>
      <c r="AX428" s="37"/>
      <c r="AY428" s="37"/>
      <c r="AZ428" s="37"/>
    </row>
    <row r="429" spans="1:52">
      <c r="A429" s="37"/>
      <c r="B429" s="37"/>
      <c r="C429" s="37"/>
      <c r="D429" s="37"/>
      <c r="E429" s="37"/>
      <c r="F429" s="37"/>
      <c r="G429" s="37"/>
      <c r="H429" s="37"/>
      <c r="I429" s="37"/>
      <c r="J429" s="37"/>
      <c r="K429" s="37"/>
      <c r="L429" s="37"/>
      <c r="M429" s="37"/>
      <c r="N429" s="37"/>
      <c r="O429" s="37"/>
      <c r="P429" s="37"/>
      <c r="Q429" s="37"/>
      <c r="R429" s="37"/>
      <c r="S429" s="37"/>
      <c r="T429" s="37"/>
      <c r="U429" s="37"/>
      <c r="V429" s="37"/>
      <c r="W429" s="37"/>
      <c r="X429" s="37"/>
      <c r="Y429" s="37"/>
      <c r="Z429" s="37"/>
      <c r="AA429" s="37"/>
      <c r="AB429" s="37"/>
      <c r="AC429" s="37"/>
      <c r="AD429" s="37"/>
      <c r="AE429" s="37"/>
      <c r="AF429" s="37"/>
      <c r="AG429" s="37"/>
      <c r="AH429" s="37"/>
      <c r="AI429" s="37"/>
      <c r="AJ429" s="37"/>
      <c r="AK429" s="37"/>
      <c r="AL429" s="37"/>
      <c r="AM429" s="37"/>
      <c r="AN429" s="37"/>
      <c r="AO429" s="37"/>
      <c r="AP429" s="37"/>
      <c r="AQ429" s="37"/>
      <c r="AR429" s="37"/>
      <c r="AS429" s="37"/>
      <c r="AT429" s="37"/>
      <c r="AU429" s="37"/>
      <c r="AV429" s="37"/>
      <c r="AW429" s="37"/>
      <c r="AX429" s="37"/>
      <c r="AY429" s="37"/>
      <c r="AZ429" s="37"/>
    </row>
    <row r="430" spans="1:52">
      <c r="A430" s="37"/>
      <c r="B430" s="37"/>
      <c r="C430" s="37"/>
      <c r="D430" s="37"/>
      <c r="E430" s="37"/>
      <c r="F430" s="37"/>
      <c r="G430" s="37"/>
      <c r="H430" s="37"/>
      <c r="I430" s="37"/>
      <c r="J430" s="37"/>
      <c r="K430" s="37"/>
      <c r="L430" s="37"/>
      <c r="M430" s="37"/>
      <c r="N430" s="37"/>
      <c r="O430" s="37"/>
      <c r="P430" s="37"/>
      <c r="Q430" s="37"/>
      <c r="R430" s="37"/>
      <c r="S430" s="37"/>
      <c r="T430" s="37"/>
      <c r="U430" s="37"/>
      <c r="V430" s="37"/>
      <c r="W430" s="37"/>
      <c r="X430" s="37"/>
      <c r="Y430" s="37"/>
      <c r="Z430" s="37"/>
      <c r="AA430" s="37"/>
      <c r="AB430" s="37"/>
      <c r="AC430" s="37"/>
      <c r="AD430" s="37"/>
      <c r="AE430" s="37"/>
      <c r="AF430" s="37"/>
      <c r="AG430" s="37"/>
      <c r="AH430" s="37"/>
      <c r="AI430" s="37"/>
      <c r="AJ430" s="37"/>
      <c r="AK430" s="37"/>
      <c r="AL430" s="37"/>
      <c r="AM430" s="37"/>
      <c r="AN430" s="37"/>
      <c r="AO430" s="37"/>
      <c r="AP430" s="37"/>
      <c r="AQ430" s="37"/>
      <c r="AR430" s="37"/>
      <c r="AS430" s="37"/>
      <c r="AT430" s="37"/>
      <c r="AU430" s="37"/>
      <c r="AV430" s="37"/>
      <c r="AW430" s="37"/>
      <c r="AX430" s="37"/>
      <c r="AY430" s="37"/>
      <c r="AZ430" s="37"/>
    </row>
    <row r="431" spans="1:52">
      <c r="A431" s="37"/>
      <c r="B431" s="37"/>
      <c r="C431" s="37"/>
      <c r="D431" s="37"/>
      <c r="E431" s="37"/>
      <c r="F431" s="37"/>
      <c r="G431" s="37"/>
      <c r="H431" s="37"/>
      <c r="I431" s="37"/>
      <c r="J431" s="37"/>
      <c r="K431" s="37"/>
      <c r="L431" s="37"/>
      <c r="M431" s="37"/>
      <c r="N431" s="37"/>
      <c r="O431" s="37"/>
      <c r="P431" s="37"/>
      <c r="Q431" s="37"/>
      <c r="R431" s="37"/>
      <c r="S431" s="37"/>
      <c r="T431" s="37"/>
      <c r="U431" s="37"/>
      <c r="V431" s="37"/>
      <c r="W431" s="37"/>
      <c r="X431" s="37"/>
      <c r="Y431" s="37"/>
      <c r="Z431" s="37"/>
      <c r="AA431" s="37"/>
      <c r="AB431" s="37"/>
      <c r="AC431" s="37"/>
      <c r="AD431" s="37"/>
      <c r="AE431" s="37"/>
      <c r="AF431" s="37"/>
      <c r="AG431" s="37"/>
      <c r="AH431" s="37"/>
      <c r="AI431" s="37"/>
      <c r="AJ431" s="37"/>
      <c r="AK431" s="37"/>
      <c r="AL431" s="37"/>
      <c r="AM431" s="37"/>
      <c r="AN431" s="37"/>
      <c r="AO431" s="37"/>
      <c r="AP431" s="37"/>
      <c r="AQ431" s="37"/>
      <c r="AR431" s="37"/>
      <c r="AS431" s="37"/>
      <c r="AT431" s="37"/>
      <c r="AU431" s="37"/>
      <c r="AV431" s="37"/>
      <c r="AW431" s="37"/>
      <c r="AX431" s="37"/>
      <c r="AY431" s="37"/>
      <c r="AZ431" s="37"/>
    </row>
    <row r="432" spans="1:52">
      <c r="A432" s="37"/>
      <c r="B432" s="37"/>
      <c r="C432" s="37"/>
      <c r="D432" s="37"/>
      <c r="E432" s="37"/>
      <c r="F432" s="37"/>
      <c r="G432" s="37"/>
      <c r="H432" s="37"/>
      <c r="I432" s="37"/>
      <c r="J432" s="37"/>
      <c r="K432" s="37"/>
      <c r="L432" s="37"/>
      <c r="M432" s="37"/>
      <c r="N432" s="37"/>
      <c r="O432" s="37"/>
      <c r="P432" s="37"/>
      <c r="Q432" s="37"/>
      <c r="R432" s="37"/>
      <c r="S432" s="37"/>
      <c r="T432" s="37"/>
      <c r="U432" s="37"/>
      <c r="V432" s="37"/>
      <c r="W432" s="37"/>
      <c r="X432" s="37"/>
      <c r="Y432" s="37"/>
      <c r="Z432" s="37"/>
      <c r="AA432" s="37"/>
      <c r="AB432" s="37"/>
      <c r="AC432" s="37"/>
      <c r="AD432" s="37"/>
      <c r="AE432" s="37"/>
      <c r="AF432" s="37"/>
      <c r="AG432" s="37"/>
      <c r="AH432" s="37"/>
      <c r="AI432" s="37"/>
      <c r="AJ432" s="37"/>
      <c r="AK432" s="37"/>
      <c r="AL432" s="37"/>
      <c r="AM432" s="37"/>
      <c r="AN432" s="37"/>
      <c r="AO432" s="37"/>
      <c r="AP432" s="37"/>
      <c r="AQ432" s="37"/>
      <c r="AR432" s="37"/>
      <c r="AS432" s="37"/>
      <c r="AT432" s="37"/>
      <c r="AU432" s="37"/>
      <c r="AV432" s="37"/>
      <c r="AW432" s="37"/>
      <c r="AX432" s="37"/>
      <c r="AY432" s="37"/>
      <c r="AZ432" s="37"/>
    </row>
    <row r="433" spans="1:52">
      <c r="A433" s="37"/>
      <c r="B433" s="37"/>
      <c r="C433" s="37"/>
      <c r="D433" s="37"/>
      <c r="E433" s="37"/>
      <c r="F433" s="37"/>
      <c r="G433" s="37"/>
      <c r="H433" s="37"/>
      <c r="I433" s="37"/>
      <c r="J433" s="37"/>
      <c r="K433" s="37"/>
      <c r="L433" s="37"/>
      <c r="M433" s="37"/>
      <c r="N433" s="37"/>
      <c r="O433" s="37"/>
      <c r="P433" s="37"/>
      <c r="Q433" s="37"/>
      <c r="R433" s="37"/>
      <c r="S433" s="37"/>
      <c r="T433" s="37"/>
      <c r="U433" s="37"/>
      <c r="V433" s="37"/>
      <c r="W433" s="37"/>
      <c r="X433" s="37"/>
      <c r="Y433" s="37"/>
      <c r="Z433" s="37"/>
      <c r="AA433" s="37"/>
      <c r="AB433" s="37"/>
      <c r="AC433" s="37"/>
      <c r="AD433" s="37"/>
      <c r="AE433" s="37"/>
      <c r="AF433" s="37"/>
      <c r="AG433" s="37"/>
      <c r="AH433" s="37"/>
      <c r="AI433" s="37"/>
      <c r="AJ433" s="37"/>
      <c r="AK433" s="37"/>
      <c r="AL433" s="37"/>
      <c r="AM433" s="37"/>
      <c r="AN433" s="37"/>
      <c r="AO433" s="37"/>
      <c r="AP433" s="37"/>
      <c r="AQ433" s="37"/>
      <c r="AR433" s="37"/>
      <c r="AS433" s="37"/>
      <c r="AT433" s="37"/>
      <c r="AU433" s="37"/>
      <c r="AV433" s="37"/>
      <c r="AW433" s="37"/>
      <c r="AX433" s="37"/>
      <c r="AY433" s="37"/>
      <c r="AZ433" s="37"/>
    </row>
    <row r="434" spans="1:52">
      <c r="A434" s="37"/>
      <c r="B434" s="37"/>
      <c r="C434" s="37"/>
      <c r="D434" s="37"/>
      <c r="E434" s="37"/>
      <c r="F434" s="37"/>
      <c r="G434" s="37"/>
      <c r="H434" s="37"/>
      <c r="I434" s="37"/>
      <c r="J434" s="37"/>
      <c r="K434" s="37"/>
      <c r="L434" s="37"/>
      <c r="M434" s="37"/>
      <c r="N434" s="37"/>
      <c r="O434" s="37"/>
      <c r="P434" s="37"/>
      <c r="Q434" s="37"/>
      <c r="R434" s="37"/>
      <c r="S434" s="37"/>
      <c r="T434" s="37"/>
      <c r="U434" s="37"/>
      <c r="V434" s="37"/>
      <c r="W434" s="37"/>
      <c r="X434" s="37"/>
      <c r="Y434" s="37"/>
      <c r="Z434" s="37"/>
      <c r="AA434" s="37"/>
      <c r="AB434" s="37"/>
      <c r="AC434" s="37"/>
      <c r="AD434" s="37"/>
      <c r="AE434" s="37"/>
      <c r="AF434" s="37"/>
      <c r="AG434" s="37"/>
      <c r="AH434" s="37"/>
      <c r="AI434" s="37"/>
      <c r="AJ434" s="37"/>
      <c r="AK434" s="37"/>
      <c r="AL434" s="37"/>
      <c r="AM434" s="37"/>
      <c r="AN434" s="37"/>
      <c r="AO434" s="37"/>
      <c r="AP434" s="37"/>
      <c r="AQ434" s="37"/>
      <c r="AR434" s="37"/>
      <c r="AS434" s="37"/>
      <c r="AT434" s="37"/>
      <c r="AU434" s="37"/>
      <c r="AV434" s="37"/>
      <c r="AW434" s="37"/>
      <c r="AX434" s="37"/>
      <c r="AY434" s="37"/>
      <c r="AZ434" s="37"/>
    </row>
    <row r="435" spans="1:52">
      <c r="A435" s="37"/>
      <c r="B435" s="37"/>
      <c r="C435" s="37"/>
      <c r="D435" s="37"/>
      <c r="E435" s="37"/>
      <c r="F435" s="37"/>
      <c r="G435" s="37"/>
      <c r="H435" s="37"/>
      <c r="I435" s="37"/>
      <c r="J435" s="37"/>
      <c r="K435" s="37"/>
      <c r="L435" s="37"/>
      <c r="M435" s="37"/>
      <c r="N435" s="37"/>
      <c r="O435" s="37"/>
      <c r="P435" s="37"/>
      <c r="Q435" s="37"/>
      <c r="R435" s="37"/>
      <c r="S435" s="37"/>
      <c r="T435" s="37"/>
      <c r="U435" s="37"/>
      <c r="V435" s="37"/>
      <c r="W435" s="37"/>
      <c r="X435" s="37"/>
      <c r="Y435" s="37"/>
      <c r="Z435" s="37"/>
      <c r="AA435" s="37"/>
      <c r="AB435" s="37"/>
      <c r="AC435" s="37"/>
      <c r="AD435" s="37"/>
      <c r="AE435" s="37"/>
      <c r="AF435" s="37"/>
      <c r="AG435" s="37"/>
      <c r="AH435" s="37"/>
      <c r="AI435" s="37"/>
      <c r="AJ435" s="37"/>
      <c r="AK435" s="37"/>
      <c r="AL435" s="37"/>
      <c r="AM435" s="37"/>
      <c r="AN435" s="37"/>
      <c r="AO435" s="37"/>
      <c r="AP435" s="37"/>
      <c r="AQ435" s="37"/>
      <c r="AR435" s="37"/>
      <c r="AS435" s="37"/>
      <c r="AT435" s="37"/>
      <c r="AU435" s="37"/>
      <c r="AV435" s="37"/>
      <c r="AW435" s="37"/>
      <c r="AX435" s="37"/>
      <c r="AY435" s="37"/>
      <c r="AZ435" s="37"/>
    </row>
    <row r="436" spans="1:52">
      <c r="A436" s="37"/>
      <c r="B436" s="37"/>
      <c r="C436" s="37"/>
      <c r="D436" s="37"/>
      <c r="E436" s="37"/>
      <c r="F436" s="37"/>
      <c r="G436" s="37"/>
      <c r="H436" s="37"/>
      <c r="I436" s="37"/>
      <c r="J436" s="37"/>
      <c r="K436" s="37"/>
      <c r="L436" s="37"/>
      <c r="M436" s="37"/>
      <c r="N436" s="37"/>
      <c r="O436" s="37"/>
      <c r="P436" s="37"/>
      <c r="Q436" s="37"/>
      <c r="R436" s="37"/>
      <c r="S436" s="37"/>
      <c r="T436" s="37"/>
      <c r="U436" s="37"/>
      <c r="V436" s="37"/>
      <c r="W436" s="37"/>
      <c r="X436" s="37"/>
      <c r="Y436" s="37"/>
      <c r="Z436" s="37"/>
      <c r="AA436" s="37"/>
      <c r="AB436" s="37"/>
      <c r="AC436" s="37"/>
      <c r="AD436" s="37"/>
      <c r="AE436" s="37"/>
      <c r="AF436" s="37"/>
      <c r="AG436" s="37"/>
      <c r="AH436" s="37"/>
      <c r="AI436" s="37"/>
      <c r="AJ436" s="37"/>
      <c r="AK436" s="37"/>
      <c r="AL436" s="37"/>
      <c r="AM436" s="37"/>
      <c r="AN436" s="37"/>
      <c r="AO436" s="37"/>
      <c r="AP436" s="37"/>
      <c r="AQ436" s="37"/>
      <c r="AR436" s="37"/>
      <c r="AS436" s="37"/>
      <c r="AT436" s="37"/>
      <c r="AU436" s="37"/>
      <c r="AV436" s="37"/>
      <c r="AW436" s="37"/>
      <c r="AX436" s="37"/>
      <c r="AY436" s="37"/>
      <c r="AZ436" s="37"/>
    </row>
    <row r="437" spans="1:52">
      <c r="A437" s="37"/>
      <c r="B437" s="37"/>
      <c r="C437" s="37"/>
      <c r="D437" s="37"/>
      <c r="E437" s="37"/>
      <c r="F437" s="37"/>
      <c r="G437" s="37"/>
      <c r="H437" s="37"/>
      <c r="I437" s="37"/>
      <c r="J437" s="37"/>
      <c r="K437" s="37"/>
      <c r="L437" s="37"/>
      <c r="M437" s="37"/>
      <c r="N437" s="37"/>
      <c r="O437" s="37"/>
      <c r="P437" s="37"/>
      <c r="Q437" s="37"/>
      <c r="R437" s="37"/>
      <c r="S437" s="37"/>
      <c r="T437" s="37"/>
      <c r="U437" s="37"/>
      <c r="V437" s="37"/>
      <c r="W437" s="37"/>
      <c r="X437" s="37"/>
      <c r="Y437" s="37"/>
      <c r="Z437" s="37"/>
      <c r="AA437" s="37"/>
      <c r="AB437" s="37"/>
      <c r="AC437" s="37"/>
      <c r="AD437" s="37"/>
      <c r="AE437" s="37"/>
      <c r="AF437" s="37"/>
      <c r="AG437" s="37"/>
      <c r="AH437" s="37"/>
      <c r="AI437" s="37"/>
      <c r="AJ437" s="37"/>
      <c r="AK437" s="37"/>
      <c r="AL437" s="37"/>
      <c r="AM437" s="37"/>
      <c r="AN437" s="37"/>
      <c r="AO437" s="37"/>
      <c r="AP437" s="37"/>
      <c r="AQ437" s="37"/>
      <c r="AR437" s="37"/>
      <c r="AS437" s="37"/>
      <c r="AT437" s="37"/>
      <c r="AU437" s="37"/>
      <c r="AV437" s="37"/>
      <c r="AW437" s="37"/>
      <c r="AX437" s="37"/>
      <c r="AY437" s="37"/>
      <c r="AZ437" s="37"/>
    </row>
    <row r="438" spans="1:52">
      <c r="A438" s="37"/>
      <c r="B438" s="37"/>
      <c r="C438" s="37"/>
      <c r="D438" s="37"/>
      <c r="E438" s="37"/>
      <c r="F438" s="37"/>
      <c r="G438" s="37"/>
      <c r="H438" s="37"/>
      <c r="I438" s="37"/>
      <c r="J438" s="37"/>
      <c r="K438" s="37"/>
      <c r="L438" s="37"/>
      <c r="M438" s="37"/>
      <c r="N438" s="37"/>
      <c r="O438" s="37"/>
      <c r="P438" s="37"/>
      <c r="Q438" s="37"/>
      <c r="R438" s="37"/>
      <c r="S438" s="37"/>
      <c r="T438" s="37"/>
      <c r="U438" s="37"/>
      <c r="V438" s="37"/>
      <c r="W438" s="37"/>
      <c r="X438" s="37"/>
      <c r="Y438" s="37"/>
      <c r="Z438" s="37"/>
      <c r="AA438" s="37"/>
      <c r="AB438" s="37"/>
      <c r="AC438" s="37"/>
      <c r="AD438" s="37"/>
      <c r="AE438" s="37"/>
      <c r="AF438" s="37"/>
      <c r="AG438" s="37"/>
      <c r="AH438" s="37"/>
      <c r="AI438" s="37"/>
      <c r="AJ438" s="37"/>
      <c r="AK438" s="37"/>
      <c r="AL438" s="37"/>
      <c r="AM438" s="37"/>
      <c r="AN438" s="37"/>
      <c r="AO438" s="37"/>
      <c r="AP438" s="37"/>
      <c r="AQ438" s="37"/>
      <c r="AR438" s="37"/>
      <c r="AS438" s="37"/>
      <c r="AT438" s="37"/>
      <c r="AU438" s="37"/>
      <c r="AV438" s="37"/>
      <c r="AW438" s="37"/>
      <c r="AX438" s="37"/>
      <c r="AY438" s="37"/>
      <c r="AZ438" s="37"/>
    </row>
    <row r="439" spans="1:52">
      <c r="A439" s="37"/>
      <c r="B439" s="37"/>
      <c r="C439" s="37"/>
      <c r="D439" s="37"/>
      <c r="E439" s="37"/>
      <c r="F439" s="37"/>
      <c r="G439" s="37"/>
      <c r="H439" s="37"/>
      <c r="I439" s="37"/>
      <c r="J439" s="37"/>
      <c r="K439" s="37"/>
      <c r="L439" s="37"/>
      <c r="M439" s="37"/>
      <c r="N439" s="37"/>
      <c r="O439" s="37"/>
      <c r="P439" s="37"/>
      <c r="Q439" s="37"/>
      <c r="R439" s="37"/>
      <c r="S439" s="37"/>
      <c r="T439" s="37"/>
      <c r="U439" s="37"/>
      <c r="V439" s="37"/>
      <c r="W439" s="37"/>
      <c r="X439" s="37"/>
      <c r="Y439" s="37"/>
      <c r="Z439" s="37"/>
      <c r="AA439" s="37"/>
      <c r="AB439" s="37"/>
      <c r="AC439" s="37"/>
      <c r="AD439" s="37"/>
      <c r="AE439" s="37"/>
      <c r="AF439" s="37"/>
      <c r="AG439" s="37"/>
      <c r="AH439" s="37"/>
      <c r="AI439" s="37"/>
      <c r="AJ439" s="37"/>
      <c r="AK439" s="37"/>
      <c r="AL439" s="37"/>
      <c r="AM439" s="37"/>
      <c r="AN439" s="37"/>
      <c r="AO439" s="37"/>
      <c r="AP439" s="37"/>
      <c r="AQ439" s="37"/>
      <c r="AR439" s="37"/>
      <c r="AS439" s="37"/>
      <c r="AT439" s="37"/>
      <c r="AU439" s="37"/>
      <c r="AV439" s="37"/>
      <c r="AW439" s="37"/>
      <c r="AX439" s="37"/>
      <c r="AY439" s="37"/>
      <c r="AZ439" s="37"/>
    </row>
    <row r="440" spans="1:52">
      <c r="A440" s="37"/>
      <c r="B440" s="37"/>
      <c r="C440" s="37"/>
      <c r="D440" s="37"/>
      <c r="E440" s="37"/>
      <c r="F440" s="37"/>
      <c r="G440" s="37"/>
      <c r="H440" s="37"/>
      <c r="I440" s="37"/>
      <c r="J440" s="37"/>
      <c r="K440" s="37"/>
      <c r="L440" s="37"/>
      <c r="M440" s="37"/>
      <c r="N440" s="37"/>
      <c r="O440" s="37"/>
      <c r="P440" s="37"/>
      <c r="Q440" s="37"/>
      <c r="R440" s="37"/>
      <c r="S440" s="37"/>
      <c r="T440" s="37"/>
      <c r="U440" s="37"/>
      <c r="V440" s="37"/>
      <c r="W440" s="37"/>
      <c r="X440" s="37"/>
      <c r="Y440" s="37"/>
      <c r="Z440" s="37"/>
      <c r="AA440" s="37"/>
      <c r="AB440" s="37"/>
      <c r="AC440" s="37"/>
      <c r="AD440" s="37"/>
      <c r="AE440" s="37"/>
      <c r="AF440" s="37"/>
      <c r="AG440" s="37"/>
      <c r="AH440" s="37"/>
      <c r="AI440" s="37"/>
      <c r="AJ440" s="37"/>
      <c r="AK440" s="37"/>
      <c r="AL440" s="37"/>
      <c r="AM440" s="37"/>
      <c r="AN440" s="37"/>
      <c r="AO440" s="37"/>
      <c r="AP440" s="37"/>
      <c r="AQ440" s="37"/>
      <c r="AR440" s="37"/>
      <c r="AS440" s="37"/>
      <c r="AT440" s="37"/>
      <c r="AU440" s="37"/>
      <c r="AV440" s="37"/>
      <c r="AW440" s="37"/>
      <c r="AX440" s="37"/>
      <c r="AY440" s="37"/>
      <c r="AZ440" s="37"/>
    </row>
    <row r="441" spans="1:52">
      <c r="A441" s="37"/>
      <c r="B441" s="37"/>
      <c r="C441" s="37"/>
      <c r="D441" s="37"/>
      <c r="E441" s="37"/>
      <c r="F441" s="37"/>
      <c r="G441" s="37"/>
      <c r="H441" s="37"/>
      <c r="I441" s="37"/>
      <c r="J441" s="37"/>
      <c r="K441" s="37"/>
      <c r="L441" s="37"/>
      <c r="M441" s="37"/>
      <c r="N441" s="37"/>
      <c r="O441" s="37"/>
      <c r="P441" s="37"/>
      <c r="Q441" s="37"/>
      <c r="R441" s="37"/>
      <c r="S441" s="37"/>
      <c r="T441" s="37"/>
      <c r="U441" s="37"/>
      <c r="V441" s="37"/>
      <c r="W441" s="37"/>
      <c r="X441" s="37"/>
      <c r="Y441" s="37"/>
      <c r="Z441" s="37"/>
      <c r="AA441" s="37"/>
      <c r="AB441" s="37"/>
      <c r="AC441" s="37"/>
      <c r="AD441" s="37"/>
      <c r="AE441" s="37"/>
      <c r="AF441" s="37"/>
      <c r="AG441" s="37"/>
      <c r="AH441" s="37"/>
      <c r="AI441" s="37"/>
      <c r="AJ441" s="37"/>
      <c r="AK441" s="37"/>
      <c r="AL441" s="37"/>
      <c r="AM441" s="37"/>
      <c r="AN441" s="37"/>
      <c r="AO441" s="37"/>
      <c r="AP441" s="37"/>
      <c r="AQ441" s="37"/>
      <c r="AR441" s="37"/>
      <c r="AS441" s="37"/>
      <c r="AT441" s="37"/>
      <c r="AU441" s="37"/>
      <c r="AV441" s="37"/>
      <c r="AW441" s="37"/>
      <c r="AX441" s="37"/>
      <c r="AY441" s="37"/>
      <c r="AZ441" s="37"/>
    </row>
    <row r="442" spans="1:52">
      <c r="A442" s="37"/>
      <c r="B442" s="37"/>
      <c r="C442" s="37"/>
      <c r="D442" s="37"/>
      <c r="E442" s="37"/>
      <c r="F442" s="37"/>
      <c r="G442" s="37"/>
      <c r="H442" s="37"/>
      <c r="I442" s="37"/>
      <c r="J442" s="37"/>
      <c r="K442" s="37"/>
      <c r="L442" s="37"/>
      <c r="M442" s="37"/>
      <c r="N442" s="37"/>
      <c r="O442" s="37"/>
      <c r="P442" s="37"/>
      <c r="Q442" s="37"/>
      <c r="R442" s="37"/>
      <c r="S442" s="37"/>
      <c r="T442" s="37"/>
      <c r="U442" s="37"/>
      <c r="V442" s="37"/>
      <c r="W442" s="37"/>
      <c r="X442" s="37"/>
      <c r="Y442" s="37"/>
      <c r="Z442" s="37"/>
      <c r="AA442" s="37"/>
      <c r="AB442" s="37"/>
      <c r="AC442" s="37"/>
      <c r="AD442" s="37"/>
      <c r="AE442" s="37"/>
      <c r="AF442" s="37"/>
      <c r="AG442" s="37"/>
      <c r="AH442" s="37"/>
      <c r="AI442" s="37"/>
      <c r="AJ442" s="37"/>
      <c r="AK442" s="37"/>
      <c r="AL442" s="37"/>
      <c r="AM442" s="37"/>
      <c r="AN442" s="37"/>
      <c r="AO442" s="37"/>
      <c r="AP442" s="37"/>
      <c r="AQ442" s="37"/>
      <c r="AR442" s="37"/>
      <c r="AS442" s="37"/>
      <c r="AT442" s="37"/>
      <c r="AU442" s="37"/>
      <c r="AV442" s="37"/>
      <c r="AW442" s="37"/>
      <c r="AX442" s="37"/>
      <c r="AY442" s="37"/>
      <c r="AZ442" s="37"/>
    </row>
    <row r="443" spans="1:52">
      <c r="A443" s="37"/>
      <c r="B443" s="37"/>
      <c r="C443" s="37"/>
      <c r="D443" s="37"/>
      <c r="E443" s="37"/>
      <c r="F443" s="37"/>
      <c r="G443" s="37"/>
      <c r="H443" s="37"/>
      <c r="I443" s="37"/>
      <c r="J443" s="37"/>
      <c r="K443" s="37"/>
      <c r="L443" s="37"/>
      <c r="M443" s="37"/>
      <c r="N443" s="37"/>
      <c r="O443" s="37"/>
      <c r="P443" s="37"/>
      <c r="Q443" s="37"/>
      <c r="R443" s="37"/>
      <c r="S443" s="37"/>
      <c r="T443" s="37"/>
      <c r="U443" s="37"/>
      <c r="V443" s="37"/>
      <c r="W443" s="37"/>
      <c r="X443" s="37"/>
      <c r="Y443" s="37"/>
      <c r="Z443" s="37"/>
      <c r="AA443" s="37"/>
      <c r="AB443" s="37"/>
      <c r="AC443" s="37"/>
      <c r="AD443" s="37"/>
      <c r="AE443" s="37"/>
      <c r="AF443" s="37"/>
      <c r="AG443" s="37"/>
      <c r="AH443" s="37"/>
      <c r="AI443" s="37"/>
      <c r="AJ443" s="37"/>
      <c r="AK443" s="37"/>
      <c r="AL443" s="37"/>
      <c r="AM443" s="37"/>
      <c r="AN443" s="37"/>
      <c r="AO443" s="37"/>
      <c r="AP443" s="37"/>
      <c r="AQ443" s="37"/>
      <c r="AR443" s="37"/>
      <c r="AS443" s="37"/>
      <c r="AT443" s="37"/>
      <c r="AU443" s="37"/>
      <c r="AV443" s="37"/>
      <c r="AW443" s="37"/>
      <c r="AX443" s="37"/>
      <c r="AY443" s="37"/>
      <c r="AZ443" s="37"/>
    </row>
    <row r="444" spans="1:52">
      <c r="A444" s="37"/>
      <c r="B444" s="37"/>
      <c r="C444" s="37"/>
      <c r="D444" s="37"/>
      <c r="E444" s="37"/>
      <c r="F444" s="37"/>
      <c r="G444" s="37"/>
      <c r="H444" s="37"/>
      <c r="I444" s="37"/>
      <c r="J444" s="37"/>
      <c r="K444" s="37"/>
      <c r="L444" s="37"/>
      <c r="M444" s="37"/>
      <c r="N444" s="37"/>
      <c r="O444" s="37"/>
      <c r="P444" s="37"/>
      <c r="Q444" s="37"/>
      <c r="R444" s="37"/>
      <c r="S444" s="37"/>
      <c r="T444" s="37"/>
      <c r="U444" s="37"/>
      <c r="V444" s="37"/>
      <c r="W444" s="37"/>
      <c r="X444" s="37"/>
      <c r="Y444" s="37"/>
      <c r="Z444" s="37"/>
      <c r="AA444" s="37"/>
      <c r="AB444" s="37"/>
      <c r="AC444" s="37"/>
      <c r="AD444" s="37"/>
      <c r="AE444" s="37"/>
      <c r="AF444" s="37"/>
      <c r="AG444" s="37"/>
      <c r="AH444" s="37"/>
      <c r="AI444" s="37"/>
      <c r="AJ444" s="37"/>
      <c r="AK444" s="37"/>
      <c r="AL444" s="37"/>
      <c r="AM444" s="37"/>
      <c r="AN444" s="37"/>
      <c r="AO444" s="37"/>
      <c r="AP444" s="37"/>
      <c r="AQ444" s="37"/>
      <c r="AR444" s="37"/>
      <c r="AS444" s="37"/>
      <c r="AT444" s="37"/>
      <c r="AU444" s="37"/>
      <c r="AV444" s="37"/>
      <c r="AW444" s="37"/>
      <c r="AX444" s="37"/>
      <c r="AY444" s="37"/>
      <c r="AZ444" s="37"/>
    </row>
    <row r="445" spans="1:52">
      <c r="A445" s="37"/>
      <c r="B445" s="37"/>
      <c r="C445" s="37"/>
      <c r="D445" s="37"/>
      <c r="E445" s="37"/>
      <c r="F445" s="37"/>
      <c r="G445" s="37"/>
      <c r="H445" s="37"/>
      <c r="I445" s="37"/>
      <c r="J445" s="37"/>
      <c r="K445" s="37"/>
      <c r="L445" s="37"/>
      <c r="M445" s="37"/>
      <c r="N445" s="37"/>
      <c r="O445" s="37"/>
      <c r="P445" s="37"/>
      <c r="Q445" s="37"/>
      <c r="R445" s="37"/>
      <c r="S445" s="37"/>
      <c r="T445" s="37"/>
      <c r="U445" s="37"/>
      <c r="V445" s="37"/>
      <c r="W445" s="37"/>
      <c r="X445" s="37"/>
      <c r="Y445" s="37"/>
      <c r="Z445" s="37"/>
      <c r="AA445" s="37"/>
      <c r="AB445" s="37"/>
      <c r="AC445" s="37"/>
      <c r="AD445" s="37"/>
      <c r="AE445" s="37"/>
      <c r="AF445" s="37"/>
      <c r="AG445" s="37"/>
      <c r="AH445" s="37"/>
      <c r="AI445" s="37"/>
      <c r="AJ445" s="37"/>
      <c r="AK445" s="37"/>
      <c r="AL445" s="37"/>
      <c r="AM445" s="37"/>
      <c r="AN445" s="37"/>
      <c r="AO445" s="37"/>
      <c r="AP445" s="37"/>
      <c r="AQ445" s="37"/>
      <c r="AR445" s="37"/>
      <c r="AS445" s="37"/>
      <c r="AT445" s="37"/>
      <c r="AU445" s="37"/>
      <c r="AV445" s="37"/>
      <c r="AW445" s="37"/>
      <c r="AX445" s="37"/>
      <c r="AY445" s="37"/>
      <c r="AZ445" s="37"/>
    </row>
    <row r="446" spans="1:52">
      <c r="A446" s="37"/>
      <c r="B446" s="37"/>
      <c r="C446" s="37"/>
      <c r="D446" s="37"/>
      <c r="E446" s="37"/>
      <c r="F446" s="37"/>
      <c r="G446" s="37"/>
      <c r="H446" s="37"/>
      <c r="I446" s="37"/>
      <c r="J446" s="37"/>
      <c r="K446" s="37"/>
      <c r="L446" s="37"/>
      <c r="M446" s="37"/>
      <c r="N446" s="37"/>
      <c r="O446" s="37"/>
      <c r="P446" s="37"/>
      <c r="Q446" s="37"/>
      <c r="R446" s="37"/>
      <c r="S446" s="37"/>
      <c r="T446" s="37"/>
      <c r="U446" s="37"/>
      <c r="V446" s="37"/>
      <c r="W446" s="37"/>
      <c r="X446" s="37"/>
      <c r="Y446" s="37"/>
      <c r="Z446" s="37"/>
      <c r="AA446" s="37"/>
      <c r="AB446" s="37"/>
      <c r="AC446" s="37"/>
      <c r="AD446" s="37"/>
      <c r="AE446" s="37"/>
      <c r="AF446" s="37"/>
      <c r="AG446" s="37"/>
      <c r="AH446" s="37"/>
      <c r="AI446" s="37"/>
      <c r="AJ446" s="37"/>
      <c r="AK446" s="37"/>
      <c r="AL446" s="37"/>
      <c r="AM446" s="37"/>
      <c r="AN446" s="37"/>
      <c r="AO446" s="37"/>
      <c r="AP446" s="37"/>
      <c r="AQ446" s="37"/>
      <c r="AR446" s="37"/>
      <c r="AS446" s="37"/>
      <c r="AT446" s="37"/>
      <c r="AU446" s="37"/>
      <c r="AV446" s="37"/>
      <c r="AW446" s="37"/>
      <c r="AX446" s="37"/>
      <c r="AY446" s="37"/>
      <c r="AZ446" s="37"/>
    </row>
    <row r="447" spans="1:52">
      <c r="A447" s="37"/>
      <c r="B447" s="37"/>
      <c r="C447" s="37"/>
      <c r="D447" s="37"/>
      <c r="E447" s="37"/>
      <c r="F447" s="37"/>
      <c r="G447" s="37"/>
      <c r="H447" s="37"/>
      <c r="I447" s="37"/>
      <c r="J447" s="37"/>
      <c r="K447" s="37"/>
      <c r="L447" s="37"/>
      <c r="M447" s="37"/>
      <c r="N447" s="37"/>
      <c r="O447" s="37"/>
      <c r="P447" s="37"/>
      <c r="Q447" s="37"/>
      <c r="R447" s="37"/>
      <c r="S447" s="37"/>
      <c r="T447" s="37"/>
      <c r="U447" s="37"/>
      <c r="V447" s="37"/>
      <c r="W447" s="37"/>
      <c r="X447" s="37"/>
      <c r="Y447" s="37"/>
      <c r="Z447" s="37"/>
      <c r="AA447" s="37"/>
      <c r="AB447" s="37"/>
      <c r="AC447" s="37"/>
      <c r="AD447" s="37"/>
      <c r="AE447" s="37"/>
      <c r="AF447" s="37"/>
      <c r="AG447" s="37"/>
      <c r="AH447" s="37"/>
      <c r="AI447" s="37"/>
      <c r="AJ447" s="37"/>
      <c r="AK447" s="37"/>
      <c r="AL447" s="37"/>
      <c r="AM447" s="37"/>
      <c r="AN447" s="37"/>
      <c r="AO447" s="37"/>
      <c r="AP447" s="37"/>
      <c r="AQ447" s="37"/>
      <c r="AR447" s="37"/>
      <c r="AS447" s="37"/>
      <c r="AT447" s="37"/>
      <c r="AU447" s="37"/>
      <c r="AV447" s="37"/>
      <c r="AW447" s="37"/>
      <c r="AX447" s="37"/>
      <c r="AY447" s="37"/>
      <c r="AZ447" s="37"/>
    </row>
    <row r="448" spans="1:52">
      <c r="A448" s="37"/>
      <c r="B448" s="37"/>
      <c r="C448" s="37"/>
      <c r="D448" s="37"/>
      <c r="E448" s="37"/>
      <c r="F448" s="37"/>
      <c r="G448" s="37"/>
      <c r="H448" s="37"/>
      <c r="I448" s="37"/>
      <c r="J448" s="37"/>
      <c r="K448" s="37"/>
      <c r="L448" s="37"/>
      <c r="M448" s="37"/>
      <c r="N448" s="37"/>
      <c r="O448" s="37"/>
      <c r="P448" s="37"/>
      <c r="Q448" s="37"/>
      <c r="R448" s="37"/>
      <c r="S448" s="37"/>
      <c r="T448" s="37"/>
      <c r="U448" s="37"/>
      <c r="V448" s="37"/>
      <c r="W448" s="37"/>
      <c r="X448" s="37"/>
      <c r="Y448" s="37"/>
      <c r="Z448" s="37"/>
      <c r="AA448" s="37"/>
      <c r="AB448" s="37"/>
      <c r="AC448" s="37"/>
      <c r="AD448" s="37"/>
      <c r="AE448" s="37"/>
      <c r="AF448" s="37"/>
      <c r="AG448" s="37"/>
      <c r="AH448" s="37"/>
      <c r="AI448" s="37"/>
      <c r="AJ448" s="37"/>
      <c r="AK448" s="37"/>
      <c r="AL448" s="37"/>
      <c r="AM448" s="37"/>
      <c r="AN448" s="37"/>
      <c r="AO448" s="37"/>
      <c r="AP448" s="37"/>
      <c r="AQ448" s="37"/>
      <c r="AR448" s="37"/>
      <c r="AS448" s="37"/>
      <c r="AT448" s="37"/>
      <c r="AU448" s="37"/>
      <c r="AV448" s="37"/>
      <c r="AW448" s="37"/>
      <c r="AX448" s="37"/>
      <c r="AY448" s="37"/>
      <c r="AZ448" s="37"/>
    </row>
    <row r="449" spans="1:52">
      <c r="A449" s="37"/>
      <c r="B449" s="37"/>
      <c r="C449" s="37"/>
      <c r="D449" s="37"/>
      <c r="E449" s="37"/>
      <c r="F449" s="37"/>
      <c r="G449" s="37"/>
      <c r="H449" s="37"/>
      <c r="I449" s="37"/>
      <c r="J449" s="37"/>
      <c r="K449" s="37"/>
      <c r="L449" s="37"/>
      <c r="M449" s="37"/>
      <c r="N449" s="37"/>
      <c r="O449" s="37"/>
      <c r="P449" s="37"/>
      <c r="Q449" s="37"/>
      <c r="R449" s="37"/>
      <c r="S449" s="37"/>
      <c r="T449" s="37"/>
      <c r="U449" s="37"/>
      <c r="V449" s="37"/>
      <c r="W449" s="37"/>
      <c r="X449" s="37"/>
      <c r="Y449" s="37"/>
      <c r="Z449" s="37"/>
      <c r="AA449" s="37"/>
      <c r="AB449" s="37"/>
      <c r="AC449" s="37"/>
      <c r="AD449" s="37"/>
      <c r="AE449" s="37"/>
      <c r="AF449" s="37"/>
      <c r="AG449" s="37"/>
      <c r="AH449" s="37"/>
      <c r="AI449" s="37"/>
      <c r="AJ449" s="37"/>
      <c r="AK449" s="37"/>
      <c r="AL449" s="37"/>
      <c r="AM449" s="37"/>
      <c r="AN449" s="37"/>
      <c r="AO449" s="37"/>
      <c r="AP449" s="37"/>
      <c r="AQ449" s="37"/>
      <c r="AR449" s="37"/>
      <c r="AS449" s="37"/>
      <c r="AT449" s="37"/>
      <c r="AU449" s="37"/>
      <c r="AV449" s="37"/>
      <c r="AW449" s="37"/>
      <c r="AX449" s="37"/>
      <c r="AY449" s="37"/>
      <c r="AZ449" s="37"/>
    </row>
    <row r="450" spans="1:52">
      <c r="A450" s="37"/>
      <c r="B450" s="37"/>
      <c r="C450" s="37"/>
      <c r="D450" s="37"/>
      <c r="E450" s="37"/>
      <c r="F450" s="37"/>
      <c r="G450" s="37"/>
      <c r="H450" s="37"/>
      <c r="I450" s="37"/>
      <c r="J450" s="37"/>
      <c r="K450" s="37"/>
      <c r="L450" s="37"/>
      <c r="M450" s="37"/>
      <c r="N450" s="37"/>
      <c r="O450" s="37"/>
      <c r="P450" s="37"/>
      <c r="Q450" s="37"/>
      <c r="R450" s="37"/>
      <c r="S450" s="37"/>
      <c r="T450" s="37"/>
      <c r="U450" s="37"/>
      <c r="V450" s="37"/>
      <c r="W450" s="37"/>
      <c r="X450" s="37"/>
      <c r="Y450" s="37"/>
      <c r="Z450" s="37"/>
      <c r="AA450" s="37"/>
      <c r="AB450" s="37"/>
      <c r="AC450" s="37"/>
      <c r="AD450" s="37"/>
      <c r="AE450" s="37"/>
      <c r="AF450" s="37"/>
      <c r="AG450" s="37"/>
      <c r="AH450" s="37"/>
      <c r="AI450" s="37"/>
      <c r="AJ450" s="37"/>
      <c r="AK450" s="37"/>
      <c r="AL450" s="37"/>
      <c r="AM450" s="37"/>
      <c r="AN450" s="37"/>
      <c r="AO450" s="37"/>
      <c r="AP450" s="37"/>
      <c r="AQ450" s="37"/>
      <c r="AR450" s="37"/>
      <c r="AS450" s="37"/>
      <c r="AT450" s="37"/>
      <c r="AU450" s="37"/>
      <c r="AV450" s="37"/>
      <c r="AW450" s="37"/>
      <c r="AX450" s="37"/>
      <c r="AY450" s="37"/>
      <c r="AZ450" s="37"/>
    </row>
    <row r="451" spans="1:52">
      <c r="A451" s="37"/>
      <c r="B451" s="37"/>
      <c r="C451" s="37"/>
      <c r="D451" s="37"/>
      <c r="E451" s="37"/>
      <c r="F451" s="37"/>
      <c r="G451" s="37"/>
      <c r="H451" s="37"/>
      <c r="I451" s="37"/>
      <c r="J451" s="37"/>
      <c r="K451" s="37"/>
      <c r="L451" s="37"/>
      <c r="M451" s="37"/>
      <c r="N451" s="37"/>
      <c r="O451" s="37"/>
      <c r="P451" s="37"/>
      <c r="Q451" s="37"/>
      <c r="R451" s="37"/>
      <c r="S451" s="37"/>
      <c r="T451" s="37"/>
      <c r="U451" s="37"/>
      <c r="V451" s="37"/>
      <c r="W451" s="37"/>
      <c r="X451" s="37"/>
      <c r="Y451" s="37"/>
      <c r="Z451" s="37"/>
      <c r="AA451" s="37"/>
      <c r="AB451" s="37"/>
      <c r="AC451" s="37"/>
      <c r="AD451" s="37"/>
      <c r="AE451" s="37"/>
      <c r="AF451" s="37"/>
      <c r="AG451" s="37"/>
      <c r="AH451" s="37"/>
      <c r="AI451" s="37"/>
      <c r="AJ451" s="37"/>
      <c r="AK451" s="37"/>
      <c r="AL451" s="37"/>
      <c r="AM451" s="37"/>
      <c r="AN451" s="37"/>
      <c r="AO451" s="37"/>
      <c r="AP451" s="37"/>
      <c r="AQ451" s="37"/>
      <c r="AR451" s="37"/>
      <c r="AS451" s="37"/>
      <c r="AT451" s="37"/>
      <c r="AU451" s="37"/>
      <c r="AV451" s="37"/>
      <c r="AW451" s="37"/>
      <c r="AX451" s="37"/>
      <c r="AY451" s="37"/>
      <c r="AZ451" s="37"/>
    </row>
    <row r="452" spans="1:52">
      <c r="A452" s="37"/>
      <c r="B452" s="37"/>
      <c r="C452" s="37"/>
      <c r="D452" s="37"/>
      <c r="E452" s="37"/>
      <c r="F452" s="37"/>
      <c r="G452" s="37"/>
      <c r="H452" s="37"/>
      <c r="I452" s="37"/>
      <c r="J452" s="37"/>
      <c r="K452" s="37"/>
      <c r="L452" s="37"/>
      <c r="M452" s="37"/>
      <c r="N452" s="37"/>
      <c r="O452" s="37"/>
      <c r="P452" s="37"/>
      <c r="Q452" s="37"/>
      <c r="R452" s="37"/>
      <c r="S452" s="37"/>
      <c r="T452" s="37"/>
      <c r="U452" s="37"/>
      <c r="V452" s="37"/>
      <c r="W452" s="37"/>
      <c r="X452" s="37"/>
      <c r="Y452" s="37"/>
      <c r="Z452" s="37"/>
      <c r="AA452" s="37"/>
      <c r="AB452" s="37"/>
      <c r="AC452" s="37"/>
      <c r="AD452" s="37"/>
      <c r="AE452" s="37"/>
      <c r="AF452" s="37"/>
      <c r="AG452" s="37"/>
      <c r="AH452" s="37"/>
      <c r="AI452" s="37"/>
      <c r="AJ452" s="37"/>
      <c r="AK452" s="37"/>
      <c r="AL452" s="37"/>
      <c r="AM452" s="37"/>
      <c r="AN452" s="37"/>
      <c r="AO452" s="37"/>
      <c r="AP452" s="37"/>
      <c r="AQ452" s="37"/>
      <c r="AR452" s="37"/>
      <c r="AS452" s="37"/>
      <c r="AT452" s="37"/>
      <c r="AU452" s="37"/>
      <c r="AV452" s="37"/>
      <c r="AW452" s="37"/>
      <c r="AX452" s="37"/>
      <c r="AY452" s="37"/>
      <c r="AZ452" s="37"/>
    </row>
    <row r="453" spans="1:52">
      <c r="A453" s="37"/>
      <c r="B453" s="37"/>
      <c r="C453" s="37"/>
      <c r="D453" s="37"/>
      <c r="E453" s="37"/>
      <c r="F453" s="37"/>
      <c r="G453" s="37"/>
      <c r="H453" s="37"/>
      <c r="I453" s="37"/>
      <c r="J453" s="37"/>
      <c r="K453" s="37"/>
      <c r="L453" s="37"/>
      <c r="M453" s="37"/>
      <c r="N453" s="37"/>
      <c r="O453" s="37"/>
      <c r="P453" s="37"/>
      <c r="Q453" s="37"/>
      <c r="R453" s="37"/>
      <c r="S453" s="37"/>
      <c r="T453" s="37"/>
      <c r="U453" s="37"/>
      <c r="V453" s="37"/>
      <c r="W453" s="37"/>
      <c r="X453" s="37"/>
      <c r="Y453" s="37"/>
      <c r="Z453" s="37"/>
      <c r="AA453" s="37"/>
      <c r="AB453" s="37"/>
      <c r="AC453" s="37"/>
      <c r="AD453" s="37"/>
      <c r="AE453" s="37"/>
      <c r="AF453" s="37"/>
      <c r="AG453" s="37"/>
      <c r="AH453" s="37"/>
      <c r="AI453" s="37"/>
      <c r="AJ453" s="37"/>
      <c r="AK453" s="37"/>
      <c r="AL453" s="37"/>
      <c r="AM453" s="37"/>
      <c r="AN453" s="37"/>
      <c r="AO453" s="37"/>
      <c r="AP453" s="37"/>
      <c r="AQ453" s="37"/>
      <c r="AR453" s="37"/>
      <c r="AS453" s="37"/>
      <c r="AT453" s="37"/>
      <c r="AU453" s="37"/>
      <c r="AV453" s="37"/>
      <c r="AW453" s="37"/>
      <c r="AX453" s="37"/>
      <c r="AY453" s="37"/>
      <c r="AZ453" s="37"/>
    </row>
    <row r="454" spans="1:52">
      <c r="A454" s="37"/>
      <c r="B454" s="37"/>
      <c r="C454" s="37"/>
      <c r="D454" s="37"/>
      <c r="E454" s="37"/>
      <c r="F454" s="37"/>
      <c r="G454" s="37"/>
      <c r="H454" s="37"/>
      <c r="I454" s="37"/>
      <c r="J454" s="37"/>
      <c r="K454" s="37"/>
      <c r="L454" s="37"/>
      <c r="M454" s="37"/>
      <c r="N454" s="37"/>
      <c r="O454" s="37"/>
      <c r="P454" s="37"/>
      <c r="Q454" s="37"/>
      <c r="R454" s="37"/>
      <c r="S454" s="37"/>
      <c r="T454" s="37"/>
      <c r="U454" s="37"/>
      <c r="V454" s="37"/>
      <c r="W454" s="37"/>
      <c r="X454" s="37"/>
      <c r="Y454" s="37"/>
      <c r="Z454" s="37"/>
      <c r="AA454" s="37"/>
      <c r="AB454" s="37"/>
      <c r="AC454" s="37"/>
      <c r="AD454" s="37"/>
      <c r="AE454" s="37"/>
      <c r="AF454" s="37"/>
      <c r="AG454" s="37"/>
      <c r="AH454" s="37"/>
      <c r="AI454" s="37"/>
      <c r="AJ454" s="37"/>
      <c r="AK454" s="37"/>
      <c r="AL454" s="37"/>
      <c r="AM454" s="37"/>
      <c r="AN454" s="37"/>
      <c r="AO454" s="37"/>
      <c r="AP454" s="37"/>
      <c r="AQ454" s="37"/>
      <c r="AR454" s="37"/>
      <c r="AS454" s="37"/>
      <c r="AT454" s="37"/>
      <c r="AU454" s="37"/>
      <c r="AV454" s="37"/>
      <c r="AW454" s="37"/>
      <c r="AX454" s="37"/>
      <c r="AY454" s="37"/>
      <c r="AZ454" s="37"/>
    </row>
    <row r="455" spans="1:52">
      <c r="A455" s="37"/>
      <c r="B455" s="37"/>
      <c r="C455" s="37"/>
      <c r="D455" s="37"/>
      <c r="E455" s="37"/>
      <c r="F455" s="37"/>
      <c r="G455" s="37"/>
      <c r="H455" s="37"/>
      <c r="I455" s="37"/>
      <c r="J455" s="37"/>
      <c r="K455" s="37"/>
      <c r="L455" s="37"/>
      <c r="M455" s="37"/>
      <c r="N455" s="37"/>
      <c r="O455" s="37"/>
      <c r="P455" s="37"/>
      <c r="Q455" s="37"/>
      <c r="R455" s="37"/>
      <c r="S455" s="37"/>
      <c r="T455" s="37"/>
      <c r="U455" s="37"/>
      <c r="V455" s="37"/>
      <c r="W455" s="37"/>
      <c r="X455" s="37"/>
      <c r="Y455" s="37"/>
      <c r="Z455" s="37"/>
      <c r="AA455" s="37"/>
      <c r="AB455" s="37"/>
      <c r="AC455" s="37"/>
      <c r="AD455" s="37"/>
      <c r="AE455" s="37"/>
      <c r="AF455" s="37"/>
      <c r="AG455" s="37"/>
      <c r="AH455" s="37"/>
      <c r="AI455" s="37"/>
      <c r="AJ455" s="37"/>
      <c r="AK455" s="37"/>
      <c r="AL455" s="37"/>
      <c r="AM455" s="37"/>
      <c r="AN455" s="37"/>
      <c r="AO455" s="37"/>
      <c r="AP455" s="37"/>
      <c r="AQ455" s="37"/>
      <c r="AR455" s="37"/>
      <c r="AS455" s="37"/>
      <c r="AT455" s="37"/>
      <c r="AU455" s="37"/>
      <c r="AV455" s="37"/>
      <c r="AW455" s="37"/>
      <c r="AX455" s="37"/>
      <c r="AY455" s="37"/>
      <c r="AZ455" s="37"/>
    </row>
    <row r="456" spans="1:52">
      <c r="A456" s="37"/>
      <c r="B456" s="37"/>
      <c r="C456" s="37"/>
      <c r="D456" s="37"/>
      <c r="E456" s="37"/>
      <c r="F456" s="37"/>
      <c r="G456" s="37"/>
      <c r="H456" s="37"/>
      <c r="I456" s="37"/>
      <c r="J456" s="37"/>
      <c r="K456" s="37"/>
      <c r="L456" s="37"/>
      <c r="M456" s="37"/>
      <c r="N456" s="37"/>
      <c r="O456" s="37"/>
      <c r="P456" s="37"/>
      <c r="Q456" s="37"/>
      <c r="R456" s="37"/>
      <c r="S456" s="37"/>
      <c r="T456" s="37"/>
      <c r="U456" s="37"/>
      <c r="V456" s="37"/>
      <c r="W456" s="37"/>
      <c r="X456" s="37"/>
      <c r="Y456" s="37"/>
      <c r="Z456" s="37"/>
      <c r="AA456" s="37"/>
      <c r="AB456" s="37"/>
      <c r="AC456" s="37"/>
      <c r="AD456" s="37"/>
      <c r="AE456" s="37"/>
      <c r="AF456" s="37"/>
      <c r="AG456" s="37"/>
      <c r="AH456" s="37"/>
      <c r="AI456" s="37"/>
      <c r="AJ456" s="37"/>
      <c r="AK456" s="37"/>
      <c r="AL456" s="37"/>
      <c r="AM456" s="37"/>
      <c r="AN456" s="37"/>
      <c r="AO456" s="37"/>
      <c r="AP456" s="37"/>
      <c r="AQ456" s="37"/>
      <c r="AR456" s="37"/>
      <c r="AS456" s="37"/>
      <c r="AT456" s="37"/>
      <c r="AU456" s="37"/>
      <c r="AV456" s="37"/>
      <c r="AW456" s="37"/>
      <c r="AX456" s="37"/>
      <c r="AY456" s="37"/>
      <c r="AZ456" s="37"/>
    </row>
    <row r="457" spans="1:52">
      <c r="A457" s="37"/>
      <c r="B457" s="37"/>
      <c r="C457" s="37"/>
      <c r="D457" s="37"/>
      <c r="E457" s="37"/>
      <c r="F457" s="37"/>
      <c r="G457" s="37"/>
      <c r="H457" s="37"/>
      <c r="I457" s="37"/>
      <c r="J457" s="37"/>
      <c r="K457" s="37"/>
      <c r="L457" s="37"/>
      <c r="M457" s="37"/>
      <c r="N457" s="37"/>
      <c r="O457" s="37"/>
      <c r="P457" s="37"/>
      <c r="Q457" s="37"/>
      <c r="R457" s="37"/>
      <c r="S457" s="37"/>
      <c r="T457" s="37"/>
      <c r="U457" s="37"/>
      <c r="V457" s="37"/>
      <c r="W457" s="37"/>
      <c r="X457" s="37"/>
      <c r="Y457" s="37"/>
      <c r="Z457" s="37"/>
      <c r="AA457" s="37"/>
      <c r="AB457" s="37"/>
      <c r="AC457" s="37"/>
      <c r="AD457" s="37"/>
      <c r="AE457" s="37"/>
      <c r="AF457" s="37"/>
      <c r="AG457" s="37"/>
      <c r="AH457" s="37"/>
      <c r="AI457" s="37"/>
      <c r="AJ457" s="37"/>
      <c r="AK457" s="37"/>
      <c r="AL457" s="37"/>
      <c r="AM457" s="37"/>
      <c r="AN457" s="37"/>
      <c r="AO457" s="37"/>
      <c r="AP457" s="37"/>
      <c r="AQ457" s="37"/>
      <c r="AR457" s="37"/>
      <c r="AS457" s="37"/>
      <c r="AT457" s="37"/>
      <c r="AU457" s="37"/>
      <c r="AV457" s="37"/>
      <c r="AW457" s="37"/>
      <c r="AX457" s="37"/>
      <c r="AY457" s="37"/>
      <c r="AZ457" s="37"/>
    </row>
    <row r="458" spans="1:52">
      <c r="A458" s="37"/>
      <c r="B458" s="37"/>
      <c r="C458" s="37"/>
      <c r="D458" s="37"/>
      <c r="E458" s="37"/>
      <c r="F458" s="37"/>
      <c r="G458" s="37"/>
      <c r="H458" s="37"/>
      <c r="I458" s="37"/>
      <c r="J458" s="37"/>
      <c r="K458" s="37"/>
      <c r="L458" s="37"/>
      <c r="M458" s="37"/>
      <c r="N458" s="37"/>
      <c r="O458" s="37"/>
      <c r="P458" s="37"/>
      <c r="Q458" s="37"/>
      <c r="R458" s="37"/>
      <c r="S458" s="37"/>
      <c r="T458" s="37"/>
      <c r="U458" s="37"/>
      <c r="V458" s="37"/>
      <c r="W458" s="37"/>
      <c r="X458" s="37"/>
      <c r="Y458" s="37"/>
      <c r="Z458" s="37"/>
      <c r="AA458" s="37"/>
      <c r="AB458" s="37"/>
      <c r="AC458" s="37"/>
      <c r="AD458" s="37"/>
      <c r="AE458" s="37"/>
      <c r="AF458" s="37"/>
      <c r="AG458" s="37"/>
      <c r="AH458" s="37"/>
      <c r="AI458" s="37"/>
      <c r="AJ458" s="37"/>
      <c r="AK458" s="37"/>
      <c r="AL458" s="37"/>
      <c r="AM458" s="37"/>
      <c r="AN458" s="37"/>
      <c r="AO458" s="37"/>
      <c r="AP458" s="37"/>
      <c r="AQ458" s="37"/>
      <c r="AR458" s="37"/>
      <c r="AS458" s="37"/>
      <c r="AT458" s="37"/>
      <c r="AU458" s="37"/>
      <c r="AV458" s="37"/>
      <c r="AW458" s="37"/>
      <c r="AX458" s="37"/>
      <c r="AY458" s="37"/>
      <c r="AZ458" s="37"/>
    </row>
    <row r="459" spans="1:52">
      <c r="A459" s="37"/>
      <c r="B459" s="37"/>
      <c r="C459" s="37"/>
      <c r="D459" s="37"/>
      <c r="E459" s="37"/>
      <c r="F459" s="37"/>
      <c r="G459" s="37"/>
      <c r="H459" s="37"/>
      <c r="I459" s="37"/>
      <c r="J459" s="37"/>
      <c r="K459" s="37"/>
      <c r="L459" s="37"/>
      <c r="M459" s="37"/>
      <c r="N459" s="37"/>
      <c r="O459" s="37"/>
      <c r="P459" s="37"/>
      <c r="Q459" s="37"/>
      <c r="R459" s="37"/>
      <c r="S459" s="37"/>
      <c r="T459" s="37"/>
      <c r="U459" s="37"/>
      <c r="V459" s="37"/>
      <c r="W459" s="37"/>
      <c r="X459" s="37"/>
      <c r="Y459" s="37"/>
      <c r="Z459" s="37"/>
      <c r="AA459" s="37"/>
      <c r="AB459" s="37"/>
      <c r="AC459" s="37"/>
      <c r="AD459" s="37"/>
      <c r="AE459" s="37"/>
      <c r="AF459" s="37"/>
      <c r="AG459" s="37"/>
      <c r="AH459" s="37"/>
      <c r="AI459" s="37"/>
      <c r="AJ459" s="37"/>
      <c r="AK459" s="37"/>
      <c r="AL459" s="37"/>
      <c r="AM459" s="37"/>
      <c r="AN459" s="37"/>
      <c r="AO459" s="37"/>
      <c r="AP459" s="37"/>
      <c r="AQ459" s="37"/>
      <c r="AR459" s="37"/>
      <c r="AS459" s="37"/>
      <c r="AT459" s="37"/>
      <c r="AU459" s="37"/>
      <c r="AV459" s="37"/>
      <c r="AW459" s="37"/>
      <c r="AX459" s="37"/>
      <c r="AY459" s="37"/>
      <c r="AZ459" s="37"/>
    </row>
    <row r="460" spans="1:52">
      <c r="A460" s="37"/>
      <c r="B460" s="37"/>
      <c r="C460" s="37"/>
      <c r="D460" s="37"/>
      <c r="E460" s="37"/>
      <c r="F460" s="37"/>
      <c r="G460" s="37"/>
      <c r="H460" s="37"/>
      <c r="I460" s="37"/>
      <c r="J460" s="37"/>
      <c r="K460" s="37"/>
      <c r="L460" s="37"/>
      <c r="M460" s="37"/>
      <c r="N460" s="37"/>
      <c r="O460" s="37"/>
      <c r="P460" s="37"/>
      <c r="Q460" s="37"/>
      <c r="R460" s="37"/>
      <c r="S460" s="37"/>
      <c r="T460" s="37"/>
      <c r="U460" s="37"/>
      <c r="V460" s="37"/>
      <c r="W460" s="37"/>
      <c r="X460" s="37"/>
      <c r="Y460" s="37"/>
      <c r="Z460" s="37"/>
      <c r="AA460" s="37"/>
      <c r="AB460" s="37"/>
      <c r="AC460" s="37"/>
      <c r="AD460" s="37"/>
      <c r="AE460" s="37"/>
      <c r="AF460" s="37"/>
      <c r="AG460" s="37"/>
      <c r="AH460" s="37"/>
      <c r="AI460" s="37"/>
      <c r="AJ460" s="37"/>
      <c r="AK460" s="37"/>
      <c r="AL460" s="37"/>
      <c r="AM460" s="37"/>
      <c r="AN460" s="37"/>
      <c r="AO460" s="37"/>
      <c r="AP460" s="37"/>
      <c r="AQ460" s="37"/>
      <c r="AR460" s="37"/>
      <c r="AS460" s="37"/>
      <c r="AT460" s="37"/>
      <c r="AU460" s="37"/>
      <c r="AV460" s="37"/>
      <c r="AW460" s="37"/>
      <c r="AX460" s="37"/>
      <c r="AY460" s="37"/>
      <c r="AZ460" s="37"/>
    </row>
    <row r="461" spans="1:52">
      <c r="A461" s="37"/>
      <c r="B461" s="37"/>
      <c r="C461" s="37"/>
      <c r="D461" s="37"/>
      <c r="E461" s="37"/>
      <c r="F461" s="37"/>
      <c r="G461" s="37"/>
      <c r="H461" s="37"/>
      <c r="I461" s="37"/>
      <c r="J461" s="37"/>
      <c r="K461" s="37"/>
      <c r="L461" s="37"/>
      <c r="M461" s="37"/>
      <c r="N461" s="37"/>
      <c r="O461" s="37"/>
      <c r="P461" s="37"/>
      <c r="Q461" s="37"/>
      <c r="R461" s="37"/>
      <c r="S461" s="37"/>
      <c r="T461" s="37"/>
      <c r="U461" s="37"/>
      <c r="V461" s="37"/>
      <c r="W461" s="37"/>
      <c r="X461" s="37"/>
      <c r="Y461" s="37"/>
      <c r="Z461" s="37"/>
      <c r="AA461" s="37"/>
      <c r="AB461" s="37"/>
      <c r="AC461" s="37"/>
      <c r="AD461" s="37"/>
      <c r="AE461" s="37"/>
      <c r="AF461" s="37"/>
      <c r="AG461" s="37"/>
      <c r="AH461" s="37"/>
      <c r="AI461" s="37"/>
      <c r="AJ461" s="37"/>
      <c r="AK461" s="37"/>
      <c r="AL461" s="37"/>
      <c r="AM461" s="37"/>
      <c r="AN461" s="37"/>
      <c r="AO461" s="37"/>
      <c r="AP461" s="37"/>
      <c r="AQ461" s="37"/>
      <c r="AR461" s="37"/>
      <c r="AS461" s="37"/>
      <c r="AT461" s="37"/>
      <c r="AU461" s="37"/>
      <c r="AV461" s="37"/>
      <c r="AW461" s="37"/>
      <c r="AX461" s="37"/>
      <c r="AY461" s="37"/>
      <c r="AZ461" s="37"/>
    </row>
    <row r="462" spans="1:52">
      <c r="A462" s="37"/>
      <c r="B462" s="37"/>
      <c r="C462" s="37"/>
      <c r="D462" s="37"/>
      <c r="E462" s="37"/>
      <c r="F462" s="37"/>
      <c r="G462" s="37"/>
      <c r="H462" s="37"/>
      <c r="I462" s="37"/>
      <c r="J462" s="37"/>
      <c r="K462" s="37"/>
      <c r="L462" s="37"/>
      <c r="M462" s="37"/>
      <c r="N462" s="37"/>
      <c r="O462" s="37"/>
      <c r="P462" s="37"/>
      <c r="Q462" s="37"/>
      <c r="R462" s="37"/>
      <c r="S462" s="37"/>
      <c r="T462" s="37"/>
      <c r="U462" s="37"/>
      <c r="V462" s="37"/>
      <c r="W462" s="37"/>
      <c r="X462" s="37"/>
      <c r="Y462" s="37"/>
      <c r="Z462" s="37"/>
      <c r="AA462" s="37"/>
      <c r="AB462" s="37"/>
      <c r="AC462" s="37"/>
      <c r="AD462" s="37"/>
      <c r="AE462" s="37"/>
      <c r="AF462" s="37"/>
      <c r="AG462" s="37"/>
      <c r="AH462" s="37"/>
      <c r="AI462" s="37"/>
      <c r="AJ462" s="37"/>
      <c r="AK462" s="37"/>
      <c r="AL462" s="37"/>
      <c r="AM462" s="37"/>
      <c r="AN462" s="37"/>
      <c r="AO462" s="37"/>
      <c r="AP462" s="37"/>
      <c r="AQ462" s="37"/>
      <c r="AR462" s="37"/>
      <c r="AS462" s="37"/>
      <c r="AT462" s="37"/>
      <c r="AU462" s="37"/>
      <c r="AV462" s="37"/>
      <c r="AW462" s="37"/>
      <c r="AX462" s="37"/>
      <c r="AY462" s="37"/>
      <c r="AZ462" s="37"/>
    </row>
    <row r="463" spans="1:52">
      <c r="A463" s="37"/>
      <c r="B463" s="37"/>
      <c r="C463" s="37"/>
      <c r="D463" s="37"/>
      <c r="E463" s="37"/>
      <c r="F463" s="37"/>
      <c r="G463" s="37"/>
      <c r="H463" s="37"/>
      <c r="I463" s="37"/>
      <c r="J463" s="37"/>
      <c r="K463" s="37"/>
      <c r="L463" s="37"/>
      <c r="M463" s="37"/>
      <c r="N463" s="37"/>
      <c r="O463" s="37"/>
      <c r="P463" s="37"/>
      <c r="Q463" s="37"/>
      <c r="R463" s="37"/>
      <c r="S463" s="37"/>
      <c r="T463" s="37"/>
      <c r="U463" s="37"/>
      <c r="V463" s="37"/>
      <c r="W463" s="37"/>
      <c r="X463" s="37"/>
      <c r="Y463" s="37"/>
      <c r="Z463" s="37"/>
      <c r="AA463" s="37"/>
      <c r="AB463" s="37"/>
      <c r="AC463" s="37"/>
      <c r="AD463" s="37"/>
      <c r="AE463" s="37"/>
      <c r="AF463" s="37"/>
      <c r="AG463" s="37"/>
      <c r="AH463" s="37"/>
      <c r="AI463" s="37"/>
      <c r="AJ463" s="37"/>
      <c r="AK463" s="37"/>
      <c r="AL463" s="37"/>
      <c r="AM463" s="37"/>
      <c r="AN463" s="37"/>
      <c r="AO463" s="37"/>
      <c r="AP463" s="37"/>
      <c r="AQ463" s="37"/>
      <c r="AR463" s="37"/>
      <c r="AS463" s="37"/>
      <c r="AT463" s="37"/>
      <c r="AU463" s="37"/>
      <c r="AV463" s="37"/>
      <c r="AW463" s="37"/>
      <c r="AX463" s="37"/>
      <c r="AY463" s="37"/>
      <c r="AZ463" s="37"/>
    </row>
    <row r="464" spans="1:52">
      <c r="A464" s="37"/>
      <c r="B464" s="37"/>
      <c r="C464" s="37"/>
      <c r="D464" s="37"/>
      <c r="E464" s="37"/>
      <c r="F464" s="37"/>
      <c r="G464" s="37"/>
      <c r="H464" s="37"/>
      <c r="I464" s="37"/>
      <c r="J464" s="37"/>
      <c r="K464" s="37"/>
      <c r="L464" s="37"/>
      <c r="M464" s="37"/>
      <c r="N464" s="37"/>
      <c r="O464" s="37"/>
      <c r="P464" s="37"/>
      <c r="Q464" s="37"/>
      <c r="R464" s="37"/>
      <c r="S464" s="37"/>
      <c r="T464" s="37"/>
      <c r="U464" s="37"/>
      <c r="V464" s="37"/>
      <c r="W464" s="37"/>
      <c r="X464" s="37"/>
      <c r="Y464" s="37"/>
      <c r="Z464" s="37"/>
      <c r="AA464" s="37"/>
      <c r="AB464" s="37"/>
      <c r="AC464" s="37"/>
      <c r="AD464" s="37"/>
      <c r="AE464" s="37"/>
      <c r="AF464" s="37"/>
      <c r="AG464" s="37"/>
      <c r="AH464" s="37"/>
      <c r="AI464" s="37"/>
      <c r="AJ464" s="37"/>
      <c r="AK464" s="37"/>
      <c r="AL464" s="37"/>
      <c r="AM464" s="37"/>
      <c r="AN464" s="37"/>
      <c r="AO464" s="37"/>
      <c r="AP464" s="37"/>
      <c r="AQ464" s="37"/>
      <c r="AR464" s="37"/>
      <c r="AS464" s="37"/>
      <c r="AT464" s="37"/>
      <c r="AU464" s="37"/>
      <c r="AV464" s="37"/>
      <c r="AW464" s="37"/>
      <c r="AX464" s="37"/>
      <c r="AY464" s="37"/>
      <c r="AZ464" s="37"/>
    </row>
    <row r="465" spans="1:52">
      <c r="A465" s="37"/>
      <c r="B465" s="37"/>
      <c r="C465" s="37"/>
      <c r="D465" s="37"/>
      <c r="E465" s="37"/>
      <c r="F465" s="37"/>
      <c r="G465" s="37"/>
      <c r="H465" s="37"/>
      <c r="I465" s="37"/>
      <c r="J465" s="37"/>
      <c r="K465" s="37"/>
      <c r="L465" s="37"/>
      <c r="M465" s="37"/>
      <c r="N465" s="37"/>
      <c r="O465" s="37"/>
      <c r="P465" s="37"/>
      <c r="Q465" s="37"/>
      <c r="R465" s="37"/>
      <c r="S465" s="37"/>
      <c r="T465" s="37"/>
      <c r="U465" s="37"/>
      <c r="V465" s="37"/>
      <c r="W465" s="37"/>
      <c r="X465" s="37"/>
      <c r="Y465" s="37"/>
      <c r="Z465" s="37"/>
      <c r="AA465" s="37"/>
      <c r="AB465" s="37"/>
      <c r="AC465" s="37"/>
      <c r="AD465" s="37"/>
      <c r="AE465" s="37"/>
      <c r="AF465" s="37"/>
      <c r="AG465" s="37"/>
      <c r="AH465" s="37"/>
      <c r="AI465" s="37"/>
      <c r="AJ465" s="37"/>
      <c r="AK465" s="37"/>
      <c r="AL465" s="37"/>
      <c r="AM465" s="37"/>
      <c r="AN465" s="37"/>
      <c r="AO465" s="37"/>
      <c r="AP465" s="37"/>
      <c r="AQ465" s="37"/>
      <c r="AR465" s="37"/>
      <c r="AS465" s="37"/>
      <c r="AT465" s="37"/>
      <c r="AU465" s="37"/>
      <c r="AV465" s="37"/>
      <c r="AW465" s="37"/>
      <c r="AX465" s="37"/>
      <c r="AY465" s="37"/>
      <c r="AZ465" s="37"/>
    </row>
    <row r="466" spans="1:52">
      <c r="A466" s="37"/>
      <c r="B466" s="37"/>
      <c r="C466" s="37"/>
      <c r="D466" s="37"/>
      <c r="E466" s="37"/>
      <c r="F466" s="37"/>
      <c r="G466" s="37"/>
      <c r="H466" s="37"/>
      <c r="I466" s="37"/>
      <c r="J466" s="37"/>
      <c r="K466" s="37"/>
      <c r="L466" s="37"/>
      <c r="M466" s="37"/>
      <c r="N466" s="37"/>
      <c r="O466" s="37"/>
      <c r="P466" s="37"/>
      <c r="Q466" s="37"/>
      <c r="R466" s="37"/>
      <c r="S466" s="37"/>
      <c r="T466" s="37"/>
      <c r="U466" s="37"/>
      <c r="V466" s="37"/>
      <c r="W466" s="37"/>
      <c r="X466" s="37"/>
      <c r="Y466" s="37"/>
      <c r="Z466" s="37"/>
      <c r="AA466" s="37"/>
      <c r="AB466" s="37"/>
      <c r="AC466" s="37"/>
      <c r="AD466" s="37"/>
      <c r="AE466" s="37"/>
      <c r="AF466" s="37"/>
      <c r="AG466" s="37"/>
      <c r="AH466" s="37"/>
      <c r="AI466" s="37"/>
      <c r="AJ466" s="37"/>
      <c r="AK466" s="37"/>
      <c r="AL466" s="37"/>
      <c r="AM466" s="37"/>
      <c r="AN466" s="37"/>
      <c r="AO466" s="37"/>
      <c r="AP466" s="37"/>
      <c r="AQ466" s="37"/>
      <c r="AR466" s="37"/>
      <c r="AS466" s="37"/>
      <c r="AT466" s="37"/>
      <c r="AU466" s="37"/>
      <c r="AV466" s="37"/>
      <c r="AW466" s="37"/>
      <c r="AX466" s="37"/>
      <c r="AY466" s="37"/>
      <c r="AZ466" s="37"/>
    </row>
    <row r="467" spans="1:52">
      <c r="A467" s="37"/>
      <c r="B467" s="37"/>
      <c r="C467" s="37"/>
      <c r="D467" s="37"/>
      <c r="E467" s="37"/>
      <c r="F467" s="37"/>
      <c r="G467" s="37"/>
      <c r="H467" s="37"/>
      <c r="I467" s="37"/>
      <c r="J467" s="37"/>
      <c r="K467" s="37"/>
      <c r="L467" s="37"/>
      <c r="M467" s="37"/>
      <c r="N467" s="37"/>
      <c r="O467" s="37"/>
      <c r="P467" s="37"/>
      <c r="Q467" s="37"/>
      <c r="R467" s="37"/>
      <c r="S467" s="37"/>
      <c r="T467" s="37"/>
      <c r="U467" s="37"/>
      <c r="V467" s="37"/>
      <c r="W467" s="37"/>
      <c r="X467" s="37"/>
      <c r="Y467" s="37"/>
      <c r="Z467" s="37"/>
      <c r="AA467" s="37"/>
      <c r="AB467" s="37"/>
      <c r="AC467" s="37"/>
      <c r="AD467" s="37"/>
      <c r="AE467" s="37"/>
      <c r="AF467" s="37"/>
      <c r="AG467" s="37"/>
      <c r="AH467" s="37"/>
      <c r="AI467" s="37"/>
      <c r="AJ467" s="37"/>
      <c r="AK467" s="37"/>
      <c r="AL467" s="37"/>
      <c r="AM467" s="37"/>
      <c r="AN467" s="37"/>
      <c r="AO467" s="37"/>
      <c r="AP467" s="37"/>
      <c r="AQ467" s="37"/>
      <c r="AR467" s="37"/>
      <c r="AS467" s="37"/>
      <c r="AT467" s="37"/>
      <c r="AU467" s="37"/>
      <c r="AV467" s="37"/>
      <c r="AW467" s="37"/>
      <c r="AX467" s="37"/>
      <c r="AY467" s="37"/>
      <c r="AZ467" s="37"/>
    </row>
    <row r="468" spans="1:52">
      <c r="A468" s="37"/>
      <c r="B468" s="37"/>
      <c r="C468" s="37"/>
      <c r="D468" s="37"/>
      <c r="E468" s="37"/>
      <c r="F468" s="37"/>
      <c r="G468" s="37"/>
      <c r="H468" s="37"/>
      <c r="I468" s="37"/>
      <c r="J468" s="37"/>
      <c r="K468" s="37"/>
      <c r="L468" s="37"/>
      <c r="M468" s="37"/>
      <c r="N468" s="37"/>
      <c r="O468" s="37"/>
      <c r="P468" s="37"/>
      <c r="Q468" s="37"/>
      <c r="R468" s="37"/>
      <c r="S468" s="37"/>
      <c r="T468" s="37"/>
      <c r="U468" s="37"/>
      <c r="V468" s="37"/>
      <c r="W468" s="37"/>
      <c r="X468" s="37"/>
      <c r="Y468" s="37"/>
      <c r="Z468" s="37"/>
      <c r="AA468" s="37"/>
      <c r="AB468" s="37"/>
      <c r="AC468" s="37"/>
      <c r="AD468" s="37"/>
      <c r="AE468" s="37"/>
      <c r="AF468" s="37"/>
      <c r="AG468" s="37"/>
      <c r="AH468" s="37"/>
      <c r="AI468" s="37"/>
      <c r="AJ468" s="37"/>
      <c r="AK468" s="37"/>
      <c r="AL468" s="37"/>
      <c r="AM468" s="37"/>
      <c r="AN468" s="37"/>
      <c r="AO468" s="37"/>
      <c r="AP468" s="37"/>
      <c r="AQ468" s="37"/>
      <c r="AR468" s="37"/>
      <c r="AS468" s="37"/>
      <c r="AT468" s="37"/>
      <c r="AU468" s="37"/>
      <c r="AV468" s="37"/>
      <c r="AW468" s="37"/>
      <c r="AX468" s="37"/>
      <c r="AY468" s="37"/>
      <c r="AZ468" s="37"/>
    </row>
    <row r="469" spans="1:52">
      <c r="A469" s="37"/>
      <c r="B469" s="37"/>
      <c r="C469" s="37"/>
      <c r="D469" s="37"/>
      <c r="E469" s="37"/>
      <c r="F469" s="37"/>
      <c r="G469" s="37"/>
      <c r="H469" s="37"/>
      <c r="I469" s="37"/>
      <c r="J469" s="37"/>
      <c r="K469" s="37"/>
      <c r="L469" s="37"/>
      <c r="M469" s="37"/>
      <c r="N469" s="37"/>
      <c r="O469" s="37"/>
      <c r="P469" s="37"/>
      <c r="Q469" s="37"/>
      <c r="R469" s="37"/>
      <c r="S469" s="37"/>
      <c r="T469" s="37"/>
      <c r="U469" s="37"/>
      <c r="V469" s="37"/>
      <c r="W469" s="37"/>
      <c r="X469" s="37"/>
      <c r="Y469" s="37"/>
      <c r="Z469" s="37"/>
      <c r="AA469" s="37"/>
      <c r="AB469" s="37"/>
      <c r="AC469" s="37"/>
      <c r="AD469" s="37"/>
      <c r="AE469" s="37"/>
      <c r="AF469" s="37"/>
      <c r="AG469" s="37"/>
      <c r="AH469" s="37"/>
      <c r="AI469" s="37"/>
      <c r="AJ469" s="37"/>
      <c r="AK469" s="37"/>
      <c r="AL469" s="37"/>
      <c r="AM469" s="37"/>
      <c r="AN469" s="37"/>
      <c r="AO469" s="37"/>
      <c r="AP469" s="37"/>
      <c r="AQ469" s="37"/>
      <c r="AR469" s="37"/>
      <c r="AS469" s="37"/>
      <c r="AT469" s="37"/>
      <c r="AU469" s="37"/>
      <c r="AV469" s="37"/>
      <c r="AW469" s="37"/>
      <c r="AX469" s="37"/>
      <c r="AY469" s="37"/>
      <c r="AZ469" s="37"/>
    </row>
    <row r="470" spans="1:52">
      <c r="A470" s="37"/>
      <c r="B470" s="37"/>
      <c r="C470" s="37"/>
      <c r="D470" s="37"/>
      <c r="E470" s="37"/>
      <c r="F470" s="37"/>
      <c r="G470" s="37"/>
      <c r="H470" s="37"/>
      <c r="I470" s="37"/>
      <c r="J470" s="37"/>
      <c r="K470" s="37"/>
      <c r="L470" s="37"/>
      <c r="M470" s="37"/>
      <c r="N470" s="37"/>
      <c r="O470" s="37"/>
      <c r="P470" s="37"/>
      <c r="Q470" s="37"/>
      <c r="R470" s="37"/>
      <c r="S470" s="37"/>
      <c r="T470" s="37"/>
      <c r="U470" s="37"/>
      <c r="V470" s="37"/>
      <c r="W470" s="37"/>
      <c r="X470" s="37"/>
      <c r="Y470" s="37"/>
      <c r="Z470" s="37"/>
      <c r="AA470" s="37"/>
      <c r="AB470" s="37"/>
      <c r="AC470" s="37"/>
      <c r="AD470" s="37"/>
      <c r="AE470" s="37"/>
      <c r="AF470" s="37"/>
      <c r="AG470" s="37"/>
      <c r="AH470" s="37"/>
      <c r="AI470" s="37"/>
      <c r="AJ470" s="37"/>
      <c r="AK470" s="37"/>
      <c r="AL470" s="37"/>
      <c r="AM470" s="37"/>
      <c r="AN470" s="37"/>
      <c r="AO470" s="37"/>
      <c r="AP470" s="37"/>
      <c r="AQ470" s="37"/>
      <c r="AR470" s="37"/>
      <c r="AS470" s="37"/>
      <c r="AT470" s="37"/>
      <c r="AU470" s="37"/>
      <c r="AV470" s="37"/>
      <c r="AW470" s="37"/>
      <c r="AX470" s="37"/>
      <c r="AY470" s="37"/>
      <c r="AZ470" s="37"/>
    </row>
    <row r="471" spans="1:52">
      <c r="A471" s="37"/>
      <c r="B471" s="37"/>
      <c r="C471" s="37"/>
      <c r="D471" s="37"/>
      <c r="E471" s="37"/>
      <c r="F471" s="37"/>
      <c r="G471" s="37"/>
      <c r="H471" s="37"/>
      <c r="I471" s="37"/>
      <c r="J471" s="37"/>
      <c r="K471" s="37"/>
      <c r="L471" s="37"/>
      <c r="M471" s="37"/>
      <c r="N471" s="37"/>
      <c r="O471" s="37"/>
      <c r="P471" s="37"/>
      <c r="Q471" s="37"/>
      <c r="R471" s="37"/>
      <c r="S471" s="37"/>
      <c r="T471" s="37"/>
      <c r="U471" s="37"/>
      <c r="V471" s="37"/>
      <c r="W471" s="37"/>
      <c r="X471" s="37"/>
      <c r="Y471" s="37"/>
      <c r="Z471" s="37"/>
      <c r="AA471" s="37"/>
      <c r="AB471" s="37"/>
      <c r="AC471" s="37"/>
      <c r="AD471" s="37"/>
      <c r="AE471" s="37"/>
      <c r="AF471" s="37"/>
      <c r="AG471" s="37"/>
      <c r="AH471" s="37"/>
      <c r="AI471" s="37"/>
      <c r="AJ471" s="37"/>
      <c r="AK471" s="37"/>
      <c r="AL471" s="37"/>
      <c r="AM471" s="37"/>
      <c r="AN471" s="37"/>
      <c r="AO471" s="37"/>
      <c r="AP471" s="37"/>
      <c r="AQ471" s="37"/>
      <c r="AR471" s="37"/>
      <c r="AS471" s="37"/>
      <c r="AT471" s="37"/>
      <c r="AU471" s="37"/>
      <c r="AV471" s="37"/>
      <c r="AW471" s="37"/>
      <c r="AX471" s="37"/>
      <c r="AY471" s="37"/>
      <c r="AZ471" s="37"/>
    </row>
    <row r="472" spans="1:52">
      <c r="A472" s="37"/>
      <c r="B472" s="37"/>
      <c r="C472" s="37"/>
      <c r="D472" s="37"/>
      <c r="E472" s="37"/>
      <c r="F472" s="37"/>
      <c r="G472" s="37"/>
      <c r="H472" s="37"/>
      <c r="I472" s="37"/>
      <c r="J472" s="37"/>
      <c r="K472" s="37"/>
      <c r="L472" s="37"/>
      <c r="M472" s="37"/>
      <c r="N472" s="37"/>
      <c r="O472" s="37"/>
      <c r="P472" s="37"/>
      <c r="Q472" s="37"/>
      <c r="R472" s="37"/>
      <c r="S472" s="37"/>
      <c r="T472" s="37"/>
      <c r="U472" s="37"/>
      <c r="V472" s="37"/>
      <c r="W472" s="37"/>
      <c r="X472" s="37"/>
      <c r="Y472" s="37"/>
      <c r="Z472" s="37"/>
      <c r="AA472" s="37"/>
      <c r="AB472" s="37"/>
      <c r="AC472" s="37"/>
      <c r="AD472" s="37"/>
      <c r="AE472" s="37"/>
      <c r="AF472" s="37"/>
      <c r="AG472" s="37"/>
      <c r="AH472" s="37"/>
      <c r="AI472" s="37"/>
      <c r="AJ472" s="37"/>
      <c r="AK472" s="37"/>
      <c r="AL472" s="37"/>
      <c r="AM472" s="37"/>
      <c r="AN472" s="37"/>
      <c r="AO472" s="37"/>
      <c r="AP472" s="37"/>
      <c r="AQ472" s="37"/>
      <c r="AR472" s="37"/>
      <c r="AS472" s="37"/>
      <c r="AT472" s="37"/>
      <c r="AU472" s="37"/>
      <c r="AV472" s="37"/>
      <c r="AW472" s="37"/>
      <c r="AX472" s="37"/>
      <c r="AY472" s="37"/>
      <c r="AZ472" s="37"/>
    </row>
    <row r="473" spans="1:52">
      <c r="A473" s="37"/>
      <c r="B473" s="37"/>
      <c r="C473" s="37"/>
      <c r="D473" s="37"/>
      <c r="E473" s="37"/>
      <c r="F473" s="37"/>
      <c r="G473" s="37"/>
      <c r="H473" s="37"/>
      <c r="I473" s="37"/>
      <c r="J473" s="37"/>
      <c r="K473" s="37"/>
      <c r="L473" s="37"/>
      <c r="M473" s="37"/>
      <c r="N473" s="37"/>
      <c r="O473" s="37"/>
      <c r="P473" s="37"/>
      <c r="Q473" s="37"/>
      <c r="R473" s="37"/>
      <c r="S473" s="37"/>
      <c r="T473" s="37"/>
      <c r="U473" s="37"/>
      <c r="V473" s="37"/>
      <c r="W473" s="37"/>
      <c r="X473" s="37"/>
      <c r="Y473" s="37"/>
      <c r="Z473" s="37"/>
      <c r="AA473" s="37"/>
      <c r="AB473" s="37"/>
      <c r="AC473" s="37"/>
      <c r="AD473" s="37"/>
      <c r="AE473" s="37"/>
      <c r="AF473" s="37"/>
      <c r="AG473" s="37"/>
      <c r="AH473" s="37"/>
      <c r="AI473" s="37"/>
      <c r="AJ473" s="37"/>
      <c r="AK473" s="37"/>
      <c r="AL473" s="37"/>
      <c r="AM473" s="37"/>
      <c r="AN473" s="37"/>
      <c r="AO473" s="37"/>
      <c r="AP473" s="37"/>
      <c r="AQ473" s="37"/>
      <c r="AR473" s="37"/>
      <c r="AS473" s="37"/>
      <c r="AT473" s="37"/>
      <c r="AU473" s="37"/>
      <c r="AV473" s="37"/>
      <c r="AW473" s="37"/>
      <c r="AX473" s="37"/>
      <c r="AY473" s="37"/>
      <c r="AZ473" s="37"/>
    </row>
    <row r="474" spans="1:52">
      <c r="A474" s="37"/>
      <c r="B474" s="37"/>
      <c r="C474" s="37"/>
      <c r="D474" s="37"/>
      <c r="E474" s="37"/>
      <c r="F474" s="37"/>
      <c r="G474" s="37"/>
      <c r="H474" s="37"/>
      <c r="I474" s="37"/>
      <c r="J474" s="37"/>
      <c r="K474" s="37"/>
      <c r="L474" s="37"/>
      <c r="M474" s="37"/>
      <c r="N474" s="37"/>
      <c r="O474" s="37"/>
      <c r="P474" s="37"/>
      <c r="Q474" s="37"/>
      <c r="R474" s="37"/>
      <c r="S474" s="37"/>
      <c r="T474" s="37"/>
      <c r="U474" s="37"/>
      <c r="V474" s="37"/>
      <c r="W474" s="37"/>
      <c r="X474" s="37"/>
      <c r="Y474" s="37"/>
      <c r="Z474" s="37"/>
      <c r="AA474" s="37"/>
      <c r="AB474" s="37"/>
      <c r="AC474" s="37"/>
      <c r="AD474" s="37"/>
      <c r="AE474" s="37"/>
      <c r="AF474" s="37"/>
      <c r="AG474" s="37"/>
      <c r="AH474" s="37"/>
      <c r="AI474" s="37"/>
      <c r="AJ474" s="37"/>
      <c r="AK474" s="37"/>
      <c r="AL474" s="37"/>
      <c r="AM474" s="37"/>
      <c r="AN474" s="37"/>
      <c r="AO474" s="37"/>
      <c r="AP474" s="37"/>
      <c r="AQ474" s="37"/>
      <c r="AR474" s="37"/>
      <c r="AS474" s="37"/>
      <c r="AT474" s="37"/>
      <c r="AU474" s="37"/>
      <c r="AV474" s="37"/>
      <c r="AW474" s="37"/>
      <c r="AX474" s="37"/>
      <c r="AY474" s="37"/>
      <c r="AZ474" s="37"/>
    </row>
    <row r="475" spans="1:52">
      <c r="A475" s="37"/>
      <c r="B475" s="37"/>
      <c r="C475" s="37"/>
      <c r="D475" s="37"/>
      <c r="E475" s="37"/>
      <c r="F475" s="37"/>
      <c r="G475" s="37"/>
      <c r="H475" s="37"/>
      <c r="I475" s="37"/>
      <c r="J475" s="37"/>
      <c r="K475" s="37"/>
      <c r="L475" s="37"/>
      <c r="M475" s="37"/>
      <c r="N475" s="37"/>
      <c r="O475" s="37"/>
      <c r="P475" s="37"/>
      <c r="Q475" s="37"/>
      <c r="R475" s="37"/>
      <c r="S475" s="37"/>
      <c r="T475" s="37"/>
      <c r="U475" s="37"/>
      <c r="V475" s="37"/>
      <c r="W475" s="37"/>
      <c r="X475" s="37"/>
      <c r="Y475" s="37"/>
      <c r="Z475" s="37"/>
      <c r="AA475" s="37"/>
      <c r="AB475" s="37"/>
      <c r="AC475" s="37"/>
      <c r="AD475" s="37"/>
      <c r="AE475" s="37"/>
      <c r="AF475" s="37"/>
      <c r="AG475" s="37"/>
      <c r="AH475" s="37"/>
      <c r="AI475" s="37"/>
      <c r="AJ475" s="37"/>
      <c r="AK475" s="37"/>
      <c r="AL475" s="37"/>
      <c r="AM475" s="37"/>
      <c r="AN475" s="37"/>
      <c r="AO475" s="37"/>
      <c r="AP475" s="37"/>
      <c r="AQ475" s="37"/>
      <c r="AR475" s="37"/>
      <c r="AS475" s="37"/>
      <c r="AT475" s="37"/>
      <c r="AU475" s="37"/>
      <c r="AV475" s="37"/>
      <c r="AW475" s="37"/>
      <c r="AX475" s="37"/>
      <c r="AY475" s="37"/>
      <c r="AZ475" s="37"/>
    </row>
    <row r="476" spans="1:52">
      <c r="A476" s="37"/>
      <c r="B476" s="37"/>
      <c r="C476" s="37"/>
      <c r="D476" s="37"/>
      <c r="E476" s="37"/>
      <c r="F476" s="37"/>
      <c r="G476" s="37"/>
      <c r="H476" s="37"/>
      <c r="I476" s="37"/>
      <c r="J476" s="37"/>
      <c r="K476" s="37"/>
      <c r="L476" s="37"/>
      <c r="M476" s="37"/>
      <c r="N476" s="37"/>
      <c r="O476" s="37"/>
      <c r="P476" s="37"/>
      <c r="Q476" s="37"/>
      <c r="R476" s="37"/>
      <c r="S476" s="37"/>
      <c r="T476" s="37"/>
      <c r="U476" s="37"/>
      <c r="V476" s="37"/>
      <c r="W476" s="37"/>
      <c r="X476" s="37"/>
      <c r="Y476" s="37"/>
      <c r="Z476" s="37"/>
      <c r="AA476" s="37"/>
      <c r="AB476" s="37"/>
      <c r="AC476" s="37"/>
      <c r="AD476" s="37"/>
      <c r="AE476" s="37"/>
      <c r="AF476" s="37"/>
      <c r="AG476" s="37"/>
      <c r="AH476" s="37"/>
      <c r="AI476" s="37"/>
      <c r="AJ476" s="37"/>
      <c r="AK476" s="37"/>
      <c r="AL476" s="37"/>
      <c r="AM476" s="37"/>
      <c r="AN476" s="37"/>
      <c r="AO476" s="37"/>
      <c r="AP476" s="37"/>
      <c r="AQ476" s="37"/>
      <c r="AR476" s="37"/>
      <c r="AS476" s="37"/>
      <c r="AT476" s="37"/>
      <c r="AU476" s="37"/>
      <c r="AV476" s="37"/>
      <c r="AW476" s="37"/>
      <c r="AX476" s="37"/>
      <c r="AY476" s="37"/>
      <c r="AZ476" s="37"/>
    </row>
    <row r="477" spans="1:52">
      <c r="A477" s="37"/>
      <c r="B477" s="37"/>
      <c r="C477" s="37"/>
      <c r="D477" s="37"/>
      <c r="E477" s="37"/>
      <c r="F477" s="37"/>
      <c r="G477" s="37"/>
      <c r="H477" s="37"/>
      <c r="I477" s="37"/>
      <c r="J477" s="37"/>
      <c r="K477" s="37"/>
      <c r="L477" s="37"/>
      <c r="M477" s="37"/>
      <c r="N477" s="37"/>
      <c r="O477" s="37"/>
      <c r="P477" s="37"/>
      <c r="Q477" s="37"/>
      <c r="R477" s="37"/>
      <c r="S477" s="37"/>
      <c r="T477" s="37"/>
      <c r="U477" s="37"/>
      <c r="V477" s="37"/>
      <c r="W477" s="37"/>
      <c r="X477" s="37"/>
      <c r="Y477" s="37"/>
      <c r="Z477" s="37"/>
      <c r="AA477" s="37"/>
      <c r="AB477" s="37"/>
      <c r="AC477" s="37"/>
      <c r="AD477" s="37"/>
      <c r="AE477" s="37"/>
      <c r="AF477" s="37"/>
      <c r="AG477" s="37"/>
      <c r="AH477" s="37"/>
      <c r="AI477" s="37"/>
      <c r="AJ477" s="37"/>
      <c r="AK477" s="37"/>
      <c r="AL477" s="37"/>
      <c r="AM477" s="37"/>
      <c r="AN477" s="37"/>
      <c r="AO477" s="37"/>
      <c r="AP477" s="37"/>
      <c r="AQ477" s="37"/>
      <c r="AR477" s="37"/>
      <c r="AS477" s="37"/>
      <c r="AT477" s="37"/>
      <c r="AU477" s="37"/>
      <c r="AV477" s="37"/>
      <c r="AW477" s="37"/>
      <c r="AX477" s="37"/>
      <c r="AY477" s="37"/>
      <c r="AZ477" s="37"/>
    </row>
    <row r="478" spans="1:52">
      <c r="A478" s="37"/>
      <c r="B478" s="37"/>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c r="AA478" s="37"/>
      <c r="AB478" s="37"/>
      <c r="AC478" s="37"/>
      <c r="AD478" s="37"/>
      <c r="AE478" s="37"/>
      <c r="AF478" s="37"/>
      <c r="AG478" s="37"/>
      <c r="AH478" s="37"/>
      <c r="AI478" s="37"/>
      <c r="AJ478" s="37"/>
      <c r="AK478" s="37"/>
      <c r="AL478" s="37"/>
      <c r="AM478" s="37"/>
      <c r="AN478" s="37"/>
      <c r="AO478" s="37"/>
      <c r="AP478" s="37"/>
      <c r="AQ478" s="37"/>
      <c r="AR478" s="37"/>
      <c r="AS478" s="37"/>
      <c r="AT478" s="37"/>
      <c r="AU478" s="37"/>
      <c r="AV478" s="37"/>
      <c r="AW478" s="37"/>
      <c r="AX478" s="37"/>
      <c r="AY478" s="37"/>
      <c r="AZ478" s="37"/>
    </row>
    <row r="479" spans="1:52">
      <c r="A479" s="37"/>
      <c r="B479" s="37"/>
      <c r="C479" s="37"/>
      <c r="D479" s="37"/>
      <c r="E479" s="37"/>
      <c r="F479" s="37"/>
      <c r="G479" s="37"/>
      <c r="H479" s="37"/>
      <c r="I479" s="37"/>
      <c r="J479" s="37"/>
      <c r="K479" s="37"/>
      <c r="L479" s="37"/>
      <c r="M479" s="37"/>
      <c r="N479" s="37"/>
      <c r="O479" s="37"/>
      <c r="P479" s="37"/>
      <c r="Q479" s="37"/>
      <c r="R479" s="37"/>
      <c r="S479" s="37"/>
      <c r="T479" s="37"/>
      <c r="U479" s="37"/>
      <c r="V479" s="37"/>
      <c r="W479" s="37"/>
      <c r="X479" s="37"/>
      <c r="Y479" s="37"/>
      <c r="Z479" s="37"/>
      <c r="AA479" s="37"/>
      <c r="AB479" s="37"/>
      <c r="AC479" s="37"/>
      <c r="AD479" s="37"/>
      <c r="AE479" s="37"/>
      <c r="AF479" s="37"/>
      <c r="AG479" s="37"/>
      <c r="AH479" s="37"/>
      <c r="AI479" s="37"/>
      <c r="AJ479" s="37"/>
      <c r="AK479" s="37"/>
      <c r="AL479" s="37"/>
      <c r="AM479" s="37"/>
      <c r="AN479" s="37"/>
      <c r="AO479" s="37"/>
      <c r="AP479" s="37"/>
      <c r="AQ479" s="37"/>
      <c r="AR479" s="37"/>
      <c r="AS479" s="37"/>
      <c r="AT479" s="37"/>
      <c r="AU479" s="37"/>
      <c r="AV479" s="37"/>
      <c r="AW479" s="37"/>
      <c r="AX479" s="37"/>
      <c r="AY479" s="37"/>
      <c r="AZ479" s="37"/>
    </row>
    <row r="480" spans="1:52">
      <c r="A480" s="37"/>
      <c r="B480" s="37"/>
      <c r="C480" s="37"/>
      <c r="D480" s="37"/>
      <c r="E480" s="37"/>
      <c r="F480" s="37"/>
      <c r="G480" s="37"/>
      <c r="H480" s="37"/>
      <c r="I480" s="37"/>
      <c r="J480" s="37"/>
      <c r="K480" s="37"/>
      <c r="L480" s="37"/>
      <c r="M480" s="37"/>
      <c r="N480" s="37"/>
      <c r="O480" s="37"/>
      <c r="P480" s="37"/>
      <c r="Q480" s="37"/>
      <c r="R480" s="37"/>
      <c r="S480" s="37"/>
      <c r="T480" s="37"/>
      <c r="U480" s="37"/>
      <c r="V480" s="37"/>
      <c r="W480" s="37"/>
      <c r="X480" s="37"/>
      <c r="Y480" s="37"/>
      <c r="Z480" s="37"/>
      <c r="AA480" s="37"/>
      <c r="AB480" s="37"/>
      <c r="AC480" s="37"/>
      <c r="AD480" s="37"/>
      <c r="AE480" s="37"/>
      <c r="AF480" s="37"/>
      <c r="AG480" s="37"/>
      <c r="AH480" s="37"/>
      <c r="AI480" s="37"/>
      <c r="AJ480" s="37"/>
      <c r="AK480" s="37"/>
      <c r="AL480" s="37"/>
      <c r="AM480" s="37"/>
      <c r="AN480" s="37"/>
      <c r="AO480" s="37"/>
      <c r="AP480" s="37"/>
      <c r="AQ480" s="37"/>
      <c r="AR480" s="37"/>
      <c r="AS480" s="37"/>
      <c r="AT480" s="37"/>
      <c r="AU480" s="37"/>
      <c r="AV480" s="37"/>
      <c r="AW480" s="37"/>
      <c r="AX480" s="37"/>
      <c r="AY480" s="37"/>
      <c r="AZ480" s="37"/>
    </row>
    <row r="481" spans="1:52">
      <c r="A481" s="37"/>
      <c r="B481" s="37"/>
      <c r="C481" s="37"/>
      <c r="D481" s="37"/>
      <c r="E481" s="37"/>
      <c r="F481" s="37"/>
      <c r="G481" s="37"/>
      <c r="H481" s="37"/>
      <c r="I481" s="37"/>
      <c r="J481" s="37"/>
      <c r="K481" s="37"/>
      <c r="L481" s="37"/>
      <c r="M481" s="37"/>
      <c r="N481" s="37"/>
      <c r="O481" s="37"/>
      <c r="P481" s="37"/>
      <c r="Q481" s="37"/>
      <c r="R481" s="37"/>
      <c r="S481" s="37"/>
      <c r="T481" s="37"/>
      <c r="U481" s="37"/>
      <c r="V481" s="37"/>
      <c r="W481" s="37"/>
      <c r="X481" s="37"/>
      <c r="Y481" s="37"/>
      <c r="Z481" s="37"/>
      <c r="AA481" s="37"/>
      <c r="AB481" s="37"/>
      <c r="AC481" s="37"/>
      <c r="AD481" s="37"/>
      <c r="AE481" s="37"/>
      <c r="AF481" s="37"/>
      <c r="AG481" s="37"/>
      <c r="AH481" s="37"/>
      <c r="AI481" s="37"/>
      <c r="AJ481" s="37"/>
      <c r="AK481" s="37"/>
      <c r="AL481" s="37"/>
      <c r="AM481" s="37"/>
      <c r="AN481" s="37"/>
      <c r="AO481" s="37"/>
      <c r="AP481" s="37"/>
      <c r="AQ481" s="37"/>
      <c r="AR481" s="37"/>
      <c r="AS481" s="37"/>
      <c r="AT481" s="37"/>
      <c r="AU481" s="37"/>
      <c r="AV481" s="37"/>
      <c r="AW481" s="37"/>
      <c r="AX481" s="37"/>
      <c r="AY481" s="37"/>
      <c r="AZ481" s="37"/>
    </row>
    <row r="482" spans="1:52">
      <c r="A482" s="37"/>
      <c r="B482" s="37"/>
      <c r="C482" s="37"/>
      <c r="D482" s="37"/>
      <c r="E482" s="37"/>
      <c r="F482" s="37"/>
      <c r="G482" s="37"/>
      <c r="H482" s="37"/>
      <c r="I482" s="37"/>
      <c r="J482" s="37"/>
      <c r="K482" s="37"/>
      <c r="L482" s="37"/>
      <c r="M482" s="37"/>
      <c r="N482" s="37"/>
      <c r="O482" s="37"/>
      <c r="P482" s="37"/>
      <c r="Q482" s="37"/>
      <c r="R482" s="37"/>
      <c r="S482" s="37"/>
      <c r="T482" s="37"/>
      <c r="U482" s="37"/>
      <c r="V482" s="37"/>
      <c r="W482" s="37"/>
      <c r="X482" s="37"/>
      <c r="Y482" s="37"/>
      <c r="Z482" s="37"/>
      <c r="AA482" s="37"/>
      <c r="AB482" s="37"/>
      <c r="AC482" s="37"/>
      <c r="AD482" s="37"/>
      <c r="AE482" s="37"/>
      <c r="AF482" s="37"/>
      <c r="AG482" s="37"/>
      <c r="AH482" s="37"/>
      <c r="AI482" s="37"/>
      <c r="AJ482" s="37"/>
      <c r="AK482" s="37"/>
      <c r="AL482" s="37"/>
      <c r="AM482" s="37"/>
      <c r="AN482" s="37"/>
      <c r="AO482" s="37"/>
      <c r="AP482" s="37"/>
      <c r="AQ482" s="37"/>
      <c r="AR482" s="37"/>
      <c r="AS482" s="37"/>
      <c r="AT482" s="37"/>
      <c r="AU482" s="37"/>
      <c r="AV482" s="37"/>
      <c r="AW482" s="37"/>
      <c r="AX482" s="37"/>
      <c r="AY482" s="37"/>
      <c r="AZ482" s="37"/>
    </row>
    <row r="483" spans="1:52">
      <c r="A483" s="37"/>
      <c r="B483" s="37"/>
      <c r="C483" s="37"/>
      <c r="D483" s="37"/>
      <c r="E483" s="37"/>
      <c r="F483" s="37"/>
      <c r="G483" s="37"/>
      <c r="H483" s="37"/>
      <c r="I483" s="37"/>
      <c r="J483" s="37"/>
      <c r="K483" s="37"/>
      <c r="L483" s="37"/>
      <c r="M483" s="37"/>
      <c r="N483" s="37"/>
      <c r="O483" s="37"/>
      <c r="P483" s="37"/>
      <c r="Q483" s="37"/>
      <c r="R483" s="37"/>
      <c r="S483" s="37"/>
      <c r="T483" s="37"/>
      <c r="U483" s="37"/>
      <c r="V483" s="37"/>
      <c r="W483" s="37"/>
      <c r="X483" s="37"/>
      <c r="Y483" s="37"/>
      <c r="Z483" s="37"/>
      <c r="AA483" s="37"/>
      <c r="AB483" s="37"/>
      <c r="AC483" s="37"/>
      <c r="AD483" s="37"/>
      <c r="AE483" s="37"/>
      <c r="AF483" s="37"/>
      <c r="AG483" s="37"/>
      <c r="AH483" s="37"/>
      <c r="AI483" s="37"/>
      <c r="AJ483" s="37"/>
      <c r="AK483" s="37"/>
      <c r="AL483" s="37"/>
      <c r="AM483" s="37"/>
      <c r="AN483" s="37"/>
      <c r="AO483" s="37"/>
      <c r="AP483" s="37"/>
      <c r="AQ483" s="37"/>
      <c r="AR483" s="37"/>
      <c r="AS483" s="37"/>
      <c r="AT483" s="37"/>
      <c r="AU483" s="37"/>
      <c r="AV483" s="37"/>
      <c r="AW483" s="37"/>
      <c r="AX483" s="37"/>
      <c r="AY483" s="37"/>
      <c r="AZ483" s="37"/>
    </row>
    <row r="484" spans="1:52">
      <c r="A484" s="37"/>
      <c r="B484" s="37"/>
      <c r="C484" s="37"/>
      <c r="D484" s="37"/>
      <c r="E484" s="37"/>
      <c r="F484" s="37"/>
      <c r="G484" s="37"/>
      <c r="H484" s="37"/>
      <c r="I484" s="37"/>
      <c r="J484" s="37"/>
      <c r="K484" s="37"/>
      <c r="L484" s="37"/>
      <c r="M484" s="37"/>
      <c r="N484" s="37"/>
      <c r="O484" s="37"/>
      <c r="P484" s="37"/>
      <c r="Q484" s="37"/>
      <c r="R484" s="37"/>
      <c r="S484" s="37"/>
      <c r="T484" s="37"/>
      <c r="U484" s="37"/>
      <c r="V484" s="37"/>
      <c r="W484" s="37"/>
      <c r="X484" s="37"/>
      <c r="Y484" s="37"/>
      <c r="Z484" s="37"/>
      <c r="AA484" s="37"/>
      <c r="AB484" s="37"/>
      <c r="AC484" s="37"/>
      <c r="AD484" s="37"/>
      <c r="AE484" s="37"/>
      <c r="AF484" s="37"/>
      <c r="AG484" s="37"/>
      <c r="AH484" s="37"/>
      <c r="AI484" s="37"/>
      <c r="AJ484" s="37"/>
      <c r="AK484" s="37"/>
      <c r="AL484" s="37"/>
      <c r="AM484" s="37"/>
      <c r="AN484" s="37"/>
      <c r="AO484" s="37"/>
      <c r="AP484" s="37"/>
      <c r="AQ484" s="37"/>
      <c r="AR484" s="37"/>
      <c r="AS484" s="37"/>
      <c r="AT484" s="37"/>
      <c r="AU484" s="37"/>
      <c r="AV484" s="37"/>
      <c r="AW484" s="37"/>
      <c r="AX484" s="37"/>
      <c r="AY484" s="37"/>
      <c r="AZ484" s="37"/>
    </row>
    <row r="485" spans="1:52">
      <c r="A485" s="37"/>
      <c r="B485" s="37"/>
      <c r="C485" s="37"/>
      <c r="D485" s="37"/>
      <c r="E485" s="37"/>
      <c r="F485" s="37"/>
      <c r="G485" s="37"/>
      <c r="H485" s="37"/>
      <c r="I485" s="37"/>
      <c r="J485" s="37"/>
      <c r="K485" s="37"/>
      <c r="L485" s="37"/>
      <c r="M485" s="37"/>
      <c r="N485" s="37"/>
      <c r="O485" s="37"/>
      <c r="P485" s="37"/>
      <c r="Q485" s="37"/>
      <c r="R485" s="37"/>
      <c r="S485" s="37"/>
      <c r="T485" s="37"/>
      <c r="U485" s="37"/>
      <c r="V485" s="37"/>
      <c r="W485" s="37"/>
      <c r="X485" s="37"/>
      <c r="Y485" s="37"/>
      <c r="Z485" s="37"/>
      <c r="AA485" s="37"/>
      <c r="AB485" s="37"/>
      <c r="AC485" s="37"/>
      <c r="AD485" s="37"/>
      <c r="AE485" s="37"/>
      <c r="AF485" s="37"/>
      <c r="AG485" s="37"/>
      <c r="AH485" s="37"/>
      <c r="AI485" s="37"/>
      <c r="AJ485" s="37"/>
      <c r="AK485" s="37"/>
      <c r="AL485" s="37"/>
      <c r="AM485" s="37"/>
      <c r="AN485" s="37"/>
      <c r="AO485" s="37"/>
      <c r="AP485" s="37"/>
      <c r="AQ485" s="37"/>
      <c r="AR485" s="37"/>
      <c r="AS485" s="37"/>
      <c r="AT485" s="37"/>
      <c r="AU485" s="37"/>
      <c r="AV485" s="37"/>
      <c r="AW485" s="37"/>
      <c r="AX485" s="37"/>
      <c r="AY485" s="37"/>
      <c r="AZ485" s="37"/>
    </row>
    <row r="486" spans="1:52">
      <c r="A486" s="37"/>
      <c r="B486" s="37"/>
      <c r="C486" s="37"/>
      <c r="D486" s="37"/>
      <c r="E486" s="37"/>
      <c r="F486" s="37"/>
      <c r="G486" s="37"/>
      <c r="H486" s="37"/>
      <c r="I486" s="37"/>
      <c r="J486" s="37"/>
      <c r="K486" s="37"/>
      <c r="L486" s="37"/>
      <c r="M486" s="37"/>
      <c r="N486" s="37"/>
      <c r="O486" s="37"/>
      <c r="P486" s="37"/>
      <c r="Q486" s="37"/>
      <c r="R486" s="37"/>
      <c r="S486" s="37"/>
      <c r="T486" s="37"/>
      <c r="U486" s="37"/>
      <c r="V486" s="37"/>
      <c r="W486" s="37"/>
      <c r="X486" s="37"/>
      <c r="Y486" s="37"/>
      <c r="Z486" s="37"/>
      <c r="AA486" s="37"/>
      <c r="AB486" s="37"/>
      <c r="AC486" s="37"/>
      <c r="AD486" s="37"/>
      <c r="AE486" s="37"/>
      <c r="AF486" s="37"/>
      <c r="AG486" s="37"/>
      <c r="AH486" s="37"/>
      <c r="AI486" s="37"/>
      <c r="AJ486" s="37"/>
      <c r="AK486" s="37"/>
      <c r="AL486" s="37"/>
      <c r="AM486" s="37"/>
      <c r="AN486" s="37"/>
      <c r="AO486" s="37"/>
      <c r="AP486" s="37"/>
      <c r="AQ486" s="37"/>
      <c r="AR486" s="37"/>
      <c r="AS486" s="37"/>
      <c r="AT486" s="37"/>
      <c r="AU486" s="37"/>
      <c r="AV486" s="37"/>
      <c r="AW486" s="37"/>
      <c r="AX486" s="37"/>
      <c r="AY486" s="37"/>
      <c r="AZ486" s="37"/>
    </row>
    <row r="487" spans="1:52">
      <c r="A487" s="37"/>
      <c r="B487" s="37"/>
      <c r="C487" s="37"/>
      <c r="D487" s="37"/>
      <c r="E487" s="37"/>
      <c r="F487" s="37"/>
      <c r="G487" s="37"/>
      <c r="H487" s="37"/>
      <c r="I487" s="37"/>
      <c r="J487" s="37"/>
      <c r="K487" s="37"/>
      <c r="L487" s="37"/>
      <c r="M487" s="37"/>
      <c r="N487" s="37"/>
      <c r="O487" s="37"/>
      <c r="P487" s="37"/>
      <c r="Q487" s="37"/>
      <c r="R487" s="37"/>
      <c r="S487" s="37"/>
      <c r="T487" s="37"/>
      <c r="U487" s="37"/>
      <c r="V487" s="37"/>
      <c r="W487" s="37"/>
      <c r="X487" s="37"/>
      <c r="Y487" s="37"/>
      <c r="Z487" s="37"/>
      <c r="AA487" s="37"/>
      <c r="AB487" s="37"/>
      <c r="AC487" s="37"/>
      <c r="AD487" s="37"/>
      <c r="AE487" s="37"/>
      <c r="AF487" s="37"/>
      <c r="AG487" s="37"/>
      <c r="AH487" s="37"/>
      <c r="AI487" s="37"/>
      <c r="AJ487" s="37"/>
      <c r="AK487" s="37"/>
      <c r="AL487" s="37"/>
      <c r="AM487" s="37"/>
      <c r="AN487" s="37"/>
      <c r="AO487" s="37"/>
      <c r="AP487" s="37"/>
      <c r="AQ487" s="37"/>
      <c r="AR487" s="37"/>
      <c r="AS487" s="37"/>
      <c r="AT487" s="37"/>
      <c r="AU487" s="37"/>
      <c r="AV487" s="37"/>
      <c r="AW487" s="37"/>
      <c r="AX487" s="37"/>
      <c r="AY487" s="37"/>
      <c r="AZ487" s="37"/>
    </row>
    <row r="488" spans="1:52">
      <c r="A488" s="37"/>
      <c r="B488" s="37"/>
      <c r="C488" s="37"/>
      <c r="D488" s="37"/>
      <c r="E488" s="37"/>
      <c r="F488" s="37"/>
      <c r="G488" s="37"/>
      <c r="H488" s="37"/>
      <c r="I488" s="37"/>
      <c r="J488" s="37"/>
      <c r="K488" s="37"/>
      <c r="L488" s="37"/>
      <c r="M488" s="37"/>
      <c r="N488" s="37"/>
      <c r="O488" s="37"/>
      <c r="P488" s="37"/>
      <c r="Q488" s="37"/>
      <c r="R488" s="37"/>
      <c r="S488" s="37"/>
      <c r="T488" s="37"/>
      <c r="U488" s="37"/>
      <c r="V488" s="37"/>
      <c r="W488" s="37"/>
      <c r="X488" s="37"/>
      <c r="Y488" s="37"/>
      <c r="Z488" s="37"/>
      <c r="AA488" s="37"/>
      <c r="AB488" s="37"/>
      <c r="AC488" s="37"/>
      <c r="AD488" s="37"/>
      <c r="AE488" s="37"/>
      <c r="AF488" s="37"/>
      <c r="AG488" s="37"/>
      <c r="AH488" s="37"/>
      <c r="AI488" s="37"/>
      <c r="AJ488" s="37"/>
      <c r="AK488" s="37"/>
      <c r="AL488" s="37"/>
      <c r="AM488" s="37"/>
      <c r="AN488" s="37"/>
      <c r="AO488" s="37"/>
      <c r="AP488" s="37"/>
      <c r="AQ488" s="37"/>
      <c r="AR488" s="37"/>
      <c r="AS488" s="37"/>
      <c r="AT488" s="37"/>
      <c r="AU488" s="37"/>
      <c r="AV488" s="37"/>
      <c r="AW488" s="37"/>
      <c r="AX488" s="37"/>
      <c r="AY488" s="37"/>
      <c r="AZ488" s="37"/>
    </row>
    <row r="489" spans="1:52">
      <c r="A489" s="37"/>
      <c r="B489" s="37"/>
      <c r="C489" s="37"/>
      <c r="D489" s="37"/>
      <c r="E489" s="37"/>
      <c r="F489" s="37"/>
      <c r="G489" s="37"/>
      <c r="H489" s="37"/>
      <c r="I489" s="37"/>
      <c r="J489" s="37"/>
      <c r="K489" s="37"/>
      <c r="L489" s="37"/>
      <c r="M489" s="37"/>
      <c r="N489" s="37"/>
      <c r="O489" s="37"/>
      <c r="P489" s="37"/>
      <c r="Q489" s="37"/>
      <c r="R489" s="37"/>
      <c r="S489" s="37"/>
      <c r="T489" s="37"/>
      <c r="U489" s="37"/>
      <c r="V489" s="37"/>
      <c r="W489" s="37"/>
      <c r="X489" s="37"/>
      <c r="Y489" s="37"/>
      <c r="Z489" s="37"/>
      <c r="AA489" s="37"/>
      <c r="AB489" s="37"/>
      <c r="AC489" s="37"/>
      <c r="AD489" s="37"/>
      <c r="AE489" s="37"/>
      <c r="AF489" s="37"/>
      <c r="AG489" s="37"/>
      <c r="AH489" s="37"/>
      <c r="AI489" s="37"/>
      <c r="AJ489" s="37"/>
      <c r="AK489" s="37"/>
      <c r="AL489" s="37"/>
      <c r="AM489" s="37"/>
      <c r="AN489" s="37"/>
      <c r="AO489" s="37"/>
      <c r="AP489" s="37"/>
      <c r="AQ489" s="37"/>
      <c r="AR489" s="37"/>
      <c r="AS489" s="37"/>
      <c r="AT489" s="37"/>
      <c r="AU489" s="37"/>
      <c r="AV489" s="37"/>
      <c r="AW489" s="37"/>
      <c r="AX489" s="37"/>
      <c r="AY489" s="37"/>
      <c r="AZ489" s="37"/>
    </row>
    <row r="490" spans="1:52">
      <c r="A490" s="37"/>
      <c r="B490" s="37"/>
      <c r="C490" s="37"/>
      <c r="D490" s="37"/>
      <c r="E490" s="37"/>
      <c r="F490" s="37"/>
      <c r="G490" s="37"/>
      <c r="H490" s="37"/>
      <c r="I490" s="37"/>
      <c r="J490" s="37"/>
      <c r="K490" s="37"/>
      <c r="L490" s="37"/>
      <c r="M490" s="37"/>
      <c r="N490" s="37"/>
      <c r="O490" s="37"/>
      <c r="P490" s="37"/>
      <c r="Q490" s="37"/>
      <c r="R490" s="37"/>
      <c r="S490" s="37"/>
      <c r="T490" s="37"/>
      <c r="U490" s="37"/>
      <c r="V490" s="37"/>
      <c r="W490" s="37"/>
      <c r="X490" s="37"/>
      <c r="Y490" s="37"/>
      <c r="Z490" s="37"/>
      <c r="AA490" s="37"/>
      <c r="AB490" s="37"/>
      <c r="AC490" s="37"/>
      <c r="AD490" s="37"/>
      <c r="AE490" s="37"/>
      <c r="AF490" s="37"/>
      <c r="AG490" s="37"/>
      <c r="AH490" s="37"/>
      <c r="AI490" s="37"/>
      <c r="AJ490" s="37"/>
      <c r="AK490" s="37"/>
      <c r="AL490" s="37"/>
      <c r="AM490" s="37"/>
      <c r="AN490" s="37"/>
      <c r="AO490" s="37"/>
      <c r="AP490" s="37"/>
      <c r="AQ490" s="37"/>
      <c r="AR490" s="37"/>
      <c r="AS490" s="37"/>
      <c r="AT490" s="37"/>
      <c r="AU490" s="37"/>
      <c r="AV490" s="37"/>
      <c r="AW490" s="37"/>
      <c r="AX490" s="37"/>
      <c r="AY490" s="37"/>
      <c r="AZ490" s="37"/>
    </row>
    <row r="491" spans="1:52">
      <c r="A491" s="37"/>
      <c r="B491" s="37"/>
      <c r="C491" s="37"/>
      <c r="D491" s="37"/>
      <c r="E491" s="37"/>
      <c r="F491" s="37"/>
      <c r="G491" s="37"/>
      <c r="H491" s="37"/>
      <c r="I491" s="37"/>
      <c r="J491" s="37"/>
      <c r="K491" s="37"/>
      <c r="L491" s="37"/>
      <c r="M491" s="37"/>
      <c r="N491" s="37"/>
      <c r="O491" s="37"/>
      <c r="P491" s="37"/>
      <c r="Q491" s="37"/>
      <c r="R491" s="37"/>
      <c r="S491" s="37"/>
      <c r="T491" s="37"/>
      <c r="U491" s="37"/>
      <c r="V491" s="37"/>
      <c r="W491" s="37"/>
      <c r="X491" s="37"/>
      <c r="Y491" s="37"/>
      <c r="Z491" s="37"/>
      <c r="AA491" s="37"/>
      <c r="AB491" s="37"/>
      <c r="AC491" s="37"/>
      <c r="AD491" s="37"/>
      <c r="AE491" s="37"/>
      <c r="AF491" s="37"/>
      <c r="AG491" s="37"/>
      <c r="AH491" s="37"/>
      <c r="AI491" s="37"/>
      <c r="AJ491" s="37"/>
      <c r="AK491" s="37"/>
      <c r="AL491" s="37"/>
      <c r="AM491" s="37"/>
      <c r="AN491" s="37"/>
      <c r="AO491" s="37"/>
      <c r="AP491" s="37"/>
      <c r="AQ491" s="37"/>
      <c r="AR491" s="37"/>
      <c r="AS491" s="37"/>
      <c r="AT491" s="37"/>
      <c r="AU491" s="37"/>
      <c r="AV491" s="37"/>
      <c r="AW491" s="37"/>
      <c r="AX491" s="37"/>
      <c r="AY491" s="37"/>
      <c r="AZ491" s="37"/>
    </row>
    <row r="492" spans="1:52">
      <c r="A492" s="37"/>
      <c r="B492" s="37"/>
      <c r="C492" s="37"/>
      <c r="D492" s="37"/>
      <c r="E492" s="37"/>
      <c r="F492" s="37"/>
      <c r="G492" s="37"/>
      <c r="H492" s="37"/>
      <c r="I492" s="37"/>
      <c r="J492" s="37"/>
      <c r="K492" s="37"/>
      <c r="L492" s="37"/>
      <c r="M492" s="37"/>
      <c r="N492" s="37"/>
      <c r="O492" s="37"/>
      <c r="P492" s="37"/>
      <c r="Q492" s="37"/>
      <c r="R492" s="37"/>
      <c r="S492" s="37"/>
      <c r="T492" s="37"/>
      <c r="U492" s="37"/>
      <c r="V492" s="37"/>
      <c r="W492" s="37"/>
      <c r="X492" s="37"/>
      <c r="Y492" s="37"/>
      <c r="Z492" s="37"/>
      <c r="AA492" s="37"/>
      <c r="AB492" s="37"/>
      <c r="AC492" s="37"/>
      <c r="AD492" s="37"/>
      <c r="AE492" s="37"/>
      <c r="AF492" s="37"/>
      <c r="AG492" s="37"/>
      <c r="AH492" s="37"/>
      <c r="AI492" s="37"/>
      <c r="AJ492" s="37"/>
      <c r="AK492" s="37"/>
      <c r="AL492" s="37"/>
      <c r="AM492" s="37"/>
      <c r="AN492" s="37"/>
      <c r="AO492" s="37"/>
      <c r="AP492" s="37"/>
      <c r="AQ492" s="37"/>
      <c r="AR492" s="37"/>
      <c r="AS492" s="37"/>
      <c r="AT492" s="37"/>
      <c r="AU492" s="37"/>
      <c r="AV492" s="37"/>
      <c r="AW492" s="37"/>
      <c r="AX492" s="37"/>
      <c r="AY492" s="37"/>
      <c r="AZ492" s="37"/>
    </row>
    <row r="493" spans="1:52">
      <c r="A493" s="37"/>
      <c r="B493" s="37"/>
      <c r="C493" s="37"/>
      <c r="D493" s="37"/>
      <c r="E493" s="37"/>
      <c r="F493" s="37"/>
      <c r="G493" s="37"/>
      <c r="H493" s="37"/>
      <c r="I493" s="37"/>
      <c r="J493" s="37"/>
      <c r="K493" s="37"/>
      <c r="L493" s="37"/>
      <c r="M493" s="37"/>
      <c r="N493" s="37"/>
      <c r="O493" s="37"/>
      <c r="P493" s="37"/>
      <c r="Q493" s="37"/>
      <c r="R493" s="37"/>
      <c r="S493" s="37"/>
      <c r="T493" s="37"/>
      <c r="U493" s="37"/>
      <c r="V493" s="37"/>
      <c r="W493" s="37"/>
      <c r="X493" s="37"/>
      <c r="Y493" s="37"/>
      <c r="Z493" s="37"/>
      <c r="AA493" s="37"/>
      <c r="AB493" s="37"/>
      <c r="AC493" s="37"/>
      <c r="AD493" s="37"/>
      <c r="AE493" s="37"/>
      <c r="AF493" s="37"/>
      <c r="AG493" s="37"/>
      <c r="AH493" s="37"/>
      <c r="AI493" s="37"/>
      <c r="AJ493" s="37"/>
      <c r="AK493" s="37"/>
      <c r="AL493" s="37"/>
      <c r="AM493" s="37"/>
      <c r="AN493" s="37"/>
      <c r="AO493" s="37"/>
      <c r="AP493" s="37"/>
      <c r="AQ493" s="37"/>
      <c r="AR493" s="37"/>
      <c r="AS493" s="37"/>
      <c r="AT493" s="37"/>
      <c r="AU493" s="37"/>
      <c r="AV493" s="37"/>
      <c r="AW493" s="37"/>
      <c r="AX493" s="37"/>
      <c r="AY493" s="37"/>
      <c r="AZ493" s="37"/>
    </row>
    <row r="494" spans="1:52">
      <c r="A494" s="37"/>
      <c r="B494" s="37"/>
      <c r="C494" s="37"/>
      <c r="D494" s="37"/>
      <c r="E494" s="37"/>
      <c r="F494" s="37"/>
      <c r="G494" s="37"/>
      <c r="H494" s="37"/>
      <c r="I494" s="37"/>
      <c r="J494" s="37"/>
      <c r="K494" s="37"/>
      <c r="L494" s="37"/>
      <c r="M494" s="37"/>
      <c r="N494" s="37"/>
      <c r="O494" s="37"/>
      <c r="P494" s="37"/>
      <c r="Q494" s="37"/>
      <c r="R494" s="37"/>
      <c r="S494" s="37"/>
      <c r="T494" s="37"/>
      <c r="U494" s="37"/>
      <c r="V494" s="37"/>
      <c r="W494" s="37"/>
      <c r="X494" s="37"/>
      <c r="Y494" s="37"/>
      <c r="Z494" s="37"/>
      <c r="AA494" s="37"/>
      <c r="AB494" s="37"/>
      <c r="AC494" s="37"/>
      <c r="AD494" s="37"/>
      <c r="AE494" s="37"/>
      <c r="AF494" s="37"/>
      <c r="AG494" s="37"/>
      <c r="AH494" s="37"/>
      <c r="AI494" s="37"/>
      <c r="AJ494" s="37"/>
      <c r="AK494" s="37"/>
      <c r="AL494" s="37"/>
      <c r="AM494" s="37"/>
      <c r="AN494" s="37"/>
      <c r="AO494" s="37"/>
      <c r="AP494" s="37"/>
      <c r="AQ494" s="37"/>
      <c r="AR494" s="37"/>
      <c r="AS494" s="37"/>
      <c r="AT494" s="37"/>
      <c r="AU494" s="37"/>
      <c r="AV494" s="37"/>
      <c r="AW494" s="37"/>
      <c r="AX494" s="37"/>
      <c r="AY494" s="37"/>
      <c r="AZ494" s="37"/>
    </row>
    <row r="495" spans="1:52">
      <c r="A495" s="37"/>
      <c r="B495" s="37"/>
      <c r="C495" s="37"/>
      <c r="D495" s="37"/>
      <c r="E495" s="37"/>
      <c r="F495" s="37"/>
      <c r="G495" s="37"/>
      <c r="H495" s="37"/>
      <c r="I495" s="37"/>
      <c r="J495" s="37"/>
      <c r="K495" s="37"/>
      <c r="L495" s="37"/>
      <c r="M495" s="37"/>
      <c r="N495" s="37"/>
      <c r="O495" s="37"/>
      <c r="P495" s="37"/>
      <c r="Q495" s="37"/>
      <c r="R495" s="37"/>
      <c r="S495" s="37"/>
      <c r="T495" s="37"/>
      <c r="U495" s="37"/>
      <c r="V495" s="37"/>
      <c r="W495" s="37"/>
      <c r="X495" s="37"/>
      <c r="Y495" s="37"/>
      <c r="Z495" s="37"/>
      <c r="AA495" s="37"/>
      <c r="AB495" s="37"/>
      <c r="AC495" s="37"/>
      <c r="AD495" s="37"/>
      <c r="AE495" s="37"/>
      <c r="AF495" s="37"/>
      <c r="AG495" s="37"/>
      <c r="AH495" s="37"/>
      <c r="AI495" s="37"/>
      <c r="AJ495" s="37"/>
      <c r="AK495" s="37"/>
      <c r="AL495" s="37"/>
      <c r="AM495" s="37"/>
      <c r="AN495" s="37"/>
      <c r="AO495" s="37"/>
      <c r="AP495" s="37"/>
      <c r="AQ495" s="37"/>
      <c r="AR495" s="37"/>
      <c r="AS495" s="37"/>
      <c r="AT495" s="37"/>
      <c r="AU495" s="37"/>
      <c r="AV495" s="37"/>
      <c r="AW495" s="37"/>
      <c r="AX495" s="37"/>
      <c r="AY495" s="37"/>
      <c r="AZ495" s="37"/>
    </row>
    <row r="496" spans="1:52">
      <c r="A496" s="37"/>
      <c r="B496" s="37"/>
      <c r="C496" s="37"/>
      <c r="D496" s="37"/>
      <c r="E496" s="37"/>
      <c r="F496" s="37"/>
      <c r="G496" s="37"/>
      <c r="H496" s="37"/>
      <c r="I496" s="37"/>
      <c r="J496" s="37"/>
      <c r="K496" s="37"/>
      <c r="L496" s="37"/>
      <c r="M496" s="37"/>
      <c r="N496" s="37"/>
      <c r="O496" s="37"/>
      <c r="P496" s="37"/>
      <c r="Q496" s="37"/>
      <c r="R496" s="37"/>
      <c r="S496" s="37"/>
      <c r="T496" s="37"/>
      <c r="U496" s="37"/>
      <c r="V496" s="37"/>
      <c r="W496" s="37"/>
      <c r="X496" s="37"/>
      <c r="Y496" s="37"/>
      <c r="Z496" s="37"/>
      <c r="AA496" s="37"/>
      <c r="AB496" s="37"/>
      <c r="AC496" s="37"/>
      <c r="AD496" s="37"/>
      <c r="AE496" s="37"/>
      <c r="AF496" s="37"/>
      <c r="AG496" s="37"/>
      <c r="AH496" s="37"/>
      <c r="AI496" s="37"/>
      <c r="AJ496" s="37"/>
      <c r="AK496" s="37"/>
      <c r="AL496" s="37"/>
      <c r="AM496" s="37"/>
      <c r="AN496" s="37"/>
      <c r="AO496" s="37"/>
      <c r="AP496" s="37"/>
      <c r="AQ496" s="37"/>
      <c r="AR496" s="37"/>
      <c r="AS496" s="37"/>
      <c r="AT496" s="37"/>
      <c r="AU496" s="37"/>
      <c r="AV496" s="37"/>
      <c r="AW496" s="37"/>
      <c r="AX496" s="37"/>
      <c r="AY496" s="37"/>
      <c r="AZ496" s="37"/>
    </row>
    <row r="497" spans="1:52">
      <c r="A497" s="37"/>
      <c r="B497" s="37"/>
      <c r="C497" s="37"/>
      <c r="D497" s="37"/>
      <c r="E497" s="37"/>
      <c r="F497" s="37"/>
      <c r="G497" s="37"/>
      <c r="H497" s="37"/>
      <c r="I497" s="37"/>
      <c r="J497" s="37"/>
      <c r="K497" s="37"/>
      <c r="L497" s="37"/>
      <c r="M497" s="37"/>
      <c r="N497" s="37"/>
      <c r="O497" s="37"/>
      <c r="P497" s="37"/>
      <c r="Q497" s="37"/>
      <c r="R497" s="37"/>
      <c r="S497" s="37"/>
      <c r="T497" s="37"/>
      <c r="U497" s="37"/>
      <c r="V497" s="37"/>
      <c r="W497" s="37"/>
      <c r="X497" s="37"/>
      <c r="Y497" s="37"/>
      <c r="Z497" s="37"/>
      <c r="AA497" s="37"/>
      <c r="AB497" s="37"/>
      <c r="AC497" s="37"/>
      <c r="AD497" s="37"/>
      <c r="AE497" s="37"/>
      <c r="AF497" s="37"/>
      <c r="AG497" s="37"/>
      <c r="AH497" s="37"/>
      <c r="AI497" s="37"/>
      <c r="AJ497" s="37"/>
      <c r="AK497" s="37"/>
      <c r="AL497" s="37"/>
      <c r="AM497" s="37"/>
      <c r="AN497" s="37"/>
      <c r="AO497" s="37"/>
      <c r="AP497" s="37"/>
      <c r="AQ497" s="37"/>
      <c r="AR497" s="37"/>
      <c r="AS497" s="37"/>
      <c r="AT497" s="37"/>
      <c r="AU497" s="37"/>
      <c r="AV497" s="37"/>
      <c r="AW497" s="37"/>
      <c r="AX497" s="37"/>
      <c r="AY497" s="37"/>
      <c r="AZ497" s="37"/>
    </row>
    <row r="498" spans="1:52">
      <c r="A498" s="37"/>
      <c r="B498" s="37"/>
      <c r="C498" s="37"/>
      <c r="D498" s="37"/>
      <c r="E498" s="37"/>
      <c r="F498" s="37"/>
      <c r="G498" s="37"/>
      <c r="H498" s="37"/>
      <c r="I498" s="37"/>
      <c r="J498" s="37"/>
      <c r="K498" s="37"/>
      <c r="L498" s="37"/>
      <c r="M498" s="37"/>
      <c r="N498" s="37"/>
      <c r="O498" s="37"/>
      <c r="P498" s="37"/>
      <c r="Q498" s="37"/>
      <c r="R498" s="37"/>
      <c r="S498" s="37"/>
      <c r="T498" s="37"/>
      <c r="U498" s="37"/>
      <c r="V498" s="37"/>
      <c r="W498" s="37"/>
      <c r="X498" s="37"/>
      <c r="Y498" s="37"/>
      <c r="Z498" s="37"/>
      <c r="AA498" s="37"/>
      <c r="AB498" s="37"/>
      <c r="AC498" s="37"/>
      <c r="AD498" s="37"/>
      <c r="AE498" s="37"/>
      <c r="AF498" s="37"/>
      <c r="AG498" s="37"/>
      <c r="AH498" s="37"/>
      <c r="AI498" s="37"/>
      <c r="AJ498" s="37"/>
      <c r="AK498" s="37"/>
      <c r="AL498" s="37"/>
      <c r="AM498" s="37"/>
      <c r="AN498" s="37"/>
      <c r="AO498" s="37"/>
      <c r="AP498" s="37"/>
      <c r="AQ498" s="37"/>
      <c r="AR498" s="37"/>
      <c r="AS498" s="37"/>
      <c r="AT498" s="37"/>
      <c r="AU498" s="37"/>
      <c r="AV498" s="37"/>
      <c r="AW498" s="37"/>
      <c r="AX498" s="37"/>
      <c r="AY498" s="37"/>
      <c r="AZ498" s="37"/>
    </row>
    <row r="499" spans="1:52">
      <c r="A499" s="37"/>
      <c r="B499" s="37"/>
      <c r="C499" s="37"/>
      <c r="D499" s="37"/>
      <c r="E499" s="37"/>
      <c r="F499" s="37"/>
      <c r="G499" s="37"/>
      <c r="H499" s="37"/>
      <c r="I499" s="37"/>
      <c r="J499" s="37"/>
      <c r="K499" s="37"/>
      <c r="L499" s="37"/>
      <c r="M499" s="37"/>
      <c r="N499" s="37"/>
      <c r="O499" s="37"/>
      <c r="P499" s="37"/>
      <c r="Q499" s="37"/>
      <c r="R499" s="37"/>
      <c r="S499" s="37"/>
      <c r="T499" s="37"/>
      <c r="U499" s="37"/>
      <c r="V499" s="37"/>
      <c r="W499" s="37"/>
      <c r="X499" s="37"/>
      <c r="Y499" s="37"/>
      <c r="Z499" s="37"/>
      <c r="AA499" s="37"/>
      <c r="AB499" s="37"/>
      <c r="AC499" s="37"/>
      <c r="AD499" s="37"/>
      <c r="AE499" s="37"/>
      <c r="AF499" s="37"/>
      <c r="AG499" s="37"/>
      <c r="AH499" s="37"/>
      <c r="AI499" s="37"/>
      <c r="AJ499" s="37"/>
      <c r="AK499" s="37"/>
      <c r="AL499" s="37"/>
      <c r="AM499" s="37"/>
      <c r="AN499" s="37"/>
      <c r="AO499" s="37"/>
      <c r="AP499" s="37"/>
      <c r="AQ499" s="37"/>
      <c r="AR499" s="37"/>
      <c r="AS499" s="37"/>
      <c r="AT499" s="37"/>
      <c r="AU499" s="37"/>
      <c r="AV499" s="37"/>
      <c r="AW499" s="37"/>
      <c r="AX499" s="37"/>
      <c r="AY499" s="37"/>
      <c r="AZ499" s="37"/>
    </row>
    <row r="500" spans="1:52">
      <c r="A500" s="37"/>
      <c r="B500" s="37"/>
      <c r="C500" s="37"/>
      <c r="D500" s="37"/>
      <c r="E500" s="37"/>
      <c r="F500" s="37"/>
      <c r="G500" s="37"/>
      <c r="H500" s="37"/>
      <c r="I500" s="37"/>
      <c r="J500" s="37"/>
      <c r="K500" s="37"/>
      <c r="L500" s="37"/>
      <c r="M500" s="37"/>
      <c r="N500" s="37"/>
      <c r="O500" s="37"/>
      <c r="P500" s="37"/>
      <c r="Q500" s="37"/>
      <c r="R500" s="37"/>
      <c r="S500" s="37"/>
      <c r="T500" s="37"/>
      <c r="U500" s="37"/>
      <c r="V500" s="37"/>
      <c r="W500" s="37"/>
      <c r="X500" s="37"/>
      <c r="Y500" s="37"/>
      <c r="Z500" s="37"/>
      <c r="AA500" s="37"/>
      <c r="AB500" s="37"/>
      <c r="AC500" s="37"/>
      <c r="AD500" s="37"/>
      <c r="AE500" s="37"/>
      <c r="AF500" s="37"/>
      <c r="AG500" s="37"/>
      <c r="AH500" s="37"/>
      <c r="AI500" s="37"/>
      <c r="AJ500" s="37"/>
      <c r="AK500" s="37"/>
      <c r="AL500" s="37"/>
      <c r="AM500" s="37"/>
      <c r="AN500" s="37"/>
      <c r="AO500" s="37"/>
      <c r="AP500" s="37"/>
      <c r="AQ500" s="37"/>
      <c r="AR500" s="37"/>
      <c r="AS500" s="37"/>
      <c r="AT500" s="37"/>
      <c r="AU500" s="37"/>
      <c r="AV500" s="37"/>
      <c r="AW500" s="37"/>
      <c r="AX500" s="37"/>
      <c r="AY500" s="37"/>
      <c r="AZ500" s="37"/>
    </row>
    <row r="501" spans="1:52">
      <c r="A501" s="37"/>
      <c r="B501" s="37"/>
      <c r="C501" s="37"/>
      <c r="D501" s="37"/>
      <c r="E501" s="37"/>
      <c r="F501" s="37"/>
      <c r="G501" s="37"/>
      <c r="H501" s="37"/>
      <c r="I501" s="37"/>
      <c r="J501" s="37"/>
      <c r="K501" s="37"/>
      <c r="L501" s="37"/>
      <c r="M501" s="37"/>
      <c r="N501" s="37"/>
      <c r="O501" s="37"/>
      <c r="P501" s="37"/>
      <c r="Q501" s="37"/>
      <c r="R501" s="37"/>
      <c r="S501" s="37"/>
      <c r="T501" s="37"/>
      <c r="U501" s="37"/>
      <c r="V501" s="37"/>
      <c r="W501" s="37"/>
      <c r="X501" s="37"/>
      <c r="Y501" s="37"/>
      <c r="Z501" s="37"/>
      <c r="AA501" s="37"/>
      <c r="AB501" s="37"/>
      <c r="AC501" s="37"/>
      <c r="AD501" s="37"/>
      <c r="AE501" s="37"/>
      <c r="AF501" s="37"/>
      <c r="AG501" s="37"/>
      <c r="AH501" s="37"/>
      <c r="AI501" s="37"/>
      <c r="AJ501" s="37"/>
      <c r="AK501" s="37"/>
      <c r="AL501" s="37"/>
      <c r="AM501" s="37"/>
      <c r="AN501" s="37"/>
      <c r="AO501" s="37"/>
      <c r="AP501" s="37"/>
      <c r="AQ501" s="37"/>
      <c r="AR501" s="37"/>
      <c r="AS501" s="37"/>
      <c r="AT501" s="37"/>
      <c r="AU501" s="37"/>
      <c r="AV501" s="37"/>
      <c r="AW501" s="37"/>
      <c r="AX501" s="37"/>
      <c r="AY501" s="37"/>
      <c r="AZ501" s="37"/>
    </row>
    <row r="502" spans="1:52">
      <c r="A502" s="37"/>
      <c r="B502" s="37"/>
      <c r="C502" s="37"/>
      <c r="D502" s="37"/>
      <c r="E502" s="37"/>
      <c r="F502" s="37"/>
      <c r="G502" s="37"/>
      <c r="H502" s="37"/>
      <c r="I502" s="37"/>
      <c r="J502" s="37"/>
      <c r="K502" s="37"/>
      <c r="L502" s="37"/>
      <c r="M502" s="37"/>
      <c r="N502" s="37"/>
      <c r="O502" s="37"/>
      <c r="P502" s="37"/>
      <c r="Q502" s="37"/>
      <c r="R502" s="37"/>
      <c r="S502" s="37"/>
      <c r="T502" s="37"/>
      <c r="U502" s="37"/>
      <c r="V502" s="37"/>
      <c r="W502" s="37"/>
      <c r="X502" s="37"/>
      <c r="Y502" s="37"/>
      <c r="Z502" s="37"/>
      <c r="AA502" s="37"/>
      <c r="AB502" s="37"/>
      <c r="AC502" s="37"/>
      <c r="AD502" s="37"/>
      <c r="AE502" s="37"/>
      <c r="AF502" s="37"/>
      <c r="AG502" s="37"/>
      <c r="AH502" s="37"/>
      <c r="AI502" s="37"/>
      <c r="AJ502" s="37"/>
      <c r="AK502" s="37"/>
      <c r="AL502" s="37"/>
      <c r="AM502" s="37"/>
      <c r="AN502" s="37"/>
      <c r="AO502" s="37"/>
      <c r="AP502" s="37"/>
      <c r="AQ502" s="37"/>
      <c r="AR502" s="37"/>
      <c r="AS502" s="37"/>
      <c r="AT502" s="37"/>
      <c r="AU502" s="37"/>
      <c r="AV502" s="37"/>
      <c r="AW502" s="37"/>
      <c r="AX502" s="37"/>
      <c r="AY502" s="37"/>
      <c r="AZ502" s="37"/>
    </row>
    <row r="503" spans="1:52">
      <c r="A503" s="37"/>
      <c r="B503" s="37"/>
      <c r="C503" s="37"/>
      <c r="D503" s="37"/>
      <c r="E503" s="37"/>
      <c r="F503" s="37"/>
      <c r="G503" s="37"/>
      <c r="H503" s="37"/>
      <c r="I503" s="37"/>
      <c r="J503" s="37"/>
      <c r="K503" s="37"/>
      <c r="L503" s="37"/>
      <c r="M503" s="37"/>
      <c r="N503" s="37"/>
      <c r="O503" s="37"/>
      <c r="P503" s="37"/>
      <c r="Q503" s="37"/>
      <c r="R503" s="37"/>
      <c r="S503" s="37"/>
      <c r="T503" s="37"/>
      <c r="U503" s="37"/>
      <c r="V503" s="37"/>
      <c r="W503" s="37"/>
      <c r="X503" s="37"/>
      <c r="Y503" s="37"/>
      <c r="Z503" s="37"/>
      <c r="AA503" s="37"/>
      <c r="AB503" s="37"/>
      <c r="AC503" s="37"/>
      <c r="AD503" s="37"/>
      <c r="AE503" s="37"/>
      <c r="AF503" s="37"/>
      <c r="AG503" s="37"/>
      <c r="AH503" s="37"/>
      <c r="AI503" s="37"/>
      <c r="AJ503" s="37"/>
      <c r="AK503" s="37"/>
      <c r="AL503" s="37"/>
      <c r="AM503" s="37"/>
      <c r="AN503" s="37"/>
      <c r="AO503" s="37"/>
      <c r="AP503" s="37"/>
      <c r="AQ503" s="37"/>
      <c r="AR503" s="37"/>
      <c r="AS503" s="37"/>
      <c r="AT503" s="37"/>
      <c r="AU503" s="37"/>
      <c r="AV503" s="37"/>
      <c r="AW503" s="37"/>
      <c r="AX503" s="37"/>
      <c r="AY503" s="37"/>
      <c r="AZ503" s="37"/>
    </row>
    <row r="504" spans="1:52">
      <c r="A504" s="37"/>
      <c r="B504" s="37"/>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c r="AA504" s="37"/>
      <c r="AB504" s="37"/>
      <c r="AC504" s="37"/>
      <c r="AD504" s="37"/>
      <c r="AE504" s="37"/>
      <c r="AF504" s="37"/>
      <c r="AG504" s="37"/>
      <c r="AH504" s="37"/>
      <c r="AI504" s="37"/>
      <c r="AJ504" s="37"/>
      <c r="AK504" s="37"/>
      <c r="AL504" s="37"/>
      <c r="AM504" s="37"/>
      <c r="AN504" s="37"/>
      <c r="AO504" s="37"/>
      <c r="AP504" s="37"/>
      <c r="AQ504" s="37"/>
      <c r="AR504" s="37"/>
      <c r="AS504" s="37"/>
      <c r="AT504" s="37"/>
      <c r="AU504" s="37"/>
      <c r="AV504" s="37"/>
      <c r="AW504" s="37"/>
      <c r="AX504" s="37"/>
      <c r="AY504" s="37"/>
      <c r="AZ504" s="37"/>
    </row>
    <row r="505" spans="1:52">
      <c r="A505" s="37"/>
      <c r="B505" s="37"/>
      <c r="C505" s="37"/>
      <c r="D505" s="37"/>
      <c r="E505" s="37"/>
      <c r="F505" s="37"/>
      <c r="G505" s="37"/>
      <c r="H505" s="37"/>
      <c r="I505" s="37"/>
      <c r="J505" s="37"/>
      <c r="K505" s="37"/>
      <c r="L505" s="37"/>
      <c r="M505" s="37"/>
      <c r="N505" s="37"/>
      <c r="O505" s="37"/>
      <c r="P505" s="37"/>
      <c r="Q505" s="37"/>
      <c r="R505" s="37"/>
      <c r="S505" s="37"/>
      <c r="T505" s="37"/>
      <c r="U505" s="37"/>
      <c r="V505" s="37"/>
      <c r="W505" s="37"/>
      <c r="X505" s="37"/>
      <c r="Y505" s="37"/>
      <c r="Z505" s="37"/>
      <c r="AA505" s="37"/>
      <c r="AB505" s="37"/>
      <c r="AC505" s="37"/>
      <c r="AD505" s="37"/>
      <c r="AE505" s="37"/>
      <c r="AF505" s="37"/>
      <c r="AG505" s="37"/>
      <c r="AH505" s="37"/>
      <c r="AI505" s="37"/>
      <c r="AJ505" s="37"/>
      <c r="AK505" s="37"/>
      <c r="AL505" s="37"/>
      <c r="AM505" s="37"/>
      <c r="AN505" s="37"/>
      <c r="AO505" s="37"/>
      <c r="AP505" s="37"/>
      <c r="AQ505" s="37"/>
      <c r="AR505" s="37"/>
      <c r="AS505" s="37"/>
      <c r="AT505" s="37"/>
      <c r="AU505" s="37"/>
      <c r="AV505" s="37"/>
      <c r="AW505" s="37"/>
      <c r="AX505" s="37"/>
      <c r="AY505" s="37"/>
      <c r="AZ505" s="37"/>
    </row>
    <row r="506" spans="1:52">
      <c r="A506" s="37"/>
      <c r="B506" s="37"/>
      <c r="C506" s="37"/>
      <c r="D506" s="37"/>
      <c r="E506" s="37"/>
      <c r="F506" s="37"/>
      <c r="G506" s="37"/>
      <c r="H506" s="37"/>
      <c r="I506" s="37"/>
      <c r="J506" s="37"/>
      <c r="K506" s="37"/>
      <c r="L506" s="37"/>
      <c r="M506" s="37"/>
      <c r="N506" s="37"/>
      <c r="O506" s="37"/>
      <c r="P506" s="37"/>
      <c r="Q506" s="37"/>
      <c r="R506" s="37"/>
      <c r="S506" s="37"/>
      <c r="T506" s="37"/>
      <c r="U506" s="37"/>
      <c r="V506" s="37"/>
      <c r="W506" s="37"/>
      <c r="X506" s="37"/>
      <c r="Y506" s="37"/>
      <c r="Z506" s="37"/>
      <c r="AA506" s="37"/>
      <c r="AB506" s="37"/>
      <c r="AC506" s="37"/>
      <c r="AD506" s="37"/>
      <c r="AE506" s="37"/>
      <c r="AF506" s="37"/>
      <c r="AG506" s="37"/>
      <c r="AH506" s="37"/>
      <c r="AI506" s="37"/>
      <c r="AJ506" s="37"/>
      <c r="AK506" s="37"/>
      <c r="AL506" s="37"/>
      <c r="AM506" s="37"/>
      <c r="AN506" s="37"/>
      <c r="AO506" s="37"/>
      <c r="AP506" s="37"/>
      <c r="AQ506" s="37"/>
      <c r="AR506" s="37"/>
      <c r="AS506" s="37"/>
      <c r="AT506" s="37"/>
      <c r="AU506" s="37"/>
      <c r="AV506" s="37"/>
      <c r="AW506" s="37"/>
      <c r="AX506" s="37"/>
      <c r="AY506" s="37"/>
      <c r="AZ506" s="37"/>
    </row>
    <row r="507" spans="1:52">
      <c r="A507" s="37"/>
      <c r="B507" s="37"/>
      <c r="C507" s="37"/>
      <c r="D507" s="37"/>
      <c r="E507" s="37"/>
      <c r="F507" s="37"/>
      <c r="G507" s="37"/>
      <c r="H507" s="37"/>
      <c r="I507" s="37"/>
      <c r="J507" s="37"/>
      <c r="K507" s="37"/>
      <c r="L507" s="37"/>
      <c r="M507" s="37"/>
      <c r="N507" s="37"/>
      <c r="O507" s="37"/>
      <c r="P507" s="37"/>
      <c r="Q507" s="37"/>
      <c r="R507" s="37"/>
      <c r="S507" s="37"/>
      <c r="T507" s="37"/>
      <c r="U507" s="37"/>
      <c r="V507" s="37"/>
      <c r="W507" s="37"/>
      <c r="X507" s="37"/>
      <c r="Y507" s="37"/>
      <c r="Z507" s="37"/>
      <c r="AA507" s="37"/>
      <c r="AB507" s="37"/>
      <c r="AC507" s="37"/>
      <c r="AD507" s="37"/>
      <c r="AE507" s="37"/>
      <c r="AF507" s="37"/>
      <c r="AG507" s="37"/>
      <c r="AH507" s="37"/>
      <c r="AI507" s="37"/>
      <c r="AJ507" s="37"/>
      <c r="AK507" s="37"/>
      <c r="AL507" s="37"/>
      <c r="AM507" s="37"/>
      <c r="AN507" s="37"/>
      <c r="AO507" s="37"/>
      <c r="AP507" s="37"/>
      <c r="AQ507" s="37"/>
      <c r="AR507" s="37"/>
      <c r="AS507" s="37"/>
      <c r="AT507" s="37"/>
      <c r="AU507" s="37"/>
      <c r="AV507" s="37"/>
      <c r="AW507" s="37"/>
      <c r="AX507" s="37"/>
      <c r="AY507" s="37"/>
      <c r="AZ507" s="37"/>
    </row>
    <row r="508" spans="1:52">
      <c r="A508" s="37"/>
      <c r="B508" s="37"/>
      <c r="C508" s="37"/>
      <c r="D508" s="37"/>
      <c r="E508" s="37"/>
      <c r="F508" s="37"/>
      <c r="G508" s="37"/>
      <c r="H508" s="37"/>
      <c r="I508" s="37"/>
      <c r="J508" s="37"/>
      <c r="K508" s="37"/>
      <c r="L508" s="37"/>
      <c r="M508" s="37"/>
      <c r="N508" s="37"/>
      <c r="O508" s="37"/>
      <c r="P508" s="37"/>
      <c r="Q508" s="37"/>
      <c r="R508" s="37"/>
      <c r="S508" s="37"/>
      <c r="T508" s="37"/>
      <c r="U508" s="37"/>
      <c r="V508" s="37"/>
      <c r="W508" s="37"/>
      <c r="X508" s="37"/>
      <c r="Y508" s="37"/>
      <c r="Z508" s="37"/>
      <c r="AA508" s="37"/>
      <c r="AB508" s="37"/>
      <c r="AC508" s="37"/>
      <c r="AD508" s="37"/>
      <c r="AE508" s="37"/>
      <c r="AF508" s="37"/>
      <c r="AG508" s="37"/>
      <c r="AH508" s="37"/>
      <c r="AI508" s="37"/>
      <c r="AJ508" s="37"/>
      <c r="AK508" s="37"/>
      <c r="AL508" s="37"/>
      <c r="AM508" s="37"/>
      <c r="AN508" s="37"/>
      <c r="AO508" s="37"/>
      <c r="AP508" s="37"/>
      <c r="AQ508" s="37"/>
      <c r="AR508" s="37"/>
      <c r="AS508" s="37"/>
      <c r="AT508" s="37"/>
      <c r="AU508" s="37"/>
      <c r="AV508" s="37"/>
      <c r="AW508" s="37"/>
      <c r="AX508" s="37"/>
      <c r="AY508" s="37"/>
      <c r="AZ508" s="37"/>
    </row>
    <row r="509" spans="1:52">
      <c r="A509" s="37"/>
      <c r="B509" s="37"/>
      <c r="C509" s="37"/>
      <c r="D509" s="37"/>
      <c r="E509" s="37"/>
      <c r="F509" s="37"/>
      <c r="G509" s="37"/>
      <c r="H509" s="37"/>
      <c r="I509" s="37"/>
      <c r="J509" s="37"/>
      <c r="K509" s="37"/>
      <c r="L509" s="37"/>
      <c r="M509" s="37"/>
      <c r="N509" s="37"/>
      <c r="O509" s="37"/>
      <c r="P509" s="37"/>
      <c r="Q509" s="37"/>
      <c r="R509" s="37"/>
      <c r="S509" s="37"/>
      <c r="T509" s="37"/>
      <c r="U509" s="37"/>
      <c r="V509" s="37"/>
      <c r="W509" s="37"/>
      <c r="X509" s="37"/>
      <c r="Y509" s="37"/>
      <c r="Z509" s="37"/>
      <c r="AA509" s="37"/>
      <c r="AB509" s="37"/>
      <c r="AC509" s="37"/>
      <c r="AD509" s="37"/>
      <c r="AE509" s="37"/>
      <c r="AF509" s="37"/>
      <c r="AG509" s="37"/>
      <c r="AH509" s="37"/>
      <c r="AI509" s="37"/>
      <c r="AJ509" s="37"/>
      <c r="AK509" s="37"/>
      <c r="AL509" s="37"/>
      <c r="AM509" s="37"/>
      <c r="AN509" s="37"/>
      <c r="AO509" s="37"/>
      <c r="AP509" s="37"/>
      <c r="AQ509" s="37"/>
      <c r="AR509" s="37"/>
      <c r="AS509" s="37"/>
      <c r="AT509" s="37"/>
      <c r="AU509" s="37"/>
      <c r="AV509" s="37"/>
      <c r="AW509" s="37"/>
      <c r="AX509" s="37"/>
      <c r="AY509" s="37"/>
      <c r="AZ509" s="37"/>
    </row>
    <row r="510" spans="1:52">
      <c r="A510" s="37"/>
      <c r="B510" s="37"/>
      <c r="C510" s="37"/>
      <c r="D510" s="37"/>
      <c r="E510" s="37"/>
      <c r="F510" s="37"/>
      <c r="G510" s="37"/>
      <c r="H510" s="37"/>
      <c r="I510" s="37"/>
      <c r="J510" s="37"/>
      <c r="K510" s="37"/>
      <c r="L510" s="37"/>
      <c r="M510" s="37"/>
      <c r="N510" s="37"/>
      <c r="O510" s="37"/>
      <c r="P510" s="37"/>
      <c r="Q510" s="37"/>
      <c r="R510" s="37"/>
      <c r="S510" s="37"/>
      <c r="T510" s="37"/>
      <c r="U510" s="37"/>
      <c r="V510" s="37"/>
      <c r="W510" s="37"/>
      <c r="X510" s="37"/>
      <c r="Y510" s="37"/>
      <c r="Z510" s="37"/>
      <c r="AA510" s="37"/>
      <c r="AB510" s="37"/>
      <c r="AC510" s="37"/>
      <c r="AD510" s="37"/>
      <c r="AE510" s="37"/>
      <c r="AF510" s="37"/>
      <c r="AG510" s="37"/>
      <c r="AH510" s="37"/>
      <c r="AI510" s="37"/>
      <c r="AJ510" s="37"/>
      <c r="AK510" s="37"/>
      <c r="AL510" s="37"/>
      <c r="AM510" s="37"/>
      <c r="AN510" s="37"/>
      <c r="AO510" s="37"/>
      <c r="AP510" s="37"/>
      <c r="AQ510" s="37"/>
      <c r="AR510" s="37"/>
      <c r="AS510" s="37"/>
      <c r="AT510" s="37"/>
      <c r="AU510" s="37"/>
      <c r="AV510" s="37"/>
      <c r="AW510" s="37"/>
      <c r="AX510" s="37"/>
      <c r="AY510" s="37"/>
      <c r="AZ510" s="37"/>
    </row>
    <row r="511" spans="1:52">
      <c r="A511" s="37"/>
      <c r="B511" s="37"/>
      <c r="C511" s="37"/>
      <c r="D511" s="37"/>
      <c r="E511" s="37"/>
      <c r="F511" s="37"/>
      <c r="G511" s="37"/>
      <c r="H511" s="37"/>
      <c r="I511" s="37"/>
      <c r="J511" s="37"/>
      <c r="K511" s="37"/>
      <c r="L511" s="37"/>
      <c r="M511" s="37"/>
      <c r="N511" s="37"/>
      <c r="O511" s="37"/>
      <c r="P511" s="37"/>
      <c r="Q511" s="37"/>
      <c r="R511" s="37"/>
      <c r="S511" s="37"/>
      <c r="T511" s="37"/>
      <c r="U511" s="37"/>
      <c r="V511" s="37"/>
      <c r="W511" s="37"/>
      <c r="X511" s="37"/>
      <c r="Y511" s="37"/>
      <c r="Z511" s="37"/>
      <c r="AA511" s="37"/>
      <c r="AB511" s="37"/>
      <c r="AC511" s="37"/>
      <c r="AD511" s="37"/>
      <c r="AE511" s="37"/>
      <c r="AF511" s="37"/>
      <c r="AG511" s="37"/>
      <c r="AH511" s="37"/>
      <c r="AI511" s="37"/>
      <c r="AJ511" s="37"/>
      <c r="AK511" s="37"/>
      <c r="AL511" s="37"/>
      <c r="AM511" s="37"/>
      <c r="AN511" s="37"/>
      <c r="AO511" s="37"/>
      <c r="AP511" s="37"/>
      <c r="AQ511" s="37"/>
      <c r="AR511" s="37"/>
      <c r="AS511" s="37"/>
      <c r="AT511" s="37"/>
      <c r="AU511" s="37"/>
      <c r="AV511" s="37"/>
      <c r="AW511" s="37"/>
      <c r="AX511" s="37"/>
      <c r="AY511" s="37"/>
      <c r="AZ511" s="37"/>
    </row>
    <row r="512" spans="1:52">
      <c r="A512" s="37"/>
      <c r="B512" s="37"/>
      <c r="C512" s="37"/>
      <c r="D512" s="37"/>
      <c r="E512" s="37"/>
      <c r="F512" s="37"/>
      <c r="G512" s="37"/>
      <c r="H512" s="37"/>
      <c r="I512" s="37"/>
      <c r="J512" s="37"/>
      <c r="K512" s="37"/>
      <c r="L512" s="37"/>
      <c r="M512" s="37"/>
      <c r="N512" s="37"/>
      <c r="O512" s="37"/>
      <c r="P512" s="37"/>
      <c r="Q512" s="37"/>
      <c r="R512" s="37"/>
      <c r="S512" s="37"/>
      <c r="T512" s="37"/>
      <c r="U512" s="37"/>
      <c r="V512" s="37"/>
      <c r="W512" s="37"/>
      <c r="X512" s="37"/>
      <c r="Y512" s="37"/>
      <c r="Z512" s="37"/>
      <c r="AA512" s="37"/>
      <c r="AB512" s="37"/>
      <c r="AC512" s="37"/>
      <c r="AD512" s="37"/>
      <c r="AE512" s="37"/>
      <c r="AF512" s="37"/>
      <c r="AG512" s="37"/>
      <c r="AH512" s="37"/>
      <c r="AI512" s="37"/>
      <c r="AJ512" s="37"/>
      <c r="AK512" s="37"/>
      <c r="AL512" s="37"/>
      <c r="AM512" s="37"/>
      <c r="AN512" s="37"/>
      <c r="AO512" s="37"/>
      <c r="AP512" s="37"/>
      <c r="AQ512" s="37"/>
      <c r="AR512" s="37"/>
      <c r="AS512" s="37"/>
      <c r="AT512" s="37"/>
      <c r="AU512" s="37"/>
      <c r="AV512" s="37"/>
      <c r="AW512" s="37"/>
      <c r="AX512" s="37"/>
      <c r="AY512" s="37"/>
      <c r="AZ512" s="37"/>
    </row>
    <row r="513" spans="1:52">
      <c r="A513" s="37"/>
      <c r="B513" s="37"/>
      <c r="C513" s="37"/>
      <c r="D513" s="37"/>
      <c r="E513" s="37"/>
      <c r="F513" s="37"/>
      <c r="G513" s="37"/>
      <c r="H513" s="37"/>
      <c r="I513" s="37"/>
      <c r="J513" s="37"/>
      <c r="K513" s="37"/>
      <c r="L513" s="37"/>
      <c r="M513" s="37"/>
      <c r="N513" s="37"/>
      <c r="O513" s="37"/>
      <c r="P513" s="37"/>
      <c r="Q513" s="37"/>
      <c r="R513" s="37"/>
      <c r="S513" s="37"/>
      <c r="T513" s="37"/>
      <c r="U513" s="37"/>
      <c r="V513" s="37"/>
      <c r="W513" s="37"/>
      <c r="X513" s="37"/>
      <c r="Y513" s="37"/>
      <c r="Z513" s="37"/>
      <c r="AA513" s="37"/>
      <c r="AB513" s="37"/>
      <c r="AC513" s="37"/>
      <c r="AD513" s="37"/>
      <c r="AE513" s="37"/>
      <c r="AF513" s="37"/>
      <c r="AG513" s="37"/>
      <c r="AH513" s="37"/>
      <c r="AI513" s="37"/>
      <c r="AJ513" s="37"/>
      <c r="AK513" s="37"/>
      <c r="AL513" s="37"/>
      <c r="AM513" s="37"/>
      <c r="AN513" s="37"/>
      <c r="AO513" s="37"/>
      <c r="AP513" s="37"/>
      <c r="AQ513" s="37"/>
      <c r="AR513" s="37"/>
      <c r="AS513" s="37"/>
      <c r="AT513" s="37"/>
      <c r="AU513" s="37"/>
      <c r="AV513" s="37"/>
      <c r="AW513" s="37"/>
      <c r="AX513" s="37"/>
      <c r="AY513" s="37"/>
      <c r="AZ513" s="37"/>
    </row>
    <row r="514" spans="1:52">
      <c r="A514" s="37"/>
      <c r="B514" s="37"/>
      <c r="C514" s="37"/>
      <c r="D514" s="37"/>
      <c r="E514" s="37"/>
      <c r="F514" s="37"/>
      <c r="G514" s="37"/>
      <c r="H514" s="37"/>
      <c r="I514" s="37"/>
      <c r="J514" s="37"/>
      <c r="K514" s="37"/>
      <c r="L514" s="37"/>
      <c r="M514" s="37"/>
      <c r="N514" s="37"/>
      <c r="O514" s="37"/>
      <c r="P514" s="37"/>
      <c r="Q514" s="37"/>
      <c r="R514" s="37"/>
      <c r="S514" s="37"/>
      <c r="T514" s="37"/>
      <c r="U514" s="37"/>
      <c r="V514" s="37"/>
      <c r="W514" s="37"/>
      <c r="X514" s="37"/>
      <c r="Y514" s="37"/>
      <c r="Z514" s="37"/>
      <c r="AA514" s="37"/>
      <c r="AB514" s="37"/>
      <c r="AC514" s="37"/>
      <c r="AD514" s="37"/>
      <c r="AE514" s="37"/>
      <c r="AF514" s="37"/>
      <c r="AG514" s="37"/>
      <c r="AH514" s="37"/>
      <c r="AI514" s="37"/>
      <c r="AJ514" s="37"/>
      <c r="AK514" s="37"/>
      <c r="AL514" s="37"/>
      <c r="AM514" s="37"/>
      <c r="AN514" s="37"/>
      <c r="AO514" s="37"/>
      <c r="AP514" s="37"/>
      <c r="AQ514" s="37"/>
      <c r="AR514" s="37"/>
      <c r="AS514" s="37"/>
      <c r="AT514" s="37"/>
      <c r="AU514" s="37"/>
      <c r="AV514" s="37"/>
      <c r="AW514" s="37"/>
      <c r="AX514" s="37"/>
      <c r="AY514" s="37"/>
      <c r="AZ514" s="37"/>
    </row>
    <row r="515" spans="1:52">
      <c r="A515" s="37"/>
      <c r="B515" s="37"/>
      <c r="C515" s="37"/>
      <c r="D515" s="37"/>
      <c r="E515" s="37"/>
      <c r="F515" s="37"/>
      <c r="G515" s="37"/>
      <c r="H515" s="37"/>
      <c r="I515" s="37"/>
      <c r="J515" s="37"/>
      <c r="K515" s="37"/>
      <c r="L515" s="37"/>
      <c r="M515" s="37"/>
      <c r="N515" s="37"/>
      <c r="O515" s="37"/>
      <c r="P515" s="37"/>
      <c r="Q515" s="37"/>
      <c r="R515" s="37"/>
      <c r="S515" s="37"/>
      <c r="T515" s="37"/>
      <c r="U515" s="37"/>
      <c r="V515" s="37"/>
      <c r="W515" s="37"/>
      <c r="X515" s="37"/>
      <c r="Y515" s="37"/>
      <c r="Z515" s="37"/>
      <c r="AA515" s="37"/>
      <c r="AB515" s="37"/>
      <c r="AC515" s="37"/>
      <c r="AD515" s="37"/>
      <c r="AE515" s="37"/>
      <c r="AF515" s="37"/>
      <c r="AG515" s="37"/>
      <c r="AH515" s="37"/>
      <c r="AI515" s="37"/>
      <c r="AJ515" s="37"/>
      <c r="AK515" s="37"/>
      <c r="AL515" s="37"/>
      <c r="AM515" s="37"/>
      <c r="AN515" s="37"/>
      <c r="AO515" s="37"/>
      <c r="AP515" s="37"/>
      <c r="AQ515" s="37"/>
      <c r="AR515" s="37"/>
      <c r="AS515" s="37"/>
      <c r="AT515" s="37"/>
      <c r="AU515" s="37"/>
      <c r="AV515" s="37"/>
      <c r="AW515" s="37"/>
      <c r="AX515" s="37"/>
      <c r="AY515" s="37"/>
      <c r="AZ515" s="37"/>
    </row>
    <row r="516" spans="1:52">
      <c r="A516" s="37"/>
      <c r="B516" s="37"/>
      <c r="C516" s="37"/>
      <c r="D516" s="37"/>
      <c r="E516" s="37"/>
      <c r="F516" s="37"/>
      <c r="G516" s="37"/>
      <c r="H516" s="37"/>
      <c r="I516" s="37"/>
      <c r="J516" s="37"/>
      <c r="K516" s="37"/>
      <c r="L516" s="37"/>
      <c r="M516" s="37"/>
      <c r="N516" s="37"/>
      <c r="O516" s="37"/>
      <c r="P516" s="37"/>
      <c r="Q516" s="37"/>
      <c r="R516" s="37"/>
      <c r="S516" s="37"/>
      <c r="T516" s="37"/>
      <c r="U516" s="37"/>
      <c r="V516" s="37"/>
      <c r="W516" s="37"/>
      <c r="X516" s="37"/>
      <c r="Y516" s="37"/>
      <c r="Z516" s="37"/>
      <c r="AA516" s="37"/>
      <c r="AB516" s="37"/>
      <c r="AC516" s="37"/>
      <c r="AD516" s="37"/>
      <c r="AE516" s="37"/>
      <c r="AF516" s="37"/>
      <c r="AG516" s="37"/>
      <c r="AH516" s="37"/>
      <c r="AI516" s="37"/>
      <c r="AJ516" s="37"/>
      <c r="AK516" s="37"/>
      <c r="AL516" s="37"/>
      <c r="AM516" s="37"/>
      <c r="AN516" s="37"/>
      <c r="AO516" s="37"/>
      <c r="AP516" s="37"/>
      <c r="AQ516" s="37"/>
      <c r="AR516" s="37"/>
      <c r="AS516" s="37"/>
      <c r="AT516" s="37"/>
      <c r="AU516" s="37"/>
      <c r="AV516" s="37"/>
      <c r="AW516" s="37"/>
      <c r="AX516" s="37"/>
      <c r="AY516" s="37"/>
      <c r="AZ516" s="37"/>
    </row>
    <row r="517" spans="1:52">
      <c r="A517" s="37"/>
      <c r="B517" s="37"/>
      <c r="C517" s="37"/>
      <c r="D517" s="37"/>
      <c r="E517" s="37"/>
      <c r="F517" s="37"/>
      <c r="G517" s="37"/>
      <c r="H517" s="37"/>
      <c r="I517" s="37"/>
      <c r="J517" s="37"/>
      <c r="K517" s="37"/>
      <c r="L517" s="37"/>
      <c r="M517" s="37"/>
      <c r="N517" s="37"/>
      <c r="O517" s="37"/>
      <c r="P517" s="37"/>
      <c r="Q517" s="37"/>
      <c r="R517" s="37"/>
      <c r="S517" s="37"/>
      <c r="T517" s="37"/>
      <c r="U517" s="37"/>
      <c r="V517" s="37"/>
      <c r="W517" s="37"/>
      <c r="X517" s="37"/>
      <c r="Y517" s="37"/>
      <c r="Z517" s="37"/>
      <c r="AA517" s="37"/>
      <c r="AB517" s="37"/>
      <c r="AC517" s="37"/>
      <c r="AD517" s="37"/>
      <c r="AE517" s="37"/>
      <c r="AF517" s="37"/>
      <c r="AG517" s="37"/>
      <c r="AH517" s="37"/>
      <c r="AI517" s="37"/>
      <c r="AJ517" s="37"/>
      <c r="AK517" s="37"/>
      <c r="AL517" s="37"/>
      <c r="AM517" s="37"/>
      <c r="AN517" s="37"/>
      <c r="AO517" s="37"/>
      <c r="AP517" s="37"/>
      <c r="AQ517" s="37"/>
      <c r="AR517" s="37"/>
      <c r="AS517" s="37"/>
      <c r="AT517" s="37"/>
      <c r="AU517" s="37"/>
      <c r="AV517" s="37"/>
      <c r="AW517" s="37"/>
      <c r="AX517" s="37"/>
      <c r="AY517" s="37"/>
      <c r="AZ517" s="37"/>
    </row>
    <row r="518" spans="1:52">
      <c r="A518" s="37"/>
      <c r="B518" s="37"/>
      <c r="C518" s="37"/>
      <c r="D518" s="37"/>
      <c r="E518" s="37"/>
      <c r="F518" s="37"/>
      <c r="G518" s="37"/>
      <c r="H518" s="37"/>
      <c r="I518" s="37"/>
      <c r="J518" s="37"/>
      <c r="K518" s="37"/>
      <c r="L518" s="37"/>
      <c r="M518" s="37"/>
      <c r="N518" s="37"/>
      <c r="O518" s="37"/>
      <c r="P518" s="37"/>
      <c r="Q518" s="37"/>
      <c r="R518" s="37"/>
      <c r="S518" s="37"/>
      <c r="T518" s="37"/>
      <c r="U518" s="37"/>
      <c r="V518" s="37"/>
      <c r="W518" s="37"/>
      <c r="X518" s="37"/>
      <c r="Y518" s="37"/>
      <c r="Z518" s="37"/>
      <c r="AA518" s="37"/>
      <c r="AB518" s="37"/>
      <c r="AC518" s="37"/>
      <c r="AD518" s="37"/>
      <c r="AE518" s="37"/>
      <c r="AF518" s="37"/>
      <c r="AG518" s="37"/>
      <c r="AH518" s="37"/>
      <c r="AI518" s="37"/>
      <c r="AJ518" s="37"/>
      <c r="AK518" s="37"/>
      <c r="AL518" s="37"/>
      <c r="AM518" s="37"/>
      <c r="AN518" s="37"/>
      <c r="AO518" s="37"/>
      <c r="AP518" s="37"/>
      <c r="AQ518" s="37"/>
      <c r="AR518" s="37"/>
      <c r="AS518" s="37"/>
      <c r="AT518" s="37"/>
      <c r="AU518" s="37"/>
      <c r="AV518" s="37"/>
      <c r="AW518" s="37"/>
      <c r="AX518" s="37"/>
      <c r="AY518" s="37"/>
      <c r="AZ518" s="37"/>
    </row>
    <row r="519" spans="1:52">
      <c r="A519" s="37"/>
      <c r="B519" s="37"/>
      <c r="C519" s="37"/>
      <c r="D519" s="37"/>
      <c r="E519" s="37"/>
      <c r="F519" s="37"/>
      <c r="G519" s="37"/>
      <c r="H519" s="37"/>
      <c r="I519" s="37"/>
      <c r="J519" s="37"/>
      <c r="K519" s="37"/>
      <c r="L519" s="37"/>
      <c r="M519" s="37"/>
      <c r="N519" s="37"/>
      <c r="O519" s="37"/>
      <c r="P519" s="37"/>
      <c r="Q519" s="37"/>
      <c r="R519" s="37"/>
      <c r="S519" s="37"/>
      <c r="T519" s="37"/>
      <c r="U519" s="37"/>
      <c r="V519" s="37"/>
      <c r="W519" s="37"/>
      <c r="X519" s="37"/>
      <c r="Y519" s="37"/>
      <c r="Z519" s="37"/>
      <c r="AA519" s="37"/>
      <c r="AB519" s="37"/>
      <c r="AC519" s="37"/>
      <c r="AD519" s="37"/>
      <c r="AE519" s="37"/>
      <c r="AF519" s="37"/>
      <c r="AG519" s="37"/>
      <c r="AH519" s="37"/>
      <c r="AI519" s="37"/>
      <c r="AJ519" s="37"/>
      <c r="AK519" s="37"/>
      <c r="AL519" s="37"/>
      <c r="AM519" s="37"/>
      <c r="AN519" s="37"/>
      <c r="AO519" s="37"/>
      <c r="AP519" s="37"/>
      <c r="AQ519" s="37"/>
      <c r="AR519" s="37"/>
      <c r="AS519" s="37"/>
      <c r="AT519" s="37"/>
      <c r="AU519" s="37"/>
      <c r="AV519" s="37"/>
      <c r="AW519" s="37"/>
      <c r="AX519" s="37"/>
      <c r="AY519" s="37"/>
      <c r="AZ519" s="37"/>
    </row>
    <row r="520" spans="1:52">
      <c r="A520" s="37"/>
      <c r="B520" s="37"/>
      <c r="C520" s="37"/>
      <c r="D520" s="37"/>
      <c r="E520" s="37"/>
      <c r="F520" s="37"/>
      <c r="G520" s="37"/>
      <c r="H520" s="37"/>
      <c r="I520" s="37"/>
      <c r="J520" s="37"/>
      <c r="K520" s="37"/>
      <c r="L520" s="37"/>
      <c r="M520" s="37"/>
      <c r="N520" s="37"/>
      <c r="O520" s="37"/>
      <c r="P520" s="37"/>
      <c r="Q520" s="37"/>
      <c r="R520" s="37"/>
      <c r="S520" s="37"/>
      <c r="T520" s="37"/>
      <c r="U520" s="37"/>
      <c r="V520" s="37"/>
      <c r="W520" s="37"/>
      <c r="X520" s="37"/>
      <c r="Y520" s="37"/>
      <c r="Z520" s="37"/>
      <c r="AA520" s="37"/>
      <c r="AB520" s="37"/>
      <c r="AC520" s="37"/>
      <c r="AD520" s="37"/>
      <c r="AE520" s="37"/>
      <c r="AF520" s="37"/>
      <c r="AG520" s="37"/>
      <c r="AH520" s="37"/>
      <c r="AI520" s="37"/>
      <c r="AJ520" s="37"/>
      <c r="AK520" s="37"/>
      <c r="AL520" s="37"/>
      <c r="AM520" s="37"/>
      <c r="AN520" s="37"/>
      <c r="AO520" s="37"/>
      <c r="AP520" s="37"/>
      <c r="AQ520" s="37"/>
      <c r="AR520" s="37"/>
      <c r="AS520" s="37"/>
      <c r="AT520" s="37"/>
      <c r="AU520" s="37"/>
      <c r="AV520" s="37"/>
      <c r="AW520" s="37"/>
      <c r="AX520" s="37"/>
      <c r="AY520" s="37"/>
      <c r="AZ520" s="37"/>
    </row>
    <row r="521" spans="1:52">
      <c r="A521" s="37"/>
      <c r="B521" s="37"/>
      <c r="C521" s="37"/>
      <c r="D521" s="37"/>
      <c r="E521" s="37"/>
      <c r="F521" s="37"/>
      <c r="G521" s="37"/>
      <c r="H521" s="37"/>
      <c r="I521" s="37"/>
      <c r="J521" s="37"/>
      <c r="K521" s="37"/>
      <c r="L521" s="37"/>
      <c r="M521" s="37"/>
      <c r="N521" s="37"/>
      <c r="O521" s="37"/>
      <c r="P521" s="37"/>
      <c r="Q521" s="37"/>
      <c r="R521" s="37"/>
      <c r="S521" s="37"/>
      <c r="T521" s="37"/>
      <c r="U521" s="37"/>
      <c r="V521" s="37"/>
      <c r="W521" s="37"/>
      <c r="X521" s="37"/>
      <c r="Y521" s="37"/>
      <c r="Z521" s="37"/>
      <c r="AA521" s="37"/>
      <c r="AB521" s="37"/>
      <c r="AC521" s="37"/>
      <c r="AD521" s="37"/>
      <c r="AE521" s="37"/>
      <c r="AF521" s="37"/>
      <c r="AG521" s="37"/>
      <c r="AH521" s="37"/>
      <c r="AI521" s="37"/>
      <c r="AJ521" s="37"/>
      <c r="AK521" s="37"/>
      <c r="AL521" s="37"/>
      <c r="AM521" s="37"/>
      <c r="AN521" s="37"/>
      <c r="AO521" s="37"/>
      <c r="AP521" s="37"/>
      <c r="AQ521" s="37"/>
      <c r="AR521" s="37"/>
      <c r="AS521" s="37"/>
      <c r="AT521" s="37"/>
      <c r="AU521" s="37"/>
      <c r="AV521" s="37"/>
      <c r="AW521" s="37"/>
      <c r="AX521" s="37"/>
      <c r="AY521" s="37"/>
      <c r="AZ521" s="37"/>
    </row>
    <row r="522" spans="1:52">
      <c r="A522" s="37"/>
      <c r="B522" s="37"/>
      <c r="C522" s="37"/>
      <c r="D522" s="37"/>
      <c r="E522" s="37"/>
      <c r="F522" s="37"/>
      <c r="G522" s="37"/>
      <c r="H522" s="37"/>
      <c r="I522" s="37"/>
      <c r="J522" s="37"/>
      <c r="K522" s="37"/>
      <c r="L522" s="37"/>
      <c r="M522" s="37"/>
      <c r="N522" s="37"/>
      <c r="O522" s="37"/>
      <c r="P522" s="37"/>
      <c r="Q522" s="37"/>
      <c r="R522" s="37"/>
      <c r="S522" s="37"/>
      <c r="T522" s="37"/>
      <c r="U522" s="37"/>
      <c r="V522" s="37"/>
      <c r="W522" s="37"/>
      <c r="X522" s="37"/>
      <c r="Y522" s="37"/>
      <c r="Z522" s="37"/>
      <c r="AA522" s="37"/>
      <c r="AB522" s="37"/>
      <c r="AC522" s="37"/>
      <c r="AD522" s="37"/>
      <c r="AE522" s="37"/>
      <c r="AF522" s="37"/>
      <c r="AG522" s="37"/>
      <c r="AH522" s="37"/>
      <c r="AI522" s="37"/>
      <c r="AJ522" s="37"/>
      <c r="AK522" s="37"/>
      <c r="AL522" s="37"/>
      <c r="AM522" s="37"/>
      <c r="AN522" s="37"/>
      <c r="AO522" s="37"/>
      <c r="AP522" s="37"/>
      <c r="AQ522" s="37"/>
      <c r="AR522" s="37"/>
      <c r="AS522" s="37"/>
      <c r="AT522" s="37"/>
      <c r="AU522" s="37"/>
      <c r="AV522" s="37"/>
      <c r="AW522" s="37"/>
      <c r="AX522" s="37"/>
      <c r="AY522" s="37"/>
      <c r="AZ522" s="37"/>
    </row>
    <row r="523" spans="1:52">
      <c r="A523" s="37"/>
      <c r="B523" s="37"/>
      <c r="C523" s="37"/>
      <c r="D523" s="37"/>
      <c r="E523" s="37"/>
      <c r="F523" s="37"/>
      <c r="G523" s="37"/>
      <c r="H523" s="37"/>
      <c r="I523" s="37"/>
      <c r="J523" s="37"/>
      <c r="K523" s="37"/>
      <c r="L523" s="37"/>
      <c r="M523" s="37"/>
      <c r="N523" s="37"/>
      <c r="O523" s="37"/>
      <c r="P523" s="37"/>
      <c r="Q523" s="37"/>
      <c r="R523" s="37"/>
      <c r="S523" s="37"/>
      <c r="T523" s="37"/>
      <c r="U523" s="37"/>
      <c r="V523" s="37"/>
      <c r="W523" s="37"/>
      <c r="X523" s="37"/>
      <c r="Y523" s="37"/>
      <c r="Z523" s="37"/>
      <c r="AA523" s="37"/>
      <c r="AB523" s="37"/>
      <c r="AC523" s="37"/>
      <c r="AD523" s="37"/>
      <c r="AE523" s="37"/>
      <c r="AF523" s="37"/>
      <c r="AG523" s="37"/>
      <c r="AH523" s="37"/>
      <c r="AI523" s="37"/>
      <c r="AJ523" s="37"/>
      <c r="AK523" s="37"/>
      <c r="AL523" s="37"/>
      <c r="AM523" s="37"/>
      <c r="AN523" s="37"/>
      <c r="AO523" s="37"/>
      <c r="AP523" s="37"/>
      <c r="AQ523" s="37"/>
      <c r="AR523" s="37"/>
      <c r="AS523" s="37"/>
      <c r="AT523" s="37"/>
      <c r="AU523" s="37"/>
      <c r="AV523" s="37"/>
      <c r="AW523" s="37"/>
      <c r="AX523" s="37"/>
      <c r="AY523" s="37"/>
      <c r="AZ523" s="37"/>
    </row>
    <row r="524" spans="1:52">
      <c r="A524" s="37"/>
      <c r="B524" s="37"/>
      <c r="C524" s="37"/>
      <c r="D524" s="37"/>
      <c r="E524" s="37"/>
      <c r="F524" s="37"/>
      <c r="G524" s="37"/>
      <c r="H524" s="37"/>
      <c r="I524" s="37"/>
      <c r="J524" s="37"/>
      <c r="K524" s="37"/>
      <c r="L524" s="37"/>
      <c r="M524" s="37"/>
      <c r="N524" s="37"/>
      <c r="O524" s="37"/>
      <c r="P524" s="37"/>
      <c r="Q524" s="37"/>
      <c r="R524" s="37"/>
      <c r="S524" s="37"/>
      <c r="T524" s="37"/>
      <c r="U524" s="37"/>
      <c r="V524" s="37"/>
      <c r="W524" s="37"/>
      <c r="X524" s="37"/>
      <c r="Y524" s="37"/>
      <c r="Z524" s="37"/>
      <c r="AA524" s="37"/>
      <c r="AB524" s="37"/>
      <c r="AC524" s="37"/>
      <c r="AD524" s="37"/>
      <c r="AE524" s="37"/>
      <c r="AF524" s="37"/>
      <c r="AG524" s="37"/>
      <c r="AH524" s="37"/>
      <c r="AI524" s="37"/>
      <c r="AJ524" s="37"/>
      <c r="AK524" s="37"/>
      <c r="AL524" s="37"/>
      <c r="AM524" s="37"/>
      <c r="AN524" s="37"/>
      <c r="AO524" s="37"/>
      <c r="AP524" s="37"/>
      <c r="AQ524" s="37"/>
      <c r="AR524" s="37"/>
      <c r="AS524" s="37"/>
      <c r="AT524" s="37"/>
      <c r="AU524" s="37"/>
      <c r="AV524" s="37"/>
      <c r="AW524" s="37"/>
      <c r="AX524" s="37"/>
      <c r="AY524" s="37"/>
      <c r="AZ524" s="37"/>
    </row>
    <row r="525" spans="1:52">
      <c r="A525" s="37"/>
      <c r="B525" s="37"/>
      <c r="C525" s="37"/>
      <c r="D525" s="37"/>
      <c r="E525" s="37"/>
      <c r="F525" s="37"/>
      <c r="G525" s="37"/>
      <c r="H525" s="37"/>
      <c r="I525" s="37"/>
      <c r="J525" s="37"/>
      <c r="K525" s="37"/>
      <c r="L525" s="37"/>
      <c r="M525" s="37"/>
      <c r="N525" s="37"/>
      <c r="O525" s="37"/>
      <c r="P525" s="37"/>
      <c r="Q525" s="37"/>
      <c r="R525" s="37"/>
      <c r="S525" s="37"/>
      <c r="T525" s="37"/>
      <c r="U525" s="37"/>
      <c r="V525" s="37"/>
      <c r="W525" s="37"/>
      <c r="X525" s="37"/>
      <c r="Y525" s="37"/>
      <c r="Z525" s="37"/>
      <c r="AA525" s="37"/>
      <c r="AB525" s="37"/>
      <c r="AC525" s="37"/>
      <c r="AD525" s="37"/>
      <c r="AE525" s="37"/>
      <c r="AF525" s="37"/>
      <c r="AG525" s="37"/>
      <c r="AH525" s="37"/>
      <c r="AI525" s="37"/>
      <c r="AJ525" s="37"/>
      <c r="AK525" s="37"/>
      <c r="AL525" s="37"/>
      <c r="AM525" s="37"/>
      <c r="AN525" s="37"/>
      <c r="AO525" s="37"/>
      <c r="AP525" s="37"/>
      <c r="AQ525" s="37"/>
      <c r="AR525" s="37"/>
      <c r="AS525" s="37"/>
      <c r="AT525" s="37"/>
      <c r="AU525" s="37"/>
      <c r="AV525" s="37"/>
      <c r="AW525" s="37"/>
      <c r="AX525" s="37"/>
      <c r="AY525" s="37"/>
      <c r="AZ525" s="37"/>
    </row>
    <row r="526" spans="1:52">
      <c r="A526" s="37"/>
      <c r="B526" s="37"/>
      <c r="C526" s="37"/>
      <c r="D526" s="37"/>
      <c r="E526" s="37"/>
      <c r="F526" s="37"/>
      <c r="G526" s="37"/>
      <c r="H526" s="37"/>
      <c r="I526" s="37"/>
      <c r="J526" s="37"/>
      <c r="K526" s="37"/>
      <c r="L526" s="37"/>
      <c r="M526" s="37"/>
      <c r="N526" s="37"/>
      <c r="O526" s="37"/>
      <c r="P526" s="37"/>
      <c r="Q526" s="37"/>
      <c r="R526" s="37"/>
      <c r="S526" s="37"/>
      <c r="T526" s="37"/>
      <c r="U526" s="37"/>
      <c r="V526" s="37"/>
      <c r="W526" s="37"/>
      <c r="X526" s="37"/>
      <c r="Y526" s="37"/>
      <c r="Z526" s="37"/>
      <c r="AA526" s="37"/>
      <c r="AB526" s="37"/>
      <c r="AC526" s="37"/>
      <c r="AD526" s="37"/>
      <c r="AE526" s="37"/>
      <c r="AF526" s="37"/>
      <c r="AG526" s="37"/>
      <c r="AH526" s="37"/>
      <c r="AI526" s="37"/>
      <c r="AJ526" s="37"/>
      <c r="AK526" s="37"/>
      <c r="AL526" s="37"/>
      <c r="AM526" s="37"/>
      <c r="AN526" s="37"/>
      <c r="AO526" s="37"/>
      <c r="AP526" s="37"/>
      <c r="AQ526" s="37"/>
      <c r="AR526" s="37"/>
      <c r="AS526" s="37"/>
      <c r="AT526" s="37"/>
      <c r="AU526" s="37"/>
      <c r="AV526" s="37"/>
      <c r="AW526" s="37"/>
      <c r="AX526" s="37"/>
      <c r="AY526" s="37"/>
      <c r="AZ526" s="37"/>
    </row>
    <row r="527" spans="1:52">
      <c r="A527" s="37"/>
      <c r="B527" s="37"/>
      <c r="C527" s="37"/>
      <c r="D527" s="37"/>
      <c r="E527" s="37"/>
      <c r="F527" s="37"/>
      <c r="G527" s="37"/>
      <c r="H527" s="37"/>
      <c r="I527" s="37"/>
      <c r="J527" s="37"/>
      <c r="K527" s="37"/>
      <c r="L527" s="37"/>
      <c r="M527" s="37"/>
      <c r="N527" s="37"/>
      <c r="O527" s="37"/>
      <c r="P527" s="37"/>
      <c r="Q527" s="37"/>
      <c r="R527" s="37"/>
      <c r="S527" s="37"/>
      <c r="T527" s="37"/>
      <c r="U527" s="37"/>
      <c r="V527" s="37"/>
      <c r="W527" s="37"/>
      <c r="X527" s="37"/>
      <c r="Y527" s="37"/>
      <c r="Z527" s="37"/>
      <c r="AA527" s="37"/>
      <c r="AB527" s="37"/>
      <c r="AC527" s="37"/>
      <c r="AD527" s="37"/>
      <c r="AE527" s="37"/>
      <c r="AF527" s="37"/>
      <c r="AG527" s="37"/>
      <c r="AH527" s="37"/>
      <c r="AI527" s="37"/>
      <c r="AJ527" s="37"/>
      <c r="AK527" s="37"/>
      <c r="AL527" s="37"/>
      <c r="AM527" s="37"/>
      <c r="AN527" s="37"/>
      <c r="AO527" s="37"/>
      <c r="AP527" s="37"/>
      <c r="AQ527" s="37"/>
      <c r="AR527" s="37"/>
      <c r="AS527" s="37"/>
      <c r="AT527" s="37"/>
      <c r="AU527" s="37"/>
      <c r="AV527" s="37"/>
      <c r="AW527" s="37"/>
      <c r="AX527" s="37"/>
      <c r="AY527" s="37"/>
      <c r="AZ527" s="37"/>
    </row>
    <row r="528" spans="1:52">
      <c r="A528" s="37"/>
      <c r="B528" s="37"/>
      <c r="C528" s="37"/>
      <c r="D528" s="37"/>
      <c r="E528" s="37"/>
      <c r="F528" s="37"/>
      <c r="G528" s="37"/>
      <c r="H528" s="37"/>
      <c r="I528" s="37"/>
      <c r="J528" s="37"/>
      <c r="K528" s="37"/>
      <c r="L528" s="37"/>
      <c r="M528" s="37"/>
      <c r="N528" s="37"/>
      <c r="O528" s="37"/>
      <c r="P528" s="37"/>
      <c r="Q528" s="37"/>
      <c r="R528" s="37"/>
      <c r="S528" s="37"/>
      <c r="T528" s="37"/>
      <c r="U528" s="37"/>
      <c r="V528" s="37"/>
      <c r="W528" s="37"/>
      <c r="X528" s="37"/>
      <c r="Y528" s="37"/>
      <c r="Z528" s="37"/>
      <c r="AA528" s="37"/>
      <c r="AB528" s="37"/>
      <c r="AC528" s="37"/>
      <c r="AD528" s="37"/>
      <c r="AE528" s="37"/>
      <c r="AF528" s="37"/>
      <c r="AG528" s="37"/>
      <c r="AH528" s="37"/>
      <c r="AI528" s="37"/>
      <c r="AJ528" s="37"/>
      <c r="AK528" s="37"/>
      <c r="AL528" s="37"/>
      <c r="AM528" s="37"/>
      <c r="AN528" s="37"/>
      <c r="AO528" s="37"/>
      <c r="AP528" s="37"/>
      <c r="AQ528" s="37"/>
      <c r="AR528" s="37"/>
      <c r="AS528" s="37"/>
      <c r="AT528" s="37"/>
      <c r="AU528" s="37"/>
      <c r="AV528" s="37"/>
      <c r="AW528" s="37"/>
      <c r="AX528" s="37"/>
      <c r="AY528" s="37"/>
      <c r="AZ528" s="37"/>
    </row>
    <row r="529" spans="1:52">
      <c r="A529" s="37"/>
      <c r="B529" s="37"/>
      <c r="C529" s="37"/>
      <c r="D529" s="37"/>
      <c r="E529" s="37"/>
      <c r="F529" s="37"/>
      <c r="G529" s="37"/>
      <c r="H529" s="37"/>
      <c r="I529" s="37"/>
      <c r="J529" s="37"/>
      <c r="K529" s="37"/>
      <c r="L529" s="37"/>
      <c r="M529" s="37"/>
      <c r="N529" s="37"/>
      <c r="O529" s="37"/>
      <c r="P529" s="37"/>
      <c r="Q529" s="37"/>
      <c r="R529" s="37"/>
      <c r="S529" s="37"/>
      <c r="T529" s="37"/>
      <c r="U529" s="37"/>
      <c r="V529" s="37"/>
      <c r="W529" s="37"/>
      <c r="X529" s="37"/>
      <c r="Y529" s="37"/>
      <c r="Z529" s="37"/>
      <c r="AA529" s="37"/>
      <c r="AB529" s="37"/>
      <c r="AC529" s="37"/>
      <c r="AD529" s="37"/>
      <c r="AE529" s="37"/>
      <c r="AF529" s="37"/>
      <c r="AG529" s="37"/>
      <c r="AH529" s="37"/>
      <c r="AI529" s="37"/>
      <c r="AJ529" s="37"/>
      <c r="AK529" s="37"/>
      <c r="AL529" s="37"/>
      <c r="AM529" s="37"/>
      <c r="AN529" s="37"/>
      <c r="AO529" s="37"/>
      <c r="AP529" s="37"/>
      <c r="AQ529" s="37"/>
      <c r="AR529" s="37"/>
      <c r="AS529" s="37"/>
      <c r="AT529" s="37"/>
      <c r="AU529" s="37"/>
      <c r="AV529" s="37"/>
      <c r="AW529" s="37"/>
      <c r="AX529" s="37"/>
      <c r="AY529" s="37"/>
      <c r="AZ529" s="37"/>
    </row>
    <row r="530" spans="1:52">
      <c r="A530" s="37"/>
      <c r="B530" s="37"/>
      <c r="C530" s="37"/>
      <c r="D530" s="37"/>
      <c r="E530" s="37"/>
      <c r="F530" s="37"/>
      <c r="G530" s="37"/>
      <c r="H530" s="37"/>
      <c r="I530" s="37"/>
      <c r="J530" s="37"/>
      <c r="K530" s="37"/>
      <c r="L530" s="37"/>
      <c r="M530" s="37"/>
      <c r="N530" s="37"/>
      <c r="O530" s="37"/>
      <c r="P530" s="37"/>
      <c r="Q530" s="37"/>
      <c r="R530" s="37"/>
      <c r="S530" s="37"/>
      <c r="T530" s="37"/>
      <c r="U530" s="37"/>
      <c r="V530" s="37"/>
      <c r="W530" s="37"/>
      <c r="X530" s="37"/>
      <c r="Y530" s="37"/>
      <c r="Z530" s="37"/>
      <c r="AA530" s="37"/>
      <c r="AB530" s="37"/>
      <c r="AC530" s="37"/>
      <c r="AD530" s="37"/>
      <c r="AE530" s="37"/>
      <c r="AF530" s="37"/>
      <c r="AG530" s="37"/>
      <c r="AH530" s="37"/>
      <c r="AI530" s="37"/>
      <c r="AJ530" s="37"/>
      <c r="AK530" s="37"/>
      <c r="AL530" s="37"/>
      <c r="AM530" s="37"/>
      <c r="AN530" s="37"/>
      <c r="AO530" s="37"/>
      <c r="AP530" s="37"/>
      <c r="AQ530" s="37"/>
      <c r="AR530" s="37"/>
      <c r="AS530" s="37"/>
      <c r="AT530" s="37"/>
      <c r="AU530" s="37"/>
      <c r="AV530" s="37"/>
      <c r="AW530" s="37"/>
      <c r="AX530" s="37"/>
      <c r="AY530" s="37"/>
      <c r="AZ530" s="37"/>
    </row>
    <row r="531" spans="1:52">
      <c r="A531" s="37"/>
      <c r="B531" s="37"/>
      <c r="C531" s="37"/>
      <c r="D531" s="37"/>
      <c r="E531" s="37"/>
      <c r="F531" s="37"/>
      <c r="G531" s="37"/>
      <c r="H531" s="37"/>
      <c r="I531" s="37"/>
      <c r="J531" s="37"/>
      <c r="K531" s="37"/>
      <c r="L531" s="37"/>
      <c r="M531" s="37"/>
      <c r="N531" s="37"/>
      <c r="O531" s="37"/>
      <c r="P531" s="37"/>
      <c r="Q531" s="37"/>
      <c r="R531" s="37"/>
      <c r="S531" s="37"/>
      <c r="T531" s="37"/>
      <c r="U531" s="37"/>
      <c r="V531" s="37"/>
      <c r="W531" s="37"/>
      <c r="X531" s="37"/>
      <c r="Y531" s="37"/>
      <c r="Z531" s="37"/>
      <c r="AA531" s="37"/>
      <c r="AB531" s="37"/>
      <c r="AC531" s="37"/>
      <c r="AD531" s="37"/>
      <c r="AE531" s="37"/>
      <c r="AF531" s="37"/>
      <c r="AG531" s="37"/>
      <c r="AH531" s="37"/>
      <c r="AI531" s="37"/>
      <c r="AJ531" s="37"/>
      <c r="AK531" s="37"/>
      <c r="AL531" s="37"/>
      <c r="AM531" s="37"/>
      <c r="AN531" s="37"/>
      <c r="AO531" s="37"/>
      <c r="AP531" s="37"/>
      <c r="AQ531" s="37"/>
      <c r="AR531" s="37"/>
      <c r="AS531" s="37"/>
      <c r="AT531" s="37"/>
      <c r="AU531" s="37"/>
      <c r="AV531" s="37"/>
      <c r="AW531" s="37"/>
      <c r="AX531" s="37"/>
      <c r="AY531" s="37"/>
      <c r="AZ531" s="37"/>
    </row>
    <row r="532" spans="1:52">
      <c r="A532" s="37"/>
      <c r="B532" s="37"/>
      <c r="C532" s="37"/>
      <c r="D532" s="37"/>
      <c r="E532" s="37"/>
      <c r="F532" s="37"/>
      <c r="G532" s="37"/>
      <c r="H532" s="37"/>
      <c r="I532" s="37"/>
      <c r="J532" s="37"/>
      <c r="K532" s="37"/>
      <c r="L532" s="37"/>
      <c r="M532" s="37"/>
      <c r="N532" s="37"/>
      <c r="O532" s="37"/>
      <c r="P532" s="37"/>
      <c r="Q532" s="37"/>
      <c r="R532" s="37"/>
      <c r="S532" s="37"/>
      <c r="T532" s="37"/>
      <c r="U532" s="37"/>
      <c r="V532" s="37"/>
      <c r="W532" s="37"/>
      <c r="X532" s="37"/>
      <c r="Y532" s="37"/>
      <c r="Z532" s="37"/>
      <c r="AA532" s="37"/>
      <c r="AB532" s="37"/>
      <c r="AC532" s="37"/>
      <c r="AD532" s="37"/>
      <c r="AE532" s="37"/>
      <c r="AF532" s="37"/>
      <c r="AG532" s="37"/>
      <c r="AH532" s="37"/>
      <c r="AI532" s="37"/>
      <c r="AJ532" s="37"/>
      <c r="AK532" s="37"/>
      <c r="AL532" s="37"/>
      <c r="AM532" s="37"/>
      <c r="AN532" s="37"/>
      <c r="AO532" s="37"/>
      <c r="AP532" s="37"/>
      <c r="AQ532" s="37"/>
      <c r="AR532" s="37"/>
      <c r="AS532" s="37"/>
      <c r="AT532" s="37"/>
      <c r="AU532" s="37"/>
      <c r="AV532" s="37"/>
      <c r="AW532" s="37"/>
      <c r="AX532" s="37"/>
      <c r="AY532" s="37"/>
      <c r="AZ532" s="37"/>
    </row>
    <row r="533" spans="1:52">
      <c r="A533" s="37"/>
      <c r="B533" s="37"/>
      <c r="C533" s="37"/>
      <c r="D533" s="37"/>
      <c r="E533" s="37"/>
      <c r="F533" s="37"/>
      <c r="G533" s="37"/>
      <c r="H533" s="37"/>
      <c r="I533" s="37"/>
      <c r="J533" s="37"/>
      <c r="K533" s="37"/>
      <c r="L533" s="37"/>
      <c r="M533" s="37"/>
      <c r="N533" s="37"/>
      <c r="O533" s="37"/>
      <c r="P533" s="37"/>
      <c r="Q533" s="37"/>
      <c r="R533" s="37"/>
      <c r="S533" s="37"/>
      <c r="T533" s="37"/>
      <c r="U533" s="37"/>
      <c r="V533" s="37"/>
      <c r="W533" s="37"/>
      <c r="X533" s="37"/>
      <c r="Y533" s="37"/>
      <c r="Z533" s="37"/>
      <c r="AA533" s="37"/>
      <c r="AB533" s="37"/>
      <c r="AC533" s="37"/>
      <c r="AD533" s="37"/>
      <c r="AE533" s="37"/>
      <c r="AF533" s="37"/>
      <c r="AG533" s="37"/>
      <c r="AH533" s="37"/>
      <c r="AI533" s="37"/>
      <c r="AJ533" s="37"/>
      <c r="AK533" s="37"/>
      <c r="AL533" s="37"/>
      <c r="AM533" s="37"/>
      <c r="AN533" s="37"/>
      <c r="AO533" s="37"/>
      <c r="AP533" s="37"/>
      <c r="AQ533" s="37"/>
      <c r="AR533" s="37"/>
      <c r="AS533" s="37"/>
      <c r="AT533" s="37"/>
      <c r="AU533" s="37"/>
      <c r="AV533" s="37"/>
      <c r="AW533" s="37"/>
      <c r="AX533" s="37"/>
      <c r="AY533" s="37"/>
      <c r="AZ533" s="37"/>
    </row>
    <row r="534" spans="1:52">
      <c r="A534" s="37"/>
      <c r="B534" s="37"/>
      <c r="C534" s="37"/>
      <c r="D534" s="37"/>
      <c r="E534" s="37"/>
      <c r="F534" s="37"/>
      <c r="G534" s="37"/>
      <c r="H534" s="37"/>
      <c r="I534" s="37"/>
      <c r="J534" s="37"/>
      <c r="K534" s="37"/>
      <c r="L534" s="37"/>
      <c r="M534" s="37"/>
      <c r="N534" s="37"/>
      <c r="O534" s="37"/>
      <c r="P534" s="37"/>
      <c r="Q534" s="37"/>
      <c r="R534" s="37"/>
      <c r="S534" s="37"/>
      <c r="T534" s="37"/>
      <c r="U534" s="37"/>
      <c r="V534" s="37"/>
      <c r="W534" s="37"/>
      <c r="X534" s="37"/>
      <c r="Y534" s="37"/>
      <c r="Z534" s="37"/>
      <c r="AA534" s="37"/>
      <c r="AB534" s="37"/>
      <c r="AC534" s="37"/>
      <c r="AD534" s="37"/>
      <c r="AE534" s="37"/>
      <c r="AF534" s="37"/>
      <c r="AG534" s="37"/>
      <c r="AH534" s="37"/>
      <c r="AI534" s="37"/>
      <c r="AJ534" s="37"/>
      <c r="AK534" s="37"/>
      <c r="AL534" s="37"/>
      <c r="AM534" s="37"/>
      <c r="AN534" s="37"/>
      <c r="AO534" s="37"/>
      <c r="AP534" s="37"/>
      <c r="AQ534" s="37"/>
      <c r="AR534" s="37"/>
      <c r="AS534" s="37"/>
      <c r="AT534" s="37"/>
      <c r="AU534" s="37"/>
      <c r="AV534" s="37"/>
      <c r="AW534" s="37"/>
      <c r="AX534" s="37"/>
      <c r="AY534" s="37"/>
      <c r="AZ534" s="37"/>
    </row>
    <row r="535" spans="1:52">
      <c r="A535" s="37"/>
      <c r="B535" s="37"/>
      <c r="C535" s="37"/>
      <c r="D535" s="37"/>
      <c r="E535" s="37"/>
      <c r="F535" s="37"/>
      <c r="G535" s="37"/>
      <c r="H535" s="37"/>
      <c r="I535" s="37"/>
      <c r="J535" s="37"/>
      <c r="K535" s="37"/>
      <c r="L535" s="37"/>
      <c r="M535" s="37"/>
      <c r="N535" s="37"/>
      <c r="O535" s="37"/>
      <c r="P535" s="37"/>
      <c r="Q535" s="37"/>
      <c r="R535" s="37"/>
      <c r="S535" s="37"/>
      <c r="T535" s="37"/>
      <c r="U535" s="37"/>
      <c r="V535" s="37"/>
      <c r="W535" s="37"/>
      <c r="X535" s="37"/>
      <c r="Y535" s="37"/>
      <c r="Z535" s="37"/>
      <c r="AA535" s="37"/>
      <c r="AB535" s="37"/>
      <c r="AC535" s="37"/>
      <c r="AD535" s="37"/>
      <c r="AE535" s="37"/>
      <c r="AF535" s="37"/>
      <c r="AG535" s="37"/>
      <c r="AH535" s="37"/>
      <c r="AI535" s="37"/>
      <c r="AJ535" s="37"/>
      <c r="AK535" s="37"/>
      <c r="AL535" s="37"/>
      <c r="AM535" s="37"/>
      <c r="AN535" s="37"/>
      <c r="AO535" s="37"/>
      <c r="AP535" s="37"/>
      <c r="AQ535" s="37"/>
      <c r="AR535" s="37"/>
      <c r="AS535" s="37"/>
      <c r="AT535" s="37"/>
      <c r="AU535" s="37"/>
      <c r="AV535" s="37"/>
      <c r="AW535" s="37"/>
      <c r="AX535" s="37"/>
      <c r="AY535" s="37"/>
      <c r="AZ535" s="37"/>
    </row>
    <row r="536" spans="1:52">
      <c r="A536" s="37"/>
      <c r="B536" s="37"/>
      <c r="C536" s="37"/>
      <c r="D536" s="37"/>
      <c r="E536" s="37"/>
      <c r="F536" s="37"/>
      <c r="G536" s="37"/>
      <c r="H536" s="37"/>
      <c r="I536" s="37"/>
      <c r="J536" s="37"/>
      <c r="K536" s="37"/>
      <c r="L536" s="37"/>
      <c r="M536" s="37"/>
      <c r="N536" s="37"/>
      <c r="O536" s="37"/>
      <c r="P536" s="37"/>
      <c r="Q536" s="37"/>
      <c r="R536" s="37"/>
      <c r="S536" s="37"/>
      <c r="T536" s="37"/>
      <c r="U536" s="37"/>
      <c r="V536" s="37"/>
      <c r="W536" s="37"/>
      <c r="X536" s="37"/>
      <c r="Y536" s="37"/>
      <c r="Z536" s="37"/>
      <c r="AA536" s="37"/>
      <c r="AB536" s="37"/>
      <c r="AC536" s="37"/>
      <c r="AD536" s="37"/>
      <c r="AE536" s="37"/>
      <c r="AF536" s="37"/>
      <c r="AG536" s="37"/>
      <c r="AH536" s="37"/>
      <c r="AI536" s="37"/>
      <c r="AJ536" s="37"/>
      <c r="AK536" s="37"/>
      <c r="AL536" s="37"/>
      <c r="AM536" s="37"/>
      <c r="AN536" s="37"/>
      <c r="AO536" s="37"/>
      <c r="AP536" s="37"/>
      <c r="AQ536" s="37"/>
      <c r="AR536" s="37"/>
      <c r="AS536" s="37"/>
      <c r="AT536" s="37"/>
      <c r="AU536" s="37"/>
      <c r="AV536" s="37"/>
      <c r="AW536" s="37"/>
      <c r="AX536" s="37"/>
      <c r="AY536" s="37"/>
      <c r="AZ536" s="37"/>
    </row>
    <row r="537" spans="1:52">
      <c r="A537" s="37"/>
      <c r="B537" s="37"/>
      <c r="C537" s="37"/>
      <c r="D537" s="37"/>
      <c r="E537" s="37"/>
      <c r="F537" s="37"/>
      <c r="G537" s="37"/>
      <c r="H537" s="37"/>
      <c r="I537" s="37"/>
      <c r="J537" s="37"/>
      <c r="K537" s="37"/>
      <c r="L537" s="37"/>
      <c r="M537" s="37"/>
      <c r="N537" s="37"/>
      <c r="O537" s="37"/>
      <c r="P537" s="37"/>
      <c r="Q537" s="37"/>
      <c r="R537" s="37"/>
      <c r="S537" s="37"/>
      <c r="T537" s="37"/>
      <c r="U537" s="37"/>
      <c r="V537" s="37"/>
      <c r="W537" s="37"/>
      <c r="X537" s="37"/>
      <c r="Y537" s="37"/>
      <c r="Z537" s="37"/>
      <c r="AA537" s="37"/>
      <c r="AB537" s="37"/>
      <c r="AC537" s="37"/>
      <c r="AD537" s="37"/>
      <c r="AE537" s="37"/>
      <c r="AF537" s="37"/>
      <c r="AG537" s="37"/>
      <c r="AH537" s="37"/>
      <c r="AI537" s="37"/>
      <c r="AJ537" s="37"/>
      <c r="AK537" s="37"/>
      <c r="AL537" s="37"/>
      <c r="AM537" s="37"/>
      <c r="AN537" s="37"/>
      <c r="AO537" s="37"/>
      <c r="AP537" s="37"/>
      <c r="AQ537" s="37"/>
      <c r="AR537" s="37"/>
      <c r="AS537" s="37"/>
      <c r="AT537" s="37"/>
      <c r="AU537" s="37"/>
      <c r="AV537" s="37"/>
      <c r="AW537" s="37"/>
      <c r="AX537" s="37"/>
      <c r="AY537" s="37"/>
      <c r="AZ537" s="37"/>
    </row>
    <row r="538" spans="1:52">
      <c r="A538" s="37"/>
      <c r="B538" s="37"/>
      <c r="C538" s="37"/>
      <c r="D538" s="37"/>
      <c r="E538" s="37"/>
      <c r="F538" s="37"/>
      <c r="G538" s="37"/>
      <c r="H538" s="37"/>
      <c r="I538" s="37"/>
      <c r="J538" s="37"/>
      <c r="K538" s="37"/>
      <c r="L538" s="37"/>
      <c r="M538" s="37"/>
      <c r="N538" s="37"/>
      <c r="O538" s="37"/>
      <c r="P538" s="37"/>
      <c r="Q538" s="37"/>
      <c r="R538" s="37"/>
      <c r="S538" s="37"/>
      <c r="T538" s="37"/>
      <c r="U538" s="37"/>
      <c r="V538" s="37"/>
      <c r="W538" s="37"/>
      <c r="X538" s="37"/>
      <c r="Y538" s="37"/>
      <c r="Z538" s="37"/>
      <c r="AA538" s="37"/>
      <c r="AB538" s="37"/>
      <c r="AC538" s="37"/>
      <c r="AD538" s="37"/>
      <c r="AE538" s="37"/>
      <c r="AF538" s="37"/>
      <c r="AG538" s="37"/>
      <c r="AH538" s="37"/>
      <c r="AI538" s="37"/>
      <c r="AJ538" s="37"/>
      <c r="AK538" s="37"/>
      <c r="AL538" s="37"/>
      <c r="AM538" s="37"/>
      <c r="AN538" s="37"/>
      <c r="AO538" s="37"/>
      <c r="AP538" s="37"/>
      <c r="AQ538" s="37"/>
      <c r="AR538" s="37"/>
      <c r="AS538" s="37"/>
      <c r="AT538" s="37"/>
      <c r="AU538" s="37"/>
      <c r="AV538" s="37"/>
      <c r="AW538" s="37"/>
      <c r="AX538" s="37"/>
      <c r="AY538" s="37"/>
      <c r="AZ538" s="37"/>
    </row>
    <row r="539" spans="1:52">
      <c r="A539" s="37"/>
      <c r="B539" s="37"/>
      <c r="C539" s="37"/>
      <c r="D539" s="37"/>
      <c r="E539" s="37"/>
      <c r="F539" s="37"/>
      <c r="G539" s="37"/>
      <c r="H539" s="37"/>
      <c r="I539" s="37"/>
      <c r="J539" s="37"/>
      <c r="K539" s="37"/>
      <c r="L539" s="37"/>
      <c r="M539" s="37"/>
      <c r="N539" s="37"/>
      <c r="O539" s="37"/>
      <c r="P539" s="37"/>
      <c r="Q539" s="37"/>
      <c r="R539" s="37"/>
      <c r="S539" s="37"/>
      <c r="T539" s="37"/>
      <c r="U539" s="37"/>
      <c r="V539" s="37"/>
      <c r="W539" s="37"/>
      <c r="X539" s="37"/>
      <c r="Y539" s="37"/>
      <c r="Z539" s="37"/>
      <c r="AA539" s="37"/>
      <c r="AB539" s="37"/>
      <c r="AC539" s="37"/>
      <c r="AD539" s="37"/>
      <c r="AE539" s="37"/>
      <c r="AF539" s="37"/>
      <c r="AG539" s="37"/>
      <c r="AH539" s="37"/>
      <c r="AI539" s="37"/>
      <c r="AJ539" s="37"/>
      <c r="AK539" s="37"/>
      <c r="AL539" s="37"/>
      <c r="AM539" s="37"/>
      <c r="AN539" s="37"/>
      <c r="AO539" s="37"/>
      <c r="AP539" s="37"/>
      <c r="AQ539" s="37"/>
      <c r="AR539" s="37"/>
      <c r="AS539" s="37"/>
      <c r="AT539" s="37"/>
      <c r="AU539" s="37"/>
      <c r="AV539" s="37"/>
      <c r="AW539" s="37"/>
      <c r="AX539" s="37"/>
      <c r="AY539" s="37"/>
      <c r="AZ539" s="37"/>
    </row>
    <row r="540" spans="1:52">
      <c r="A540" s="37"/>
      <c r="B540" s="37"/>
      <c r="C540" s="37"/>
      <c r="D540" s="37"/>
      <c r="E540" s="37"/>
      <c r="F540" s="37"/>
      <c r="G540" s="37"/>
      <c r="H540" s="37"/>
      <c r="I540" s="37"/>
      <c r="J540" s="37"/>
      <c r="K540" s="37"/>
      <c r="L540" s="37"/>
      <c r="M540" s="37"/>
      <c r="N540" s="37"/>
      <c r="O540" s="37"/>
      <c r="P540" s="37"/>
      <c r="Q540" s="37"/>
      <c r="R540" s="37"/>
      <c r="S540" s="37"/>
      <c r="T540" s="37"/>
      <c r="U540" s="37"/>
      <c r="V540" s="37"/>
      <c r="W540" s="37"/>
      <c r="X540" s="37"/>
      <c r="Y540" s="37"/>
      <c r="Z540" s="37"/>
      <c r="AA540" s="37"/>
      <c r="AB540" s="37"/>
      <c r="AC540" s="37"/>
      <c r="AD540" s="37"/>
      <c r="AE540" s="37"/>
      <c r="AF540" s="37"/>
      <c r="AG540" s="37"/>
      <c r="AH540" s="37"/>
      <c r="AI540" s="37"/>
      <c r="AJ540" s="37"/>
      <c r="AK540" s="37"/>
      <c r="AL540" s="37"/>
      <c r="AM540" s="37"/>
      <c r="AN540" s="37"/>
      <c r="AO540" s="37"/>
      <c r="AP540" s="37"/>
      <c r="AQ540" s="37"/>
      <c r="AR540" s="37"/>
      <c r="AS540" s="37"/>
      <c r="AT540" s="37"/>
      <c r="AU540" s="37"/>
      <c r="AV540" s="37"/>
      <c r="AW540" s="37"/>
      <c r="AX540" s="37"/>
      <c r="AY540" s="37"/>
      <c r="AZ540" s="37"/>
    </row>
    <row r="541" spans="1:52">
      <c r="A541" s="37"/>
      <c r="B541" s="37"/>
      <c r="C541" s="37"/>
      <c r="D541" s="37"/>
      <c r="E541" s="37"/>
      <c r="F541" s="37"/>
      <c r="G541" s="37"/>
      <c r="H541" s="37"/>
      <c r="I541" s="37"/>
      <c r="J541" s="37"/>
      <c r="K541" s="37"/>
      <c r="L541" s="37"/>
      <c r="M541" s="37"/>
      <c r="N541" s="37"/>
      <c r="O541" s="37"/>
      <c r="P541" s="37"/>
      <c r="Q541" s="37"/>
      <c r="R541" s="37"/>
      <c r="S541" s="37"/>
      <c r="T541" s="37"/>
      <c r="U541" s="37"/>
      <c r="V541" s="37"/>
      <c r="W541" s="37"/>
      <c r="X541" s="37"/>
      <c r="Y541" s="37"/>
      <c r="Z541" s="37"/>
      <c r="AA541" s="37"/>
      <c r="AB541" s="37"/>
      <c r="AC541" s="37"/>
      <c r="AD541" s="37"/>
      <c r="AE541" s="37"/>
      <c r="AF541" s="37"/>
      <c r="AG541" s="37"/>
      <c r="AH541" s="37"/>
      <c r="AI541" s="37"/>
      <c r="AJ541" s="37"/>
      <c r="AK541" s="37"/>
      <c r="AL541" s="37"/>
      <c r="AM541" s="37"/>
      <c r="AN541" s="37"/>
      <c r="AO541" s="37"/>
      <c r="AP541" s="37"/>
      <c r="AQ541" s="37"/>
      <c r="AR541" s="37"/>
      <c r="AS541" s="37"/>
      <c r="AT541" s="37"/>
      <c r="AU541" s="37"/>
      <c r="AV541" s="37"/>
      <c r="AW541" s="37"/>
      <c r="AX541" s="37"/>
      <c r="AY541" s="37"/>
      <c r="AZ541" s="37"/>
    </row>
    <row r="542" spans="1:52">
      <c r="A542" s="37"/>
      <c r="B542" s="37"/>
      <c r="C542" s="37"/>
      <c r="D542" s="37"/>
      <c r="E542" s="37"/>
      <c r="F542" s="37"/>
      <c r="G542" s="37"/>
      <c r="H542" s="37"/>
      <c r="I542" s="37"/>
      <c r="J542" s="37"/>
      <c r="K542" s="37"/>
      <c r="L542" s="37"/>
      <c r="M542" s="37"/>
      <c r="N542" s="37"/>
      <c r="O542" s="37"/>
      <c r="P542" s="37"/>
      <c r="Q542" s="37"/>
      <c r="R542" s="37"/>
      <c r="S542" s="37"/>
      <c r="T542" s="37"/>
      <c r="U542" s="37"/>
      <c r="V542" s="37"/>
      <c r="W542" s="37"/>
      <c r="X542" s="37"/>
      <c r="Y542" s="37"/>
      <c r="Z542" s="37"/>
      <c r="AA542" s="37"/>
      <c r="AB542" s="37"/>
      <c r="AC542" s="37"/>
      <c r="AD542" s="37"/>
      <c r="AE542" s="37"/>
      <c r="AF542" s="37"/>
      <c r="AG542" s="37"/>
      <c r="AH542" s="37"/>
      <c r="AI542" s="37"/>
      <c r="AJ542" s="37"/>
      <c r="AK542" s="37"/>
      <c r="AL542" s="37"/>
      <c r="AM542" s="37"/>
      <c r="AN542" s="37"/>
      <c r="AO542" s="37"/>
      <c r="AP542" s="37"/>
      <c r="AQ542" s="37"/>
      <c r="AR542" s="37"/>
      <c r="AS542" s="37"/>
      <c r="AT542" s="37"/>
      <c r="AU542" s="37"/>
      <c r="AV542" s="37"/>
      <c r="AW542" s="37"/>
      <c r="AX542" s="37"/>
      <c r="AY542" s="37"/>
      <c r="AZ542" s="37"/>
    </row>
    <row r="543" spans="1:52">
      <c r="A543" s="37"/>
      <c r="B543" s="37"/>
      <c r="C543" s="37"/>
      <c r="D543" s="37"/>
      <c r="E543" s="37"/>
      <c r="F543" s="37"/>
      <c r="G543" s="37"/>
      <c r="H543" s="37"/>
      <c r="I543" s="37"/>
      <c r="J543" s="37"/>
      <c r="K543" s="37"/>
      <c r="L543" s="37"/>
      <c r="M543" s="37"/>
      <c r="N543" s="37"/>
      <c r="O543" s="37"/>
      <c r="P543" s="37"/>
      <c r="Q543" s="37"/>
      <c r="R543" s="37"/>
      <c r="S543" s="37"/>
      <c r="T543" s="37"/>
      <c r="U543" s="37"/>
      <c r="V543" s="37"/>
      <c r="W543" s="37"/>
      <c r="X543" s="37"/>
      <c r="Y543" s="37"/>
      <c r="Z543" s="37"/>
      <c r="AA543" s="37"/>
      <c r="AB543" s="37"/>
      <c r="AC543" s="37"/>
      <c r="AD543" s="37"/>
      <c r="AE543" s="37"/>
      <c r="AF543" s="37"/>
      <c r="AG543" s="37"/>
      <c r="AH543" s="37"/>
      <c r="AI543" s="37"/>
      <c r="AJ543" s="37"/>
      <c r="AK543" s="37"/>
      <c r="AL543" s="37"/>
      <c r="AM543" s="37"/>
      <c r="AN543" s="37"/>
      <c r="AO543" s="37"/>
      <c r="AP543" s="37"/>
      <c r="AQ543" s="37"/>
      <c r="AR543" s="37"/>
      <c r="AS543" s="37"/>
      <c r="AT543" s="37"/>
      <c r="AU543" s="37"/>
      <c r="AV543" s="37"/>
      <c r="AW543" s="37"/>
      <c r="AX543" s="37"/>
      <c r="AY543" s="37"/>
      <c r="AZ543" s="37"/>
    </row>
    <row r="544" spans="1:52">
      <c r="A544" s="37"/>
      <c r="B544" s="37"/>
      <c r="C544" s="37"/>
      <c r="D544" s="37"/>
      <c r="E544" s="37"/>
      <c r="F544" s="37"/>
      <c r="G544" s="37"/>
      <c r="H544" s="37"/>
      <c r="I544" s="37"/>
      <c r="J544" s="37"/>
      <c r="K544" s="37"/>
      <c r="L544" s="37"/>
      <c r="M544" s="37"/>
      <c r="N544" s="37"/>
      <c r="O544" s="37"/>
      <c r="P544" s="37"/>
      <c r="Q544" s="37"/>
      <c r="R544" s="37"/>
      <c r="S544" s="37"/>
      <c r="T544" s="37"/>
      <c r="U544" s="37"/>
      <c r="V544" s="37"/>
      <c r="W544" s="37"/>
      <c r="X544" s="37"/>
      <c r="Y544" s="37"/>
      <c r="Z544" s="37"/>
      <c r="AA544" s="37"/>
      <c r="AB544" s="37"/>
      <c r="AC544" s="37"/>
      <c r="AD544" s="37"/>
      <c r="AE544" s="37"/>
      <c r="AF544" s="37"/>
      <c r="AG544" s="37"/>
      <c r="AH544" s="37"/>
      <c r="AI544" s="37"/>
      <c r="AJ544" s="37"/>
      <c r="AK544" s="37"/>
      <c r="AL544" s="37"/>
      <c r="AM544" s="37"/>
      <c r="AN544" s="37"/>
      <c r="AO544" s="37"/>
      <c r="AP544" s="37"/>
      <c r="AQ544" s="37"/>
      <c r="AR544" s="37"/>
      <c r="AS544" s="37"/>
      <c r="AT544" s="37"/>
      <c r="AU544" s="37"/>
      <c r="AV544" s="37"/>
      <c r="AW544" s="37"/>
      <c r="AX544" s="37"/>
      <c r="AY544" s="37"/>
      <c r="AZ544" s="37"/>
    </row>
    <row r="545" spans="1:52">
      <c r="A545" s="37"/>
      <c r="B545" s="37"/>
      <c r="C545" s="37"/>
      <c r="D545" s="37"/>
      <c r="E545" s="37"/>
      <c r="F545" s="37"/>
      <c r="G545" s="37"/>
      <c r="H545" s="37"/>
      <c r="I545" s="37"/>
      <c r="J545" s="37"/>
      <c r="K545" s="37"/>
      <c r="L545" s="37"/>
      <c r="M545" s="37"/>
      <c r="N545" s="37"/>
      <c r="O545" s="37"/>
      <c r="P545" s="37"/>
      <c r="Q545" s="37"/>
      <c r="R545" s="37"/>
      <c r="S545" s="37"/>
      <c r="T545" s="37"/>
      <c r="U545" s="37"/>
      <c r="V545" s="37"/>
      <c r="W545" s="37"/>
      <c r="X545" s="37"/>
      <c r="Y545" s="37"/>
      <c r="Z545" s="37"/>
      <c r="AA545" s="37"/>
      <c r="AB545" s="37"/>
      <c r="AC545" s="37"/>
      <c r="AD545" s="37"/>
      <c r="AE545" s="37"/>
      <c r="AF545" s="37"/>
      <c r="AG545" s="37"/>
      <c r="AH545" s="37"/>
      <c r="AI545" s="37"/>
      <c r="AJ545" s="37"/>
      <c r="AK545" s="37"/>
      <c r="AL545" s="37"/>
      <c r="AM545" s="37"/>
      <c r="AN545" s="37"/>
      <c r="AO545" s="37"/>
      <c r="AP545" s="37"/>
      <c r="AQ545" s="37"/>
      <c r="AR545" s="37"/>
      <c r="AS545" s="37"/>
      <c r="AT545" s="37"/>
      <c r="AU545" s="37"/>
      <c r="AV545" s="37"/>
      <c r="AW545" s="37"/>
      <c r="AX545" s="37"/>
      <c r="AY545" s="37"/>
      <c r="AZ545" s="37"/>
    </row>
    <row r="546" spans="1:52">
      <c r="A546" s="37"/>
      <c r="B546" s="37"/>
      <c r="C546" s="37"/>
      <c r="D546" s="37"/>
      <c r="E546" s="37"/>
      <c r="F546" s="37"/>
      <c r="G546" s="37"/>
      <c r="H546" s="37"/>
      <c r="I546" s="37"/>
      <c r="J546" s="37"/>
      <c r="K546" s="37"/>
      <c r="L546" s="37"/>
      <c r="M546" s="37"/>
      <c r="N546" s="37"/>
      <c r="O546" s="37"/>
      <c r="P546" s="37"/>
      <c r="Q546" s="37"/>
      <c r="R546" s="37"/>
      <c r="S546" s="37"/>
      <c r="T546" s="37"/>
      <c r="U546" s="37"/>
      <c r="V546" s="37"/>
      <c r="W546" s="37"/>
      <c r="X546" s="37"/>
      <c r="Y546" s="37"/>
      <c r="Z546" s="37"/>
      <c r="AA546" s="37"/>
      <c r="AB546" s="37"/>
      <c r="AC546" s="37"/>
      <c r="AD546" s="37"/>
      <c r="AE546" s="37"/>
      <c r="AF546" s="37"/>
      <c r="AG546" s="37"/>
      <c r="AH546" s="37"/>
      <c r="AI546" s="37"/>
      <c r="AJ546" s="37"/>
      <c r="AK546" s="37"/>
      <c r="AL546" s="37"/>
      <c r="AM546" s="37"/>
      <c r="AN546" s="37"/>
      <c r="AO546" s="37"/>
      <c r="AP546" s="37"/>
      <c r="AQ546" s="37"/>
      <c r="AR546" s="37"/>
      <c r="AS546" s="37"/>
      <c r="AT546" s="37"/>
      <c r="AU546" s="37"/>
      <c r="AV546" s="37"/>
      <c r="AW546" s="37"/>
      <c r="AX546" s="37"/>
      <c r="AY546" s="37"/>
      <c r="AZ546" s="37"/>
    </row>
    <row r="547" spans="1:52">
      <c r="A547" s="37"/>
      <c r="B547" s="37"/>
      <c r="C547" s="37"/>
      <c r="D547" s="37"/>
      <c r="E547" s="37"/>
      <c r="F547" s="37"/>
      <c r="G547" s="37"/>
      <c r="H547" s="37"/>
      <c r="I547" s="37"/>
      <c r="J547" s="37"/>
      <c r="K547" s="37"/>
      <c r="L547" s="37"/>
      <c r="M547" s="37"/>
      <c r="N547" s="37"/>
      <c r="O547" s="37"/>
      <c r="P547" s="37"/>
      <c r="Q547" s="37"/>
      <c r="R547" s="37"/>
      <c r="S547" s="37"/>
      <c r="T547" s="37"/>
      <c r="U547" s="37"/>
      <c r="V547" s="37"/>
      <c r="W547" s="37"/>
      <c r="X547" s="37"/>
      <c r="Y547" s="37"/>
      <c r="Z547" s="37"/>
      <c r="AA547" s="37"/>
      <c r="AB547" s="37"/>
      <c r="AC547" s="37"/>
      <c r="AD547" s="37"/>
      <c r="AE547" s="37"/>
      <c r="AF547" s="37"/>
      <c r="AG547" s="37"/>
      <c r="AH547" s="37"/>
      <c r="AI547" s="37"/>
      <c r="AJ547" s="37"/>
      <c r="AK547" s="37"/>
      <c r="AL547" s="37"/>
      <c r="AM547" s="37"/>
      <c r="AN547" s="37"/>
      <c r="AO547" s="37"/>
      <c r="AP547" s="37"/>
      <c r="AQ547" s="37"/>
      <c r="AR547" s="37"/>
      <c r="AS547" s="37"/>
      <c r="AT547" s="37"/>
      <c r="AU547" s="37"/>
      <c r="AV547" s="37"/>
      <c r="AW547" s="37"/>
      <c r="AX547" s="37"/>
      <c r="AY547" s="37"/>
      <c r="AZ547" s="37"/>
    </row>
    <row r="548" spans="1:52">
      <c r="A548" s="37"/>
      <c r="B548" s="37"/>
      <c r="C548" s="37"/>
      <c r="D548" s="37"/>
      <c r="E548" s="37"/>
      <c r="F548" s="37"/>
      <c r="G548" s="37"/>
      <c r="H548" s="37"/>
      <c r="I548" s="37"/>
      <c r="J548" s="37"/>
      <c r="K548" s="37"/>
      <c r="L548" s="37"/>
      <c r="M548" s="37"/>
      <c r="N548" s="37"/>
      <c r="O548" s="37"/>
      <c r="P548" s="37"/>
      <c r="Q548" s="37"/>
      <c r="R548" s="37"/>
      <c r="S548" s="37"/>
      <c r="T548" s="37"/>
      <c r="U548" s="37"/>
      <c r="V548" s="37"/>
      <c r="W548" s="37"/>
      <c r="X548" s="37"/>
      <c r="Y548" s="37"/>
      <c r="Z548" s="37"/>
      <c r="AA548" s="37"/>
      <c r="AB548" s="37"/>
      <c r="AC548" s="37"/>
      <c r="AD548" s="37"/>
      <c r="AE548" s="37"/>
      <c r="AF548" s="37"/>
      <c r="AG548" s="37"/>
      <c r="AH548" s="37"/>
      <c r="AI548" s="37"/>
      <c r="AJ548" s="37"/>
      <c r="AK548" s="37"/>
      <c r="AL548" s="37"/>
      <c r="AM548" s="37"/>
      <c r="AN548" s="37"/>
      <c r="AO548" s="37"/>
      <c r="AP548" s="37"/>
      <c r="AQ548" s="37"/>
      <c r="AR548" s="37"/>
      <c r="AS548" s="37"/>
      <c r="AT548" s="37"/>
      <c r="AU548" s="37"/>
      <c r="AV548" s="37"/>
      <c r="AW548" s="37"/>
      <c r="AX548" s="37"/>
      <c r="AY548" s="37"/>
      <c r="AZ548" s="37"/>
    </row>
    <row r="549" spans="1:52">
      <c r="A549" s="37"/>
      <c r="B549" s="37"/>
      <c r="C549" s="37"/>
      <c r="D549" s="37"/>
      <c r="E549" s="37"/>
      <c r="F549" s="37"/>
      <c r="G549" s="37"/>
      <c r="H549" s="37"/>
      <c r="I549" s="37"/>
      <c r="J549" s="37"/>
      <c r="K549" s="37"/>
      <c r="L549" s="37"/>
      <c r="M549" s="37"/>
      <c r="N549" s="37"/>
      <c r="O549" s="37"/>
      <c r="P549" s="37"/>
      <c r="Q549" s="37"/>
      <c r="R549" s="37"/>
      <c r="S549" s="37"/>
      <c r="T549" s="37"/>
      <c r="U549" s="37"/>
      <c r="V549" s="37"/>
      <c r="W549" s="37"/>
      <c r="X549" s="37"/>
      <c r="Y549" s="37"/>
      <c r="Z549" s="37"/>
      <c r="AA549" s="37"/>
      <c r="AB549" s="37"/>
      <c r="AC549" s="37"/>
      <c r="AD549" s="37"/>
      <c r="AE549" s="37"/>
      <c r="AF549" s="37"/>
      <c r="AG549" s="37"/>
      <c r="AH549" s="37"/>
      <c r="AI549" s="37"/>
      <c r="AJ549" s="37"/>
      <c r="AK549" s="37"/>
      <c r="AL549" s="37"/>
      <c r="AM549" s="37"/>
      <c r="AN549" s="37"/>
      <c r="AO549" s="37"/>
      <c r="AP549" s="37"/>
      <c r="AQ549" s="37"/>
      <c r="AR549" s="37"/>
      <c r="AS549" s="37"/>
      <c r="AT549" s="37"/>
      <c r="AU549" s="37"/>
      <c r="AV549" s="37"/>
      <c r="AW549" s="37"/>
      <c r="AX549" s="37"/>
      <c r="AY549" s="37"/>
      <c r="AZ549" s="37"/>
    </row>
    <row r="550" spans="1:52">
      <c r="A550" s="37"/>
      <c r="B550" s="37"/>
      <c r="C550" s="37"/>
      <c r="D550" s="37"/>
      <c r="E550" s="37"/>
      <c r="F550" s="37"/>
      <c r="G550" s="37"/>
      <c r="H550" s="37"/>
      <c r="I550" s="37"/>
      <c r="J550" s="37"/>
      <c r="K550" s="37"/>
      <c r="L550" s="37"/>
      <c r="M550" s="37"/>
      <c r="N550" s="37"/>
      <c r="O550" s="37"/>
      <c r="P550" s="37"/>
      <c r="Q550" s="37"/>
      <c r="R550" s="37"/>
      <c r="S550" s="37"/>
      <c r="T550" s="37"/>
      <c r="U550" s="37"/>
      <c r="V550" s="37"/>
      <c r="W550" s="37"/>
      <c r="X550" s="37"/>
      <c r="Y550" s="37"/>
      <c r="Z550" s="37"/>
      <c r="AA550" s="37"/>
      <c r="AB550" s="37"/>
      <c r="AC550" s="37"/>
      <c r="AD550" s="37"/>
      <c r="AE550" s="37"/>
      <c r="AF550" s="37"/>
      <c r="AG550" s="37"/>
      <c r="AH550" s="37"/>
      <c r="AI550" s="37"/>
      <c r="AJ550" s="37"/>
      <c r="AK550" s="37"/>
      <c r="AL550" s="37"/>
      <c r="AM550" s="37"/>
      <c r="AN550" s="37"/>
      <c r="AO550" s="37"/>
      <c r="AP550" s="37"/>
      <c r="AQ550" s="37"/>
      <c r="AR550" s="37"/>
      <c r="AS550" s="37"/>
      <c r="AT550" s="37"/>
      <c r="AU550" s="37"/>
      <c r="AV550" s="37"/>
      <c r="AW550" s="37"/>
      <c r="AX550" s="37"/>
      <c r="AY550" s="37"/>
      <c r="AZ550" s="37"/>
    </row>
    <row r="551" spans="1:52">
      <c r="A551" s="37"/>
      <c r="B551" s="37"/>
      <c r="C551" s="37"/>
      <c r="D551" s="37"/>
      <c r="E551" s="37"/>
      <c r="F551" s="37"/>
      <c r="G551" s="37"/>
      <c r="H551" s="37"/>
      <c r="I551" s="37"/>
      <c r="J551" s="37"/>
      <c r="K551" s="37"/>
      <c r="L551" s="37"/>
      <c r="M551" s="37"/>
      <c r="N551" s="37"/>
      <c r="O551" s="37"/>
      <c r="P551" s="37"/>
      <c r="Q551" s="37"/>
      <c r="R551" s="37"/>
      <c r="S551" s="37"/>
      <c r="T551" s="37"/>
      <c r="U551" s="37"/>
      <c r="V551" s="37"/>
      <c r="W551" s="37"/>
      <c r="X551" s="37"/>
      <c r="Y551" s="37"/>
      <c r="Z551" s="37"/>
      <c r="AA551" s="37"/>
      <c r="AB551" s="37"/>
      <c r="AC551" s="37"/>
      <c r="AD551" s="37"/>
      <c r="AE551" s="37"/>
      <c r="AF551" s="37"/>
      <c r="AG551" s="37"/>
      <c r="AH551" s="37"/>
      <c r="AI551" s="37"/>
      <c r="AJ551" s="37"/>
      <c r="AK551" s="37"/>
      <c r="AL551" s="37"/>
      <c r="AM551" s="37"/>
      <c r="AN551" s="37"/>
      <c r="AO551" s="37"/>
      <c r="AP551" s="37"/>
      <c r="AQ551" s="37"/>
      <c r="AR551" s="37"/>
      <c r="AS551" s="37"/>
      <c r="AT551" s="37"/>
      <c r="AU551" s="37"/>
      <c r="AV551" s="37"/>
      <c r="AW551" s="37"/>
      <c r="AX551" s="37"/>
      <c r="AY551" s="37"/>
      <c r="AZ551" s="37"/>
    </row>
    <row r="552" spans="1:52">
      <c r="A552" s="37"/>
      <c r="B552" s="37"/>
      <c r="C552" s="37"/>
      <c r="D552" s="37"/>
      <c r="E552" s="37"/>
      <c r="F552" s="37"/>
      <c r="G552" s="37"/>
      <c r="H552" s="37"/>
      <c r="I552" s="37"/>
      <c r="J552" s="37"/>
      <c r="K552" s="37"/>
      <c r="L552" s="37"/>
      <c r="M552" s="37"/>
      <c r="N552" s="37"/>
      <c r="O552" s="37"/>
      <c r="P552" s="37"/>
      <c r="Q552" s="37"/>
      <c r="R552" s="37"/>
      <c r="S552" s="37"/>
      <c r="T552" s="37"/>
      <c r="U552" s="37"/>
      <c r="V552" s="37"/>
      <c r="W552" s="37"/>
      <c r="X552" s="37"/>
      <c r="Y552" s="37"/>
      <c r="Z552" s="37"/>
      <c r="AA552" s="37"/>
      <c r="AB552" s="37"/>
      <c r="AC552" s="37"/>
      <c r="AD552" s="37"/>
      <c r="AE552" s="37"/>
      <c r="AF552" s="37"/>
      <c r="AG552" s="37"/>
      <c r="AH552" s="37"/>
      <c r="AI552" s="37"/>
      <c r="AJ552" s="37"/>
      <c r="AK552" s="37"/>
      <c r="AL552" s="37"/>
      <c r="AM552" s="37"/>
      <c r="AN552" s="37"/>
      <c r="AO552" s="37"/>
      <c r="AP552" s="37"/>
      <c r="AQ552" s="37"/>
      <c r="AR552" s="37"/>
      <c r="AS552" s="37"/>
      <c r="AT552" s="37"/>
      <c r="AU552" s="37"/>
      <c r="AV552" s="37"/>
      <c r="AW552" s="37"/>
      <c r="AX552" s="37"/>
      <c r="AY552" s="37"/>
      <c r="AZ552" s="37"/>
    </row>
    <row r="553" spans="1:52">
      <c r="A553" s="37"/>
      <c r="B553" s="37"/>
      <c r="C553" s="37"/>
      <c r="D553" s="37"/>
      <c r="E553" s="37"/>
      <c r="F553" s="37"/>
      <c r="G553" s="37"/>
      <c r="H553" s="37"/>
      <c r="I553" s="37"/>
      <c r="J553" s="37"/>
      <c r="K553" s="37"/>
      <c r="L553" s="37"/>
      <c r="M553" s="37"/>
      <c r="N553" s="37"/>
      <c r="O553" s="37"/>
      <c r="P553" s="37"/>
      <c r="Q553" s="37"/>
      <c r="R553" s="37"/>
      <c r="S553" s="37"/>
      <c r="T553" s="37"/>
      <c r="U553" s="37"/>
      <c r="V553" s="37"/>
      <c r="W553" s="37"/>
      <c r="X553" s="37"/>
      <c r="Y553" s="37"/>
      <c r="Z553" s="37"/>
      <c r="AA553" s="37"/>
      <c r="AB553" s="37"/>
      <c r="AC553" s="37"/>
      <c r="AD553" s="37"/>
      <c r="AE553" s="37"/>
      <c r="AF553" s="37"/>
      <c r="AG553" s="37"/>
      <c r="AH553" s="37"/>
      <c r="AI553" s="37"/>
      <c r="AJ553" s="37"/>
      <c r="AK553" s="37"/>
      <c r="AL553" s="37"/>
      <c r="AM553" s="37"/>
      <c r="AN553" s="37"/>
      <c r="AO553" s="37"/>
      <c r="AP553" s="37"/>
      <c r="AQ553" s="37"/>
      <c r="AR553" s="37"/>
      <c r="AS553" s="37"/>
      <c r="AT553" s="37"/>
      <c r="AU553" s="37"/>
      <c r="AV553" s="37"/>
      <c r="AW553" s="37"/>
      <c r="AX553" s="37"/>
      <c r="AY553" s="37"/>
      <c r="AZ553" s="37"/>
    </row>
    <row r="554" spans="1:52">
      <c r="A554" s="37"/>
      <c r="B554" s="37"/>
      <c r="C554" s="37"/>
      <c r="D554" s="37"/>
      <c r="E554" s="37"/>
      <c r="F554" s="37"/>
      <c r="G554" s="37"/>
      <c r="H554" s="37"/>
      <c r="I554" s="37"/>
      <c r="J554" s="37"/>
      <c r="K554" s="37"/>
      <c r="L554" s="37"/>
      <c r="M554" s="37"/>
      <c r="N554" s="37"/>
      <c r="O554" s="37"/>
      <c r="P554" s="37"/>
      <c r="Q554" s="37"/>
      <c r="R554" s="37"/>
      <c r="S554" s="37"/>
      <c r="T554" s="37"/>
      <c r="U554" s="37"/>
      <c r="V554" s="37"/>
      <c r="W554" s="37"/>
      <c r="X554" s="37"/>
      <c r="Y554" s="37"/>
      <c r="Z554" s="37"/>
      <c r="AA554" s="37"/>
      <c r="AB554" s="37"/>
      <c r="AC554" s="37"/>
      <c r="AD554" s="37"/>
      <c r="AE554" s="37"/>
      <c r="AF554" s="37"/>
      <c r="AG554" s="37"/>
      <c r="AH554" s="37"/>
      <c r="AI554" s="37"/>
      <c r="AJ554" s="37"/>
      <c r="AK554" s="37"/>
      <c r="AL554" s="37"/>
      <c r="AM554" s="37"/>
      <c r="AN554" s="37"/>
      <c r="AO554" s="37"/>
      <c r="AP554" s="37"/>
      <c r="AQ554" s="37"/>
      <c r="AR554" s="37"/>
      <c r="AS554" s="37"/>
      <c r="AT554" s="37"/>
      <c r="AU554" s="37"/>
      <c r="AV554" s="37"/>
      <c r="AW554" s="37"/>
      <c r="AX554" s="37"/>
      <c r="AY554" s="37"/>
      <c r="AZ554" s="37"/>
    </row>
    <row r="555" spans="1:52">
      <c r="A555" s="37"/>
      <c r="B555" s="37"/>
      <c r="C555" s="37"/>
      <c r="D555" s="37"/>
      <c r="E555" s="37"/>
      <c r="F555" s="37"/>
      <c r="G555" s="37"/>
      <c r="H555" s="37"/>
      <c r="I555" s="37"/>
      <c r="J555" s="37"/>
      <c r="K555" s="37"/>
      <c r="L555" s="37"/>
      <c r="M555" s="37"/>
      <c r="N555" s="37"/>
      <c r="O555" s="37"/>
      <c r="P555" s="37"/>
      <c r="Q555" s="37"/>
      <c r="R555" s="37"/>
      <c r="S555" s="37"/>
      <c r="T555" s="37"/>
      <c r="U555" s="37"/>
      <c r="V555" s="37"/>
      <c r="W555" s="37"/>
      <c r="X555" s="37"/>
      <c r="Y555" s="37"/>
      <c r="Z555" s="37"/>
      <c r="AA555" s="37"/>
      <c r="AB555" s="37"/>
      <c r="AC555" s="37"/>
      <c r="AD555" s="37"/>
      <c r="AE555" s="37"/>
      <c r="AF555" s="37"/>
      <c r="AG555" s="37"/>
      <c r="AH555" s="37"/>
      <c r="AI555" s="37"/>
      <c r="AJ555" s="37"/>
      <c r="AK555" s="37"/>
      <c r="AL555" s="37"/>
      <c r="AM555" s="37"/>
      <c r="AN555" s="37"/>
      <c r="AO555" s="37"/>
      <c r="AP555" s="37"/>
      <c r="AQ555" s="37"/>
      <c r="AR555" s="37"/>
      <c r="AS555" s="37"/>
      <c r="AT555" s="37"/>
      <c r="AU555" s="37"/>
      <c r="AV555" s="37"/>
      <c r="AW555" s="37"/>
      <c r="AX555" s="37"/>
      <c r="AY555" s="37"/>
      <c r="AZ555" s="37"/>
    </row>
    <row r="556" spans="1:52">
      <c r="A556" s="37"/>
      <c r="B556" s="37"/>
      <c r="C556" s="37"/>
      <c r="D556" s="37"/>
      <c r="E556" s="37"/>
      <c r="F556" s="37"/>
      <c r="G556" s="37"/>
      <c r="H556" s="37"/>
      <c r="I556" s="37"/>
      <c r="J556" s="37"/>
      <c r="K556" s="37"/>
      <c r="L556" s="37"/>
      <c r="M556" s="37"/>
      <c r="N556" s="37"/>
      <c r="O556" s="37"/>
      <c r="P556" s="37"/>
      <c r="Q556" s="37"/>
      <c r="R556" s="37"/>
      <c r="S556" s="37"/>
      <c r="T556" s="37"/>
      <c r="U556" s="37"/>
      <c r="V556" s="37"/>
      <c r="W556" s="37"/>
      <c r="X556" s="37"/>
      <c r="Y556" s="37"/>
      <c r="Z556" s="37"/>
      <c r="AA556" s="37"/>
      <c r="AB556" s="37"/>
      <c r="AC556" s="37"/>
      <c r="AD556" s="37"/>
      <c r="AE556" s="37"/>
      <c r="AF556" s="37"/>
      <c r="AG556" s="37"/>
      <c r="AH556" s="37"/>
      <c r="AI556" s="37"/>
      <c r="AJ556" s="37"/>
      <c r="AK556" s="37"/>
      <c r="AL556" s="37"/>
      <c r="AM556" s="37"/>
      <c r="AN556" s="37"/>
      <c r="AO556" s="37"/>
      <c r="AP556" s="37"/>
      <c r="AQ556" s="37"/>
      <c r="AR556" s="37"/>
      <c r="AS556" s="37"/>
      <c r="AT556" s="37"/>
      <c r="AU556" s="37"/>
      <c r="AV556" s="37"/>
      <c r="AW556" s="37"/>
      <c r="AX556" s="37"/>
      <c r="AY556" s="37"/>
      <c r="AZ556" s="37"/>
    </row>
    <row r="557" spans="1:52">
      <c r="A557" s="37"/>
      <c r="B557" s="37"/>
      <c r="C557" s="37"/>
      <c r="D557" s="37"/>
      <c r="E557" s="37"/>
      <c r="F557" s="37"/>
      <c r="G557" s="37"/>
      <c r="H557" s="37"/>
      <c r="I557" s="37"/>
      <c r="J557" s="37"/>
      <c r="K557" s="37"/>
      <c r="L557" s="37"/>
      <c r="M557" s="37"/>
      <c r="N557" s="37"/>
      <c r="O557" s="37"/>
      <c r="P557" s="37"/>
      <c r="Q557" s="37"/>
      <c r="R557" s="37"/>
      <c r="S557" s="37"/>
      <c r="T557" s="37"/>
      <c r="U557" s="37"/>
      <c r="V557" s="37"/>
      <c r="W557" s="37"/>
      <c r="X557" s="37"/>
      <c r="Y557" s="37"/>
      <c r="Z557" s="37"/>
      <c r="AA557" s="37"/>
      <c r="AB557" s="37"/>
      <c r="AC557" s="37"/>
      <c r="AD557" s="37"/>
      <c r="AE557" s="37"/>
      <c r="AF557" s="37"/>
      <c r="AG557" s="37"/>
      <c r="AH557" s="37"/>
      <c r="AI557" s="37"/>
      <c r="AJ557" s="37"/>
      <c r="AK557" s="37"/>
      <c r="AL557" s="37"/>
      <c r="AM557" s="37"/>
      <c r="AN557" s="37"/>
      <c r="AO557" s="37"/>
      <c r="AP557" s="37"/>
      <c r="AQ557" s="37"/>
      <c r="AR557" s="37"/>
      <c r="AS557" s="37"/>
      <c r="AT557" s="37"/>
      <c r="AU557" s="37"/>
      <c r="AV557" s="37"/>
      <c r="AW557" s="37"/>
      <c r="AX557" s="37"/>
      <c r="AY557" s="37"/>
      <c r="AZ557" s="37"/>
    </row>
    <row r="558" spans="1:52">
      <c r="A558" s="37"/>
      <c r="B558" s="37"/>
      <c r="C558" s="37"/>
      <c r="D558" s="37"/>
      <c r="E558" s="37"/>
      <c r="F558" s="37"/>
      <c r="G558" s="37"/>
      <c r="H558" s="37"/>
      <c r="I558" s="37"/>
      <c r="J558" s="37"/>
      <c r="K558" s="37"/>
      <c r="L558" s="37"/>
      <c r="M558" s="37"/>
      <c r="N558" s="37"/>
      <c r="O558" s="37"/>
      <c r="P558" s="37"/>
      <c r="Q558" s="37"/>
      <c r="R558" s="37"/>
      <c r="S558" s="37"/>
      <c r="T558" s="37"/>
      <c r="U558" s="37"/>
      <c r="V558" s="37"/>
      <c r="W558" s="37"/>
      <c r="X558" s="37"/>
      <c r="Y558" s="37"/>
      <c r="Z558" s="37"/>
      <c r="AA558" s="37"/>
      <c r="AB558" s="37"/>
      <c r="AC558" s="37"/>
      <c r="AD558" s="37"/>
      <c r="AE558" s="37"/>
      <c r="AF558" s="37"/>
      <c r="AG558" s="37"/>
      <c r="AH558" s="37"/>
      <c r="AI558" s="37"/>
      <c r="AJ558" s="37"/>
      <c r="AK558" s="37"/>
      <c r="AL558" s="37"/>
      <c r="AM558" s="37"/>
      <c r="AN558" s="37"/>
      <c r="AO558" s="37"/>
      <c r="AP558" s="37"/>
      <c r="AQ558" s="37"/>
      <c r="AR558" s="37"/>
      <c r="AS558" s="37"/>
      <c r="AT558" s="37"/>
      <c r="AU558" s="37"/>
      <c r="AV558" s="37"/>
      <c r="AW558" s="37"/>
      <c r="AX558" s="37"/>
      <c r="AY558" s="37"/>
      <c r="AZ558" s="37"/>
    </row>
    <row r="559" spans="1:52">
      <c r="A559" s="37"/>
      <c r="B559" s="37"/>
      <c r="C559" s="37"/>
      <c r="D559" s="37"/>
      <c r="E559" s="37"/>
      <c r="F559" s="37"/>
      <c r="G559" s="37"/>
      <c r="H559" s="37"/>
      <c r="I559" s="37"/>
      <c r="J559" s="37"/>
      <c r="K559" s="37"/>
      <c r="L559" s="37"/>
      <c r="M559" s="37"/>
      <c r="N559" s="37"/>
      <c r="O559" s="37"/>
      <c r="P559" s="37"/>
      <c r="Q559" s="37"/>
      <c r="R559" s="37"/>
      <c r="S559" s="37"/>
      <c r="T559" s="37"/>
      <c r="U559" s="37"/>
      <c r="V559" s="37"/>
      <c r="W559" s="37"/>
      <c r="X559" s="37"/>
      <c r="Y559" s="37"/>
      <c r="Z559" s="37"/>
      <c r="AA559" s="37"/>
      <c r="AB559" s="37"/>
      <c r="AC559" s="37"/>
      <c r="AD559" s="37"/>
      <c r="AE559" s="37"/>
      <c r="AF559" s="37"/>
      <c r="AG559" s="37"/>
      <c r="AH559" s="37"/>
      <c r="AI559" s="37"/>
      <c r="AJ559" s="37"/>
      <c r="AK559" s="37"/>
      <c r="AL559" s="37"/>
      <c r="AM559" s="37"/>
      <c r="AN559" s="37"/>
      <c r="AO559" s="37"/>
      <c r="AP559" s="37"/>
      <c r="AQ559" s="37"/>
      <c r="AR559" s="37"/>
      <c r="AS559" s="37"/>
      <c r="AT559" s="37"/>
      <c r="AU559" s="37"/>
      <c r="AV559" s="37"/>
      <c r="AW559" s="37"/>
      <c r="AX559" s="37"/>
      <c r="AY559" s="37"/>
      <c r="AZ559" s="37"/>
    </row>
    <row r="560" spans="1:52">
      <c r="A560" s="37"/>
      <c r="B560" s="37"/>
      <c r="C560" s="37"/>
      <c r="D560" s="37"/>
      <c r="E560" s="37"/>
      <c r="F560" s="37"/>
      <c r="G560" s="37"/>
      <c r="H560" s="37"/>
      <c r="I560" s="37"/>
      <c r="J560" s="37"/>
      <c r="K560" s="37"/>
      <c r="L560" s="37"/>
      <c r="M560" s="37"/>
      <c r="N560" s="37"/>
      <c r="O560" s="37"/>
      <c r="P560" s="37"/>
      <c r="Q560" s="37"/>
      <c r="R560" s="37"/>
      <c r="S560" s="37"/>
      <c r="T560" s="37"/>
      <c r="U560" s="37"/>
      <c r="V560" s="37"/>
      <c r="W560" s="37"/>
      <c r="X560" s="37"/>
      <c r="Y560" s="37"/>
      <c r="Z560" s="37"/>
      <c r="AA560" s="37"/>
      <c r="AB560" s="37"/>
      <c r="AC560" s="37"/>
      <c r="AD560" s="37"/>
      <c r="AE560" s="37"/>
      <c r="AF560" s="37"/>
      <c r="AG560" s="37"/>
      <c r="AH560" s="37"/>
      <c r="AI560" s="37"/>
      <c r="AJ560" s="37"/>
      <c r="AK560" s="37"/>
      <c r="AL560" s="37"/>
      <c r="AM560" s="37"/>
      <c r="AN560" s="37"/>
      <c r="AO560" s="37"/>
      <c r="AP560" s="37"/>
      <c r="AQ560" s="37"/>
      <c r="AR560" s="37"/>
      <c r="AS560" s="37"/>
      <c r="AT560" s="37"/>
      <c r="AU560" s="37"/>
      <c r="AV560" s="37"/>
      <c r="AW560" s="37"/>
      <c r="AX560" s="37"/>
      <c r="AY560" s="37"/>
      <c r="AZ560" s="37"/>
    </row>
    <row r="561" spans="1:52">
      <c r="A561" s="37"/>
      <c r="B561" s="37"/>
      <c r="C561" s="37"/>
      <c r="D561" s="37"/>
      <c r="E561" s="37"/>
      <c r="F561" s="37"/>
      <c r="G561" s="37"/>
      <c r="H561" s="37"/>
      <c r="I561" s="37"/>
      <c r="J561" s="37"/>
      <c r="K561" s="37"/>
      <c r="L561" s="37"/>
      <c r="M561" s="37"/>
      <c r="N561" s="37"/>
      <c r="O561" s="37"/>
      <c r="P561" s="37"/>
      <c r="Q561" s="37"/>
      <c r="R561" s="37"/>
      <c r="S561" s="37"/>
      <c r="T561" s="37"/>
      <c r="U561" s="37"/>
      <c r="V561" s="37"/>
      <c r="W561" s="37"/>
      <c r="X561" s="37"/>
      <c r="Y561" s="37"/>
      <c r="Z561" s="37"/>
      <c r="AA561" s="37"/>
      <c r="AB561" s="37"/>
      <c r="AC561" s="37"/>
      <c r="AD561" s="37"/>
      <c r="AE561" s="37"/>
      <c r="AF561" s="37"/>
      <c r="AG561" s="37"/>
      <c r="AH561" s="37"/>
      <c r="AI561" s="37"/>
      <c r="AJ561" s="37"/>
      <c r="AK561" s="37"/>
      <c r="AL561" s="37"/>
      <c r="AM561" s="37"/>
      <c r="AN561" s="37"/>
      <c r="AO561" s="37"/>
      <c r="AP561" s="37"/>
      <c r="AQ561" s="37"/>
      <c r="AR561" s="37"/>
      <c r="AS561" s="37"/>
      <c r="AT561" s="37"/>
      <c r="AU561" s="37"/>
      <c r="AV561" s="37"/>
      <c r="AW561" s="37"/>
      <c r="AX561" s="37"/>
      <c r="AY561" s="37"/>
      <c r="AZ561" s="37"/>
    </row>
    <row r="562" spans="1:52">
      <c r="A562" s="37"/>
      <c r="B562" s="37"/>
      <c r="C562" s="37"/>
      <c r="D562" s="37"/>
      <c r="E562" s="37"/>
      <c r="F562" s="37"/>
      <c r="G562" s="37"/>
      <c r="H562" s="37"/>
      <c r="I562" s="37"/>
      <c r="J562" s="37"/>
      <c r="K562" s="37"/>
      <c r="L562" s="37"/>
      <c r="M562" s="37"/>
      <c r="N562" s="37"/>
      <c r="O562" s="37"/>
      <c r="P562" s="37"/>
      <c r="Q562" s="37"/>
      <c r="R562" s="37"/>
      <c r="S562" s="37"/>
      <c r="T562" s="37"/>
      <c r="U562" s="37"/>
      <c r="V562" s="37"/>
      <c r="W562" s="37"/>
      <c r="X562" s="37"/>
      <c r="Y562" s="37"/>
      <c r="Z562" s="37"/>
      <c r="AA562" s="37"/>
      <c r="AB562" s="37"/>
      <c r="AC562" s="37"/>
      <c r="AD562" s="37"/>
      <c r="AE562" s="37"/>
      <c r="AF562" s="37"/>
      <c r="AG562" s="37"/>
      <c r="AH562" s="37"/>
      <c r="AI562" s="37"/>
      <c r="AJ562" s="37"/>
      <c r="AK562" s="37"/>
      <c r="AL562" s="37"/>
      <c r="AM562" s="37"/>
      <c r="AN562" s="37"/>
      <c r="AO562" s="37"/>
      <c r="AP562" s="37"/>
      <c r="AQ562" s="37"/>
      <c r="AR562" s="37"/>
      <c r="AS562" s="37"/>
      <c r="AT562" s="37"/>
      <c r="AU562" s="37"/>
      <c r="AV562" s="37"/>
      <c r="AW562" s="37"/>
      <c r="AX562" s="37"/>
      <c r="AY562" s="37"/>
      <c r="AZ562" s="37"/>
    </row>
    <row r="563" spans="1:52">
      <c r="A563" s="37"/>
      <c r="B563" s="37"/>
      <c r="C563" s="37"/>
      <c r="D563" s="37"/>
      <c r="E563" s="37"/>
      <c r="F563" s="37"/>
      <c r="G563" s="37"/>
      <c r="H563" s="37"/>
      <c r="I563" s="37"/>
      <c r="J563" s="37"/>
      <c r="K563" s="37"/>
      <c r="L563" s="37"/>
      <c r="M563" s="37"/>
      <c r="N563" s="37"/>
      <c r="O563" s="37"/>
      <c r="P563" s="37"/>
      <c r="Q563" s="37"/>
      <c r="R563" s="37"/>
      <c r="S563" s="37"/>
      <c r="T563" s="37"/>
      <c r="U563" s="37"/>
      <c r="V563" s="37"/>
      <c r="W563" s="37"/>
      <c r="X563" s="37"/>
      <c r="Y563" s="37"/>
      <c r="Z563" s="37"/>
      <c r="AA563" s="37"/>
      <c r="AB563" s="37"/>
      <c r="AC563" s="37"/>
      <c r="AD563" s="37"/>
      <c r="AE563" s="37"/>
      <c r="AF563" s="37"/>
      <c r="AG563" s="37"/>
      <c r="AH563" s="37"/>
      <c r="AI563" s="37"/>
      <c r="AJ563" s="37"/>
      <c r="AK563" s="37"/>
      <c r="AL563" s="37"/>
      <c r="AM563" s="37"/>
      <c r="AN563" s="37"/>
      <c r="AO563" s="37"/>
      <c r="AP563" s="37"/>
      <c r="AQ563" s="37"/>
      <c r="AR563" s="37"/>
      <c r="AS563" s="37"/>
      <c r="AT563" s="37"/>
      <c r="AU563" s="37"/>
      <c r="AV563" s="37"/>
      <c r="AW563" s="37"/>
      <c r="AX563" s="37"/>
      <c r="AY563" s="37"/>
      <c r="AZ563" s="37"/>
    </row>
    <row r="564" spans="1:52">
      <c r="A564" s="37"/>
      <c r="B564" s="37"/>
      <c r="C564" s="37"/>
      <c r="D564" s="37"/>
      <c r="E564" s="37"/>
      <c r="F564" s="37"/>
      <c r="G564" s="37"/>
      <c r="H564" s="37"/>
      <c r="I564" s="37"/>
      <c r="J564" s="37"/>
      <c r="K564" s="37"/>
      <c r="L564" s="37"/>
      <c r="M564" s="37"/>
      <c r="N564" s="37"/>
      <c r="O564" s="37"/>
      <c r="P564" s="37"/>
      <c r="Q564" s="37"/>
      <c r="R564" s="37"/>
      <c r="S564" s="37"/>
      <c r="T564" s="37"/>
      <c r="U564" s="37"/>
      <c r="V564" s="37"/>
      <c r="W564" s="37"/>
      <c r="X564" s="37"/>
      <c r="Y564" s="37"/>
      <c r="Z564" s="37"/>
      <c r="AA564" s="37"/>
      <c r="AB564" s="37"/>
      <c r="AC564" s="37"/>
      <c r="AD564" s="37"/>
      <c r="AE564" s="37"/>
      <c r="AF564" s="37"/>
      <c r="AG564" s="37"/>
      <c r="AH564" s="37"/>
      <c r="AI564" s="37"/>
      <c r="AJ564" s="37"/>
      <c r="AK564" s="37"/>
      <c r="AL564" s="37"/>
      <c r="AM564" s="37"/>
      <c r="AN564" s="37"/>
      <c r="AO564" s="37"/>
      <c r="AP564" s="37"/>
      <c r="AQ564" s="37"/>
      <c r="AR564" s="37"/>
      <c r="AS564" s="37"/>
      <c r="AT564" s="37"/>
      <c r="AU564" s="37"/>
      <c r="AV564" s="37"/>
      <c r="AW564" s="37"/>
      <c r="AX564" s="37"/>
      <c r="AY564" s="37"/>
      <c r="AZ564" s="37"/>
    </row>
    <row r="565" spans="1:52">
      <c r="A565" s="37"/>
      <c r="B565" s="37"/>
      <c r="C565" s="37"/>
      <c r="D565" s="37"/>
      <c r="E565" s="37"/>
      <c r="F565" s="37"/>
      <c r="G565" s="37"/>
      <c r="H565" s="37"/>
      <c r="I565" s="37"/>
      <c r="J565" s="37"/>
      <c r="K565" s="37"/>
      <c r="L565" s="37"/>
      <c r="M565" s="37"/>
      <c r="N565" s="37"/>
      <c r="O565" s="37"/>
      <c r="P565" s="37"/>
      <c r="Q565" s="37"/>
      <c r="R565" s="37"/>
      <c r="S565" s="37"/>
      <c r="T565" s="37"/>
      <c r="U565" s="37"/>
      <c r="V565" s="37"/>
      <c r="W565" s="37"/>
      <c r="X565" s="37"/>
      <c r="Y565" s="37"/>
      <c r="Z565" s="37"/>
      <c r="AA565" s="37"/>
      <c r="AB565" s="37"/>
      <c r="AC565" s="37"/>
      <c r="AD565" s="37"/>
      <c r="AE565" s="37"/>
      <c r="AF565" s="37"/>
      <c r="AG565" s="37"/>
      <c r="AH565" s="37"/>
      <c r="AI565" s="37"/>
      <c r="AJ565" s="37"/>
      <c r="AK565" s="37"/>
      <c r="AL565" s="37"/>
      <c r="AM565" s="37"/>
      <c r="AN565" s="37"/>
      <c r="AO565" s="37"/>
      <c r="AP565" s="37"/>
      <c r="AQ565" s="37"/>
      <c r="AR565" s="37"/>
      <c r="AS565" s="37"/>
      <c r="AT565" s="37"/>
      <c r="AU565" s="37"/>
      <c r="AV565" s="37"/>
      <c r="AW565" s="37"/>
      <c r="AX565" s="37"/>
      <c r="AY565" s="37"/>
      <c r="AZ565" s="37"/>
    </row>
    <row r="566" spans="1:52">
      <c r="A566" s="37"/>
      <c r="B566" s="37"/>
      <c r="C566" s="37"/>
      <c r="D566" s="37"/>
      <c r="E566" s="37"/>
      <c r="F566" s="37"/>
      <c r="G566" s="37"/>
      <c r="H566" s="37"/>
      <c r="I566" s="37"/>
      <c r="J566" s="37"/>
      <c r="K566" s="37"/>
      <c r="L566" s="37"/>
      <c r="M566" s="37"/>
      <c r="N566" s="37"/>
      <c r="O566" s="37"/>
      <c r="P566" s="37"/>
      <c r="Q566" s="37"/>
      <c r="R566" s="37"/>
      <c r="S566" s="37"/>
      <c r="T566" s="37"/>
      <c r="U566" s="37"/>
      <c r="V566" s="37"/>
      <c r="W566" s="37"/>
      <c r="X566" s="37"/>
      <c r="Y566" s="37"/>
      <c r="Z566" s="37"/>
      <c r="AA566" s="37"/>
      <c r="AB566" s="37"/>
      <c r="AC566" s="37"/>
      <c r="AD566" s="37"/>
      <c r="AE566" s="37"/>
      <c r="AF566" s="37"/>
      <c r="AG566" s="37"/>
      <c r="AH566" s="37"/>
      <c r="AI566" s="37"/>
      <c r="AJ566" s="37"/>
      <c r="AK566" s="37"/>
      <c r="AL566" s="37"/>
      <c r="AM566" s="37"/>
      <c r="AN566" s="37"/>
      <c r="AO566" s="37"/>
      <c r="AP566" s="37"/>
      <c r="AQ566" s="37"/>
      <c r="AR566" s="37"/>
      <c r="AS566" s="37"/>
      <c r="AT566" s="37"/>
      <c r="AU566" s="37"/>
      <c r="AV566" s="37"/>
      <c r="AW566" s="37"/>
      <c r="AX566" s="37"/>
      <c r="AY566" s="37"/>
      <c r="AZ566" s="37"/>
    </row>
    <row r="567" spans="1:52">
      <c r="A567" s="37"/>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c r="AA567" s="37"/>
      <c r="AB567" s="37"/>
      <c r="AC567" s="37"/>
      <c r="AD567" s="37"/>
      <c r="AE567" s="37"/>
      <c r="AF567" s="37"/>
      <c r="AG567" s="37"/>
      <c r="AH567" s="37"/>
      <c r="AI567" s="37"/>
      <c r="AJ567" s="37"/>
      <c r="AK567" s="37"/>
      <c r="AL567" s="37"/>
      <c r="AM567" s="37"/>
      <c r="AN567" s="37"/>
      <c r="AO567" s="37"/>
      <c r="AP567" s="37"/>
      <c r="AQ567" s="37"/>
      <c r="AR567" s="37"/>
      <c r="AS567" s="37"/>
      <c r="AT567" s="37"/>
      <c r="AU567" s="37"/>
      <c r="AV567" s="37"/>
      <c r="AW567" s="37"/>
      <c r="AX567" s="37"/>
      <c r="AY567" s="37"/>
      <c r="AZ567" s="37"/>
    </row>
    <row r="568" spans="1:52">
      <c r="A568" s="37"/>
      <c r="B568" s="37"/>
      <c r="C568" s="37"/>
      <c r="D568" s="37"/>
      <c r="E568" s="37"/>
      <c r="F568" s="37"/>
      <c r="G568" s="37"/>
      <c r="H568" s="37"/>
      <c r="I568" s="37"/>
      <c r="J568" s="37"/>
      <c r="K568" s="37"/>
      <c r="L568" s="37"/>
      <c r="M568" s="37"/>
      <c r="N568" s="37"/>
      <c r="O568" s="37"/>
      <c r="P568" s="37"/>
      <c r="Q568" s="37"/>
      <c r="R568" s="37"/>
      <c r="S568" s="37"/>
      <c r="T568" s="37"/>
      <c r="U568" s="37"/>
      <c r="V568" s="37"/>
      <c r="W568" s="37"/>
      <c r="X568" s="37"/>
      <c r="Y568" s="37"/>
      <c r="Z568" s="37"/>
      <c r="AA568" s="37"/>
      <c r="AB568" s="37"/>
      <c r="AC568" s="37"/>
      <c r="AD568" s="37"/>
      <c r="AE568" s="37"/>
      <c r="AF568" s="37"/>
      <c r="AG568" s="37"/>
      <c r="AH568" s="37"/>
      <c r="AI568" s="37"/>
      <c r="AJ568" s="37"/>
      <c r="AK568" s="37"/>
      <c r="AL568" s="37"/>
      <c r="AM568" s="37"/>
      <c r="AN568" s="37"/>
      <c r="AO568" s="37"/>
      <c r="AP568" s="37"/>
      <c r="AQ568" s="37"/>
      <c r="AR568" s="37"/>
      <c r="AS568" s="37"/>
      <c r="AT568" s="37"/>
      <c r="AU568" s="37"/>
      <c r="AV568" s="37"/>
      <c r="AW568" s="37"/>
      <c r="AX568" s="37"/>
      <c r="AY568" s="37"/>
      <c r="AZ568" s="37"/>
    </row>
    <row r="569" spans="1:52">
      <c r="A569" s="37"/>
      <c r="B569" s="37"/>
      <c r="C569" s="37"/>
      <c r="D569" s="37"/>
      <c r="E569" s="37"/>
      <c r="F569" s="37"/>
      <c r="G569" s="37"/>
      <c r="H569" s="37"/>
      <c r="I569" s="37"/>
      <c r="J569" s="37"/>
      <c r="K569" s="37"/>
      <c r="L569" s="37"/>
      <c r="M569" s="37"/>
      <c r="N569" s="37"/>
      <c r="O569" s="37"/>
      <c r="P569" s="37"/>
      <c r="Q569" s="37"/>
      <c r="R569" s="37"/>
      <c r="S569" s="37"/>
      <c r="T569" s="37"/>
      <c r="U569" s="37"/>
      <c r="V569" s="37"/>
      <c r="W569" s="37"/>
      <c r="X569" s="37"/>
      <c r="Y569" s="37"/>
      <c r="Z569" s="37"/>
      <c r="AA569" s="37"/>
      <c r="AB569" s="37"/>
      <c r="AC569" s="37"/>
      <c r="AD569" s="37"/>
      <c r="AE569" s="37"/>
      <c r="AF569" s="37"/>
      <c r="AG569" s="37"/>
      <c r="AH569" s="37"/>
      <c r="AI569" s="37"/>
      <c r="AJ569" s="37"/>
      <c r="AK569" s="37"/>
      <c r="AL569" s="37"/>
      <c r="AM569" s="37"/>
      <c r="AN569" s="37"/>
      <c r="AO569" s="37"/>
      <c r="AP569" s="37"/>
      <c r="AQ569" s="37"/>
      <c r="AR569" s="37"/>
      <c r="AS569" s="37"/>
      <c r="AT569" s="37"/>
      <c r="AU569" s="37"/>
      <c r="AV569" s="37"/>
      <c r="AW569" s="37"/>
      <c r="AX569" s="37"/>
      <c r="AY569" s="37"/>
      <c r="AZ569" s="37"/>
    </row>
    <row r="570" spans="1:52">
      <c r="A570" s="37"/>
      <c r="B570" s="37"/>
      <c r="C570" s="37"/>
      <c r="D570" s="37"/>
      <c r="E570" s="37"/>
      <c r="F570" s="37"/>
      <c r="G570" s="37"/>
      <c r="H570" s="37"/>
      <c r="I570" s="37"/>
      <c r="J570" s="37"/>
      <c r="K570" s="37"/>
      <c r="L570" s="37"/>
      <c r="M570" s="37"/>
      <c r="N570" s="37"/>
      <c r="O570" s="37"/>
      <c r="P570" s="37"/>
      <c r="Q570" s="37"/>
      <c r="R570" s="37"/>
      <c r="S570" s="37"/>
      <c r="T570" s="37"/>
      <c r="U570" s="37"/>
      <c r="V570" s="37"/>
      <c r="W570" s="37"/>
      <c r="X570" s="37"/>
      <c r="Y570" s="37"/>
      <c r="Z570" s="37"/>
      <c r="AA570" s="37"/>
      <c r="AB570" s="37"/>
      <c r="AC570" s="37"/>
      <c r="AD570" s="37"/>
      <c r="AE570" s="37"/>
      <c r="AF570" s="37"/>
      <c r="AG570" s="37"/>
      <c r="AH570" s="37"/>
      <c r="AI570" s="37"/>
      <c r="AJ570" s="37"/>
      <c r="AK570" s="37"/>
      <c r="AL570" s="37"/>
      <c r="AM570" s="37"/>
      <c r="AN570" s="37"/>
      <c r="AO570" s="37"/>
      <c r="AP570" s="37"/>
      <c r="AQ570" s="37"/>
      <c r="AR570" s="37"/>
      <c r="AS570" s="37"/>
      <c r="AT570" s="37"/>
      <c r="AU570" s="37"/>
      <c r="AV570" s="37"/>
      <c r="AW570" s="37"/>
      <c r="AX570" s="37"/>
      <c r="AY570" s="37"/>
      <c r="AZ570" s="37"/>
    </row>
    <row r="571" spans="1:52">
      <c r="A571" s="37"/>
      <c r="B571" s="37"/>
      <c r="C571" s="37"/>
      <c r="D571" s="37"/>
      <c r="E571" s="37"/>
      <c r="F571" s="37"/>
      <c r="G571" s="37"/>
      <c r="H571" s="37"/>
      <c r="I571" s="37"/>
      <c r="J571" s="37"/>
      <c r="K571" s="37"/>
      <c r="L571" s="37"/>
      <c r="M571" s="37"/>
      <c r="N571" s="37"/>
      <c r="O571" s="37"/>
      <c r="P571" s="37"/>
      <c r="Q571" s="37"/>
      <c r="R571" s="37"/>
      <c r="S571" s="37"/>
      <c r="T571" s="37"/>
      <c r="U571" s="37"/>
      <c r="V571" s="37"/>
      <c r="W571" s="37"/>
      <c r="X571" s="37"/>
      <c r="Y571" s="37"/>
      <c r="Z571" s="37"/>
      <c r="AA571" s="37"/>
      <c r="AB571" s="37"/>
      <c r="AC571" s="37"/>
      <c r="AD571" s="37"/>
      <c r="AE571" s="37"/>
      <c r="AF571" s="37"/>
      <c r="AG571" s="37"/>
      <c r="AH571" s="37"/>
      <c r="AI571" s="37"/>
      <c r="AJ571" s="37"/>
      <c r="AK571" s="37"/>
      <c r="AL571" s="37"/>
      <c r="AM571" s="37"/>
      <c r="AN571" s="37"/>
      <c r="AO571" s="37"/>
      <c r="AP571" s="37"/>
      <c r="AQ571" s="37"/>
      <c r="AR571" s="37"/>
      <c r="AS571" s="37"/>
      <c r="AT571" s="37"/>
      <c r="AU571" s="37"/>
      <c r="AV571" s="37"/>
      <c r="AW571" s="37"/>
      <c r="AX571" s="37"/>
      <c r="AY571" s="37"/>
      <c r="AZ571" s="37"/>
    </row>
    <row r="572" spans="1:52">
      <c r="A572" s="37"/>
      <c r="B572" s="37"/>
      <c r="C572" s="37"/>
      <c r="D572" s="37"/>
      <c r="E572" s="37"/>
      <c r="F572" s="37"/>
      <c r="G572" s="37"/>
      <c r="H572" s="37"/>
      <c r="I572" s="37"/>
      <c r="J572" s="37"/>
      <c r="K572" s="37"/>
      <c r="L572" s="37"/>
      <c r="M572" s="37"/>
      <c r="N572" s="37"/>
      <c r="O572" s="37"/>
      <c r="P572" s="37"/>
      <c r="Q572" s="37"/>
      <c r="R572" s="37"/>
      <c r="S572" s="37"/>
      <c r="T572" s="37"/>
      <c r="U572" s="37"/>
      <c r="V572" s="37"/>
      <c r="W572" s="37"/>
      <c r="X572" s="37"/>
      <c r="Y572" s="37"/>
      <c r="Z572" s="37"/>
      <c r="AA572" s="37"/>
      <c r="AB572" s="37"/>
      <c r="AC572" s="37"/>
      <c r="AD572" s="37"/>
      <c r="AE572" s="37"/>
      <c r="AF572" s="37"/>
      <c r="AG572" s="37"/>
      <c r="AH572" s="37"/>
      <c r="AI572" s="37"/>
      <c r="AJ572" s="37"/>
      <c r="AK572" s="37"/>
      <c r="AL572" s="37"/>
      <c r="AM572" s="37"/>
      <c r="AN572" s="37"/>
      <c r="AO572" s="37"/>
      <c r="AP572" s="37"/>
      <c r="AQ572" s="37"/>
      <c r="AR572" s="37"/>
      <c r="AS572" s="37"/>
      <c r="AT572" s="37"/>
      <c r="AU572" s="37"/>
      <c r="AV572" s="37"/>
      <c r="AW572" s="37"/>
      <c r="AX572" s="37"/>
      <c r="AY572" s="37"/>
      <c r="AZ572" s="37"/>
    </row>
    <row r="573" spans="1:52">
      <c r="A573" s="37"/>
      <c r="B573" s="37"/>
      <c r="C573" s="37"/>
      <c r="D573" s="37"/>
      <c r="E573" s="37"/>
      <c r="F573" s="37"/>
      <c r="G573" s="37"/>
      <c r="H573" s="37"/>
      <c r="I573" s="37"/>
      <c r="J573" s="37"/>
      <c r="K573" s="37"/>
      <c r="L573" s="37"/>
      <c r="M573" s="37"/>
      <c r="N573" s="37"/>
      <c r="O573" s="37"/>
      <c r="P573" s="37"/>
      <c r="Q573" s="37"/>
      <c r="R573" s="37"/>
      <c r="S573" s="37"/>
      <c r="T573" s="37"/>
      <c r="U573" s="37"/>
      <c r="V573" s="37"/>
      <c r="W573" s="37"/>
      <c r="X573" s="37"/>
      <c r="Y573" s="37"/>
      <c r="Z573" s="37"/>
      <c r="AA573" s="37"/>
      <c r="AB573" s="37"/>
      <c r="AC573" s="37"/>
      <c r="AD573" s="37"/>
      <c r="AE573" s="37"/>
      <c r="AF573" s="37"/>
      <c r="AG573" s="37"/>
      <c r="AH573" s="37"/>
      <c r="AI573" s="37"/>
      <c r="AJ573" s="37"/>
      <c r="AK573" s="37"/>
      <c r="AL573" s="37"/>
      <c r="AM573" s="37"/>
      <c r="AN573" s="37"/>
      <c r="AO573" s="37"/>
      <c r="AP573" s="37"/>
      <c r="AQ573" s="37"/>
      <c r="AR573" s="37"/>
      <c r="AS573" s="37"/>
      <c r="AT573" s="37"/>
      <c r="AU573" s="37"/>
      <c r="AV573" s="37"/>
      <c r="AW573" s="37"/>
      <c r="AX573" s="37"/>
      <c r="AY573" s="37"/>
      <c r="AZ573" s="37"/>
    </row>
    <row r="574" spans="1:52">
      <c r="A574" s="37"/>
      <c r="B574" s="37"/>
      <c r="C574" s="37"/>
      <c r="D574" s="37"/>
      <c r="E574" s="37"/>
      <c r="F574" s="37"/>
      <c r="G574" s="37"/>
      <c r="H574" s="37"/>
      <c r="I574" s="37"/>
      <c r="J574" s="37"/>
      <c r="K574" s="37"/>
      <c r="L574" s="37"/>
      <c r="M574" s="37"/>
      <c r="N574" s="37"/>
      <c r="O574" s="37"/>
      <c r="P574" s="37"/>
      <c r="Q574" s="37"/>
      <c r="R574" s="37"/>
      <c r="S574" s="37"/>
      <c r="T574" s="37"/>
      <c r="U574" s="37"/>
      <c r="V574" s="37"/>
      <c r="W574" s="37"/>
      <c r="X574" s="37"/>
      <c r="Y574" s="37"/>
      <c r="Z574" s="37"/>
      <c r="AA574" s="37"/>
      <c r="AB574" s="37"/>
      <c r="AC574" s="37"/>
      <c r="AD574" s="37"/>
      <c r="AE574" s="37"/>
      <c r="AF574" s="37"/>
      <c r="AG574" s="37"/>
      <c r="AH574" s="37"/>
      <c r="AI574" s="37"/>
      <c r="AJ574" s="37"/>
      <c r="AK574" s="37"/>
      <c r="AL574" s="37"/>
      <c r="AM574" s="37"/>
      <c r="AN574" s="37"/>
      <c r="AO574" s="37"/>
      <c r="AP574" s="37"/>
      <c r="AQ574" s="37"/>
      <c r="AR574" s="37"/>
      <c r="AS574" s="37"/>
      <c r="AT574" s="37"/>
      <c r="AU574" s="37"/>
      <c r="AV574" s="37"/>
      <c r="AW574" s="37"/>
      <c r="AX574" s="37"/>
      <c r="AY574" s="37"/>
      <c r="AZ574" s="37"/>
    </row>
    <row r="575" spans="1:52">
      <c r="A575" s="37"/>
      <c r="B575" s="37"/>
      <c r="C575" s="37"/>
      <c r="D575" s="37"/>
      <c r="E575" s="37"/>
      <c r="F575" s="37"/>
      <c r="G575" s="37"/>
      <c r="H575" s="37"/>
      <c r="I575" s="37"/>
      <c r="J575" s="37"/>
      <c r="K575" s="37"/>
      <c r="L575" s="37"/>
      <c r="M575" s="37"/>
      <c r="N575" s="37"/>
      <c r="O575" s="37"/>
      <c r="P575" s="37"/>
      <c r="Q575" s="37"/>
      <c r="R575" s="37"/>
      <c r="S575" s="37"/>
      <c r="T575" s="37"/>
      <c r="U575" s="37"/>
      <c r="V575" s="37"/>
      <c r="W575" s="37"/>
      <c r="X575" s="37"/>
      <c r="Y575" s="37"/>
      <c r="Z575" s="37"/>
      <c r="AA575" s="37"/>
      <c r="AB575" s="37"/>
      <c r="AC575" s="37"/>
      <c r="AD575" s="37"/>
      <c r="AE575" s="37"/>
      <c r="AF575" s="37"/>
      <c r="AG575" s="37"/>
      <c r="AH575" s="37"/>
      <c r="AI575" s="37"/>
      <c r="AJ575" s="37"/>
      <c r="AK575" s="37"/>
      <c r="AL575" s="37"/>
      <c r="AM575" s="37"/>
      <c r="AN575" s="37"/>
      <c r="AO575" s="37"/>
      <c r="AP575" s="37"/>
      <c r="AQ575" s="37"/>
      <c r="AR575" s="37"/>
      <c r="AS575" s="37"/>
      <c r="AT575" s="37"/>
      <c r="AU575" s="37"/>
      <c r="AV575" s="37"/>
      <c r="AW575" s="37"/>
      <c r="AX575" s="37"/>
      <c r="AY575" s="37"/>
      <c r="AZ575" s="37"/>
    </row>
    <row r="576" spans="1:52">
      <c r="A576" s="37"/>
      <c r="B576" s="37"/>
      <c r="C576" s="37"/>
      <c r="D576" s="37"/>
      <c r="E576" s="37"/>
      <c r="F576" s="37"/>
      <c r="G576" s="37"/>
      <c r="H576" s="37"/>
      <c r="I576" s="37"/>
      <c r="J576" s="37"/>
      <c r="K576" s="37"/>
      <c r="L576" s="37"/>
      <c r="M576" s="37"/>
      <c r="N576" s="37"/>
      <c r="O576" s="37"/>
      <c r="P576" s="37"/>
      <c r="Q576" s="37"/>
      <c r="R576" s="37"/>
      <c r="S576" s="37"/>
      <c r="T576" s="37"/>
      <c r="U576" s="37"/>
      <c r="V576" s="37"/>
      <c r="W576" s="37"/>
      <c r="X576" s="37"/>
      <c r="Y576" s="37"/>
      <c r="Z576" s="37"/>
      <c r="AA576" s="37"/>
      <c r="AB576" s="37"/>
      <c r="AC576" s="37"/>
      <c r="AD576" s="37"/>
      <c r="AE576" s="37"/>
      <c r="AF576" s="37"/>
      <c r="AG576" s="37"/>
      <c r="AH576" s="37"/>
      <c r="AI576" s="37"/>
      <c r="AJ576" s="37"/>
      <c r="AK576" s="37"/>
      <c r="AL576" s="37"/>
      <c r="AM576" s="37"/>
      <c r="AN576" s="37"/>
      <c r="AO576" s="37"/>
      <c r="AP576" s="37"/>
      <c r="AQ576" s="37"/>
      <c r="AR576" s="37"/>
      <c r="AS576" s="37"/>
      <c r="AT576" s="37"/>
      <c r="AU576" s="37"/>
      <c r="AV576" s="37"/>
      <c r="AW576" s="37"/>
      <c r="AX576" s="37"/>
      <c r="AY576" s="37"/>
      <c r="AZ576" s="37"/>
    </row>
    <row r="577" spans="1:52">
      <c r="A577" s="37"/>
      <c r="B577" s="37"/>
      <c r="C577" s="37"/>
      <c r="D577" s="37"/>
      <c r="E577" s="37"/>
      <c r="F577" s="37"/>
      <c r="G577" s="37"/>
      <c r="H577" s="37"/>
      <c r="I577" s="37"/>
      <c r="J577" s="37"/>
      <c r="K577" s="37"/>
      <c r="L577" s="37"/>
      <c r="M577" s="37"/>
      <c r="N577" s="37"/>
      <c r="O577" s="37"/>
      <c r="P577" s="37"/>
      <c r="Q577" s="37"/>
      <c r="R577" s="37"/>
      <c r="S577" s="37"/>
      <c r="T577" s="37"/>
      <c r="U577" s="37"/>
      <c r="V577" s="37"/>
      <c r="W577" s="37"/>
      <c r="X577" s="37"/>
      <c r="Y577" s="37"/>
      <c r="Z577" s="37"/>
      <c r="AA577" s="37"/>
      <c r="AB577" s="37"/>
      <c r="AC577" s="37"/>
      <c r="AD577" s="37"/>
      <c r="AE577" s="37"/>
      <c r="AF577" s="37"/>
      <c r="AG577" s="37"/>
      <c r="AH577" s="37"/>
      <c r="AI577" s="37"/>
      <c r="AJ577" s="37"/>
      <c r="AK577" s="37"/>
      <c r="AL577" s="37"/>
      <c r="AM577" s="37"/>
      <c r="AN577" s="37"/>
      <c r="AO577" s="37"/>
      <c r="AP577" s="37"/>
      <c r="AQ577" s="37"/>
      <c r="AR577" s="37"/>
      <c r="AS577" s="37"/>
      <c r="AT577" s="37"/>
      <c r="AU577" s="37"/>
      <c r="AV577" s="37"/>
      <c r="AW577" s="37"/>
      <c r="AX577" s="37"/>
      <c r="AY577" s="37"/>
      <c r="AZ577" s="37"/>
    </row>
    <row r="578" spans="1:52">
      <c r="A578" s="37"/>
      <c r="B578" s="37"/>
      <c r="C578" s="37"/>
      <c r="D578" s="37"/>
      <c r="E578" s="37"/>
      <c r="F578" s="37"/>
      <c r="G578" s="37"/>
      <c r="H578" s="37"/>
      <c r="I578" s="37"/>
      <c r="J578" s="37"/>
      <c r="K578" s="37"/>
      <c r="L578" s="37"/>
      <c r="M578" s="37"/>
      <c r="N578" s="37"/>
      <c r="O578" s="37"/>
      <c r="P578" s="37"/>
      <c r="Q578" s="37"/>
      <c r="R578" s="37"/>
      <c r="S578" s="37"/>
      <c r="T578" s="37"/>
      <c r="U578" s="37"/>
      <c r="V578" s="37"/>
      <c r="W578" s="37"/>
      <c r="X578" s="37"/>
      <c r="Y578" s="37"/>
      <c r="Z578" s="37"/>
      <c r="AA578" s="37"/>
      <c r="AB578" s="37"/>
      <c r="AC578" s="37"/>
      <c r="AD578" s="37"/>
      <c r="AE578" s="37"/>
      <c r="AF578" s="37"/>
      <c r="AG578" s="37"/>
      <c r="AH578" s="37"/>
      <c r="AI578" s="37"/>
      <c r="AJ578" s="37"/>
      <c r="AK578" s="37"/>
      <c r="AL578" s="37"/>
      <c r="AM578" s="37"/>
      <c r="AN578" s="37"/>
      <c r="AO578" s="37"/>
      <c r="AP578" s="37"/>
      <c r="AQ578" s="37"/>
      <c r="AR578" s="37"/>
      <c r="AS578" s="37"/>
      <c r="AT578" s="37"/>
      <c r="AU578" s="37"/>
      <c r="AV578" s="37"/>
      <c r="AW578" s="37"/>
      <c r="AX578" s="37"/>
      <c r="AY578" s="37"/>
      <c r="AZ578" s="37"/>
    </row>
    <row r="579" spans="1:52">
      <c r="A579" s="37"/>
      <c r="B579" s="37"/>
      <c r="C579" s="37"/>
      <c r="D579" s="37"/>
      <c r="E579" s="37"/>
      <c r="F579" s="37"/>
      <c r="G579" s="37"/>
      <c r="H579" s="37"/>
      <c r="I579" s="37"/>
      <c r="J579" s="37"/>
      <c r="K579" s="37"/>
      <c r="L579" s="37"/>
      <c r="M579" s="37"/>
      <c r="N579" s="37"/>
      <c r="O579" s="37"/>
      <c r="P579" s="37"/>
      <c r="Q579" s="37"/>
      <c r="R579" s="37"/>
      <c r="S579" s="37"/>
      <c r="T579" s="37"/>
      <c r="U579" s="37"/>
      <c r="V579" s="37"/>
      <c r="W579" s="37"/>
      <c r="X579" s="37"/>
      <c r="Y579" s="37"/>
      <c r="Z579" s="37"/>
      <c r="AA579" s="37"/>
      <c r="AB579" s="37"/>
      <c r="AC579" s="37"/>
      <c r="AD579" s="37"/>
      <c r="AE579" s="37"/>
      <c r="AF579" s="37"/>
      <c r="AG579" s="37"/>
      <c r="AH579" s="37"/>
      <c r="AI579" s="37"/>
      <c r="AJ579" s="37"/>
      <c r="AK579" s="37"/>
      <c r="AL579" s="37"/>
      <c r="AM579" s="37"/>
      <c r="AN579" s="37"/>
      <c r="AO579" s="37"/>
      <c r="AP579" s="37"/>
      <c r="AQ579" s="37"/>
      <c r="AR579" s="37"/>
      <c r="AS579" s="37"/>
      <c r="AT579" s="37"/>
      <c r="AU579" s="37"/>
      <c r="AV579" s="37"/>
      <c r="AW579" s="37"/>
      <c r="AX579" s="37"/>
      <c r="AY579" s="37"/>
      <c r="AZ579" s="37"/>
    </row>
    <row r="580" spans="1:52">
      <c r="A580" s="37"/>
      <c r="B580" s="37"/>
      <c r="C580" s="37"/>
      <c r="D580" s="37"/>
      <c r="E580" s="37"/>
      <c r="F580" s="37"/>
      <c r="G580" s="37"/>
      <c r="H580" s="37"/>
      <c r="I580" s="37"/>
      <c r="J580" s="37"/>
      <c r="K580" s="37"/>
      <c r="L580" s="37"/>
      <c r="M580" s="37"/>
      <c r="N580" s="37"/>
      <c r="O580" s="37"/>
      <c r="P580" s="37"/>
      <c r="Q580" s="37"/>
      <c r="R580" s="37"/>
      <c r="S580" s="37"/>
      <c r="T580" s="37"/>
      <c r="U580" s="37"/>
      <c r="V580" s="37"/>
      <c r="W580" s="37"/>
      <c r="X580" s="37"/>
      <c r="Y580" s="37"/>
      <c r="Z580" s="37"/>
      <c r="AA580" s="37"/>
      <c r="AB580" s="37"/>
      <c r="AC580" s="37"/>
      <c r="AD580" s="37"/>
      <c r="AE580" s="37"/>
      <c r="AF580" s="37"/>
      <c r="AG580" s="37"/>
      <c r="AH580" s="37"/>
      <c r="AI580" s="37"/>
      <c r="AJ580" s="37"/>
      <c r="AK580" s="37"/>
      <c r="AL580" s="37"/>
      <c r="AM580" s="37"/>
      <c r="AN580" s="37"/>
      <c r="AO580" s="37"/>
      <c r="AP580" s="37"/>
      <c r="AQ580" s="37"/>
      <c r="AR580" s="37"/>
      <c r="AS580" s="37"/>
      <c r="AT580" s="37"/>
      <c r="AU580" s="37"/>
      <c r="AV580" s="37"/>
      <c r="AW580" s="37"/>
      <c r="AX580" s="37"/>
      <c r="AY580" s="37"/>
      <c r="AZ580" s="37"/>
    </row>
    <row r="581" spans="1:52">
      <c r="A581" s="37"/>
      <c r="B581" s="37"/>
      <c r="C581" s="37"/>
      <c r="D581" s="37"/>
      <c r="E581" s="37"/>
      <c r="F581" s="37"/>
      <c r="G581" s="37"/>
      <c r="H581" s="37"/>
      <c r="I581" s="37"/>
      <c r="J581" s="37"/>
      <c r="K581" s="37"/>
      <c r="L581" s="37"/>
      <c r="M581" s="37"/>
      <c r="N581" s="37"/>
      <c r="O581" s="37"/>
      <c r="P581" s="37"/>
      <c r="Q581" s="37"/>
      <c r="R581" s="37"/>
      <c r="S581" s="37"/>
      <c r="T581" s="37"/>
      <c r="U581" s="37"/>
      <c r="V581" s="37"/>
      <c r="W581" s="37"/>
      <c r="X581" s="37"/>
      <c r="Y581" s="37"/>
      <c r="Z581" s="37"/>
      <c r="AA581" s="37"/>
      <c r="AB581" s="37"/>
      <c r="AC581" s="37"/>
      <c r="AD581" s="37"/>
      <c r="AE581" s="37"/>
      <c r="AF581" s="37"/>
      <c r="AG581" s="37"/>
      <c r="AH581" s="37"/>
      <c r="AI581" s="37"/>
      <c r="AJ581" s="37"/>
      <c r="AK581" s="37"/>
      <c r="AL581" s="37"/>
      <c r="AM581" s="37"/>
      <c r="AN581" s="37"/>
      <c r="AO581" s="37"/>
      <c r="AP581" s="37"/>
      <c r="AQ581" s="37"/>
      <c r="AR581" s="37"/>
      <c r="AS581" s="37"/>
      <c r="AT581" s="37"/>
      <c r="AU581" s="37"/>
      <c r="AV581" s="37"/>
      <c r="AW581" s="37"/>
      <c r="AX581" s="37"/>
      <c r="AY581" s="37"/>
      <c r="AZ581" s="37"/>
    </row>
    <row r="582" spans="1:52">
      <c r="A582" s="37"/>
      <c r="B582" s="37"/>
      <c r="C582" s="37"/>
      <c r="D582" s="37"/>
      <c r="E582" s="37"/>
      <c r="F582" s="37"/>
      <c r="G582" s="37"/>
      <c r="H582" s="37"/>
      <c r="I582" s="37"/>
      <c r="J582" s="37"/>
      <c r="K582" s="37"/>
      <c r="L582" s="37"/>
      <c r="M582" s="37"/>
      <c r="N582" s="37"/>
      <c r="O582" s="37"/>
      <c r="P582" s="37"/>
      <c r="Q582" s="37"/>
      <c r="R582" s="37"/>
      <c r="S582" s="37"/>
      <c r="T582" s="37"/>
      <c r="U582" s="37"/>
      <c r="V582" s="37"/>
      <c r="W582" s="37"/>
      <c r="X582" s="37"/>
      <c r="Y582" s="37"/>
      <c r="Z582" s="37"/>
      <c r="AA582" s="37"/>
      <c r="AB582" s="37"/>
      <c r="AC582" s="37"/>
      <c r="AD582" s="37"/>
      <c r="AE582" s="37"/>
      <c r="AF582" s="37"/>
      <c r="AG582" s="37"/>
      <c r="AH582" s="37"/>
      <c r="AI582" s="37"/>
      <c r="AJ582" s="37"/>
      <c r="AK582" s="37"/>
      <c r="AL582" s="37"/>
      <c r="AM582" s="37"/>
      <c r="AN582" s="37"/>
      <c r="AO582" s="37"/>
      <c r="AP582" s="37"/>
      <c r="AQ582" s="37"/>
      <c r="AR582" s="37"/>
      <c r="AS582" s="37"/>
      <c r="AT582" s="37"/>
      <c r="AU582" s="37"/>
      <c r="AV582" s="37"/>
      <c r="AW582" s="37"/>
      <c r="AX582" s="37"/>
      <c r="AY582" s="37"/>
      <c r="AZ582" s="37"/>
    </row>
    <row r="583" spans="1:52">
      <c r="A583" s="37"/>
      <c r="B583" s="37"/>
      <c r="C583" s="37"/>
      <c r="D583" s="37"/>
      <c r="E583" s="37"/>
      <c r="F583" s="37"/>
      <c r="G583" s="37"/>
      <c r="H583" s="37"/>
      <c r="I583" s="37"/>
      <c r="J583" s="37"/>
      <c r="K583" s="37"/>
      <c r="L583" s="37"/>
      <c r="M583" s="37"/>
      <c r="N583" s="37"/>
      <c r="O583" s="37"/>
      <c r="P583" s="37"/>
      <c r="Q583" s="37"/>
      <c r="R583" s="37"/>
      <c r="S583" s="37"/>
      <c r="T583" s="37"/>
      <c r="U583" s="37"/>
      <c r="V583" s="37"/>
      <c r="W583" s="37"/>
      <c r="X583" s="37"/>
      <c r="Y583" s="37"/>
      <c r="Z583" s="37"/>
      <c r="AA583" s="37"/>
      <c r="AB583" s="37"/>
      <c r="AC583" s="37"/>
      <c r="AD583" s="37"/>
      <c r="AE583" s="37"/>
      <c r="AF583" s="37"/>
      <c r="AG583" s="37"/>
      <c r="AH583" s="37"/>
      <c r="AI583" s="37"/>
      <c r="AJ583" s="37"/>
      <c r="AK583" s="37"/>
      <c r="AL583" s="37"/>
      <c r="AM583" s="37"/>
      <c r="AN583" s="37"/>
      <c r="AO583" s="37"/>
      <c r="AP583" s="37"/>
      <c r="AQ583" s="37"/>
      <c r="AR583" s="37"/>
      <c r="AS583" s="37"/>
      <c r="AT583" s="37"/>
      <c r="AU583" s="37"/>
      <c r="AV583" s="37"/>
      <c r="AW583" s="37"/>
      <c r="AX583" s="37"/>
      <c r="AY583" s="37"/>
      <c r="AZ583" s="37"/>
    </row>
    <row r="584" spans="1:52">
      <c r="A584" s="37"/>
      <c r="B584" s="37"/>
      <c r="C584" s="37"/>
      <c r="D584" s="37"/>
      <c r="E584" s="37"/>
      <c r="F584" s="37"/>
      <c r="G584" s="37"/>
      <c r="H584" s="37"/>
      <c r="I584" s="37"/>
      <c r="J584" s="37"/>
      <c r="K584" s="37"/>
      <c r="L584" s="37"/>
      <c r="M584" s="37"/>
      <c r="N584" s="37"/>
      <c r="O584" s="37"/>
      <c r="P584" s="37"/>
      <c r="Q584" s="37"/>
      <c r="R584" s="37"/>
      <c r="S584" s="37"/>
      <c r="T584" s="37"/>
      <c r="U584" s="37"/>
      <c r="V584" s="37"/>
      <c r="W584" s="37"/>
      <c r="X584" s="37"/>
      <c r="Y584" s="37"/>
      <c r="Z584" s="37"/>
      <c r="AA584" s="37"/>
      <c r="AB584" s="37"/>
      <c r="AC584" s="37"/>
      <c r="AD584" s="37"/>
      <c r="AE584" s="37"/>
      <c r="AF584" s="37"/>
      <c r="AG584" s="37"/>
      <c r="AH584" s="37"/>
      <c r="AI584" s="37"/>
      <c r="AJ584" s="37"/>
      <c r="AK584" s="37"/>
      <c r="AL584" s="37"/>
      <c r="AM584" s="37"/>
      <c r="AN584" s="37"/>
      <c r="AO584" s="37"/>
      <c r="AP584" s="37"/>
      <c r="AQ584" s="37"/>
      <c r="AR584" s="37"/>
      <c r="AS584" s="37"/>
      <c r="AT584" s="37"/>
      <c r="AU584" s="37"/>
      <c r="AV584" s="37"/>
      <c r="AW584" s="37"/>
      <c r="AX584" s="37"/>
      <c r="AY584" s="37"/>
      <c r="AZ584" s="37"/>
    </row>
    <row r="585" spans="1:52">
      <c r="A585" s="37"/>
      <c r="B585" s="37"/>
      <c r="C585" s="37"/>
      <c r="D585" s="37"/>
      <c r="E585" s="37"/>
      <c r="F585" s="37"/>
      <c r="G585" s="37"/>
      <c r="H585" s="37"/>
      <c r="I585" s="37"/>
      <c r="J585" s="37"/>
      <c r="K585" s="37"/>
      <c r="L585" s="37"/>
      <c r="M585" s="37"/>
      <c r="N585" s="37"/>
      <c r="O585" s="37"/>
      <c r="P585" s="37"/>
      <c r="Q585" s="37"/>
      <c r="R585" s="37"/>
      <c r="S585" s="37"/>
      <c r="T585" s="37"/>
      <c r="U585" s="37"/>
      <c r="V585" s="37"/>
      <c r="W585" s="37"/>
      <c r="X585" s="37"/>
      <c r="Y585" s="37"/>
      <c r="Z585" s="37"/>
      <c r="AA585" s="37"/>
      <c r="AB585" s="37"/>
      <c r="AC585" s="37"/>
      <c r="AD585" s="37"/>
      <c r="AE585" s="37"/>
      <c r="AF585" s="37"/>
      <c r="AG585" s="37"/>
      <c r="AH585" s="37"/>
      <c r="AI585" s="37"/>
      <c r="AJ585" s="37"/>
      <c r="AK585" s="37"/>
      <c r="AL585" s="37"/>
      <c r="AM585" s="37"/>
      <c r="AN585" s="37"/>
      <c r="AO585" s="37"/>
      <c r="AP585" s="37"/>
      <c r="AQ585" s="37"/>
      <c r="AR585" s="37"/>
      <c r="AS585" s="37"/>
      <c r="AT585" s="37"/>
      <c r="AU585" s="37"/>
      <c r="AV585" s="37"/>
      <c r="AW585" s="37"/>
      <c r="AX585" s="37"/>
      <c r="AY585" s="37"/>
      <c r="AZ585" s="37"/>
    </row>
    <row r="586" spans="1:52">
      <c r="A586" s="37"/>
      <c r="B586" s="37"/>
      <c r="C586" s="37"/>
      <c r="D586" s="37"/>
      <c r="E586" s="37"/>
      <c r="F586" s="37"/>
      <c r="G586" s="37"/>
      <c r="H586" s="37"/>
      <c r="I586" s="37"/>
      <c r="J586" s="37"/>
      <c r="K586" s="37"/>
      <c r="L586" s="37"/>
      <c r="M586" s="37"/>
      <c r="N586" s="37"/>
      <c r="O586" s="37"/>
      <c r="P586" s="37"/>
      <c r="Q586" s="37"/>
      <c r="R586" s="37"/>
      <c r="S586" s="37"/>
      <c r="T586" s="37"/>
      <c r="U586" s="37"/>
      <c r="V586" s="37"/>
      <c r="W586" s="37"/>
      <c r="X586" s="37"/>
      <c r="Y586" s="37"/>
      <c r="Z586" s="37"/>
      <c r="AA586" s="37"/>
      <c r="AB586" s="37"/>
      <c r="AC586" s="37"/>
      <c r="AD586" s="37"/>
      <c r="AE586" s="37"/>
      <c r="AF586" s="37"/>
      <c r="AG586" s="37"/>
      <c r="AH586" s="37"/>
      <c r="AI586" s="37"/>
      <c r="AJ586" s="37"/>
      <c r="AK586" s="37"/>
      <c r="AL586" s="37"/>
      <c r="AM586" s="37"/>
      <c r="AN586" s="37"/>
      <c r="AO586" s="37"/>
      <c r="AP586" s="37"/>
      <c r="AQ586" s="37"/>
      <c r="AR586" s="37"/>
      <c r="AS586" s="37"/>
      <c r="AT586" s="37"/>
      <c r="AU586" s="37"/>
      <c r="AV586" s="37"/>
      <c r="AW586" s="37"/>
      <c r="AX586" s="37"/>
      <c r="AY586" s="37"/>
      <c r="AZ586" s="37"/>
    </row>
    <row r="587" spans="1:52">
      <c r="A587" s="37"/>
      <c r="B587" s="37"/>
      <c r="C587" s="37"/>
      <c r="D587" s="37"/>
      <c r="E587" s="37"/>
      <c r="F587" s="37"/>
      <c r="G587" s="37"/>
      <c r="H587" s="37"/>
      <c r="I587" s="37"/>
      <c r="J587" s="37"/>
      <c r="K587" s="37"/>
      <c r="L587" s="37"/>
      <c r="M587" s="37"/>
      <c r="N587" s="37"/>
      <c r="O587" s="37"/>
      <c r="P587" s="37"/>
      <c r="Q587" s="37"/>
      <c r="R587" s="37"/>
      <c r="S587" s="37"/>
      <c r="T587" s="37"/>
      <c r="U587" s="37"/>
      <c r="V587" s="37"/>
      <c r="W587" s="37"/>
      <c r="X587" s="37"/>
      <c r="Y587" s="37"/>
      <c r="Z587" s="37"/>
      <c r="AA587" s="37"/>
      <c r="AB587" s="37"/>
      <c r="AC587" s="37"/>
      <c r="AD587" s="37"/>
      <c r="AE587" s="37"/>
      <c r="AF587" s="37"/>
      <c r="AG587" s="37"/>
      <c r="AH587" s="37"/>
      <c r="AI587" s="37"/>
      <c r="AJ587" s="37"/>
      <c r="AK587" s="37"/>
      <c r="AL587" s="37"/>
      <c r="AM587" s="37"/>
      <c r="AN587" s="37"/>
      <c r="AO587" s="37"/>
      <c r="AP587" s="37"/>
      <c r="AQ587" s="37"/>
      <c r="AR587" s="37"/>
      <c r="AS587" s="37"/>
      <c r="AT587" s="37"/>
      <c r="AU587" s="37"/>
      <c r="AV587" s="37"/>
      <c r="AW587" s="37"/>
      <c r="AX587" s="37"/>
      <c r="AY587" s="37"/>
      <c r="AZ587" s="37"/>
    </row>
    <row r="588" spans="1:52">
      <c r="A588" s="37"/>
      <c r="B588" s="37"/>
      <c r="C588" s="37"/>
      <c r="D588" s="37"/>
      <c r="E588" s="37"/>
      <c r="F588" s="37"/>
      <c r="G588" s="37"/>
      <c r="H588" s="37"/>
      <c r="I588" s="37"/>
      <c r="J588" s="37"/>
      <c r="K588" s="37"/>
      <c r="L588" s="37"/>
      <c r="M588" s="37"/>
      <c r="N588" s="37"/>
      <c r="O588" s="37"/>
      <c r="P588" s="37"/>
      <c r="Q588" s="37"/>
      <c r="R588" s="37"/>
      <c r="S588" s="37"/>
      <c r="T588" s="37"/>
      <c r="U588" s="37"/>
      <c r="V588" s="37"/>
      <c r="W588" s="37"/>
      <c r="X588" s="37"/>
      <c r="Y588" s="37"/>
      <c r="Z588" s="37"/>
      <c r="AA588" s="37"/>
      <c r="AB588" s="37"/>
      <c r="AC588" s="37"/>
      <c r="AD588" s="37"/>
      <c r="AE588" s="37"/>
      <c r="AF588" s="37"/>
      <c r="AG588" s="37"/>
      <c r="AH588" s="37"/>
      <c r="AI588" s="37"/>
      <c r="AJ588" s="37"/>
      <c r="AK588" s="37"/>
      <c r="AL588" s="37"/>
      <c r="AM588" s="37"/>
      <c r="AN588" s="37"/>
      <c r="AO588" s="37"/>
      <c r="AP588" s="37"/>
      <c r="AQ588" s="37"/>
      <c r="AR588" s="37"/>
      <c r="AS588" s="37"/>
      <c r="AT588" s="37"/>
      <c r="AU588" s="37"/>
      <c r="AV588" s="37"/>
      <c r="AW588" s="37"/>
      <c r="AX588" s="37"/>
      <c r="AY588" s="37"/>
      <c r="AZ588" s="37"/>
    </row>
    <row r="589" spans="1:52">
      <c r="A589" s="37"/>
      <c r="B589" s="37"/>
      <c r="C589" s="37"/>
      <c r="D589" s="37"/>
      <c r="E589" s="37"/>
      <c r="F589" s="37"/>
      <c r="G589" s="37"/>
      <c r="H589" s="37"/>
      <c r="I589" s="37"/>
      <c r="J589" s="37"/>
      <c r="K589" s="37"/>
      <c r="L589" s="37"/>
      <c r="M589" s="37"/>
      <c r="N589" s="37"/>
      <c r="O589" s="37"/>
      <c r="P589" s="37"/>
      <c r="Q589" s="37"/>
      <c r="R589" s="37"/>
      <c r="S589" s="37"/>
      <c r="T589" s="37"/>
      <c r="U589" s="37"/>
      <c r="V589" s="37"/>
      <c r="W589" s="37"/>
      <c r="X589" s="37"/>
      <c r="Y589" s="37"/>
      <c r="Z589" s="37"/>
      <c r="AA589" s="37"/>
      <c r="AB589" s="37"/>
      <c r="AC589" s="37"/>
      <c r="AD589" s="37"/>
      <c r="AE589" s="37"/>
      <c r="AF589" s="37"/>
      <c r="AG589" s="37"/>
      <c r="AH589" s="37"/>
      <c r="AI589" s="37"/>
      <c r="AJ589" s="37"/>
      <c r="AK589" s="37"/>
      <c r="AL589" s="37"/>
      <c r="AM589" s="37"/>
      <c r="AN589" s="37"/>
      <c r="AO589" s="37"/>
      <c r="AP589" s="37"/>
      <c r="AQ589" s="37"/>
      <c r="AR589" s="37"/>
      <c r="AS589" s="37"/>
      <c r="AT589" s="37"/>
      <c r="AU589" s="37"/>
      <c r="AV589" s="37"/>
      <c r="AW589" s="37"/>
      <c r="AX589" s="37"/>
      <c r="AY589" s="37"/>
      <c r="AZ589" s="37"/>
    </row>
    <row r="590" spans="1:52">
      <c r="A590" s="37"/>
      <c r="B590" s="37"/>
      <c r="C590" s="37"/>
      <c r="D590" s="37"/>
      <c r="E590" s="37"/>
      <c r="F590" s="37"/>
      <c r="G590" s="37"/>
      <c r="H590" s="37"/>
      <c r="I590" s="37"/>
      <c r="J590" s="37"/>
      <c r="K590" s="37"/>
      <c r="L590" s="37"/>
      <c r="M590" s="37"/>
      <c r="N590" s="37"/>
      <c r="O590" s="37"/>
      <c r="P590" s="37"/>
      <c r="Q590" s="37"/>
      <c r="R590" s="37"/>
      <c r="S590" s="37"/>
      <c r="T590" s="37"/>
      <c r="U590" s="37"/>
      <c r="V590" s="37"/>
      <c r="W590" s="37"/>
      <c r="X590" s="37"/>
      <c r="Y590" s="37"/>
      <c r="Z590" s="37"/>
      <c r="AA590" s="37"/>
      <c r="AB590" s="37"/>
      <c r="AC590" s="37"/>
      <c r="AD590" s="37"/>
      <c r="AE590" s="37"/>
      <c r="AF590" s="37"/>
      <c r="AG590" s="37"/>
      <c r="AH590" s="37"/>
      <c r="AI590" s="37"/>
      <c r="AJ590" s="37"/>
      <c r="AK590" s="37"/>
      <c r="AL590" s="37"/>
      <c r="AM590" s="37"/>
      <c r="AN590" s="37"/>
      <c r="AO590" s="37"/>
      <c r="AP590" s="37"/>
      <c r="AQ590" s="37"/>
      <c r="AR590" s="37"/>
      <c r="AS590" s="37"/>
      <c r="AT590" s="37"/>
      <c r="AU590" s="37"/>
      <c r="AV590" s="37"/>
      <c r="AW590" s="37"/>
      <c r="AX590" s="37"/>
      <c r="AY590" s="37"/>
      <c r="AZ590" s="37"/>
    </row>
    <row r="591" spans="1:52">
      <c r="A591" s="37"/>
      <c r="B591" s="37"/>
      <c r="C591" s="37"/>
      <c r="D591" s="37"/>
      <c r="E591" s="37"/>
      <c r="F591" s="37"/>
      <c r="G591" s="37"/>
      <c r="H591" s="37"/>
      <c r="I591" s="37"/>
      <c r="J591" s="37"/>
      <c r="K591" s="37"/>
      <c r="L591" s="37"/>
      <c r="M591" s="37"/>
      <c r="N591" s="37"/>
      <c r="O591" s="37"/>
      <c r="P591" s="37"/>
      <c r="Q591" s="37"/>
      <c r="R591" s="37"/>
      <c r="S591" s="37"/>
      <c r="T591" s="37"/>
      <c r="U591" s="37"/>
      <c r="V591" s="37"/>
      <c r="W591" s="37"/>
      <c r="X591" s="37"/>
      <c r="Y591" s="37"/>
      <c r="Z591" s="37"/>
      <c r="AA591" s="37"/>
      <c r="AB591" s="37"/>
      <c r="AC591" s="37"/>
      <c r="AD591" s="37"/>
      <c r="AE591" s="37"/>
      <c r="AF591" s="37"/>
      <c r="AG591" s="37"/>
      <c r="AH591" s="37"/>
      <c r="AI591" s="37"/>
      <c r="AJ591" s="37"/>
      <c r="AK591" s="37"/>
      <c r="AL591" s="37"/>
      <c r="AM591" s="37"/>
      <c r="AN591" s="37"/>
      <c r="AO591" s="37"/>
      <c r="AP591" s="37"/>
      <c r="AQ591" s="37"/>
      <c r="AR591" s="37"/>
      <c r="AS591" s="37"/>
      <c r="AT591" s="37"/>
      <c r="AU591" s="37"/>
      <c r="AV591" s="37"/>
      <c r="AW591" s="37"/>
      <c r="AX591" s="37"/>
      <c r="AY591" s="37"/>
      <c r="AZ591" s="37"/>
    </row>
    <row r="592" spans="1:52">
      <c r="A592" s="37"/>
      <c r="B592" s="37"/>
      <c r="C592" s="37"/>
      <c r="D592" s="37"/>
      <c r="E592" s="37"/>
      <c r="F592" s="37"/>
      <c r="G592" s="37"/>
      <c r="H592" s="37"/>
      <c r="I592" s="37"/>
      <c r="J592" s="37"/>
      <c r="K592" s="37"/>
      <c r="L592" s="37"/>
      <c r="M592" s="37"/>
      <c r="N592" s="37"/>
      <c r="O592" s="37"/>
      <c r="P592" s="37"/>
      <c r="Q592" s="37"/>
      <c r="R592" s="37"/>
      <c r="S592" s="37"/>
      <c r="T592" s="37"/>
      <c r="U592" s="37"/>
      <c r="V592" s="37"/>
      <c r="W592" s="37"/>
      <c r="X592" s="37"/>
      <c r="Y592" s="37"/>
      <c r="Z592" s="37"/>
      <c r="AA592" s="37"/>
      <c r="AB592" s="37"/>
      <c r="AC592" s="37"/>
      <c r="AD592" s="37"/>
      <c r="AE592" s="37"/>
      <c r="AF592" s="37"/>
      <c r="AG592" s="37"/>
      <c r="AH592" s="37"/>
      <c r="AI592" s="37"/>
      <c r="AJ592" s="37"/>
      <c r="AK592" s="37"/>
      <c r="AL592" s="37"/>
      <c r="AM592" s="37"/>
      <c r="AN592" s="37"/>
      <c r="AO592" s="37"/>
      <c r="AP592" s="37"/>
      <c r="AQ592" s="37"/>
      <c r="AR592" s="37"/>
      <c r="AS592" s="37"/>
      <c r="AT592" s="37"/>
      <c r="AU592" s="37"/>
      <c r="AV592" s="37"/>
      <c r="AW592" s="37"/>
      <c r="AX592" s="37"/>
      <c r="AY592" s="37"/>
      <c r="AZ592" s="37"/>
    </row>
    <row r="593" spans="1:52">
      <c r="A593" s="37"/>
      <c r="B593" s="37"/>
      <c r="C593" s="37"/>
      <c r="D593" s="37"/>
      <c r="E593" s="37"/>
      <c r="F593" s="37"/>
      <c r="G593" s="37"/>
      <c r="H593" s="37"/>
      <c r="I593" s="37"/>
      <c r="J593" s="37"/>
      <c r="K593" s="37"/>
      <c r="L593" s="37"/>
      <c r="M593" s="37"/>
      <c r="N593" s="37"/>
      <c r="O593" s="37"/>
      <c r="P593" s="37"/>
      <c r="Q593" s="37"/>
      <c r="R593" s="37"/>
      <c r="S593" s="37"/>
      <c r="T593" s="37"/>
      <c r="U593" s="37"/>
      <c r="V593" s="37"/>
      <c r="W593" s="37"/>
      <c r="X593" s="37"/>
      <c r="Y593" s="37"/>
      <c r="Z593" s="37"/>
      <c r="AA593" s="37"/>
      <c r="AB593" s="37"/>
      <c r="AC593" s="37"/>
      <c r="AD593" s="37"/>
      <c r="AE593" s="37"/>
      <c r="AF593" s="37"/>
      <c r="AG593" s="37"/>
      <c r="AH593" s="37"/>
      <c r="AI593" s="37"/>
      <c r="AJ593" s="37"/>
      <c r="AK593" s="37"/>
      <c r="AL593" s="37"/>
      <c r="AM593" s="37"/>
      <c r="AN593" s="37"/>
      <c r="AO593" s="37"/>
      <c r="AP593" s="37"/>
      <c r="AQ593" s="37"/>
      <c r="AR593" s="37"/>
      <c r="AS593" s="37"/>
      <c r="AT593" s="37"/>
      <c r="AU593" s="37"/>
      <c r="AV593" s="37"/>
      <c r="AW593" s="37"/>
      <c r="AX593" s="37"/>
      <c r="AY593" s="37"/>
      <c r="AZ593" s="37"/>
    </row>
    <row r="594" spans="1:52">
      <c r="A594" s="37"/>
      <c r="B594" s="37"/>
      <c r="C594" s="37"/>
      <c r="D594" s="37"/>
      <c r="E594" s="37"/>
      <c r="F594" s="37"/>
      <c r="G594" s="37"/>
      <c r="H594" s="37"/>
      <c r="I594" s="37"/>
      <c r="J594" s="37"/>
      <c r="K594" s="37"/>
      <c r="L594" s="37"/>
      <c r="M594" s="37"/>
      <c r="N594" s="37"/>
      <c r="O594" s="37"/>
      <c r="P594" s="37"/>
      <c r="Q594" s="37"/>
      <c r="R594" s="37"/>
      <c r="S594" s="37"/>
      <c r="T594" s="37"/>
      <c r="U594" s="37"/>
      <c r="V594" s="37"/>
      <c r="W594" s="37"/>
      <c r="X594" s="37"/>
      <c r="Y594" s="37"/>
      <c r="Z594" s="37"/>
      <c r="AA594" s="37"/>
      <c r="AB594" s="37"/>
      <c r="AC594" s="37"/>
      <c r="AD594" s="37"/>
      <c r="AE594" s="37"/>
      <c r="AF594" s="37"/>
      <c r="AG594" s="37"/>
      <c r="AH594" s="37"/>
      <c r="AI594" s="37"/>
      <c r="AJ594" s="37"/>
      <c r="AK594" s="37"/>
      <c r="AL594" s="37"/>
      <c r="AM594" s="37"/>
      <c r="AN594" s="37"/>
      <c r="AO594" s="37"/>
      <c r="AP594" s="37"/>
      <c r="AQ594" s="37"/>
      <c r="AR594" s="37"/>
      <c r="AS594" s="37"/>
      <c r="AT594" s="37"/>
      <c r="AU594" s="37"/>
      <c r="AV594" s="37"/>
      <c r="AW594" s="37"/>
      <c r="AX594" s="37"/>
      <c r="AY594" s="37"/>
      <c r="AZ594" s="37"/>
    </row>
    <row r="595" spans="1:52">
      <c r="A595" s="37"/>
      <c r="B595" s="37"/>
      <c r="C595" s="37"/>
      <c r="D595" s="37"/>
      <c r="E595" s="37"/>
      <c r="F595" s="37"/>
      <c r="G595" s="37"/>
      <c r="H595" s="37"/>
      <c r="I595" s="37"/>
      <c r="J595" s="37"/>
      <c r="K595" s="37"/>
      <c r="L595" s="37"/>
      <c r="M595" s="37"/>
      <c r="N595" s="37"/>
      <c r="O595" s="37"/>
      <c r="P595" s="37"/>
      <c r="Q595" s="37"/>
      <c r="R595" s="37"/>
      <c r="S595" s="37"/>
      <c r="T595" s="37"/>
      <c r="U595" s="37"/>
      <c r="V595" s="37"/>
      <c r="W595" s="37"/>
      <c r="X595" s="37"/>
      <c r="Y595" s="37"/>
      <c r="Z595" s="37"/>
      <c r="AA595" s="37"/>
      <c r="AB595" s="37"/>
      <c r="AC595" s="37"/>
      <c r="AD595" s="37"/>
      <c r="AE595" s="37"/>
      <c r="AF595" s="37"/>
      <c r="AG595" s="37"/>
      <c r="AH595" s="37"/>
      <c r="AI595" s="37"/>
      <c r="AJ595" s="37"/>
      <c r="AK595" s="37"/>
      <c r="AL595" s="37"/>
      <c r="AM595" s="37"/>
      <c r="AN595" s="37"/>
      <c r="AO595" s="37"/>
      <c r="AP595" s="37"/>
      <c r="AQ595" s="37"/>
      <c r="AR595" s="37"/>
      <c r="AS595" s="37"/>
      <c r="AT595" s="37"/>
      <c r="AU595" s="37"/>
      <c r="AV595" s="37"/>
      <c r="AW595" s="37"/>
      <c r="AX595" s="37"/>
      <c r="AY595" s="37"/>
      <c r="AZ595" s="37"/>
    </row>
    <row r="596" spans="1:52">
      <c r="A596" s="37"/>
      <c r="B596" s="37"/>
      <c r="C596" s="37"/>
      <c r="D596" s="37"/>
      <c r="E596" s="37"/>
      <c r="F596" s="37"/>
      <c r="G596" s="37"/>
      <c r="H596" s="37"/>
      <c r="I596" s="37"/>
      <c r="J596" s="37"/>
      <c r="K596" s="37"/>
      <c r="L596" s="37"/>
      <c r="M596" s="37"/>
      <c r="N596" s="37"/>
      <c r="O596" s="37"/>
      <c r="P596" s="37"/>
      <c r="Q596" s="37"/>
      <c r="R596" s="37"/>
      <c r="S596" s="37"/>
      <c r="T596" s="37"/>
      <c r="U596" s="37"/>
      <c r="V596" s="37"/>
      <c r="W596" s="37"/>
      <c r="X596" s="37"/>
      <c r="Y596" s="37"/>
      <c r="Z596" s="37"/>
      <c r="AA596" s="37"/>
      <c r="AB596" s="37"/>
      <c r="AC596" s="37"/>
      <c r="AD596" s="37"/>
      <c r="AE596" s="37"/>
      <c r="AF596" s="37"/>
      <c r="AG596" s="37"/>
      <c r="AH596" s="37"/>
      <c r="AI596" s="37"/>
      <c r="AJ596" s="37"/>
      <c r="AK596" s="37"/>
      <c r="AL596" s="37"/>
      <c r="AM596" s="37"/>
      <c r="AN596" s="37"/>
      <c r="AO596" s="37"/>
      <c r="AP596" s="37"/>
      <c r="AQ596" s="37"/>
      <c r="AR596" s="37"/>
      <c r="AS596" s="37"/>
      <c r="AT596" s="37"/>
      <c r="AU596" s="37"/>
      <c r="AV596" s="37"/>
      <c r="AW596" s="37"/>
      <c r="AX596" s="37"/>
      <c r="AY596" s="37"/>
      <c r="AZ596" s="37"/>
    </row>
    <row r="597" spans="1:52">
      <c r="A597" s="37"/>
      <c r="B597" s="37"/>
      <c r="C597" s="37"/>
      <c r="D597" s="37"/>
      <c r="E597" s="37"/>
      <c r="F597" s="37"/>
      <c r="G597" s="37"/>
      <c r="H597" s="37"/>
      <c r="I597" s="37"/>
      <c r="J597" s="37"/>
      <c r="K597" s="37"/>
      <c r="L597" s="37"/>
      <c r="M597" s="37"/>
      <c r="N597" s="37"/>
      <c r="O597" s="37"/>
      <c r="P597" s="37"/>
      <c r="Q597" s="37"/>
      <c r="R597" s="37"/>
      <c r="S597" s="37"/>
      <c r="T597" s="37"/>
      <c r="U597" s="37"/>
      <c r="V597" s="37"/>
      <c r="W597" s="37"/>
      <c r="X597" s="37"/>
      <c r="Y597" s="37"/>
      <c r="Z597" s="37"/>
      <c r="AA597" s="37"/>
      <c r="AB597" s="37"/>
      <c r="AC597" s="37"/>
      <c r="AD597" s="37"/>
      <c r="AE597" s="37"/>
      <c r="AF597" s="37"/>
      <c r="AG597" s="37"/>
      <c r="AH597" s="37"/>
      <c r="AI597" s="37"/>
      <c r="AJ597" s="37"/>
      <c r="AK597" s="37"/>
      <c r="AL597" s="37"/>
      <c r="AM597" s="37"/>
      <c r="AN597" s="37"/>
      <c r="AO597" s="37"/>
      <c r="AP597" s="37"/>
      <c r="AQ597" s="37"/>
      <c r="AR597" s="37"/>
      <c r="AS597" s="37"/>
      <c r="AT597" s="37"/>
      <c r="AU597" s="37"/>
      <c r="AV597" s="37"/>
      <c r="AW597" s="37"/>
      <c r="AX597" s="37"/>
      <c r="AY597" s="37"/>
      <c r="AZ597" s="37"/>
    </row>
    <row r="598" spans="1:52">
      <c r="A598" s="37"/>
      <c r="B598" s="37"/>
      <c r="C598" s="37"/>
      <c r="D598" s="37"/>
      <c r="E598" s="37"/>
      <c r="F598" s="37"/>
      <c r="G598" s="37"/>
      <c r="H598" s="37"/>
      <c r="I598" s="37"/>
      <c r="J598" s="37"/>
      <c r="K598" s="37"/>
      <c r="L598" s="37"/>
      <c r="M598" s="37"/>
      <c r="N598" s="37"/>
      <c r="O598" s="37"/>
      <c r="P598" s="37"/>
      <c r="Q598" s="37"/>
      <c r="R598" s="37"/>
      <c r="S598" s="37"/>
      <c r="T598" s="37"/>
      <c r="U598" s="37"/>
      <c r="V598" s="37"/>
      <c r="W598" s="37"/>
      <c r="X598" s="37"/>
      <c r="Y598" s="37"/>
      <c r="Z598" s="37"/>
      <c r="AA598" s="37"/>
      <c r="AB598" s="37"/>
      <c r="AC598" s="37"/>
      <c r="AD598" s="37"/>
      <c r="AE598" s="37"/>
      <c r="AF598" s="37"/>
      <c r="AG598" s="37"/>
      <c r="AH598" s="37"/>
      <c r="AI598" s="37"/>
      <c r="AJ598" s="37"/>
      <c r="AK598" s="37"/>
      <c r="AL598" s="37"/>
      <c r="AM598" s="37"/>
      <c r="AN598" s="37"/>
      <c r="AO598" s="37"/>
      <c r="AP598" s="37"/>
      <c r="AQ598" s="37"/>
      <c r="AR598" s="37"/>
      <c r="AS598" s="37"/>
      <c r="AT598" s="37"/>
      <c r="AU598" s="37"/>
      <c r="AV598" s="37"/>
      <c r="AW598" s="37"/>
      <c r="AX598" s="37"/>
      <c r="AY598" s="37"/>
      <c r="AZ598" s="37"/>
    </row>
    <row r="599" spans="1:52">
      <c r="A599" s="37"/>
      <c r="B599" s="37"/>
      <c r="C599" s="37"/>
      <c r="D599" s="37"/>
      <c r="E599" s="37"/>
      <c r="F599" s="37"/>
      <c r="G599" s="37"/>
      <c r="H599" s="37"/>
      <c r="I599" s="37"/>
      <c r="J599" s="37"/>
      <c r="K599" s="37"/>
      <c r="L599" s="37"/>
      <c r="M599" s="37"/>
      <c r="N599" s="37"/>
      <c r="O599" s="37"/>
      <c r="P599" s="37"/>
      <c r="Q599" s="37"/>
      <c r="R599" s="37"/>
      <c r="S599" s="37"/>
      <c r="T599" s="37"/>
      <c r="U599" s="37"/>
      <c r="V599" s="37"/>
      <c r="W599" s="37"/>
      <c r="X599" s="37"/>
      <c r="Y599" s="37"/>
      <c r="Z599" s="37"/>
      <c r="AA599" s="37"/>
      <c r="AB599" s="37"/>
      <c r="AC599" s="37"/>
      <c r="AD599" s="37"/>
      <c r="AE599" s="37"/>
      <c r="AF599" s="37"/>
      <c r="AG599" s="37"/>
      <c r="AH599" s="37"/>
      <c r="AI599" s="37"/>
      <c r="AJ599" s="37"/>
      <c r="AK599" s="37"/>
      <c r="AL599" s="37"/>
      <c r="AM599" s="37"/>
      <c r="AN599" s="37"/>
      <c r="AO599" s="37"/>
      <c r="AP599" s="37"/>
      <c r="AQ599" s="37"/>
      <c r="AR599" s="37"/>
      <c r="AS599" s="37"/>
      <c r="AT599" s="37"/>
      <c r="AU599" s="37"/>
      <c r="AV599" s="37"/>
      <c r="AW599" s="37"/>
      <c r="AX599" s="37"/>
      <c r="AY599" s="37"/>
      <c r="AZ599" s="37"/>
    </row>
    <row r="600" spans="1:52">
      <c r="A600" s="37"/>
      <c r="B600" s="37"/>
      <c r="C600" s="37"/>
      <c r="D600" s="37"/>
      <c r="E600" s="37"/>
      <c r="F600" s="37"/>
      <c r="G600" s="37"/>
      <c r="H600" s="37"/>
      <c r="I600" s="37"/>
      <c r="J600" s="37"/>
      <c r="K600" s="37"/>
      <c r="L600" s="37"/>
      <c r="M600" s="37"/>
      <c r="N600" s="37"/>
      <c r="O600" s="37"/>
      <c r="P600" s="37"/>
      <c r="Q600" s="37"/>
      <c r="R600" s="37"/>
      <c r="S600" s="37"/>
      <c r="T600" s="37"/>
      <c r="U600" s="37"/>
      <c r="V600" s="37"/>
      <c r="W600" s="37"/>
      <c r="X600" s="37"/>
      <c r="Y600" s="37"/>
      <c r="Z600" s="37"/>
      <c r="AA600" s="37"/>
      <c r="AB600" s="37"/>
      <c r="AC600" s="37"/>
      <c r="AD600" s="37"/>
      <c r="AE600" s="37"/>
      <c r="AF600" s="37"/>
      <c r="AG600" s="37"/>
      <c r="AH600" s="37"/>
      <c r="AI600" s="37"/>
      <c r="AJ600" s="37"/>
      <c r="AK600" s="37"/>
      <c r="AL600" s="37"/>
      <c r="AM600" s="37"/>
      <c r="AN600" s="37"/>
      <c r="AO600" s="37"/>
      <c r="AP600" s="37"/>
      <c r="AQ600" s="37"/>
      <c r="AR600" s="37"/>
      <c r="AS600" s="37"/>
      <c r="AT600" s="37"/>
      <c r="AU600" s="37"/>
      <c r="AV600" s="37"/>
      <c r="AW600" s="37"/>
      <c r="AX600" s="37"/>
      <c r="AY600" s="37"/>
      <c r="AZ600" s="37"/>
    </row>
    <row r="601" spans="1:52">
      <c r="A601" s="37"/>
      <c r="B601" s="37"/>
      <c r="C601" s="37"/>
      <c r="D601" s="37"/>
      <c r="E601" s="37"/>
      <c r="F601" s="37"/>
      <c r="G601" s="37"/>
      <c r="H601" s="37"/>
      <c r="I601" s="37"/>
      <c r="J601" s="37"/>
      <c r="K601" s="37"/>
      <c r="L601" s="37"/>
      <c r="M601" s="37"/>
      <c r="N601" s="37"/>
      <c r="O601" s="37"/>
      <c r="P601" s="37"/>
      <c r="Q601" s="37"/>
      <c r="R601" s="37"/>
      <c r="S601" s="37"/>
      <c r="T601" s="37"/>
      <c r="U601" s="37"/>
      <c r="V601" s="37"/>
      <c r="W601" s="37"/>
      <c r="X601" s="37"/>
      <c r="Y601" s="37"/>
      <c r="Z601" s="37"/>
      <c r="AA601" s="37"/>
      <c r="AB601" s="37"/>
      <c r="AC601" s="37"/>
      <c r="AD601" s="37"/>
      <c r="AE601" s="37"/>
      <c r="AF601" s="37"/>
      <c r="AG601" s="37"/>
      <c r="AH601" s="37"/>
      <c r="AI601" s="37"/>
      <c r="AJ601" s="37"/>
      <c r="AK601" s="37"/>
      <c r="AL601" s="37"/>
      <c r="AM601" s="37"/>
      <c r="AN601" s="37"/>
      <c r="AO601" s="37"/>
      <c r="AP601" s="37"/>
      <c r="AQ601" s="37"/>
      <c r="AR601" s="37"/>
      <c r="AS601" s="37"/>
      <c r="AT601" s="37"/>
      <c r="AU601" s="37"/>
      <c r="AV601" s="37"/>
      <c r="AW601" s="37"/>
      <c r="AX601" s="37"/>
      <c r="AY601" s="37"/>
      <c r="AZ601" s="37"/>
    </row>
    <row r="602" spans="1:52">
      <c r="A602" s="37"/>
      <c r="B602" s="37"/>
      <c r="C602" s="37"/>
      <c r="D602" s="37"/>
      <c r="E602" s="37"/>
      <c r="F602" s="37"/>
      <c r="G602" s="37"/>
      <c r="H602" s="37"/>
      <c r="I602" s="37"/>
      <c r="J602" s="37"/>
      <c r="K602" s="37"/>
      <c r="L602" s="37"/>
      <c r="M602" s="37"/>
      <c r="N602" s="37"/>
      <c r="O602" s="37"/>
      <c r="P602" s="37"/>
      <c r="Q602" s="37"/>
      <c r="R602" s="37"/>
      <c r="S602" s="37"/>
      <c r="T602" s="37"/>
      <c r="U602" s="37"/>
      <c r="V602" s="37"/>
      <c r="W602" s="37"/>
      <c r="X602" s="37"/>
      <c r="Y602" s="37"/>
      <c r="Z602" s="37"/>
      <c r="AA602" s="37"/>
      <c r="AB602" s="37"/>
      <c r="AC602" s="37"/>
      <c r="AD602" s="37"/>
      <c r="AE602" s="37"/>
      <c r="AF602" s="37"/>
      <c r="AG602" s="37"/>
      <c r="AH602" s="37"/>
      <c r="AI602" s="37"/>
      <c r="AJ602" s="37"/>
      <c r="AK602" s="37"/>
      <c r="AL602" s="37"/>
      <c r="AM602" s="37"/>
      <c r="AN602" s="37"/>
      <c r="AO602" s="37"/>
      <c r="AP602" s="37"/>
      <c r="AQ602" s="37"/>
      <c r="AR602" s="37"/>
      <c r="AS602" s="37"/>
      <c r="AT602" s="37"/>
      <c r="AU602" s="37"/>
      <c r="AV602" s="37"/>
      <c r="AW602" s="37"/>
      <c r="AX602" s="37"/>
      <c r="AY602" s="37"/>
      <c r="AZ602" s="37"/>
    </row>
    <row r="603" spans="1:52">
      <c r="A603" s="37"/>
      <c r="B603" s="37"/>
      <c r="C603" s="37"/>
      <c r="D603" s="37"/>
      <c r="E603" s="37"/>
      <c r="F603" s="37"/>
      <c r="G603" s="37"/>
      <c r="H603" s="37"/>
      <c r="I603" s="37"/>
      <c r="J603" s="37"/>
      <c r="K603" s="37"/>
      <c r="L603" s="37"/>
      <c r="M603" s="37"/>
      <c r="N603" s="37"/>
      <c r="O603" s="37"/>
      <c r="P603" s="37"/>
      <c r="Q603" s="37"/>
      <c r="R603" s="37"/>
      <c r="S603" s="37"/>
      <c r="T603" s="37"/>
      <c r="U603" s="37"/>
      <c r="V603" s="37"/>
      <c r="W603" s="37"/>
      <c r="X603" s="37"/>
      <c r="Y603" s="37"/>
      <c r="Z603" s="37"/>
      <c r="AA603" s="37"/>
      <c r="AB603" s="37"/>
      <c r="AC603" s="37"/>
      <c r="AD603" s="37"/>
      <c r="AE603" s="37"/>
      <c r="AF603" s="37"/>
      <c r="AG603" s="37"/>
      <c r="AH603" s="37"/>
      <c r="AI603" s="37"/>
      <c r="AJ603" s="37"/>
      <c r="AK603" s="37"/>
      <c r="AL603" s="37"/>
      <c r="AM603" s="37"/>
      <c r="AN603" s="37"/>
      <c r="AO603" s="37"/>
      <c r="AP603" s="37"/>
      <c r="AQ603" s="37"/>
      <c r="AR603" s="37"/>
      <c r="AS603" s="37"/>
      <c r="AT603" s="37"/>
      <c r="AU603" s="37"/>
      <c r="AV603" s="37"/>
      <c r="AW603" s="37"/>
      <c r="AX603" s="37"/>
      <c r="AY603" s="37"/>
      <c r="AZ603" s="37"/>
    </row>
    <row r="604" spans="1:52">
      <c r="A604" s="37"/>
      <c r="B604" s="37"/>
      <c r="C604" s="37"/>
      <c r="D604" s="37"/>
      <c r="E604" s="37"/>
      <c r="F604" s="37"/>
      <c r="G604" s="37"/>
      <c r="H604" s="37"/>
      <c r="I604" s="37"/>
      <c r="J604" s="37"/>
      <c r="K604" s="37"/>
      <c r="L604" s="37"/>
      <c r="M604" s="37"/>
      <c r="N604" s="37"/>
      <c r="O604" s="37"/>
      <c r="P604" s="37"/>
      <c r="Q604" s="37"/>
      <c r="R604" s="37"/>
      <c r="S604" s="37"/>
      <c r="T604" s="37"/>
      <c r="U604" s="37"/>
      <c r="V604" s="37"/>
      <c r="W604" s="37"/>
      <c r="X604" s="37"/>
      <c r="Y604" s="37"/>
      <c r="Z604" s="37"/>
      <c r="AA604" s="37"/>
      <c r="AB604" s="37"/>
      <c r="AC604" s="37"/>
      <c r="AD604" s="37"/>
      <c r="AE604" s="37"/>
      <c r="AF604" s="37"/>
      <c r="AG604" s="37"/>
      <c r="AH604" s="37"/>
      <c r="AI604" s="37"/>
      <c r="AJ604" s="37"/>
      <c r="AK604" s="37"/>
      <c r="AL604" s="37"/>
      <c r="AM604" s="37"/>
      <c r="AN604" s="37"/>
      <c r="AO604" s="37"/>
      <c r="AP604" s="37"/>
      <c r="AQ604" s="37"/>
      <c r="AR604" s="37"/>
      <c r="AS604" s="37"/>
      <c r="AT604" s="37"/>
      <c r="AU604" s="37"/>
      <c r="AV604" s="37"/>
      <c r="AW604" s="37"/>
      <c r="AX604" s="37"/>
      <c r="AY604" s="37"/>
      <c r="AZ604" s="37"/>
    </row>
    <row r="605" spans="1:52">
      <c r="A605" s="37"/>
      <c r="B605" s="37"/>
      <c r="C605" s="37"/>
      <c r="D605" s="37"/>
      <c r="E605" s="37"/>
      <c r="F605" s="37"/>
      <c r="G605" s="37"/>
      <c r="H605" s="37"/>
      <c r="I605" s="37"/>
      <c r="J605" s="37"/>
      <c r="K605" s="37"/>
      <c r="L605" s="37"/>
      <c r="M605" s="37"/>
      <c r="N605" s="37"/>
      <c r="O605" s="37"/>
      <c r="P605" s="37"/>
      <c r="Q605" s="37"/>
      <c r="R605" s="37"/>
      <c r="S605" s="37"/>
      <c r="T605" s="37"/>
      <c r="U605" s="37"/>
      <c r="V605" s="37"/>
      <c r="W605" s="37"/>
      <c r="X605" s="37"/>
      <c r="Y605" s="37"/>
      <c r="Z605" s="37"/>
      <c r="AA605" s="37"/>
      <c r="AB605" s="37"/>
      <c r="AC605" s="37"/>
      <c r="AD605" s="37"/>
      <c r="AE605" s="37"/>
      <c r="AF605" s="37"/>
      <c r="AG605" s="37"/>
      <c r="AH605" s="37"/>
      <c r="AI605" s="37"/>
      <c r="AJ605" s="37"/>
      <c r="AK605" s="37"/>
      <c r="AL605" s="37"/>
      <c r="AM605" s="37"/>
      <c r="AN605" s="37"/>
      <c r="AO605" s="37"/>
      <c r="AP605" s="37"/>
      <c r="AQ605" s="37"/>
      <c r="AR605" s="37"/>
      <c r="AS605" s="37"/>
      <c r="AT605" s="37"/>
      <c r="AU605" s="37"/>
      <c r="AV605" s="37"/>
      <c r="AW605" s="37"/>
      <c r="AX605" s="37"/>
      <c r="AY605" s="37"/>
      <c r="AZ605" s="37"/>
    </row>
    <row r="606" spans="1:52">
      <c r="A606" s="37"/>
      <c r="B606" s="37"/>
      <c r="C606" s="37"/>
      <c r="D606" s="37"/>
      <c r="E606" s="37"/>
      <c r="F606" s="37"/>
      <c r="G606" s="37"/>
      <c r="H606" s="37"/>
      <c r="I606" s="37"/>
      <c r="J606" s="37"/>
      <c r="K606" s="37"/>
      <c r="L606" s="37"/>
      <c r="M606" s="37"/>
      <c r="N606" s="37"/>
      <c r="O606" s="37"/>
      <c r="P606" s="37"/>
      <c r="Q606" s="37"/>
      <c r="R606" s="37"/>
      <c r="S606" s="37"/>
      <c r="T606" s="37"/>
      <c r="U606" s="37"/>
      <c r="V606" s="37"/>
      <c r="W606" s="37"/>
      <c r="X606" s="37"/>
      <c r="Y606" s="37"/>
      <c r="Z606" s="37"/>
      <c r="AA606" s="37"/>
      <c r="AB606" s="37"/>
      <c r="AC606" s="37"/>
      <c r="AD606" s="37"/>
      <c r="AE606" s="37"/>
      <c r="AF606" s="37"/>
      <c r="AG606" s="37"/>
      <c r="AH606" s="37"/>
      <c r="AI606" s="37"/>
      <c r="AJ606" s="37"/>
      <c r="AK606" s="37"/>
      <c r="AL606" s="37"/>
      <c r="AM606" s="37"/>
      <c r="AN606" s="37"/>
      <c r="AO606" s="37"/>
      <c r="AP606" s="37"/>
      <c r="AQ606" s="37"/>
      <c r="AR606" s="37"/>
      <c r="AS606" s="37"/>
      <c r="AT606" s="37"/>
      <c r="AU606" s="37"/>
      <c r="AV606" s="37"/>
      <c r="AW606" s="37"/>
      <c r="AX606" s="37"/>
      <c r="AY606" s="37"/>
      <c r="AZ606" s="37"/>
    </row>
    <row r="607" spans="1:52">
      <c r="A607" s="37"/>
      <c r="B607" s="37"/>
      <c r="C607" s="37"/>
      <c r="D607" s="37"/>
      <c r="E607" s="37"/>
      <c r="F607" s="37"/>
      <c r="G607" s="37"/>
      <c r="H607" s="37"/>
      <c r="I607" s="37"/>
      <c r="J607" s="37"/>
      <c r="K607" s="37"/>
      <c r="L607" s="37"/>
      <c r="M607" s="37"/>
      <c r="N607" s="37"/>
      <c r="O607" s="37"/>
      <c r="P607" s="37"/>
      <c r="Q607" s="37"/>
      <c r="R607" s="37"/>
      <c r="S607" s="37"/>
      <c r="T607" s="37"/>
      <c r="U607" s="37"/>
      <c r="V607" s="37"/>
      <c r="W607" s="37"/>
      <c r="X607" s="37"/>
      <c r="Y607" s="37"/>
      <c r="Z607" s="37"/>
      <c r="AA607" s="37"/>
      <c r="AB607" s="37"/>
      <c r="AC607" s="37"/>
      <c r="AD607" s="37"/>
      <c r="AE607" s="37"/>
      <c r="AF607" s="37"/>
      <c r="AG607" s="37"/>
      <c r="AH607" s="37"/>
      <c r="AI607" s="37"/>
      <c r="AJ607" s="37"/>
      <c r="AK607" s="37"/>
      <c r="AL607" s="37"/>
      <c r="AM607" s="37"/>
      <c r="AN607" s="37"/>
      <c r="AO607" s="37"/>
      <c r="AP607" s="37"/>
      <c r="AQ607" s="37"/>
      <c r="AR607" s="37"/>
      <c r="AS607" s="37"/>
      <c r="AT607" s="37"/>
      <c r="AU607" s="37"/>
      <c r="AV607" s="37"/>
      <c r="AW607" s="37"/>
      <c r="AX607" s="37"/>
      <c r="AY607" s="37"/>
      <c r="AZ607" s="37"/>
    </row>
    <row r="608" spans="1:52">
      <c r="A608" s="37"/>
      <c r="B608" s="37"/>
      <c r="C608" s="37"/>
      <c r="D608" s="37"/>
      <c r="E608" s="37"/>
      <c r="F608" s="37"/>
      <c r="G608" s="37"/>
      <c r="H608" s="37"/>
      <c r="I608" s="37"/>
      <c r="J608" s="37"/>
      <c r="K608" s="37"/>
      <c r="L608" s="37"/>
      <c r="M608" s="37"/>
      <c r="N608" s="37"/>
      <c r="O608" s="37"/>
      <c r="P608" s="37"/>
      <c r="Q608" s="37"/>
      <c r="R608" s="37"/>
      <c r="S608" s="37"/>
      <c r="T608" s="37"/>
      <c r="U608" s="37"/>
      <c r="V608" s="37"/>
      <c r="W608" s="37"/>
      <c r="X608" s="37"/>
      <c r="Y608" s="37"/>
      <c r="Z608" s="37"/>
      <c r="AA608" s="37"/>
      <c r="AB608" s="37"/>
      <c r="AC608" s="37"/>
      <c r="AD608" s="37"/>
      <c r="AE608" s="37"/>
      <c r="AF608" s="37"/>
      <c r="AG608" s="37"/>
      <c r="AH608" s="37"/>
      <c r="AI608" s="37"/>
      <c r="AJ608" s="37"/>
      <c r="AK608" s="37"/>
      <c r="AL608" s="37"/>
      <c r="AM608" s="37"/>
      <c r="AN608" s="37"/>
      <c r="AO608" s="37"/>
      <c r="AP608" s="37"/>
      <c r="AQ608" s="37"/>
      <c r="AR608" s="37"/>
      <c r="AS608" s="37"/>
      <c r="AT608" s="37"/>
      <c r="AU608" s="37"/>
      <c r="AV608" s="37"/>
      <c r="AW608" s="37"/>
      <c r="AX608" s="37"/>
      <c r="AY608" s="37"/>
      <c r="AZ608" s="37"/>
    </row>
    <row r="609" spans="1:52">
      <c r="A609" s="37"/>
      <c r="B609" s="37"/>
      <c r="C609" s="37"/>
      <c r="D609" s="37"/>
      <c r="E609" s="37"/>
      <c r="F609" s="37"/>
      <c r="G609" s="37"/>
      <c r="H609" s="37"/>
      <c r="I609" s="37"/>
      <c r="J609" s="37"/>
      <c r="K609" s="37"/>
      <c r="L609" s="37"/>
      <c r="M609" s="37"/>
      <c r="N609" s="37"/>
      <c r="O609" s="37"/>
      <c r="P609" s="37"/>
      <c r="Q609" s="37"/>
      <c r="R609" s="37"/>
      <c r="S609" s="37"/>
      <c r="T609" s="37"/>
      <c r="U609" s="37"/>
      <c r="V609" s="37"/>
      <c r="W609" s="37"/>
      <c r="X609" s="37"/>
      <c r="Y609" s="37"/>
      <c r="Z609" s="37"/>
      <c r="AA609" s="37"/>
      <c r="AB609" s="37"/>
      <c r="AC609" s="37"/>
      <c r="AD609" s="37"/>
      <c r="AE609" s="37"/>
      <c r="AF609" s="37"/>
      <c r="AG609" s="37"/>
      <c r="AH609" s="37"/>
      <c r="AI609" s="37"/>
      <c r="AJ609" s="37"/>
      <c r="AK609" s="37"/>
      <c r="AL609" s="37"/>
      <c r="AM609" s="37"/>
      <c r="AN609" s="37"/>
      <c r="AO609" s="37"/>
      <c r="AP609" s="37"/>
      <c r="AQ609" s="37"/>
      <c r="AR609" s="37"/>
      <c r="AS609" s="37"/>
      <c r="AT609" s="37"/>
      <c r="AU609" s="37"/>
      <c r="AV609" s="37"/>
      <c r="AW609" s="37"/>
      <c r="AX609" s="37"/>
      <c r="AY609" s="37"/>
      <c r="AZ609" s="37"/>
    </row>
    <row r="610" spans="1:52">
      <c r="A610" s="37"/>
      <c r="B610" s="37"/>
      <c r="C610" s="37"/>
      <c r="D610" s="37"/>
      <c r="E610" s="37"/>
      <c r="F610" s="37"/>
      <c r="G610" s="37"/>
      <c r="H610" s="37"/>
      <c r="I610" s="37"/>
      <c r="J610" s="37"/>
      <c r="K610" s="37"/>
      <c r="L610" s="37"/>
      <c r="M610" s="37"/>
      <c r="N610" s="37"/>
      <c r="O610" s="37"/>
      <c r="P610" s="37"/>
      <c r="Q610" s="37"/>
      <c r="R610" s="37"/>
      <c r="S610" s="37"/>
      <c r="T610" s="37"/>
      <c r="U610" s="37"/>
      <c r="V610" s="37"/>
      <c r="W610" s="37"/>
      <c r="X610" s="37"/>
      <c r="Y610" s="37"/>
      <c r="Z610" s="37"/>
      <c r="AA610" s="37"/>
      <c r="AB610" s="37"/>
      <c r="AC610" s="37"/>
      <c r="AD610" s="37"/>
      <c r="AE610" s="37"/>
      <c r="AF610" s="37"/>
      <c r="AG610" s="37"/>
      <c r="AH610" s="37"/>
      <c r="AI610" s="37"/>
      <c r="AJ610" s="37"/>
      <c r="AK610" s="37"/>
      <c r="AL610" s="37"/>
      <c r="AM610" s="37"/>
      <c r="AN610" s="37"/>
      <c r="AO610" s="37"/>
      <c r="AP610" s="37"/>
      <c r="AQ610" s="37"/>
      <c r="AR610" s="37"/>
      <c r="AS610" s="37"/>
      <c r="AT610" s="37"/>
      <c r="AU610" s="37"/>
      <c r="AV610" s="37"/>
      <c r="AW610" s="37"/>
      <c r="AX610" s="37"/>
      <c r="AY610" s="37"/>
      <c r="AZ610" s="37"/>
    </row>
    <row r="611" spans="1:52">
      <c r="A611" s="37"/>
      <c r="B611" s="37"/>
      <c r="C611" s="37"/>
      <c r="D611" s="37"/>
      <c r="E611" s="37"/>
      <c r="F611" s="37"/>
      <c r="G611" s="37"/>
      <c r="H611" s="37"/>
      <c r="I611" s="37"/>
      <c r="J611" s="37"/>
      <c r="K611" s="37"/>
      <c r="L611" s="37"/>
      <c r="M611" s="37"/>
      <c r="N611" s="37"/>
      <c r="O611" s="37"/>
      <c r="P611" s="37"/>
      <c r="Q611" s="37"/>
      <c r="R611" s="37"/>
      <c r="S611" s="37"/>
      <c r="T611" s="37"/>
      <c r="U611" s="37"/>
      <c r="V611" s="37"/>
      <c r="W611" s="37"/>
      <c r="X611" s="37"/>
      <c r="Y611" s="37"/>
      <c r="Z611" s="37"/>
      <c r="AA611" s="37"/>
      <c r="AB611" s="37"/>
      <c r="AC611" s="37"/>
      <c r="AD611" s="37"/>
      <c r="AE611" s="37"/>
      <c r="AF611" s="37"/>
      <c r="AG611" s="37"/>
      <c r="AH611" s="37"/>
      <c r="AI611" s="37"/>
      <c r="AJ611" s="37"/>
      <c r="AK611" s="37"/>
      <c r="AL611" s="37"/>
      <c r="AM611" s="37"/>
      <c r="AN611" s="37"/>
      <c r="AO611" s="37"/>
      <c r="AP611" s="37"/>
      <c r="AQ611" s="37"/>
      <c r="AR611" s="37"/>
      <c r="AS611" s="37"/>
      <c r="AT611" s="37"/>
      <c r="AU611" s="37"/>
      <c r="AV611" s="37"/>
      <c r="AW611" s="37"/>
      <c r="AX611" s="37"/>
      <c r="AY611" s="37"/>
      <c r="AZ611" s="37"/>
    </row>
    <row r="612" spans="1:52">
      <c r="A612" s="37"/>
      <c r="B612" s="37"/>
      <c r="C612" s="37"/>
      <c r="D612" s="37"/>
      <c r="E612" s="37"/>
      <c r="F612" s="37"/>
      <c r="G612" s="37"/>
      <c r="H612" s="37"/>
      <c r="I612" s="37"/>
      <c r="J612" s="37"/>
      <c r="K612" s="37"/>
      <c r="L612" s="37"/>
      <c r="M612" s="37"/>
      <c r="N612" s="37"/>
      <c r="O612" s="37"/>
      <c r="P612" s="37"/>
      <c r="Q612" s="37"/>
      <c r="R612" s="37"/>
      <c r="S612" s="37"/>
      <c r="T612" s="37"/>
      <c r="U612" s="37"/>
      <c r="V612" s="37"/>
      <c r="W612" s="37"/>
      <c r="X612" s="37"/>
      <c r="Y612" s="37"/>
      <c r="Z612" s="37"/>
      <c r="AA612" s="37"/>
      <c r="AB612" s="37"/>
      <c r="AC612" s="37"/>
      <c r="AD612" s="37"/>
      <c r="AE612" s="37"/>
      <c r="AF612" s="37"/>
      <c r="AG612" s="37"/>
      <c r="AH612" s="37"/>
      <c r="AI612" s="37"/>
      <c r="AJ612" s="37"/>
      <c r="AK612" s="37"/>
      <c r="AL612" s="37"/>
      <c r="AM612" s="37"/>
      <c r="AN612" s="37"/>
      <c r="AO612" s="37"/>
      <c r="AP612" s="37"/>
      <c r="AQ612" s="37"/>
      <c r="AR612" s="37"/>
      <c r="AS612" s="37"/>
      <c r="AT612" s="37"/>
      <c r="AU612" s="37"/>
      <c r="AV612" s="37"/>
      <c r="AW612" s="37"/>
      <c r="AX612" s="37"/>
      <c r="AY612" s="37"/>
      <c r="AZ612" s="37"/>
    </row>
    <row r="613" spans="1:52">
      <c r="A613" s="37"/>
      <c r="B613" s="37"/>
      <c r="C613" s="37"/>
      <c r="D613" s="37"/>
      <c r="E613" s="37"/>
      <c r="F613" s="37"/>
      <c r="G613" s="37"/>
      <c r="H613" s="37"/>
      <c r="I613" s="37"/>
      <c r="J613" s="37"/>
      <c r="K613" s="37"/>
      <c r="L613" s="37"/>
      <c r="M613" s="37"/>
      <c r="N613" s="37"/>
      <c r="O613" s="37"/>
      <c r="P613" s="37"/>
      <c r="Q613" s="37"/>
      <c r="R613" s="37"/>
      <c r="S613" s="37"/>
      <c r="T613" s="37"/>
      <c r="U613" s="37"/>
      <c r="V613" s="37"/>
      <c r="W613" s="37"/>
      <c r="X613" s="37"/>
      <c r="Y613" s="37"/>
      <c r="Z613" s="37"/>
      <c r="AA613" s="37"/>
      <c r="AB613" s="37"/>
      <c r="AC613" s="37"/>
      <c r="AD613" s="37"/>
      <c r="AE613" s="37"/>
      <c r="AF613" s="37"/>
      <c r="AG613" s="37"/>
      <c r="AH613" s="37"/>
      <c r="AI613" s="37"/>
      <c r="AJ613" s="37"/>
      <c r="AK613" s="37"/>
      <c r="AL613" s="37"/>
      <c r="AM613" s="37"/>
      <c r="AN613" s="37"/>
      <c r="AO613" s="37"/>
      <c r="AP613" s="37"/>
      <c r="AQ613" s="37"/>
      <c r="AR613" s="37"/>
      <c r="AS613" s="37"/>
      <c r="AT613" s="37"/>
      <c r="AU613" s="37"/>
      <c r="AV613" s="37"/>
      <c r="AW613" s="37"/>
      <c r="AX613" s="37"/>
      <c r="AY613" s="37"/>
      <c r="AZ613" s="37"/>
    </row>
    <row r="614" spans="1:52">
      <c r="A614" s="37"/>
      <c r="B614" s="37"/>
      <c r="C614" s="37"/>
      <c r="D614" s="37"/>
      <c r="E614" s="37"/>
      <c r="F614" s="37"/>
      <c r="G614" s="37"/>
      <c r="H614" s="37"/>
      <c r="I614" s="37"/>
      <c r="J614" s="37"/>
      <c r="K614" s="37"/>
      <c r="L614" s="37"/>
      <c r="M614" s="37"/>
      <c r="N614" s="37"/>
      <c r="O614" s="37"/>
      <c r="P614" s="37"/>
      <c r="Q614" s="37"/>
      <c r="R614" s="37"/>
      <c r="S614" s="37"/>
      <c r="T614" s="37"/>
      <c r="U614" s="37"/>
      <c r="V614" s="37"/>
      <c r="W614" s="37"/>
      <c r="X614" s="37"/>
      <c r="Y614" s="37"/>
      <c r="Z614" s="37"/>
      <c r="AA614" s="37"/>
      <c r="AB614" s="37"/>
      <c r="AC614" s="37"/>
      <c r="AD614" s="37"/>
      <c r="AE614" s="37"/>
      <c r="AF614" s="37"/>
      <c r="AG614" s="37"/>
      <c r="AH614" s="37"/>
      <c r="AI614" s="37"/>
      <c r="AJ614" s="37"/>
      <c r="AK614" s="37"/>
      <c r="AL614" s="37"/>
      <c r="AM614" s="37"/>
      <c r="AN614" s="37"/>
      <c r="AO614" s="37"/>
      <c r="AP614" s="37"/>
      <c r="AQ614" s="37"/>
      <c r="AR614" s="37"/>
      <c r="AS614" s="37"/>
      <c r="AT614" s="37"/>
      <c r="AU614" s="37"/>
      <c r="AV614" s="37"/>
      <c r="AW614" s="37"/>
      <c r="AX614" s="37"/>
      <c r="AY614" s="37"/>
      <c r="AZ614" s="37"/>
    </row>
    <row r="615" spans="1:52">
      <c r="A615" s="37"/>
      <c r="B615" s="37"/>
      <c r="C615" s="37"/>
      <c r="D615" s="37"/>
      <c r="E615" s="37"/>
      <c r="F615" s="37"/>
      <c r="G615" s="37"/>
      <c r="H615" s="37"/>
      <c r="I615" s="37"/>
      <c r="J615" s="37"/>
      <c r="K615" s="37"/>
      <c r="L615" s="37"/>
      <c r="M615" s="37"/>
      <c r="N615" s="37"/>
      <c r="O615" s="37"/>
      <c r="P615" s="37"/>
      <c r="Q615" s="37"/>
      <c r="R615" s="37"/>
      <c r="S615" s="37"/>
      <c r="T615" s="37"/>
      <c r="U615" s="37"/>
      <c r="V615" s="37"/>
      <c r="W615" s="37"/>
      <c r="X615" s="37"/>
      <c r="Y615" s="37"/>
      <c r="Z615" s="37"/>
      <c r="AA615" s="37"/>
      <c r="AB615" s="37"/>
      <c r="AC615" s="37"/>
      <c r="AD615" s="37"/>
      <c r="AE615" s="37"/>
      <c r="AF615" s="37"/>
      <c r="AG615" s="37"/>
      <c r="AH615" s="37"/>
      <c r="AI615" s="37"/>
      <c r="AJ615" s="37"/>
      <c r="AK615" s="37"/>
      <c r="AL615" s="37"/>
      <c r="AM615" s="37"/>
      <c r="AN615" s="37"/>
      <c r="AO615" s="37"/>
      <c r="AP615" s="37"/>
      <c r="AQ615" s="37"/>
      <c r="AR615" s="37"/>
      <c r="AS615" s="37"/>
      <c r="AT615" s="37"/>
      <c r="AU615" s="37"/>
      <c r="AV615" s="37"/>
      <c r="AW615" s="37"/>
      <c r="AX615" s="37"/>
      <c r="AY615" s="37"/>
      <c r="AZ615" s="37"/>
    </row>
    <row r="616" spans="1:52">
      <c r="A616" s="37"/>
      <c r="B616" s="37"/>
      <c r="C616" s="37"/>
      <c r="D616" s="37"/>
      <c r="E616" s="37"/>
      <c r="F616" s="37"/>
      <c r="G616" s="37"/>
      <c r="H616" s="37"/>
      <c r="I616" s="37"/>
      <c r="J616" s="37"/>
      <c r="K616" s="37"/>
      <c r="L616" s="37"/>
      <c r="M616" s="37"/>
      <c r="N616" s="37"/>
      <c r="O616" s="37"/>
      <c r="P616" s="37"/>
      <c r="Q616" s="37"/>
      <c r="R616" s="37"/>
      <c r="S616" s="37"/>
      <c r="T616" s="37"/>
      <c r="U616" s="37"/>
      <c r="V616" s="37"/>
      <c r="W616" s="37"/>
      <c r="X616" s="37"/>
      <c r="Y616" s="37"/>
      <c r="Z616" s="37"/>
      <c r="AA616" s="37"/>
      <c r="AB616" s="37"/>
      <c r="AC616" s="37"/>
      <c r="AD616" s="37"/>
      <c r="AE616" s="37"/>
      <c r="AF616" s="37"/>
      <c r="AG616" s="37"/>
      <c r="AH616" s="37"/>
      <c r="AI616" s="37"/>
      <c r="AJ616" s="37"/>
      <c r="AK616" s="37"/>
      <c r="AL616" s="37"/>
      <c r="AM616" s="37"/>
      <c r="AN616" s="37"/>
      <c r="AO616" s="37"/>
      <c r="AP616" s="37"/>
      <c r="AQ616" s="37"/>
      <c r="AR616" s="37"/>
      <c r="AS616" s="37"/>
      <c r="AT616" s="37"/>
      <c r="AU616" s="37"/>
      <c r="AV616" s="37"/>
      <c r="AW616" s="37"/>
      <c r="AX616" s="37"/>
      <c r="AY616" s="37"/>
      <c r="AZ616" s="37"/>
    </row>
    <row r="617" spans="1:52">
      <c r="A617" s="37"/>
      <c r="B617" s="37"/>
      <c r="C617" s="37"/>
      <c r="D617" s="37"/>
      <c r="E617" s="37"/>
      <c r="F617" s="37"/>
      <c r="G617" s="37"/>
      <c r="H617" s="37"/>
      <c r="I617" s="37"/>
      <c r="J617" s="37"/>
      <c r="K617" s="37"/>
      <c r="L617" s="37"/>
      <c r="M617" s="37"/>
      <c r="N617" s="37"/>
      <c r="O617" s="37"/>
      <c r="P617" s="37"/>
      <c r="Q617" s="37"/>
      <c r="R617" s="37"/>
      <c r="S617" s="37"/>
      <c r="T617" s="37"/>
      <c r="U617" s="37"/>
      <c r="V617" s="37"/>
      <c r="W617" s="37"/>
      <c r="X617" s="37"/>
      <c r="Y617" s="37"/>
      <c r="Z617" s="37"/>
      <c r="AA617" s="37"/>
      <c r="AB617" s="37"/>
      <c r="AC617" s="37"/>
      <c r="AD617" s="37"/>
      <c r="AE617" s="37"/>
      <c r="AF617" s="37"/>
      <c r="AG617" s="37"/>
      <c r="AH617" s="37"/>
      <c r="AI617" s="37"/>
      <c r="AJ617" s="37"/>
      <c r="AK617" s="37"/>
      <c r="AL617" s="37"/>
      <c r="AM617" s="37"/>
      <c r="AN617" s="37"/>
      <c r="AO617" s="37"/>
      <c r="AP617" s="37"/>
      <c r="AQ617" s="37"/>
      <c r="AR617" s="37"/>
      <c r="AS617" s="37"/>
      <c r="AT617" s="37"/>
      <c r="AU617" s="37"/>
      <c r="AV617" s="37"/>
      <c r="AW617" s="37"/>
      <c r="AX617" s="37"/>
      <c r="AY617" s="37"/>
      <c r="AZ617" s="37"/>
    </row>
    <row r="618" spans="1:52">
      <c r="A618" s="37"/>
      <c r="B618" s="37"/>
      <c r="C618" s="37"/>
      <c r="D618" s="37"/>
      <c r="E618" s="37"/>
      <c r="F618" s="37"/>
      <c r="G618" s="37"/>
      <c r="H618" s="37"/>
      <c r="I618" s="37"/>
      <c r="J618" s="37"/>
      <c r="K618" s="37"/>
      <c r="L618" s="37"/>
      <c r="M618" s="37"/>
      <c r="N618" s="37"/>
      <c r="O618" s="37"/>
      <c r="P618" s="37"/>
      <c r="Q618" s="37"/>
      <c r="R618" s="37"/>
      <c r="S618" s="37"/>
      <c r="T618" s="37"/>
      <c r="U618" s="37"/>
      <c r="V618" s="37"/>
      <c r="W618" s="37"/>
      <c r="X618" s="37"/>
      <c r="Y618" s="37"/>
      <c r="Z618" s="37"/>
      <c r="AA618" s="37"/>
      <c r="AB618" s="37"/>
      <c r="AC618" s="37"/>
      <c r="AD618" s="37"/>
      <c r="AE618" s="37"/>
      <c r="AF618" s="37"/>
      <c r="AG618" s="37"/>
      <c r="AH618" s="37"/>
      <c r="AI618" s="37"/>
      <c r="AJ618" s="37"/>
      <c r="AK618" s="37"/>
      <c r="AL618" s="37"/>
      <c r="AM618" s="37"/>
      <c r="AN618" s="37"/>
      <c r="AO618" s="37"/>
      <c r="AP618" s="37"/>
      <c r="AQ618" s="37"/>
      <c r="AR618" s="37"/>
      <c r="AS618" s="37"/>
      <c r="AT618" s="37"/>
      <c r="AU618" s="37"/>
      <c r="AV618" s="37"/>
      <c r="AW618" s="37"/>
      <c r="AX618" s="37"/>
      <c r="AY618" s="37"/>
      <c r="AZ618" s="37"/>
    </row>
    <row r="619" spans="1:52">
      <c r="A619" s="37"/>
      <c r="B619" s="37"/>
      <c r="C619" s="37"/>
      <c r="D619" s="37"/>
      <c r="E619" s="37"/>
      <c r="F619" s="37"/>
      <c r="G619" s="37"/>
      <c r="H619" s="37"/>
      <c r="I619" s="37"/>
      <c r="J619" s="37"/>
      <c r="K619" s="37"/>
      <c r="L619" s="37"/>
      <c r="M619" s="37"/>
      <c r="N619" s="37"/>
      <c r="O619" s="37"/>
      <c r="P619" s="37"/>
      <c r="Q619" s="37"/>
      <c r="R619" s="37"/>
      <c r="S619" s="37"/>
      <c r="T619" s="37"/>
      <c r="U619" s="37"/>
      <c r="V619" s="37"/>
      <c r="W619" s="37"/>
      <c r="X619" s="37"/>
      <c r="Y619" s="37"/>
      <c r="Z619" s="37"/>
      <c r="AA619" s="37"/>
      <c r="AB619" s="37"/>
      <c r="AC619" s="37"/>
      <c r="AD619" s="37"/>
      <c r="AE619" s="37"/>
      <c r="AF619" s="37"/>
      <c r="AG619" s="37"/>
      <c r="AH619" s="37"/>
      <c r="AI619" s="37"/>
      <c r="AJ619" s="37"/>
      <c r="AK619" s="37"/>
      <c r="AL619" s="37"/>
      <c r="AM619" s="37"/>
      <c r="AN619" s="37"/>
      <c r="AO619" s="37"/>
      <c r="AP619" s="37"/>
      <c r="AQ619" s="37"/>
      <c r="AR619" s="37"/>
      <c r="AS619" s="37"/>
      <c r="AT619" s="37"/>
      <c r="AU619" s="37"/>
      <c r="AV619" s="37"/>
      <c r="AW619" s="37"/>
      <c r="AX619" s="37"/>
      <c r="AY619" s="37"/>
      <c r="AZ619" s="37"/>
    </row>
    <row r="620" spans="1:52">
      <c r="A620" s="37"/>
      <c r="B620" s="37"/>
      <c r="C620" s="37"/>
      <c r="D620" s="37"/>
      <c r="E620" s="37"/>
      <c r="F620" s="37"/>
      <c r="G620" s="37"/>
      <c r="H620" s="37"/>
      <c r="I620" s="37"/>
      <c r="J620" s="37"/>
      <c r="K620" s="37"/>
      <c r="L620" s="37"/>
      <c r="M620" s="37"/>
      <c r="N620" s="37"/>
      <c r="O620" s="37"/>
      <c r="P620" s="37"/>
      <c r="Q620" s="37"/>
      <c r="R620" s="37"/>
      <c r="S620" s="37"/>
      <c r="T620" s="37"/>
      <c r="U620" s="37"/>
      <c r="V620" s="37"/>
      <c r="W620" s="37"/>
      <c r="X620" s="37"/>
      <c r="Y620" s="37"/>
      <c r="Z620" s="37"/>
      <c r="AA620" s="37"/>
      <c r="AB620" s="37"/>
      <c r="AC620" s="37"/>
      <c r="AD620" s="37"/>
      <c r="AE620" s="37"/>
      <c r="AF620" s="37"/>
      <c r="AG620" s="37"/>
      <c r="AH620" s="37"/>
      <c r="AI620" s="37"/>
      <c r="AJ620" s="37"/>
      <c r="AK620" s="37"/>
      <c r="AL620" s="37"/>
      <c r="AM620" s="37"/>
      <c r="AN620" s="37"/>
      <c r="AO620" s="37"/>
      <c r="AP620" s="37"/>
      <c r="AQ620" s="37"/>
      <c r="AR620" s="37"/>
      <c r="AS620" s="37"/>
      <c r="AT620" s="37"/>
      <c r="AU620" s="37"/>
      <c r="AV620" s="37"/>
      <c r="AW620" s="37"/>
      <c r="AX620" s="37"/>
      <c r="AY620" s="37"/>
      <c r="AZ620" s="37"/>
    </row>
    <row r="621" spans="1:52">
      <c r="A621" s="37"/>
      <c r="B621" s="37"/>
      <c r="C621" s="37"/>
      <c r="D621" s="37"/>
      <c r="E621" s="37"/>
      <c r="F621" s="37"/>
      <c r="G621" s="37"/>
      <c r="H621" s="37"/>
      <c r="I621" s="37"/>
      <c r="J621" s="37"/>
      <c r="K621" s="37"/>
      <c r="L621" s="37"/>
      <c r="M621" s="37"/>
      <c r="N621" s="37"/>
      <c r="O621" s="37"/>
      <c r="P621" s="37"/>
      <c r="Q621" s="37"/>
      <c r="R621" s="37"/>
      <c r="S621" s="37"/>
      <c r="T621" s="37"/>
      <c r="U621" s="37"/>
      <c r="V621" s="37"/>
      <c r="W621" s="37"/>
      <c r="X621" s="37"/>
      <c r="Y621" s="37"/>
      <c r="Z621" s="37"/>
      <c r="AA621" s="37"/>
      <c r="AB621" s="37"/>
      <c r="AC621" s="37"/>
      <c r="AD621" s="37"/>
      <c r="AE621" s="37"/>
      <c r="AF621" s="37"/>
      <c r="AG621" s="37"/>
      <c r="AH621" s="37"/>
      <c r="AI621" s="37"/>
      <c r="AJ621" s="37"/>
      <c r="AK621" s="37"/>
      <c r="AL621" s="37"/>
      <c r="AM621" s="37"/>
      <c r="AN621" s="37"/>
      <c r="AO621" s="37"/>
      <c r="AP621" s="37"/>
      <c r="AQ621" s="37"/>
      <c r="AR621" s="37"/>
      <c r="AS621" s="37"/>
      <c r="AT621" s="37"/>
      <c r="AU621" s="37"/>
      <c r="AV621" s="37"/>
      <c r="AW621" s="37"/>
      <c r="AX621" s="37"/>
      <c r="AY621" s="37"/>
      <c r="AZ621" s="37"/>
    </row>
    <row r="622" spans="1:52">
      <c r="A622" s="37"/>
      <c r="B622" s="37"/>
      <c r="C622" s="37"/>
      <c r="D622" s="37"/>
      <c r="E622" s="37"/>
      <c r="F622" s="37"/>
      <c r="G622" s="37"/>
      <c r="H622" s="37"/>
      <c r="I622" s="37"/>
      <c r="J622" s="37"/>
      <c r="K622" s="37"/>
      <c r="L622" s="37"/>
      <c r="M622" s="37"/>
      <c r="N622" s="37"/>
      <c r="O622" s="37"/>
      <c r="P622" s="37"/>
      <c r="Q622" s="37"/>
      <c r="R622" s="37"/>
      <c r="S622" s="37"/>
      <c r="T622" s="37"/>
      <c r="U622" s="37"/>
      <c r="V622" s="37"/>
      <c r="W622" s="37"/>
      <c r="X622" s="37"/>
      <c r="Y622" s="37"/>
      <c r="Z622" s="37"/>
      <c r="AA622" s="37"/>
      <c r="AB622" s="37"/>
      <c r="AC622" s="37"/>
      <c r="AD622" s="37"/>
      <c r="AE622" s="37"/>
      <c r="AF622" s="37"/>
      <c r="AG622" s="37"/>
      <c r="AH622" s="37"/>
      <c r="AI622" s="37"/>
      <c r="AJ622" s="37"/>
      <c r="AK622" s="37"/>
      <c r="AL622" s="37"/>
      <c r="AM622" s="37"/>
      <c r="AN622" s="37"/>
      <c r="AO622" s="37"/>
      <c r="AP622" s="37"/>
      <c r="AQ622" s="37"/>
      <c r="AR622" s="37"/>
      <c r="AS622" s="37"/>
      <c r="AT622" s="37"/>
      <c r="AU622" s="37"/>
      <c r="AV622" s="37"/>
      <c r="AW622" s="37"/>
      <c r="AX622" s="37"/>
      <c r="AY622" s="37"/>
      <c r="AZ622" s="37"/>
    </row>
    <row r="623" spans="1:52">
      <c r="A623" s="37"/>
      <c r="B623" s="37"/>
      <c r="C623" s="37"/>
      <c r="D623" s="37"/>
      <c r="E623" s="37"/>
      <c r="F623" s="37"/>
      <c r="G623" s="37"/>
      <c r="H623" s="37"/>
      <c r="I623" s="37"/>
      <c r="J623" s="37"/>
      <c r="K623" s="37"/>
      <c r="L623" s="37"/>
      <c r="M623" s="37"/>
      <c r="N623" s="37"/>
      <c r="O623" s="37"/>
      <c r="P623" s="37"/>
      <c r="Q623" s="37"/>
      <c r="R623" s="37"/>
      <c r="S623" s="37"/>
      <c r="T623" s="37"/>
      <c r="U623" s="37"/>
      <c r="V623" s="37"/>
      <c r="W623" s="37"/>
      <c r="X623" s="37"/>
      <c r="Y623" s="37"/>
      <c r="Z623" s="37"/>
      <c r="AA623" s="37"/>
      <c r="AB623" s="37"/>
      <c r="AC623" s="37"/>
      <c r="AD623" s="37"/>
      <c r="AE623" s="37"/>
      <c r="AF623" s="37"/>
      <c r="AG623" s="37"/>
      <c r="AH623" s="37"/>
      <c r="AI623" s="37"/>
      <c r="AJ623" s="37"/>
      <c r="AK623" s="37"/>
      <c r="AL623" s="37"/>
      <c r="AM623" s="37"/>
      <c r="AN623" s="37"/>
      <c r="AO623" s="37"/>
      <c r="AP623" s="37"/>
      <c r="AQ623" s="37"/>
      <c r="AR623" s="37"/>
      <c r="AS623" s="37"/>
      <c r="AT623" s="37"/>
      <c r="AU623" s="37"/>
      <c r="AV623" s="37"/>
      <c r="AW623" s="37"/>
      <c r="AX623" s="37"/>
      <c r="AY623" s="37"/>
      <c r="AZ623" s="37"/>
    </row>
    <row r="624" spans="1:52">
      <c r="A624" s="37"/>
      <c r="B624" s="37"/>
      <c r="C624" s="37"/>
      <c r="D624" s="37"/>
      <c r="E624" s="37"/>
      <c r="F624" s="37"/>
      <c r="G624" s="37"/>
      <c r="H624" s="37"/>
      <c r="I624" s="37"/>
      <c r="J624" s="37"/>
      <c r="K624" s="37"/>
      <c r="L624" s="37"/>
      <c r="M624" s="37"/>
      <c r="N624" s="37"/>
      <c r="O624" s="37"/>
      <c r="P624" s="37"/>
      <c r="Q624" s="37"/>
      <c r="R624" s="37"/>
      <c r="S624" s="37"/>
      <c r="T624" s="37"/>
      <c r="U624" s="37"/>
      <c r="V624" s="37"/>
      <c r="W624" s="37"/>
      <c r="X624" s="37"/>
      <c r="Y624" s="37"/>
      <c r="Z624" s="37"/>
      <c r="AA624" s="37"/>
      <c r="AB624" s="37"/>
      <c r="AC624" s="37"/>
      <c r="AD624" s="37"/>
      <c r="AE624" s="37"/>
      <c r="AF624" s="37"/>
      <c r="AG624" s="37"/>
      <c r="AH624" s="37"/>
      <c r="AI624" s="37"/>
      <c r="AJ624" s="37"/>
      <c r="AK624" s="37"/>
      <c r="AL624" s="37"/>
      <c r="AM624" s="37"/>
      <c r="AN624" s="37"/>
      <c r="AO624" s="37"/>
      <c r="AP624" s="37"/>
      <c r="AQ624" s="37"/>
      <c r="AR624" s="37"/>
      <c r="AS624" s="37"/>
      <c r="AT624" s="37"/>
      <c r="AU624" s="37"/>
      <c r="AV624" s="37"/>
      <c r="AW624" s="37"/>
      <c r="AX624" s="37"/>
      <c r="AY624" s="37"/>
      <c r="AZ624" s="37"/>
    </row>
    <row r="625" spans="1:52">
      <c r="A625" s="37"/>
      <c r="B625" s="37"/>
      <c r="C625" s="37"/>
      <c r="D625" s="37"/>
      <c r="E625" s="37"/>
      <c r="F625" s="37"/>
      <c r="G625" s="37"/>
      <c r="H625" s="37"/>
      <c r="I625" s="37"/>
      <c r="J625" s="37"/>
      <c r="K625" s="37"/>
      <c r="L625" s="37"/>
      <c r="M625" s="37"/>
      <c r="N625" s="37"/>
      <c r="O625" s="37"/>
      <c r="P625" s="37"/>
      <c r="Q625" s="37"/>
      <c r="R625" s="37"/>
      <c r="S625" s="37"/>
      <c r="T625" s="37"/>
      <c r="U625" s="37"/>
      <c r="V625" s="37"/>
      <c r="W625" s="37"/>
      <c r="X625" s="37"/>
      <c r="Y625" s="37"/>
      <c r="Z625" s="37"/>
      <c r="AA625" s="37"/>
      <c r="AB625" s="37"/>
      <c r="AC625" s="37"/>
      <c r="AD625" s="37"/>
      <c r="AE625" s="37"/>
      <c r="AF625" s="37"/>
      <c r="AG625" s="37"/>
      <c r="AH625" s="37"/>
      <c r="AI625" s="37"/>
      <c r="AJ625" s="37"/>
      <c r="AK625" s="37"/>
      <c r="AL625" s="37"/>
      <c r="AM625" s="37"/>
      <c r="AN625" s="37"/>
      <c r="AO625" s="37"/>
      <c r="AP625" s="37"/>
      <c r="AQ625" s="37"/>
      <c r="AR625" s="37"/>
      <c r="AS625" s="37"/>
      <c r="AT625" s="37"/>
      <c r="AU625" s="37"/>
      <c r="AV625" s="37"/>
      <c r="AW625" s="37"/>
      <c r="AX625" s="37"/>
      <c r="AY625" s="37"/>
      <c r="AZ625" s="37"/>
    </row>
    <row r="626" spans="1:52">
      <c r="A626" s="37"/>
      <c r="B626" s="37"/>
      <c r="C626" s="37"/>
      <c r="D626" s="37"/>
      <c r="E626" s="37"/>
      <c r="F626" s="37"/>
      <c r="G626" s="37"/>
      <c r="H626" s="37"/>
      <c r="I626" s="37"/>
      <c r="J626" s="37"/>
      <c r="K626" s="37"/>
      <c r="L626" s="37"/>
      <c r="M626" s="37"/>
      <c r="N626" s="37"/>
      <c r="O626" s="37"/>
      <c r="P626" s="37"/>
      <c r="Q626" s="37"/>
      <c r="R626" s="37"/>
      <c r="S626" s="37"/>
      <c r="T626" s="37"/>
      <c r="U626" s="37"/>
      <c r="V626" s="37"/>
      <c r="W626" s="37"/>
      <c r="X626" s="37"/>
      <c r="Y626" s="37"/>
      <c r="Z626" s="37"/>
      <c r="AA626" s="37"/>
      <c r="AB626" s="37"/>
      <c r="AC626" s="37"/>
      <c r="AD626" s="37"/>
      <c r="AE626" s="37"/>
      <c r="AF626" s="37"/>
      <c r="AG626" s="37"/>
      <c r="AH626" s="37"/>
      <c r="AI626" s="37"/>
      <c r="AJ626" s="37"/>
      <c r="AK626" s="37"/>
      <c r="AL626" s="37"/>
      <c r="AM626" s="37"/>
      <c r="AN626" s="37"/>
      <c r="AO626" s="37"/>
      <c r="AP626" s="37"/>
      <c r="AQ626" s="37"/>
      <c r="AR626" s="37"/>
      <c r="AS626" s="37"/>
      <c r="AT626" s="37"/>
      <c r="AU626" s="37"/>
      <c r="AV626" s="37"/>
      <c r="AW626" s="37"/>
      <c r="AX626" s="37"/>
      <c r="AY626" s="37"/>
      <c r="AZ626" s="37"/>
    </row>
    <row r="627" spans="1:52">
      <c r="A627" s="37"/>
      <c r="B627" s="37"/>
      <c r="C627" s="37"/>
      <c r="D627" s="37"/>
      <c r="E627" s="37"/>
      <c r="F627" s="37"/>
      <c r="G627" s="37"/>
      <c r="H627" s="37"/>
      <c r="I627" s="37"/>
      <c r="J627" s="37"/>
      <c r="K627" s="37"/>
      <c r="L627" s="37"/>
      <c r="M627" s="37"/>
      <c r="N627" s="37"/>
      <c r="O627" s="37"/>
      <c r="P627" s="37"/>
      <c r="Q627" s="37"/>
      <c r="R627" s="37"/>
      <c r="S627" s="37"/>
      <c r="T627" s="37"/>
      <c r="U627" s="37"/>
      <c r="V627" s="37"/>
      <c r="W627" s="37"/>
      <c r="X627" s="37"/>
      <c r="Y627" s="37"/>
      <c r="Z627" s="37"/>
      <c r="AA627" s="37"/>
      <c r="AB627" s="37"/>
      <c r="AC627" s="37"/>
      <c r="AD627" s="37"/>
      <c r="AE627" s="37"/>
      <c r="AF627" s="37"/>
      <c r="AG627" s="37"/>
      <c r="AH627" s="37"/>
      <c r="AI627" s="37"/>
      <c r="AJ627" s="37"/>
      <c r="AK627" s="37"/>
      <c r="AL627" s="37"/>
      <c r="AM627" s="37"/>
      <c r="AN627" s="37"/>
      <c r="AO627" s="37"/>
      <c r="AP627" s="37"/>
      <c r="AQ627" s="37"/>
      <c r="AR627" s="37"/>
      <c r="AS627" s="37"/>
      <c r="AT627" s="37"/>
      <c r="AU627" s="37"/>
      <c r="AV627" s="37"/>
      <c r="AW627" s="37"/>
      <c r="AX627" s="37"/>
      <c r="AY627" s="37"/>
      <c r="AZ627" s="37"/>
    </row>
    <row r="628" spans="1:52">
      <c r="A628" s="37"/>
      <c r="B628" s="37"/>
      <c r="C628" s="37"/>
      <c r="D628" s="37"/>
      <c r="E628" s="37"/>
      <c r="F628" s="37"/>
      <c r="G628" s="37"/>
      <c r="H628" s="37"/>
      <c r="I628" s="37"/>
      <c r="J628" s="37"/>
      <c r="K628" s="37"/>
      <c r="L628" s="37"/>
      <c r="M628" s="37"/>
      <c r="N628" s="37"/>
      <c r="O628" s="37"/>
      <c r="P628" s="37"/>
      <c r="Q628" s="37"/>
      <c r="R628" s="37"/>
      <c r="S628" s="37"/>
      <c r="T628" s="37"/>
      <c r="U628" s="37"/>
      <c r="V628" s="37"/>
      <c r="W628" s="37"/>
      <c r="X628" s="37"/>
      <c r="Y628" s="37"/>
      <c r="Z628" s="37"/>
      <c r="AA628" s="37"/>
      <c r="AB628" s="37"/>
      <c r="AC628" s="37"/>
      <c r="AD628" s="37"/>
      <c r="AE628" s="37"/>
      <c r="AF628" s="37"/>
      <c r="AG628" s="37"/>
      <c r="AH628" s="37"/>
      <c r="AI628" s="37"/>
      <c r="AJ628" s="37"/>
      <c r="AK628" s="37"/>
      <c r="AL628" s="37"/>
      <c r="AM628" s="37"/>
      <c r="AN628" s="37"/>
      <c r="AO628" s="37"/>
      <c r="AP628" s="37"/>
      <c r="AQ628" s="37"/>
      <c r="AR628" s="37"/>
      <c r="AS628" s="37"/>
      <c r="AT628" s="37"/>
      <c r="AU628" s="37"/>
      <c r="AV628" s="37"/>
      <c r="AW628" s="37"/>
      <c r="AX628" s="37"/>
      <c r="AY628" s="37"/>
      <c r="AZ628" s="37"/>
    </row>
    <row r="629" spans="1:52">
      <c r="A629" s="37"/>
      <c r="B629" s="37"/>
      <c r="C629" s="37"/>
      <c r="D629" s="37"/>
      <c r="E629" s="37"/>
      <c r="F629" s="37"/>
      <c r="G629" s="37"/>
      <c r="H629" s="37"/>
      <c r="I629" s="37"/>
      <c r="J629" s="37"/>
      <c r="K629" s="37"/>
      <c r="L629" s="37"/>
      <c r="M629" s="37"/>
      <c r="N629" s="37"/>
      <c r="O629" s="37"/>
      <c r="P629" s="37"/>
      <c r="Q629" s="37"/>
      <c r="R629" s="37"/>
      <c r="S629" s="37"/>
      <c r="T629" s="37"/>
      <c r="U629" s="37"/>
      <c r="V629" s="37"/>
      <c r="W629" s="37"/>
      <c r="X629" s="37"/>
      <c r="Y629" s="37"/>
      <c r="Z629" s="37"/>
      <c r="AA629" s="37"/>
      <c r="AB629" s="37"/>
      <c r="AC629" s="37"/>
      <c r="AD629" s="37"/>
      <c r="AE629" s="37"/>
      <c r="AF629" s="37"/>
      <c r="AG629" s="37"/>
      <c r="AH629" s="37"/>
      <c r="AI629" s="37"/>
      <c r="AJ629" s="37"/>
      <c r="AK629" s="37"/>
      <c r="AL629" s="37"/>
      <c r="AM629" s="37"/>
      <c r="AN629" s="37"/>
      <c r="AO629" s="37"/>
      <c r="AP629" s="37"/>
      <c r="AQ629" s="37"/>
      <c r="AR629" s="37"/>
      <c r="AS629" s="37"/>
      <c r="AT629" s="37"/>
      <c r="AU629" s="37"/>
      <c r="AV629" s="37"/>
      <c r="AW629" s="37"/>
      <c r="AX629" s="37"/>
      <c r="AY629" s="37"/>
      <c r="AZ629" s="37"/>
    </row>
    <row r="630" spans="1:52">
      <c r="A630" s="37"/>
      <c r="B630" s="37"/>
      <c r="C630" s="37"/>
      <c r="D630" s="37"/>
      <c r="E630" s="37"/>
      <c r="F630" s="37"/>
      <c r="G630" s="37"/>
      <c r="H630" s="37"/>
      <c r="I630" s="37"/>
      <c r="J630" s="37"/>
      <c r="K630" s="37"/>
      <c r="L630" s="37"/>
      <c r="M630" s="37"/>
      <c r="N630" s="37"/>
      <c r="O630" s="37"/>
      <c r="P630" s="37"/>
      <c r="Q630" s="37"/>
      <c r="R630" s="37"/>
      <c r="S630" s="37"/>
      <c r="T630" s="37"/>
      <c r="U630" s="37"/>
      <c r="V630" s="37"/>
      <c r="W630" s="37"/>
      <c r="X630" s="37"/>
      <c r="Y630" s="37"/>
      <c r="Z630" s="37"/>
      <c r="AA630" s="37"/>
      <c r="AB630" s="37"/>
      <c r="AC630" s="37"/>
      <c r="AD630" s="37"/>
      <c r="AE630" s="37"/>
      <c r="AF630" s="37"/>
      <c r="AG630" s="37"/>
      <c r="AH630" s="37"/>
      <c r="AI630" s="37"/>
      <c r="AJ630" s="37"/>
      <c r="AK630" s="37"/>
      <c r="AL630" s="37"/>
      <c r="AM630" s="37"/>
      <c r="AN630" s="37"/>
      <c r="AO630" s="37"/>
      <c r="AP630" s="37"/>
      <c r="AQ630" s="37"/>
      <c r="AR630" s="37"/>
      <c r="AS630" s="37"/>
      <c r="AT630" s="37"/>
      <c r="AU630" s="37"/>
      <c r="AV630" s="37"/>
      <c r="AW630" s="37"/>
      <c r="AX630" s="37"/>
      <c r="AY630" s="37"/>
      <c r="AZ630" s="37"/>
    </row>
    <row r="631" spans="1:52">
      <c r="A631" s="37"/>
      <c r="B631" s="37"/>
      <c r="C631" s="37"/>
      <c r="D631" s="37"/>
      <c r="E631" s="37"/>
      <c r="F631" s="37"/>
      <c r="G631" s="37"/>
      <c r="H631" s="37"/>
      <c r="I631" s="37"/>
      <c r="J631" s="37"/>
      <c r="K631" s="37"/>
      <c r="L631" s="37"/>
      <c r="M631" s="37"/>
      <c r="N631" s="37"/>
      <c r="O631" s="37"/>
      <c r="P631" s="37"/>
      <c r="Q631" s="37"/>
      <c r="R631" s="37"/>
      <c r="S631" s="37"/>
      <c r="T631" s="37"/>
      <c r="U631" s="37"/>
      <c r="V631" s="37"/>
      <c r="W631" s="37"/>
      <c r="X631" s="37"/>
      <c r="Y631" s="37"/>
      <c r="Z631" s="37"/>
      <c r="AA631" s="37"/>
      <c r="AB631" s="37"/>
      <c r="AC631" s="37"/>
      <c r="AD631" s="37"/>
      <c r="AE631" s="37"/>
      <c r="AF631" s="37"/>
      <c r="AG631" s="37"/>
      <c r="AH631" s="37"/>
      <c r="AI631" s="37"/>
      <c r="AJ631" s="37"/>
      <c r="AK631" s="37"/>
      <c r="AL631" s="37"/>
      <c r="AM631" s="37"/>
      <c r="AN631" s="37"/>
      <c r="AO631" s="37"/>
      <c r="AP631" s="37"/>
      <c r="AQ631" s="37"/>
      <c r="AR631" s="37"/>
      <c r="AS631" s="37"/>
      <c r="AT631" s="37"/>
      <c r="AU631" s="37"/>
      <c r="AV631" s="37"/>
      <c r="AW631" s="37"/>
      <c r="AX631" s="37"/>
      <c r="AY631" s="37"/>
      <c r="AZ631" s="37"/>
    </row>
    <row r="632" spans="1:52">
      <c r="A632" s="37"/>
      <c r="B632" s="37"/>
      <c r="C632" s="37"/>
      <c r="D632" s="37"/>
      <c r="E632" s="37"/>
      <c r="F632" s="37"/>
      <c r="G632" s="37"/>
      <c r="H632" s="37"/>
      <c r="I632" s="37"/>
      <c r="J632" s="37"/>
      <c r="K632" s="37"/>
      <c r="L632" s="37"/>
      <c r="M632" s="37"/>
      <c r="N632" s="37"/>
      <c r="O632" s="37"/>
      <c r="P632" s="37"/>
      <c r="Q632" s="37"/>
      <c r="R632" s="37"/>
      <c r="S632" s="37"/>
      <c r="T632" s="37"/>
      <c r="U632" s="37"/>
      <c r="V632" s="37"/>
      <c r="W632" s="37"/>
      <c r="X632" s="37"/>
      <c r="Y632" s="37"/>
      <c r="Z632" s="37"/>
      <c r="AA632" s="37"/>
      <c r="AB632" s="37"/>
      <c r="AC632" s="37"/>
      <c r="AD632" s="37"/>
      <c r="AE632" s="37"/>
      <c r="AF632" s="37"/>
      <c r="AG632" s="37"/>
      <c r="AH632" s="37"/>
      <c r="AI632" s="37"/>
      <c r="AJ632" s="37"/>
      <c r="AK632" s="37"/>
      <c r="AL632" s="37"/>
      <c r="AM632" s="37"/>
      <c r="AN632" s="37"/>
      <c r="AO632" s="37"/>
      <c r="AP632" s="37"/>
      <c r="AQ632" s="37"/>
      <c r="AR632" s="37"/>
      <c r="AS632" s="37"/>
      <c r="AT632" s="37"/>
      <c r="AU632" s="37"/>
      <c r="AV632" s="37"/>
      <c r="AW632" s="37"/>
      <c r="AX632" s="37"/>
      <c r="AY632" s="37"/>
      <c r="AZ632" s="37"/>
    </row>
    <row r="633" spans="1:52">
      <c r="A633" s="37"/>
      <c r="B633" s="37"/>
      <c r="C633" s="37"/>
      <c r="D633" s="37"/>
      <c r="E633" s="37"/>
      <c r="F633" s="37"/>
      <c r="G633" s="37"/>
      <c r="H633" s="37"/>
      <c r="I633" s="37"/>
      <c r="J633" s="37"/>
      <c r="K633" s="37"/>
      <c r="L633" s="37"/>
      <c r="M633" s="37"/>
      <c r="N633" s="37"/>
      <c r="O633" s="37"/>
      <c r="P633" s="37"/>
      <c r="Q633" s="37"/>
      <c r="R633" s="37"/>
      <c r="S633" s="37"/>
      <c r="T633" s="37"/>
      <c r="U633" s="37"/>
      <c r="V633" s="37"/>
      <c r="W633" s="37"/>
      <c r="X633" s="37"/>
      <c r="Y633" s="37"/>
      <c r="Z633" s="37"/>
      <c r="AA633" s="37"/>
      <c r="AB633" s="37"/>
      <c r="AC633" s="37"/>
      <c r="AD633" s="37"/>
      <c r="AE633" s="37"/>
      <c r="AF633" s="37"/>
      <c r="AG633" s="37"/>
      <c r="AH633" s="37"/>
      <c r="AI633" s="37"/>
      <c r="AJ633" s="37"/>
      <c r="AK633" s="37"/>
      <c r="AL633" s="37"/>
      <c r="AM633" s="37"/>
      <c r="AN633" s="37"/>
      <c r="AO633" s="37"/>
      <c r="AP633" s="37"/>
      <c r="AQ633" s="37"/>
      <c r="AR633" s="37"/>
      <c r="AS633" s="37"/>
      <c r="AT633" s="37"/>
      <c r="AU633" s="37"/>
      <c r="AV633" s="37"/>
      <c r="AW633" s="37"/>
      <c r="AX633" s="37"/>
      <c r="AY633" s="37"/>
      <c r="AZ633" s="37"/>
    </row>
    <row r="634" spans="1:52">
      <c r="A634" s="37"/>
      <c r="B634" s="37"/>
      <c r="C634" s="37"/>
      <c r="D634" s="37"/>
      <c r="E634" s="37"/>
      <c r="F634" s="37"/>
      <c r="G634" s="37"/>
      <c r="H634" s="37"/>
      <c r="I634" s="37"/>
      <c r="J634" s="37"/>
      <c r="K634" s="37"/>
      <c r="L634" s="37"/>
      <c r="M634" s="37"/>
      <c r="N634" s="37"/>
      <c r="O634" s="37"/>
      <c r="P634" s="37"/>
      <c r="Q634" s="37"/>
      <c r="R634" s="37"/>
      <c r="S634" s="37"/>
      <c r="T634" s="37"/>
      <c r="U634" s="37"/>
      <c r="V634" s="37"/>
      <c r="W634" s="37"/>
      <c r="X634" s="37"/>
      <c r="Y634" s="37"/>
      <c r="Z634" s="37"/>
      <c r="AA634" s="37"/>
      <c r="AB634" s="37"/>
      <c r="AC634" s="37"/>
      <c r="AD634" s="37"/>
      <c r="AE634" s="37"/>
      <c r="AF634" s="37"/>
      <c r="AG634" s="37"/>
      <c r="AH634" s="37"/>
      <c r="AI634" s="37"/>
      <c r="AJ634" s="37"/>
      <c r="AK634" s="37"/>
      <c r="AL634" s="37"/>
      <c r="AM634" s="37"/>
      <c r="AN634" s="37"/>
      <c r="AO634" s="37"/>
      <c r="AP634" s="37"/>
      <c r="AQ634" s="37"/>
      <c r="AR634" s="37"/>
      <c r="AS634" s="37"/>
      <c r="AT634" s="37"/>
      <c r="AU634" s="37"/>
      <c r="AV634" s="37"/>
      <c r="AW634" s="37"/>
      <c r="AX634" s="37"/>
      <c r="AY634" s="37"/>
      <c r="AZ634" s="37"/>
    </row>
    <row r="635" spans="1:52">
      <c r="A635" s="37"/>
      <c r="B635" s="37"/>
      <c r="C635" s="37"/>
      <c r="D635" s="37"/>
      <c r="E635" s="37"/>
      <c r="F635" s="37"/>
      <c r="G635" s="37"/>
      <c r="H635" s="37"/>
      <c r="I635" s="37"/>
      <c r="J635" s="37"/>
      <c r="K635" s="37"/>
      <c r="L635" s="37"/>
      <c r="M635" s="37"/>
      <c r="N635" s="37"/>
      <c r="O635" s="37"/>
      <c r="P635" s="37"/>
      <c r="Q635" s="37"/>
      <c r="R635" s="37"/>
      <c r="S635" s="37"/>
      <c r="T635" s="37"/>
      <c r="U635" s="37"/>
      <c r="V635" s="37"/>
      <c r="W635" s="37"/>
      <c r="X635" s="37"/>
      <c r="Y635" s="37"/>
      <c r="Z635" s="37"/>
      <c r="AA635" s="37"/>
      <c r="AB635" s="37"/>
      <c r="AC635" s="37"/>
      <c r="AD635" s="37"/>
      <c r="AE635" s="37"/>
      <c r="AF635" s="37"/>
      <c r="AG635" s="37"/>
      <c r="AH635" s="37"/>
      <c r="AI635" s="37"/>
      <c r="AJ635" s="37"/>
      <c r="AK635" s="37"/>
      <c r="AL635" s="37"/>
      <c r="AM635" s="37"/>
      <c r="AN635" s="37"/>
      <c r="AO635" s="37"/>
      <c r="AP635" s="37"/>
      <c r="AQ635" s="37"/>
      <c r="AR635" s="37"/>
      <c r="AS635" s="37"/>
      <c r="AT635" s="37"/>
      <c r="AU635" s="37"/>
      <c r="AV635" s="37"/>
      <c r="AW635" s="37"/>
      <c r="AX635" s="37"/>
      <c r="AY635" s="37"/>
      <c r="AZ635" s="37"/>
    </row>
    <row r="636" spans="1:52">
      <c r="A636" s="37"/>
      <c r="B636" s="37"/>
      <c r="C636" s="37"/>
      <c r="D636" s="37"/>
      <c r="E636" s="37"/>
      <c r="F636" s="37"/>
      <c r="G636" s="37"/>
      <c r="H636" s="37"/>
      <c r="I636" s="37"/>
      <c r="J636" s="37"/>
      <c r="K636" s="37"/>
      <c r="L636" s="37"/>
      <c r="M636" s="37"/>
      <c r="N636" s="37"/>
      <c r="O636" s="37"/>
      <c r="P636" s="37"/>
      <c r="Q636" s="37"/>
      <c r="R636" s="37"/>
      <c r="S636" s="37"/>
      <c r="T636" s="37"/>
      <c r="U636" s="37"/>
      <c r="V636" s="37"/>
      <c r="W636" s="37"/>
      <c r="X636" s="37"/>
      <c r="Y636" s="37"/>
      <c r="Z636" s="37"/>
      <c r="AA636" s="37"/>
      <c r="AB636" s="37"/>
      <c r="AC636" s="37"/>
      <c r="AD636" s="37"/>
      <c r="AE636" s="37"/>
      <c r="AF636" s="37"/>
      <c r="AG636" s="37"/>
      <c r="AH636" s="37"/>
      <c r="AI636" s="37"/>
      <c r="AJ636" s="37"/>
      <c r="AK636" s="37"/>
      <c r="AL636" s="37"/>
      <c r="AM636" s="37"/>
      <c r="AN636" s="37"/>
      <c r="AO636" s="37"/>
      <c r="AP636" s="37"/>
      <c r="AQ636" s="37"/>
      <c r="AR636" s="37"/>
      <c r="AS636" s="37"/>
      <c r="AT636" s="37"/>
      <c r="AU636" s="37"/>
      <c r="AV636" s="37"/>
      <c r="AW636" s="37"/>
      <c r="AX636" s="37"/>
      <c r="AY636" s="37"/>
      <c r="AZ636" s="37"/>
    </row>
    <row r="637" spans="1:52">
      <c r="A637" s="37"/>
      <c r="B637" s="37"/>
      <c r="C637" s="37"/>
      <c r="D637" s="37"/>
      <c r="E637" s="37"/>
      <c r="F637" s="37"/>
      <c r="G637" s="37"/>
      <c r="H637" s="37"/>
      <c r="I637" s="37"/>
      <c r="J637" s="37"/>
      <c r="K637" s="37"/>
      <c r="L637" s="37"/>
      <c r="M637" s="37"/>
      <c r="N637" s="37"/>
      <c r="O637" s="37"/>
      <c r="P637" s="37"/>
      <c r="Q637" s="37"/>
      <c r="R637" s="37"/>
      <c r="S637" s="37"/>
      <c r="T637" s="37"/>
      <c r="U637" s="37"/>
      <c r="V637" s="37"/>
      <c r="W637" s="37"/>
      <c r="X637" s="37"/>
      <c r="Y637" s="37"/>
      <c r="Z637" s="37"/>
      <c r="AA637" s="37"/>
      <c r="AB637" s="37"/>
      <c r="AC637" s="37"/>
      <c r="AD637" s="37"/>
      <c r="AE637" s="37"/>
      <c r="AF637" s="37"/>
      <c r="AG637" s="37"/>
      <c r="AH637" s="37"/>
      <c r="AI637" s="37"/>
      <c r="AJ637" s="37"/>
      <c r="AK637" s="37"/>
      <c r="AL637" s="37"/>
      <c r="AM637" s="37"/>
      <c r="AN637" s="37"/>
      <c r="AO637" s="37"/>
      <c r="AP637" s="37"/>
      <c r="AQ637" s="37"/>
      <c r="AR637" s="37"/>
      <c r="AS637" s="37"/>
      <c r="AT637" s="37"/>
      <c r="AU637" s="37"/>
      <c r="AV637" s="37"/>
      <c r="AW637" s="37"/>
      <c r="AX637" s="37"/>
      <c r="AY637" s="37"/>
      <c r="AZ637" s="37"/>
    </row>
    <row r="638" spans="1:52">
      <c r="A638" s="37"/>
      <c r="B638" s="37"/>
      <c r="C638" s="37"/>
      <c r="D638" s="37"/>
      <c r="E638" s="37"/>
      <c r="F638" s="37"/>
      <c r="G638" s="37"/>
      <c r="H638" s="37"/>
      <c r="I638" s="37"/>
      <c r="J638" s="37"/>
      <c r="K638" s="37"/>
      <c r="L638" s="37"/>
      <c r="M638" s="37"/>
      <c r="N638" s="37"/>
      <c r="O638" s="37"/>
      <c r="P638" s="37"/>
      <c r="Q638" s="37"/>
      <c r="R638" s="37"/>
      <c r="S638" s="37"/>
      <c r="T638" s="37"/>
      <c r="U638" s="37"/>
      <c r="V638" s="37"/>
      <c r="W638" s="37"/>
      <c r="X638" s="37"/>
      <c r="Y638" s="37"/>
      <c r="Z638" s="37"/>
      <c r="AA638" s="37"/>
      <c r="AB638" s="37"/>
      <c r="AC638" s="37"/>
      <c r="AD638" s="37"/>
      <c r="AE638" s="37"/>
      <c r="AF638" s="37"/>
      <c r="AG638" s="37"/>
      <c r="AH638" s="37"/>
      <c r="AI638" s="37"/>
      <c r="AJ638" s="37"/>
      <c r="AK638" s="37"/>
      <c r="AL638" s="37"/>
      <c r="AM638" s="37"/>
      <c r="AN638" s="37"/>
      <c r="AO638" s="37"/>
      <c r="AP638" s="37"/>
      <c r="AQ638" s="37"/>
      <c r="AR638" s="37"/>
      <c r="AS638" s="37"/>
      <c r="AT638" s="37"/>
      <c r="AU638" s="37"/>
      <c r="AV638" s="37"/>
      <c r="AW638" s="37"/>
      <c r="AX638" s="37"/>
      <c r="AY638" s="37"/>
      <c r="AZ638" s="37"/>
    </row>
    <row r="639" spans="1:52">
      <c r="A639" s="37"/>
      <c r="B639" s="37"/>
      <c r="C639" s="37"/>
      <c r="D639" s="37"/>
      <c r="E639" s="37"/>
      <c r="F639" s="37"/>
      <c r="G639" s="37"/>
      <c r="H639" s="37"/>
      <c r="I639" s="37"/>
      <c r="J639" s="37"/>
      <c r="K639" s="37"/>
      <c r="L639" s="37"/>
      <c r="M639" s="37"/>
      <c r="N639" s="37"/>
      <c r="O639" s="37"/>
      <c r="P639" s="37"/>
      <c r="Q639" s="37"/>
      <c r="R639" s="37"/>
      <c r="S639" s="37"/>
      <c r="T639" s="37"/>
      <c r="U639" s="37"/>
      <c r="V639" s="37"/>
      <c r="W639" s="37"/>
      <c r="X639" s="37"/>
      <c r="Y639" s="37"/>
      <c r="Z639" s="37"/>
      <c r="AA639" s="37"/>
      <c r="AB639" s="37"/>
      <c r="AC639" s="37"/>
      <c r="AD639" s="37"/>
      <c r="AE639" s="37"/>
      <c r="AF639" s="37"/>
      <c r="AG639" s="37"/>
      <c r="AH639" s="37"/>
      <c r="AI639" s="37"/>
      <c r="AJ639" s="37"/>
      <c r="AK639" s="37"/>
      <c r="AL639" s="37"/>
      <c r="AM639" s="37"/>
      <c r="AN639" s="37"/>
      <c r="AO639" s="37"/>
      <c r="AP639" s="37"/>
      <c r="AQ639" s="37"/>
      <c r="AR639" s="37"/>
      <c r="AS639" s="37"/>
      <c r="AT639" s="37"/>
      <c r="AU639" s="37"/>
      <c r="AV639" s="37"/>
      <c r="AW639" s="37"/>
      <c r="AX639" s="37"/>
      <c r="AY639" s="37"/>
      <c r="AZ639" s="37"/>
    </row>
    <row r="640" spans="1:52">
      <c r="A640" s="37"/>
      <c r="B640" s="37"/>
      <c r="C640" s="37"/>
      <c r="D640" s="37"/>
      <c r="E640" s="37"/>
      <c r="F640" s="37"/>
      <c r="G640" s="37"/>
      <c r="H640" s="37"/>
      <c r="I640" s="37"/>
      <c r="J640" s="37"/>
      <c r="K640" s="37"/>
      <c r="L640" s="37"/>
      <c r="M640" s="37"/>
      <c r="N640" s="37"/>
      <c r="O640" s="37"/>
      <c r="P640" s="37"/>
      <c r="Q640" s="37"/>
      <c r="R640" s="37"/>
      <c r="S640" s="37"/>
      <c r="T640" s="37"/>
      <c r="U640" s="37"/>
      <c r="V640" s="37"/>
      <c r="W640" s="37"/>
      <c r="X640" s="37"/>
      <c r="Y640" s="37"/>
      <c r="Z640" s="37"/>
      <c r="AA640" s="37"/>
      <c r="AB640" s="37"/>
      <c r="AC640" s="37"/>
      <c r="AD640" s="37"/>
      <c r="AE640" s="37"/>
      <c r="AF640" s="37"/>
      <c r="AG640" s="37"/>
      <c r="AH640" s="37"/>
      <c r="AI640" s="37"/>
      <c r="AJ640" s="37"/>
      <c r="AK640" s="37"/>
      <c r="AL640" s="37"/>
      <c r="AM640" s="37"/>
      <c r="AN640" s="37"/>
      <c r="AO640" s="37"/>
      <c r="AP640" s="37"/>
      <c r="AQ640" s="37"/>
      <c r="AR640" s="37"/>
      <c r="AS640" s="37"/>
      <c r="AT640" s="37"/>
      <c r="AU640" s="37"/>
      <c r="AV640" s="37"/>
      <c r="AW640" s="37"/>
      <c r="AX640" s="37"/>
      <c r="AY640" s="37"/>
      <c r="AZ640" s="37"/>
    </row>
    <row r="641" spans="1:52">
      <c r="A641" s="37"/>
      <c r="B641" s="37"/>
      <c r="C641" s="37"/>
      <c r="D641" s="37"/>
      <c r="E641" s="37"/>
      <c r="F641" s="37"/>
      <c r="G641" s="37"/>
      <c r="H641" s="37"/>
      <c r="I641" s="37"/>
      <c r="J641" s="37"/>
      <c r="K641" s="37"/>
      <c r="L641" s="37"/>
      <c r="M641" s="37"/>
      <c r="N641" s="37"/>
      <c r="O641" s="37"/>
      <c r="P641" s="37"/>
      <c r="Q641" s="37"/>
      <c r="R641" s="37"/>
      <c r="S641" s="37"/>
      <c r="T641" s="37"/>
      <c r="U641" s="37"/>
      <c r="V641" s="37"/>
      <c r="W641" s="37"/>
      <c r="X641" s="37"/>
      <c r="Y641" s="37"/>
      <c r="Z641" s="37"/>
      <c r="AA641" s="37"/>
      <c r="AB641" s="37"/>
      <c r="AC641" s="37"/>
      <c r="AD641" s="37"/>
      <c r="AE641" s="37"/>
      <c r="AF641" s="37"/>
      <c r="AG641" s="37"/>
      <c r="AH641" s="37"/>
      <c r="AI641" s="37"/>
      <c r="AJ641" s="37"/>
      <c r="AK641" s="37"/>
      <c r="AL641" s="37"/>
      <c r="AM641" s="37"/>
      <c r="AN641" s="37"/>
      <c r="AO641" s="37"/>
      <c r="AP641" s="37"/>
      <c r="AQ641" s="37"/>
      <c r="AR641" s="37"/>
      <c r="AS641" s="37"/>
      <c r="AT641" s="37"/>
      <c r="AU641" s="37"/>
      <c r="AV641" s="37"/>
      <c r="AW641" s="37"/>
      <c r="AX641" s="37"/>
      <c r="AY641" s="37"/>
      <c r="AZ641" s="37"/>
    </row>
    <row r="642" spans="1:52">
      <c r="A642" s="37"/>
      <c r="B642" s="37"/>
      <c r="C642" s="37"/>
      <c r="D642" s="37"/>
      <c r="E642" s="37"/>
      <c r="F642" s="37"/>
      <c r="G642" s="37"/>
      <c r="H642" s="37"/>
      <c r="I642" s="37"/>
      <c r="J642" s="37"/>
      <c r="K642" s="37"/>
      <c r="L642" s="37"/>
      <c r="M642" s="37"/>
      <c r="N642" s="37"/>
      <c r="O642" s="37"/>
      <c r="P642" s="37"/>
      <c r="Q642" s="37"/>
      <c r="R642" s="37"/>
      <c r="S642" s="37"/>
      <c r="T642" s="37"/>
      <c r="U642" s="37"/>
      <c r="V642" s="37"/>
      <c r="W642" s="37"/>
      <c r="X642" s="37"/>
      <c r="Y642" s="37"/>
      <c r="Z642" s="37"/>
      <c r="AA642" s="37"/>
      <c r="AB642" s="37"/>
      <c r="AC642" s="37"/>
      <c r="AD642" s="37"/>
      <c r="AE642" s="37"/>
      <c r="AF642" s="37"/>
      <c r="AG642" s="37"/>
      <c r="AH642" s="37"/>
      <c r="AI642" s="37"/>
      <c r="AJ642" s="37"/>
      <c r="AK642" s="37"/>
      <c r="AL642" s="37"/>
      <c r="AM642" s="37"/>
      <c r="AN642" s="37"/>
      <c r="AO642" s="37"/>
      <c r="AP642" s="37"/>
      <c r="AQ642" s="37"/>
      <c r="AR642" s="37"/>
      <c r="AS642" s="37"/>
      <c r="AT642" s="37"/>
      <c r="AU642" s="37"/>
      <c r="AV642" s="37"/>
      <c r="AW642" s="37"/>
      <c r="AX642" s="37"/>
      <c r="AY642" s="37"/>
      <c r="AZ642" s="37"/>
    </row>
    <row r="643" spans="1:52">
      <c r="A643" s="37"/>
      <c r="B643" s="37"/>
      <c r="C643" s="37"/>
      <c r="D643" s="37"/>
      <c r="E643" s="37"/>
      <c r="F643" s="37"/>
      <c r="G643" s="37"/>
      <c r="H643" s="37"/>
      <c r="I643" s="37"/>
      <c r="J643" s="37"/>
      <c r="K643" s="37"/>
      <c r="L643" s="37"/>
      <c r="M643" s="37"/>
      <c r="N643" s="37"/>
      <c r="O643" s="37"/>
      <c r="P643" s="37"/>
      <c r="Q643" s="37"/>
      <c r="R643" s="37"/>
      <c r="S643" s="37"/>
      <c r="T643" s="37"/>
      <c r="U643" s="37"/>
      <c r="V643" s="37"/>
      <c r="W643" s="37"/>
      <c r="X643" s="37"/>
      <c r="Y643" s="37"/>
      <c r="Z643" s="37"/>
      <c r="AA643" s="37"/>
      <c r="AB643" s="37"/>
      <c r="AC643" s="37"/>
      <c r="AD643" s="37"/>
      <c r="AE643" s="37"/>
      <c r="AF643" s="37"/>
      <c r="AG643" s="37"/>
      <c r="AH643" s="37"/>
      <c r="AI643" s="37"/>
      <c r="AJ643" s="37"/>
      <c r="AK643" s="37"/>
      <c r="AL643" s="37"/>
      <c r="AM643" s="37"/>
      <c r="AN643" s="37"/>
      <c r="AO643" s="37"/>
      <c r="AP643" s="37"/>
      <c r="AQ643" s="37"/>
      <c r="AR643" s="37"/>
      <c r="AS643" s="37"/>
      <c r="AT643" s="37"/>
      <c r="AU643" s="37"/>
      <c r="AV643" s="37"/>
      <c r="AW643" s="37"/>
      <c r="AX643" s="37"/>
      <c r="AY643" s="37"/>
      <c r="AZ643" s="37"/>
    </row>
    <row r="644" spans="1:52">
      <c r="A644" s="37"/>
      <c r="B644" s="37"/>
      <c r="C644" s="37"/>
      <c r="D644" s="37"/>
      <c r="E644" s="37"/>
      <c r="F644" s="37"/>
      <c r="G644" s="37"/>
      <c r="H644" s="37"/>
      <c r="I644" s="37"/>
      <c r="J644" s="37"/>
      <c r="K644" s="37"/>
      <c r="L644" s="37"/>
      <c r="M644" s="37"/>
      <c r="N644" s="37"/>
      <c r="O644" s="37"/>
      <c r="P644" s="37"/>
      <c r="Q644" s="37"/>
      <c r="R644" s="37"/>
      <c r="S644" s="37"/>
      <c r="T644" s="37"/>
      <c r="U644" s="37"/>
      <c r="V644" s="37"/>
      <c r="W644" s="37"/>
      <c r="X644" s="37"/>
      <c r="Y644" s="37"/>
      <c r="Z644" s="37"/>
      <c r="AA644" s="37"/>
      <c r="AB644" s="37"/>
      <c r="AC644" s="37"/>
      <c r="AD644" s="37"/>
      <c r="AE644" s="37"/>
      <c r="AF644" s="37"/>
      <c r="AG644" s="37"/>
      <c r="AH644" s="37"/>
      <c r="AI644" s="37"/>
      <c r="AJ644" s="37"/>
      <c r="AK644" s="37"/>
      <c r="AL644" s="37"/>
      <c r="AM644" s="37"/>
      <c r="AN644" s="37"/>
      <c r="AO644" s="37"/>
      <c r="AP644" s="37"/>
      <c r="AQ644" s="37"/>
      <c r="AR644" s="37"/>
      <c r="AS644" s="37"/>
      <c r="AT644" s="37"/>
      <c r="AU644" s="37"/>
      <c r="AV644" s="37"/>
      <c r="AW644" s="37"/>
      <c r="AX644" s="37"/>
      <c r="AY644" s="37"/>
      <c r="AZ644" s="37"/>
    </row>
    <row r="645" spans="1:52">
      <c r="A645" s="37"/>
      <c r="B645" s="37"/>
      <c r="C645" s="37"/>
      <c r="D645" s="37"/>
      <c r="E645" s="37"/>
      <c r="F645" s="37"/>
      <c r="G645" s="37"/>
      <c r="H645" s="37"/>
      <c r="I645" s="37"/>
      <c r="J645" s="37"/>
      <c r="K645" s="37"/>
      <c r="L645" s="37"/>
      <c r="M645" s="37"/>
      <c r="N645" s="37"/>
      <c r="O645" s="37"/>
      <c r="P645" s="37"/>
      <c r="Q645" s="37"/>
      <c r="R645" s="37"/>
      <c r="S645" s="37"/>
      <c r="T645" s="37"/>
      <c r="U645" s="37"/>
      <c r="V645" s="37"/>
      <c r="W645" s="37"/>
      <c r="X645" s="37"/>
      <c r="Y645" s="37"/>
      <c r="Z645" s="37"/>
      <c r="AA645" s="37"/>
      <c r="AB645" s="37"/>
      <c r="AC645" s="37"/>
      <c r="AD645" s="37"/>
      <c r="AE645" s="37"/>
      <c r="AF645" s="37"/>
      <c r="AG645" s="37"/>
      <c r="AH645" s="37"/>
      <c r="AI645" s="37"/>
      <c r="AJ645" s="37"/>
      <c r="AK645" s="37"/>
      <c r="AL645" s="37"/>
      <c r="AM645" s="37"/>
      <c r="AN645" s="37"/>
      <c r="AO645" s="37"/>
      <c r="AP645" s="37"/>
      <c r="AQ645" s="37"/>
      <c r="AR645" s="37"/>
      <c r="AS645" s="37"/>
      <c r="AT645" s="37"/>
      <c r="AU645" s="37"/>
      <c r="AV645" s="37"/>
      <c r="AW645" s="37"/>
      <c r="AX645" s="37"/>
      <c r="AY645" s="37"/>
      <c r="AZ645" s="37"/>
    </row>
    <row r="646" spans="1:52">
      <c r="A646" s="37"/>
      <c r="B646" s="37"/>
      <c r="C646" s="37"/>
      <c r="D646" s="37"/>
      <c r="E646" s="37"/>
      <c r="F646" s="37"/>
      <c r="G646" s="37"/>
      <c r="H646" s="37"/>
      <c r="I646" s="37"/>
      <c r="J646" s="37"/>
      <c r="K646" s="37"/>
      <c r="L646" s="37"/>
      <c r="M646" s="37"/>
      <c r="N646" s="37"/>
      <c r="O646" s="37"/>
      <c r="P646" s="37"/>
      <c r="Q646" s="37"/>
      <c r="R646" s="37"/>
      <c r="S646" s="37"/>
      <c r="T646" s="37"/>
      <c r="U646" s="37"/>
      <c r="V646" s="37"/>
      <c r="W646" s="37"/>
      <c r="X646" s="37"/>
      <c r="Y646" s="37"/>
      <c r="Z646" s="37"/>
      <c r="AA646" s="37"/>
      <c r="AB646" s="37"/>
      <c r="AC646" s="37"/>
      <c r="AD646" s="37"/>
      <c r="AE646" s="37"/>
      <c r="AF646" s="37"/>
      <c r="AG646" s="37"/>
      <c r="AH646" s="37"/>
      <c r="AI646" s="37"/>
      <c r="AJ646" s="37"/>
      <c r="AK646" s="37"/>
      <c r="AL646" s="37"/>
      <c r="AM646" s="37"/>
      <c r="AN646" s="37"/>
      <c r="AO646" s="37"/>
      <c r="AP646" s="37"/>
      <c r="AQ646" s="37"/>
      <c r="AR646" s="37"/>
      <c r="AS646" s="37"/>
      <c r="AT646" s="37"/>
      <c r="AU646" s="37"/>
      <c r="AV646" s="37"/>
      <c r="AW646" s="37"/>
      <c r="AX646" s="37"/>
      <c r="AY646" s="37"/>
      <c r="AZ646" s="37"/>
    </row>
    <row r="647" spans="1:52">
      <c r="A647" s="37"/>
      <c r="B647" s="37"/>
      <c r="C647" s="37"/>
      <c r="D647" s="37"/>
      <c r="E647" s="37"/>
      <c r="F647" s="37"/>
      <c r="G647" s="37"/>
      <c r="H647" s="37"/>
      <c r="I647" s="37"/>
      <c r="J647" s="37"/>
      <c r="K647" s="37"/>
      <c r="L647" s="37"/>
      <c r="M647" s="37"/>
      <c r="N647" s="37"/>
      <c r="O647" s="37"/>
      <c r="P647" s="37"/>
      <c r="Q647" s="37"/>
      <c r="R647" s="37"/>
      <c r="S647" s="37"/>
      <c r="T647" s="37"/>
      <c r="U647" s="37"/>
      <c r="V647" s="37"/>
      <c r="W647" s="37"/>
      <c r="X647" s="37"/>
      <c r="Y647" s="37"/>
      <c r="Z647" s="37"/>
      <c r="AA647" s="37"/>
      <c r="AB647" s="37"/>
      <c r="AC647" s="37"/>
      <c r="AD647" s="37"/>
      <c r="AE647" s="37"/>
      <c r="AF647" s="37"/>
      <c r="AG647" s="37"/>
      <c r="AH647" s="37"/>
      <c r="AI647" s="37"/>
      <c r="AJ647" s="37"/>
      <c r="AK647" s="37"/>
      <c r="AL647" s="37"/>
      <c r="AM647" s="37"/>
      <c r="AN647" s="37"/>
      <c r="AO647" s="37"/>
      <c r="AP647" s="37"/>
      <c r="AQ647" s="37"/>
      <c r="AR647" s="37"/>
      <c r="AS647" s="37"/>
      <c r="AT647" s="37"/>
      <c r="AU647" s="37"/>
      <c r="AV647" s="37"/>
      <c r="AW647" s="37"/>
      <c r="AX647" s="37"/>
      <c r="AY647" s="37"/>
      <c r="AZ647" s="37"/>
    </row>
    <row r="648" spans="1:52">
      <c r="A648" s="37"/>
      <c r="B648" s="37"/>
      <c r="C648" s="37"/>
      <c r="D648" s="37"/>
      <c r="E648" s="37"/>
      <c r="F648" s="37"/>
      <c r="G648" s="37"/>
      <c r="H648" s="37"/>
      <c r="I648" s="37"/>
      <c r="J648" s="37"/>
      <c r="K648" s="37"/>
      <c r="L648" s="37"/>
      <c r="M648" s="37"/>
      <c r="N648" s="37"/>
      <c r="O648" s="37"/>
      <c r="P648" s="37"/>
      <c r="Q648" s="37"/>
      <c r="R648" s="37"/>
      <c r="S648" s="37"/>
      <c r="T648" s="37"/>
      <c r="U648" s="37"/>
      <c r="V648" s="37"/>
      <c r="W648" s="37"/>
      <c r="X648" s="37"/>
      <c r="Y648" s="37"/>
      <c r="Z648" s="37"/>
      <c r="AA648" s="37"/>
      <c r="AB648" s="37"/>
      <c r="AC648" s="37"/>
      <c r="AD648" s="37"/>
      <c r="AE648" s="37"/>
      <c r="AF648" s="37"/>
      <c r="AG648" s="37"/>
      <c r="AH648" s="37"/>
      <c r="AI648" s="37"/>
      <c r="AJ648" s="37"/>
      <c r="AK648" s="37"/>
      <c r="AL648" s="37"/>
      <c r="AM648" s="37"/>
      <c r="AN648" s="37"/>
      <c r="AO648" s="37"/>
      <c r="AP648" s="37"/>
      <c r="AQ648" s="37"/>
      <c r="AR648" s="37"/>
      <c r="AS648" s="37"/>
      <c r="AT648" s="37"/>
      <c r="AU648" s="37"/>
      <c r="AV648" s="37"/>
      <c r="AW648" s="37"/>
      <c r="AX648" s="37"/>
      <c r="AY648" s="37"/>
      <c r="AZ648" s="37"/>
    </row>
    <row r="649" spans="1:52">
      <c r="A649" s="37"/>
      <c r="B649" s="37"/>
      <c r="C649" s="37"/>
      <c r="D649" s="37"/>
      <c r="E649" s="37"/>
      <c r="F649" s="37"/>
      <c r="G649" s="37"/>
      <c r="H649" s="37"/>
      <c r="I649" s="37"/>
      <c r="J649" s="37"/>
      <c r="K649" s="37"/>
      <c r="L649" s="37"/>
      <c r="M649" s="37"/>
      <c r="N649" s="37"/>
      <c r="O649" s="37"/>
      <c r="P649" s="37"/>
      <c r="Q649" s="37"/>
      <c r="R649" s="37"/>
      <c r="S649" s="37"/>
      <c r="T649" s="37"/>
      <c r="U649" s="37"/>
      <c r="V649" s="37"/>
      <c r="W649" s="37"/>
      <c r="X649" s="37"/>
      <c r="Y649" s="37"/>
      <c r="Z649" s="37"/>
      <c r="AA649" s="37"/>
      <c r="AB649" s="37"/>
      <c r="AC649" s="37"/>
      <c r="AD649" s="37"/>
      <c r="AE649" s="37"/>
      <c r="AF649" s="37"/>
      <c r="AG649" s="37"/>
      <c r="AH649" s="37"/>
      <c r="AI649" s="37"/>
      <c r="AJ649" s="37"/>
      <c r="AK649" s="37"/>
      <c r="AL649" s="37"/>
      <c r="AM649" s="37"/>
      <c r="AN649" s="37"/>
      <c r="AO649" s="37"/>
      <c r="AP649" s="37"/>
      <c r="AQ649" s="37"/>
      <c r="AR649" s="37"/>
      <c r="AS649" s="37"/>
      <c r="AT649" s="37"/>
      <c r="AU649" s="37"/>
      <c r="AV649" s="37"/>
      <c r="AW649" s="37"/>
      <c r="AX649" s="37"/>
      <c r="AY649" s="37"/>
      <c r="AZ649" s="37"/>
    </row>
    <row r="650" spans="1:52">
      <c r="A650" s="37"/>
      <c r="B650" s="37"/>
      <c r="C650" s="37"/>
      <c r="D650" s="37"/>
      <c r="E650" s="37"/>
      <c r="F650" s="37"/>
      <c r="G650" s="37"/>
      <c r="H650" s="37"/>
      <c r="I650" s="37"/>
      <c r="J650" s="37"/>
      <c r="K650" s="37"/>
      <c r="L650" s="37"/>
      <c r="M650" s="37"/>
      <c r="N650" s="37"/>
      <c r="O650" s="37"/>
      <c r="P650" s="37"/>
      <c r="Q650" s="37"/>
      <c r="R650" s="37"/>
      <c r="S650" s="37"/>
      <c r="T650" s="37"/>
      <c r="U650" s="37"/>
      <c r="V650" s="37"/>
      <c r="W650" s="37"/>
      <c r="X650" s="37"/>
      <c r="Y650" s="37"/>
      <c r="Z650" s="37"/>
      <c r="AA650" s="37"/>
      <c r="AB650" s="37"/>
      <c r="AC650" s="37"/>
      <c r="AD650" s="37"/>
      <c r="AE650" s="37"/>
      <c r="AF650" s="37"/>
      <c r="AG650" s="37"/>
      <c r="AH650" s="37"/>
      <c r="AI650" s="37"/>
      <c r="AJ650" s="37"/>
      <c r="AK650" s="37"/>
      <c r="AL650" s="37"/>
      <c r="AM650" s="37"/>
      <c r="AN650" s="37"/>
      <c r="AO650" s="37"/>
      <c r="AP650" s="37"/>
      <c r="AQ650" s="37"/>
      <c r="AR650" s="37"/>
      <c r="AS650" s="37"/>
      <c r="AT650" s="37"/>
      <c r="AU650" s="37"/>
      <c r="AV650" s="37"/>
      <c r="AW650" s="37"/>
      <c r="AX650" s="37"/>
      <c r="AY650" s="37"/>
      <c r="AZ650" s="37"/>
    </row>
    <row r="651" spans="1:52">
      <c r="A651" s="37"/>
      <c r="B651" s="37"/>
      <c r="C651" s="37"/>
      <c r="D651" s="37"/>
      <c r="E651" s="37"/>
      <c r="F651" s="37"/>
      <c r="G651" s="37"/>
      <c r="H651" s="37"/>
      <c r="I651" s="37"/>
      <c r="J651" s="37"/>
      <c r="K651" s="37"/>
      <c r="L651" s="37"/>
      <c r="M651" s="37"/>
      <c r="N651" s="37"/>
      <c r="O651" s="37"/>
      <c r="P651" s="37"/>
      <c r="Q651" s="37"/>
      <c r="R651" s="37"/>
      <c r="S651" s="37"/>
      <c r="T651" s="37"/>
      <c r="U651" s="37"/>
      <c r="V651" s="37"/>
      <c r="W651" s="37"/>
      <c r="X651" s="37"/>
      <c r="Y651" s="37"/>
      <c r="Z651" s="37"/>
      <c r="AA651" s="37"/>
      <c r="AB651" s="37"/>
      <c r="AC651" s="37"/>
      <c r="AD651" s="37"/>
      <c r="AE651" s="37"/>
      <c r="AF651" s="37"/>
      <c r="AG651" s="37"/>
      <c r="AH651" s="37"/>
      <c r="AI651" s="37"/>
      <c r="AJ651" s="37"/>
      <c r="AK651" s="37"/>
      <c r="AL651" s="37"/>
      <c r="AM651" s="37"/>
      <c r="AN651" s="37"/>
      <c r="AO651" s="37"/>
      <c r="AP651" s="37"/>
      <c r="AQ651" s="37"/>
      <c r="AR651" s="37"/>
      <c r="AS651" s="37"/>
      <c r="AT651" s="37"/>
      <c r="AU651" s="37"/>
      <c r="AV651" s="37"/>
      <c r="AW651" s="37"/>
      <c r="AX651" s="37"/>
      <c r="AY651" s="37"/>
      <c r="AZ651" s="37"/>
    </row>
    <row r="652" spans="1:52">
      <c r="A652" s="37"/>
      <c r="B652" s="37"/>
      <c r="C652" s="37"/>
      <c r="D652" s="37"/>
      <c r="E652" s="37"/>
      <c r="F652" s="37"/>
      <c r="G652" s="37"/>
      <c r="H652" s="37"/>
      <c r="I652" s="37"/>
      <c r="J652" s="37"/>
      <c r="K652" s="37"/>
      <c r="L652" s="37"/>
      <c r="M652" s="37"/>
      <c r="N652" s="37"/>
      <c r="O652" s="37"/>
      <c r="P652" s="37"/>
      <c r="Q652" s="37"/>
      <c r="R652" s="37"/>
      <c r="S652" s="37"/>
      <c r="T652" s="37"/>
      <c r="U652" s="37"/>
      <c r="V652" s="37"/>
      <c r="W652" s="37"/>
      <c r="X652" s="37"/>
      <c r="Y652" s="37"/>
      <c r="Z652" s="37"/>
      <c r="AA652" s="37"/>
      <c r="AB652" s="37"/>
      <c r="AC652" s="37"/>
      <c r="AD652" s="37"/>
      <c r="AE652" s="37"/>
      <c r="AF652" s="37"/>
      <c r="AG652" s="37"/>
      <c r="AH652" s="37"/>
      <c r="AI652" s="37"/>
      <c r="AJ652" s="37"/>
      <c r="AK652" s="37"/>
      <c r="AL652" s="37"/>
      <c r="AM652" s="37"/>
      <c r="AN652" s="37"/>
      <c r="AO652" s="37"/>
      <c r="AP652" s="37"/>
      <c r="AQ652" s="37"/>
      <c r="AR652" s="37"/>
      <c r="AS652" s="37"/>
      <c r="AT652" s="37"/>
      <c r="AU652" s="37"/>
      <c r="AV652" s="37"/>
      <c r="AW652" s="37"/>
      <c r="AX652" s="37"/>
      <c r="AY652" s="37"/>
      <c r="AZ652" s="37"/>
    </row>
    <row r="653" spans="1:52">
      <c r="A653" s="37"/>
      <c r="B653" s="37"/>
      <c r="C653" s="37"/>
      <c r="D653" s="37"/>
      <c r="E653" s="37"/>
      <c r="F653" s="37"/>
      <c r="G653" s="37"/>
      <c r="H653" s="37"/>
      <c r="I653" s="37"/>
      <c r="J653" s="37"/>
      <c r="K653" s="37"/>
      <c r="L653" s="37"/>
      <c r="M653" s="37"/>
      <c r="N653" s="37"/>
      <c r="O653" s="37"/>
      <c r="P653" s="37"/>
      <c r="Q653" s="37"/>
      <c r="R653" s="37"/>
      <c r="S653" s="37"/>
      <c r="T653" s="37"/>
      <c r="U653" s="37"/>
      <c r="V653" s="37"/>
      <c r="W653" s="37"/>
      <c r="X653" s="37"/>
      <c r="Y653" s="37"/>
      <c r="Z653" s="37"/>
      <c r="AA653" s="37"/>
      <c r="AB653" s="37"/>
      <c r="AC653" s="37"/>
      <c r="AD653" s="37"/>
      <c r="AE653" s="37"/>
      <c r="AF653" s="37"/>
      <c r="AG653" s="37"/>
      <c r="AH653" s="37"/>
      <c r="AI653" s="37"/>
      <c r="AJ653" s="37"/>
      <c r="AK653" s="37"/>
      <c r="AL653" s="37"/>
      <c r="AM653" s="37"/>
      <c r="AN653" s="37"/>
      <c r="AO653" s="37"/>
      <c r="AP653" s="37"/>
      <c r="AQ653" s="37"/>
      <c r="AR653" s="37"/>
      <c r="AS653" s="37"/>
      <c r="AT653" s="37"/>
      <c r="AU653" s="37"/>
      <c r="AV653" s="37"/>
      <c r="AW653" s="37"/>
      <c r="AX653" s="37"/>
      <c r="AY653" s="37"/>
      <c r="AZ653" s="37"/>
    </row>
    <row r="654" spans="1:52">
      <c r="A654" s="37"/>
      <c r="B654" s="37"/>
      <c r="C654" s="37"/>
      <c r="D654" s="37"/>
      <c r="E654" s="37"/>
      <c r="F654" s="37"/>
      <c r="G654" s="37"/>
      <c r="H654" s="37"/>
      <c r="I654" s="37"/>
      <c r="J654" s="37"/>
      <c r="K654" s="37"/>
      <c r="L654" s="37"/>
      <c r="M654" s="37"/>
      <c r="N654" s="37"/>
      <c r="O654" s="37"/>
      <c r="P654" s="37"/>
      <c r="Q654" s="37"/>
      <c r="R654" s="37"/>
      <c r="S654" s="37"/>
      <c r="T654" s="37"/>
      <c r="U654" s="37"/>
      <c r="V654" s="37"/>
      <c r="W654" s="37"/>
      <c r="X654" s="37"/>
      <c r="Y654" s="37"/>
      <c r="Z654" s="37"/>
      <c r="AA654" s="37"/>
      <c r="AB654" s="37"/>
      <c r="AC654" s="37"/>
      <c r="AD654" s="37"/>
      <c r="AE654" s="37"/>
      <c r="AF654" s="37"/>
      <c r="AG654" s="37"/>
      <c r="AH654" s="37"/>
      <c r="AI654" s="37"/>
      <c r="AJ654" s="37"/>
      <c r="AK654" s="37"/>
      <c r="AL654" s="37"/>
      <c r="AM654" s="37"/>
      <c r="AN654" s="37"/>
      <c r="AO654" s="37"/>
      <c r="AP654" s="37"/>
      <c r="AQ654" s="37"/>
      <c r="AR654" s="37"/>
      <c r="AS654" s="37"/>
      <c r="AT654" s="37"/>
      <c r="AU654" s="37"/>
      <c r="AV654" s="37"/>
      <c r="AW654" s="37"/>
      <c r="AX654" s="37"/>
      <c r="AY654" s="37"/>
      <c r="AZ654" s="37"/>
    </row>
    <row r="655" spans="1:52">
      <c r="A655" s="37"/>
      <c r="B655" s="37"/>
      <c r="C655" s="37"/>
      <c r="D655" s="37"/>
      <c r="E655" s="37"/>
      <c r="F655" s="37"/>
      <c r="G655" s="37"/>
      <c r="H655" s="37"/>
      <c r="I655" s="37"/>
      <c r="J655" s="37"/>
      <c r="K655" s="37"/>
      <c r="L655" s="37"/>
      <c r="M655" s="37"/>
      <c r="N655" s="37"/>
      <c r="O655" s="37"/>
      <c r="P655" s="37"/>
      <c r="Q655" s="37"/>
      <c r="R655" s="37"/>
      <c r="S655" s="37"/>
      <c r="T655" s="37"/>
      <c r="U655" s="37"/>
      <c r="V655" s="37"/>
      <c r="W655" s="37"/>
      <c r="X655" s="37"/>
      <c r="Y655" s="37"/>
      <c r="Z655" s="37"/>
      <c r="AA655" s="37"/>
      <c r="AB655" s="37"/>
      <c r="AC655" s="37"/>
      <c r="AD655" s="37"/>
      <c r="AE655" s="37"/>
      <c r="AF655" s="37"/>
      <c r="AG655" s="37"/>
      <c r="AH655" s="37"/>
      <c r="AI655" s="37"/>
      <c r="AJ655" s="37"/>
      <c r="AK655" s="37"/>
      <c r="AL655" s="37"/>
      <c r="AM655" s="37"/>
      <c r="AN655" s="37"/>
      <c r="AO655" s="37"/>
      <c r="AP655" s="37"/>
      <c r="AQ655" s="37"/>
      <c r="AR655" s="37"/>
      <c r="AS655" s="37"/>
      <c r="AT655" s="37"/>
      <c r="AU655" s="37"/>
      <c r="AV655" s="37"/>
      <c r="AW655" s="37"/>
      <c r="AX655" s="37"/>
      <c r="AY655" s="37"/>
      <c r="AZ655" s="37"/>
    </row>
    <row r="656" spans="1:52">
      <c r="A656" s="37"/>
      <c r="B656" s="37"/>
      <c r="C656" s="37"/>
      <c r="D656" s="37"/>
      <c r="E656" s="37"/>
      <c r="F656" s="37"/>
      <c r="G656" s="37"/>
      <c r="H656" s="37"/>
      <c r="I656" s="37"/>
      <c r="J656" s="37"/>
      <c r="K656" s="37"/>
      <c r="L656" s="37"/>
      <c r="M656" s="37"/>
      <c r="N656" s="37"/>
      <c r="O656" s="37"/>
      <c r="P656" s="37"/>
      <c r="Q656" s="37"/>
      <c r="R656" s="37"/>
      <c r="S656" s="37"/>
      <c r="T656" s="37"/>
      <c r="U656" s="37"/>
      <c r="V656" s="37"/>
      <c r="W656" s="37"/>
      <c r="X656" s="37"/>
      <c r="Y656" s="37"/>
      <c r="Z656" s="37"/>
      <c r="AA656" s="37"/>
      <c r="AB656" s="37"/>
      <c r="AC656" s="37"/>
      <c r="AD656" s="37"/>
      <c r="AE656" s="37"/>
      <c r="AF656" s="37"/>
      <c r="AG656" s="37"/>
      <c r="AH656" s="37"/>
      <c r="AI656" s="37"/>
      <c r="AJ656" s="37"/>
      <c r="AK656" s="37"/>
      <c r="AL656" s="37"/>
      <c r="AM656" s="37"/>
      <c r="AN656" s="37"/>
      <c r="AO656" s="37"/>
      <c r="AP656" s="37"/>
      <c r="AQ656" s="37"/>
      <c r="AR656" s="37"/>
      <c r="AS656" s="37"/>
      <c r="AT656" s="37"/>
      <c r="AU656" s="37"/>
      <c r="AV656" s="37"/>
      <c r="AW656" s="37"/>
      <c r="AX656" s="37"/>
      <c r="AY656" s="37"/>
      <c r="AZ656" s="37"/>
    </row>
    <row r="657" spans="1:52">
      <c r="A657" s="37"/>
      <c r="B657" s="37"/>
      <c r="C657" s="37"/>
      <c r="D657" s="37"/>
      <c r="E657" s="37"/>
      <c r="F657" s="37"/>
      <c r="G657" s="37"/>
      <c r="H657" s="37"/>
      <c r="I657" s="37"/>
      <c r="J657" s="37"/>
      <c r="K657" s="37"/>
      <c r="L657" s="37"/>
      <c r="M657" s="37"/>
      <c r="N657" s="37"/>
      <c r="O657" s="37"/>
      <c r="P657" s="37"/>
      <c r="Q657" s="37"/>
      <c r="R657" s="37"/>
      <c r="S657" s="37"/>
      <c r="T657" s="37"/>
      <c r="U657" s="37"/>
      <c r="V657" s="37"/>
      <c r="W657" s="37"/>
      <c r="X657" s="37"/>
      <c r="Y657" s="37"/>
      <c r="Z657" s="37"/>
      <c r="AA657" s="37"/>
      <c r="AB657" s="37"/>
      <c r="AC657" s="37"/>
      <c r="AD657" s="37"/>
      <c r="AE657" s="37"/>
      <c r="AF657" s="37"/>
      <c r="AG657" s="37"/>
      <c r="AH657" s="37"/>
      <c r="AI657" s="37"/>
      <c r="AJ657" s="37"/>
      <c r="AK657" s="37"/>
      <c r="AL657" s="37"/>
      <c r="AM657" s="37"/>
      <c r="AN657" s="37"/>
      <c r="AO657" s="37"/>
      <c r="AP657" s="37"/>
      <c r="AQ657" s="37"/>
      <c r="AR657" s="37"/>
      <c r="AS657" s="37"/>
      <c r="AT657" s="37"/>
      <c r="AU657" s="37"/>
      <c r="AV657" s="37"/>
      <c r="AW657" s="37"/>
      <c r="AX657" s="37"/>
      <c r="AY657" s="37"/>
      <c r="AZ657" s="37"/>
    </row>
    <row r="658" spans="1:52">
      <c r="A658" s="37"/>
      <c r="B658" s="37"/>
      <c r="C658" s="37"/>
      <c r="D658" s="37"/>
      <c r="E658" s="37"/>
      <c r="F658" s="37"/>
      <c r="G658" s="37"/>
      <c r="H658" s="37"/>
      <c r="I658" s="37"/>
      <c r="J658" s="37"/>
      <c r="K658" s="37"/>
      <c r="L658" s="37"/>
      <c r="M658" s="37"/>
      <c r="N658" s="37"/>
      <c r="O658" s="37"/>
      <c r="P658" s="37"/>
      <c r="Q658" s="37"/>
      <c r="R658" s="37"/>
      <c r="S658" s="37"/>
      <c r="T658" s="37"/>
      <c r="U658" s="37"/>
      <c r="V658" s="37"/>
      <c r="W658" s="37"/>
      <c r="X658" s="37"/>
      <c r="Y658" s="37"/>
      <c r="Z658" s="37"/>
      <c r="AA658" s="37"/>
      <c r="AB658" s="37"/>
      <c r="AC658" s="37"/>
      <c r="AD658" s="37"/>
      <c r="AE658" s="37"/>
      <c r="AF658" s="37"/>
      <c r="AG658" s="37"/>
      <c r="AH658" s="37"/>
      <c r="AI658" s="37"/>
      <c r="AJ658" s="37"/>
      <c r="AK658" s="37"/>
      <c r="AL658" s="37"/>
      <c r="AM658" s="37"/>
      <c r="AN658" s="37"/>
      <c r="AO658" s="37"/>
      <c r="AP658" s="37"/>
      <c r="AQ658" s="37"/>
      <c r="AR658" s="37"/>
      <c r="AS658" s="37"/>
      <c r="AT658" s="37"/>
      <c r="AU658" s="37"/>
      <c r="AV658" s="37"/>
      <c r="AW658" s="37"/>
      <c r="AX658" s="37"/>
      <c r="AY658" s="37"/>
      <c r="AZ658" s="37"/>
    </row>
    <row r="659" spans="1:52">
      <c r="A659" s="37"/>
      <c r="B659" s="37"/>
      <c r="C659" s="37"/>
      <c r="D659" s="37"/>
      <c r="E659" s="37"/>
      <c r="F659" s="37"/>
      <c r="G659" s="37"/>
      <c r="H659" s="37"/>
      <c r="I659" s="37"/>
      <c r="J659" s="37"/>
      <c r="K659" s="37"/>
      <c r="L659" s="37"/>
      <c r="M659" s="37"/>
      <c r="N659" s="37"/>
      <c r="O659" s="37"/>
      <c r="P659" s="37"/>
      <c r="Q659" s="37"/>
      <c r="R659" s="37"/>
      <c r="S659" s="37"/>
      <c r="T659" s="37"/>
      <c r="U659" s="37"/>
      <c r="V659" s="37"/>
      <c r="W659" s="37"/>
      <c r="X659" s="37"/>
      <c r="Y659" s="37"/>
      <c r="Z659" s="37"/>
      <c r="AA659" s="37"/>
      <c r="AB659" s="37"/>
      <c r="AC659" s="37"/>
      <c r="AD659" s="37"/>
      <c r="AE659" s="37"/>
      <c r="AF659" s="37"/>
      <c r="AG659" s="37"/>
      <c r="AH659" s="37"/>
      <c r="AI659" s="37"/>
      <c r="AJ659" s="37"/>
      <c r="AK659" s="37"/>
      <c r="AL659" s="37"/>
      <c r="AM659" s="37"/>
      <c r="AN659" s="37"/>
      <c r="AO659" s="37"/>
      <c r="AP659" s="37"/>
      <c r="AQ659" s="37"/>
      <c r="AR659" s="37"/>
      <c r="AS659" s="37"/>
      <c r="AT659" s="37"/>
      <c r="AU659" s="37"/>
      <c r="AV659" s="37"/>
      <c r="AW659" s="37"/>
      <c r="AX659" s="37"/>
      <c r="AY659" s="37"/>
      <c r="AZ659" s="37"/>
    </row>
    <row r="660" spans="1:52">
      <c r="A660" s="37"/>
      <c r="B660" s="37"/>
      <c r="C660" s="37"/>
      <c r="D660" s="37"/>
      <c r="E660" s="37"/>
      <c r="F660" s="37"/>
      <c r="G660" s="37"/>
      <c r="H660" s="37"/>
      <c r="I660" s="37"/>
      <c r="J660" s="37"/>
      <c r="K660" s="37"/>
      <c r="L660" s="37"/>
      <c r="M660" s="37"/>
      <c r="N660" s="37"/>
      <c r="O660" s="37"/>
      <c r="P660" s="37"/>
      <c r="Q660" s="37"/>
      <c r="R660" s="37"/>
      <c r="S660" s="37"/>
      <c r="T660" s="37"/>
      <c r="U660" s="37"/>
      <c r="V660" s="37"/>
      <c r="W660" s="37"/>
      <c r="X660" s="37"/>
      <c r="Y660" s="37"/>
      <c r="Z660" s="37"/>
      <c r="AA660" s="37"/>
      <c r="AB660" s="37"/>
      <c r="AC660" s="37"/>
      <c r="AD660" s="37"/>
      <c r="AE660" s="37"/>
      <c r="AF660" s="37"/>
      <c r="AG660" s="37"/>
      <c r="AH660" s="37"/>
      <c r="AI660" s="37"/>
      <c r="AJ660" s="37"/>
      <c r="AK660" s="37"/>
      <c r="AL660" s="37"/>
      <c r="AM660" s="37"/>
      <c r="AN660" s="37"/>
      <c r="AO660" s="37"/>
      <c r="AP660" s="37"/>
      <c r="AQ660" s="37"/>
      <c r="AR660" s="37"/>
      <c r="AS660" s="37"/>
      <c r="AT660" s="37"/>
      <c r="AU660" s="37"/>
      <c r="AV660" s="37"/>
      <c r="AW660" s="37"/>
      <c r="AX660" s="37"/>
      <c r="AY660" s="37"/>
      <c r="AZ660" s="37"/>
    </row>
    <row r="661" spans="1:52">
      <c r="A661" s="37"/>
      <c r="B661" s="37"/>
      <c r="C661" s="37"/>
      <c r="D661" s="37"/>
      <c r="E661" s="37"/>
      <c r="F661" s="37"/>
      <c r="G661" s="37"/>
      <c r="H661" s="37"/>
      <c r="I661" s="37"/>
      <c r="J661" s="37"/>
      <c r="K661" s="37"/>
      <c r="L661" s="37"/>
      <c r="M661" s="37"/>
      <c r="N661" s="37"/>
      <c r="O661" s="37"/>
      <c r="P661" s="37"/>
      <c r="Q661" s="37"/>
      <c r="R661" s="37"/>
      <c r="S661" s="37"/>
      <c r="T661" s="37"/>
      <c r="U661" s="37"/>
      <c r="V661" s="37"/>
      <c r="W661" s="37"/>
      <c r="X661" s="37"/>
      <c r="Y661" s="37"/>
      <c r="Z661" s="37"/>
      <c r="AA661" s="37"/>
      <c r="AB661" s="37"/>
      <c r="AC661" s="37"/>
      <c r="AD661" s="37"/>
      <c r="AE661" s="37"/>
      <c r="AF661" s="37"/>
      <c r="AG661" s="37"/>
      <c r="AH661" s="37"/>
      <c r="AI661" s="37"/>
      <c r="AJ661" s="37"/>
      <c r="AK661" s="37"/>
      <c r="AL661" s="37"/>
      <c r="AM661" s="37"/>
      <c r="AN661" s="37"/>
      <c r="AO661" s="37"/>
      <c r="AP661" s="37"/>
      <c r="AQ661" s="37"/>
      <c r="AR661" s="37"/>
      <c r="AS661" s="37"/>
      <c r="AT661" s="37"/>
      <c r="AU661" s="37"/>
      <c r="AV661" s="37"/>
      <c r="AW661" s="37"/>
      <c r="AX661" s="37"/>
      <c r="AY661" s="37"/>
      <c r="AZ661" s="37"/>
    </row>
    <row r="662" spans="1:52">
      <c r="A662" s="37"/>
      <c r="B662" s="37"/>
      <c r="C662" s="37"/>
      <c r="D662" s="37"/>
      <c r="E662" s="37"/>
      <c r="F662" s="37"/>
      <c r="G662" s="37"/>
      <c r="H662" s="37"/>
      <c r="I662" s="37"/>
      <c r="J662" s="37"/>
      <c r="K662" s="37"/>
      <c r="L662" s="37"/>
      <c r="M662" s="37"/>
      <c r="N662" s="37"/>
      <c r="O662" s="37"/>
      <c r="P662" s="37"/>
      <c r="Q662" s="37"/>
      <c r="R662" s="37"/>
      <c r="S662" s="37"/>
      <c r="T662" s="37"/>
      <c r="U662" s="37"/>
      <c r="V662" s="37"/>
      <c r="W662" s="37"/>
      <c r="X662" s="37"/>
      <c r="Y662" s="37"/>
      <c r="Z662" s="37"/>
      <c r="AA662" s="37"/>
      <c r="AB662" s="37"/>
      <c r="AC662" s="37"/>
      <c r="AD662" s="37"/>
      <c r="AE662" s="37"/>
      <c r="AF662" s="37"/>
      <c r="AG662" s="37"/>
      <c r="AH662" s="37"/>
      <c r="AI662" s="37"/>
      <c r="AJ662" s="37"/>
      <c r="AK662" s="37"/>
      <c r="AL662" s="37"/>
      <c r="AM662" s="37"/>
      <c r="AN662" s="37"/>
      <c r="AO662" s="37"/>
      <c r="AP662" s="37"/>
      <c r="AQ662" s="37"/>
      <c r="AR662" s="37"/>
      <c r="AS662" s="37"/>
      <c r="AT662" s="37"/>
      <c r="AU662" s="37"/>
      <c r="AV662" s="37"/>
      <c r="AW662" s="37"/>
      <c r="AX662" s="37"/>
      <c r="AY662" s="37"/>
      <c r="AZ662" s="37"/>
    </row>
    <row r="663" spans="1:52">
      <c r="A663" s="37"/>
      <c r="B663" s="37"/>
      <c r="C663" s="37"/>
      <c r="D663" s="37"/>
      <c r="E663" s="37"/>
      <c r="F663" s="37"/>
      <c r="G663" s="37"/>
      <c r="H663" s="37"/>
      <c r="I663" s="37"/>
      <c r="J663" s="37"/>
      <c r="K663" s="37"/>
      <c r="L663" s="37"/>
      <c r="M663" s="37"/>
      <c r="N663" s="37"/>
      <c r="O663" s="37"/>
      <c r="P663" s="37"/>
      <c r="Q663" s="37"/>
      <c r="R663" s="37"/>
      <c r="S663" s="37"/>
      <c r="T663" s="37"/>
      <c r="U663" s="37"/>
      <c r="V663" s="37"/>
      <c r="W663" s="37"/>
      <c r="X663" s="37"/>
      <c r="Y663" s="37"/>
      <c r="Z663" s="37"/>
      <c r="AA663" s="37"/>
      <c r="AB663" s="37"/>
      <c r="AC663" s="37"/>
      <c r="AD663" s="37"/>
      <c r="AE663" s="37"/>
      <c r="AF663" s="37"/>
      <c r="AG663" s="37"/>
      <c r="AH663" s="37"/>
      <c r="AI663" s="37"/>
      <c r="AJ663" s="37"/>
      <c r="AK663" s="37"/>
      <c r="AL663" s="37"/>
      <c r="AM663" s="37"/>
      <c r="AN663" s="37"/>
      <c r="AO663" s="37"/>
      <c r="AP663" s="37"/>
      <c r="AQ663" s="37"/>
      <c r="AR663" s="37"/>
      <c r="AS663" s="37"/>
      <c r="AT663" s="37"/>
      <c r="AU663" s="37"/>
      <c r="AV663" s="37"/>
      <c r="AW663" s="37"/>
      <c r="AX663" s="37"/>
      <c r="AY663" s="37"/>
      <c r="AZ663" s="37"/>
    </row>
    <row r="664" spans="1:52">
      <c r="A664" s="37"/>
      <c r="B664" s="37"/>
      <c r="C664" s="37"/>
      <c r="D664" s="37"/>
      <c r="E664" s="37"/>
      <c r="F664" s="37"/>
      <c r="G664" s="37"/>
      <c r="H664" s="37"/>
      <c r="I664" s="37"/>
      <c r="J664" s="37"/>
      <c r="K664" s="37"/>
      <c r="L664" s="37"/>
      <c r="M664" s="37"/>
      <c r="N664" s="37"/>
      <c r="O664" s="37"/>
      <c r="P664" s="37"/>
      <c r="Q664" s="37"/>
      <c r="R664" s="37"/>
      <c r="S664" s="37"/>
      <c r="T664" s="37"/>
      <c r="U664" s="37"/>
      <c r="V664" s="37"/>
      <c r="W664" s="37"/>
      <c r="X664" s="37"/>
      <c r="Y664" s="37"/>
      <c r="Z664" s="37"/>
      <c r="AA664" s="37"/>
      <c r="AB664" s="37"/>
      <c r="AC664" s="37"/>
      <c r="AD664" s="37"/>
      <c r="AE664" s="37"/>
      <c r="AF664" s="37"/>
      <c r="AG664" s="37"/>
      <c r="AH664" s="37"/>
      <c r="AI664" s="37"/>
      <c r="AJ664" s="37"/>
      <c r="AK664" s="37"/>
      <c r="AL664" s="37"/>
      <c r="AM664" s="37"/>
      <c r="AN664" s="37"/>
      <c r="AO664" s="37"/>
      <c r="AP664" s="37"/>
      <c r="AQ664" s="37"/>
      <c r="AR664" s="37"/>
      <c r="AS664" s="37"/>
      <c r="AT664" s="37"/>
      <c r="AU664" s="37"/>
      <c r="AV664" s="37"/>
      <c r="AW664" s="37"/>
      <c r="AX664" s="37"/>
      <c r="AY664" s="37"/>
      <c r="AZ664" s="37"/>
    </row>
    <row r="665" spans="1:52">
      <c r="A665" s="37"/>
      <c r="B665" s="37"/>
      <c r="C665" s="37"/>
      <c r="D665" s="37"/>
      <c r="E665" s="37"/>
      <c r="F665" s="37"/>
      <c r="G665" s="37"/>
      <c r="H665" s="37"/>
      <c r="I665" s="37"/>
      <c r="J665" s="37"/>
      <c r="K665" s="37"/>
      <c r="L665" s="37"/>
      <c r="M665" s="37"/>
      <c r="N665" s="37"/>
      <c r="O665" s="37"/>
      <c r="P665" s="37"/>
      <c r="Q665" s="37"/>
      <c r="R665" s="37"/>
      <c r="S665" s="37"/>
      <c r="T665" s="37"/>
      <c r="U665" s="37"/>
      <c r="V665" s="37"/>
      <c r="W665" s="37"/>
      <c r="X665" s="37"/>
      <c r="Y665" s="37"/>
      <c r="Z665" s="37"/>
      <c r="AA665" s="37"/>
      <c r="AB665" s="37"/>
      <c r="AC665" s="37"/>
      <c r="AD665" s="37"/>
      <c r="AE665" s="37"/>
      <c r="AF665" s="37"/>
      <c r="AG665" s="37"/>
      <c r="AH665" s="37"/>
      <c r="AI665" s="37"/>
      <c r="AJ665" s="37"/>
      <c r="AK665" s="37"/>
      <c r="AL665" s="37"/>
      <c r="AM665" s="37"/>
      <c r="AN665" s="37"/>
      <c r="AO665" s="37"/>
      <c r="AP665" s="37"/>
      <c r="AQ665" s="37"/>
      <c r="AR665" s="37"/>
      <c r="AS665" s="37"/>
      <c r="AT665" s="37"/>
      <c r="AU665" s="37"/>
      <c r="AV665" s="37"/>
      <c r="AW665" s="37"/>
      <c r="AX665" s="37"/>
      <c r="AY665" s="37"/>
      <c r="AZ665" s="37"/>
    </row>
    <row r="666" spans="1:52">
      <c r="A666" s="37"/>
      <c r="B666" s="37"/>
      <c r="C666" s="37"/>
      <c r="D666" s="37"/>
      <c r="E666" s="37"/>
      <c r="F666" s="37"/>
      <c r="G666" s="37"/>
      <c r="H666" s="37"/>
      <c r="I666" s="37"/>
      <c r="J666" s="37"/>
      <c r="K666" s="37"/>
      <c r="L666" s="37"/>
      <c r="M666" s="37"/>
      <c r="N666" s="37"/>
      <c r="O666" s="37"/>
      <c r="P666" s="37"/>
      <c r="Q666" s="37"/>
      <c r="R666" s="37"/>
      <c r="S666" s="37"/>
      <c r="T666" s="37"/>
      <c r="U666" s="37"/>
      <c r="V666" s="37"/>
      <c r="W666" s="37"/>
      <c r="X666" s="37"/>
      <c r="Y666" s="37"/>
      <c r="Z666" s="37"/>
      <c r="AA666" s="37"/>
      <c r="AB666" s="37"/>
      <c r="AC666" s="37"/>
      <c r="AD666" s="37"/>
      <c r="AE666" s="37"/>
      <c r="AF666" s="37"/>
      <c r="AG666" s="37"/>
      <c r="AH666" s="37"/>
      <c r="AI666" s="37"/>
      <c r="AJ666" s="37"/>
      <c r="AK666" s="37"/>
      <c r="AL666" s="37"/>
      <c r="AM666" s="37"/>
      <c r="AN666" s="37"/>
      <c r="AO666" s="37"/>
      <c r="AP666" s="37"/>
      <c r="AQ666" s="37"/>
      <c r="AR666" s="37"/>
      <c r="AS666" s="37"/>
      <c r="AT666" s="37"/>
      <c r="AU666" s="37"/>
      <c r="AV666" s="37"/>
      <c r="AW666" s="37"/>
      <c r="AX666" s="37"/>
      <c r="AY666" s="37"/>
      <c r="AZ666" s="37"/>
    </row>
    <row r="667" spans="1:52">
      <c r="A667" s="37"/>
      <c r="B667" s="37"/>
      <c r="C667" s="37"/>
      <c r="D667" s="37"/>
      <c r="E667" s="37"/>
      <c r="F667" s="37"/>
      <c r="G667" s="37"/>
      <c r="H667" s="37"/>
      <c r="I667" s="37"/>
      <c r="J667" s="37"/>
      <c r="K667" s="37"/>
      <c r="L667" s="37"/>
      <c r="M667" s="37"/>
      <c r="N667" s="37"/>
      <c r="O667" s="37"/>
      <c r="P667" s="37"/>
      <c r="Q667" s="37"/>
      <c r="R667" s="37"/>
      <c r="S667" s="37"/>
      <c r="T667" s="37"/>
      <c r="U667" s="37"/>
      <c r="V667" s="37"/>
      <c r="W667" s="37"/>
      <c r="X667" s="37"/>
      <c r="Y667" s="37"/>
      <c r="Z667" s="37"/>
      <c r="AA667" s="37"/>
      <c r="AB667" s="37"/>
      <c r="AC667" s="37"/>
      <c r="AD667" s="37"/>
      <c r="AE667" s="37"/>
      <c r="AF667" s="37"/>
      <c r="AG667" s="37"/>
      <c r="AH667" s="37"/>
      <c r="AI667" s="37"/>
      <c r="AJ667" s="37"/>
      <c r="AK667" s="37"/>
      <c r="AL667" s="37"/>
      <c r="AM667" s="37"/>
      <c r="AN667" s="37"/>
      <c r="AO667" s="37"/>
      <c r="AP667" s="37"/>
      <c r="AQ667" s="37"/>
      <c r="AR667" s="37"/>
      <c r="AS667" s="37"/>
      <c r="AT667" s="37"/>
      <c r="AU667" s="37"/>
      <c r="AV667" s="37"/>
      <c r="AW667" s="37"/>
      <c r="AX667" s="37"/>
      <c r="AY667" s="37"/>
      <c r="AZ667" s="37"/>
    </row>
    <row r="668" spans="1:52">
      <c r="A668" s="37"/>
      <c r="B668" s="37"/>
      <c r="C668" s="37"/>
      <c r="D668" s="37"/>
      <c r="E668" s="37"/>
      <c r="F668" s="37"/>
      <c r="G668" s="37"/>
      <c r="H668" s="37"/>
      <c r="I668" s="37"/>
      <c r="J668" s="37"/>
      <c r="K668" s="37"/>
      <c r="L668" s="37"/>
      <c r="M668" s="37"/>
      <c r="N668" s="37"/>
      <c r="O668" s="37"/>
      <c r="P668" s="37"/>
      <c r="Q668" s="37"/>
      <c r="R668" s="37"/>
      <c r="S668" s="37"/>
      <c r="T668" s="37"/>
      <c r="U668" s="37"/>
      <c r="V668" s="37"/>
      <c r="W668" s="37"/>
      <c r="X668" s="37"/>
      <c r="Y668" s="37"/>
      <c r="Z668" s="37"/>
      <c r="AA668" s="37"/>
      <c r="AB668" s="37"/>
      <c r="AC668" s="37"/>
      <c r="AD668" s="37"/>
      <c r="AE668" s="37"/>
      <c r="AF668" s="37"/>
      <c r="AG668" s="37"/>
      <c r="AH668" s="37"/>
      <c r="AI668" s="37"/>
      <c r="AJ668" s="37"/>
      <c r="AK668" s="37"/>
      <c r="AL668" s="37"/>
      <c r="AM668" s="37"/>
      <c r="AN668" s="37"/>
      <c r="AO668" s="37"/>
      <c r="AP668" s="37"/>
      <c r="AQ668" s="37"/>
      <c r="AR668" s="37"/>
      <c r="AS668" s="37"/>
      <c r="AT668" s="37"/>
      <c r="AU668" s="37"/>
      <c r="AV668" s="37"/>
      <c r="AW668" s="37"/>
      <c r="AX668" s="37"/>
      <c r="AY668" s="37"/>
      <c r="AZ668" s="37"/>
    </row>
    <row r="669" spans="1:52">
      <c r="A669" s="37"/>
      <c r="B669" s="37"/>
      <c r="C669" s="37"/>
      <c r="D669" s="37"/>
      <c r="E669" s="37"/>
      <c r="F669" s="37"/>
      <c r="G669" s="37"/>
      <c r="H669" s="37"/>
      <c r="I669" s="37"/>
      <c r="J669" s="37"/>
      <c r="K669" s="37"/>
      <c r="L669" s="37"/>
      <c r="M669" s="37"/>
      <c r="N669" s="37"/>
      <c r="O669" s="37"/>
      <c r="P669" s="37"/>
      <c r="Q669" s="37"/>
      <c r="R669" s="37"/>
      <c r="S669" s="37"/>
      <c r="T669" s="37"/>
      <c r="U669" s="37"/>
      <c r="V669" s="37"/>
      <c r="W669" s="37"/>
      <c r="X669" s="37"/>
      <c r="Y669" s="37"/>
      <c r="Z669" s="37"/>
      <c r="AA669" s="37"/>
      <c r="AB669" s="37"/>
      <c r="AC669" s="37"/>
      <c r="AD669" s="37"/>
      <c r="AE669" s="37"/>
      <c r="AF669" s="37"/>
      <c r="AG669" s="37"/>
      <c r="AH669" s="37"/>
      <c r="AI669" s="37"/>
      <c r="AJ669" s="37"/>
      <c r="AK669" s="37"/>
      <c r="AL669" s="37"/>
      <c r="AM669" s="37"/>
      <c r="AN669" s="37"/>
      <c r="AO669" s="37"/>
      <c r="AP669" s="37"/>
      <c r="AQ669" s="37"/>
      <c r="AR669" s="37"/>
      <c r="AS669" s="37"/>
      <c r="AT669" s="37"/>
      <c r="AU669" s="37"/>
      <c r="AV669" s="37"/>
      <c r="AW669" s="37"/>
      <c r="AX669" s="37"/>
      <c r="AY669" s="37"/>
      <c r="AZ669" s="37"/>
    </row>
    <row r="670" spans="1:52">
      <c r="A670" s="37"/>
      <c r="B670" s="37"/>
      <c r="C670" s="37"/>
      <c r="D670" s="37"/>
      <c r="E670" s="37"/>
      <c r="F670" s="37"/>
      <c r="G670" s="37"/>
      <c r="H670" s="37"/>
      <c r="I670" s="37"/>
      <c r="J670" s="37"/>
      <c r="K670" s="37"/>
      <c r="L670" s="37"/>
      <c r="M670" s="37"/>
      <c r="N670" s="37"/>
      <c r="O670" s="37"/>
      <c r="P670" s="37"/>
      <c r="Q670" s="37"/>
      <c r="R670" s="37"/>
      <c r="S670" s="37"/>
      <c r="T670" s="37"/>
      <c r="U670" s="37"/>
      <c r="V670" s="37"/>
      <c r="W670" s="37"/>
      <c r="X670" s="37"/>
      <c r="Y670" s="37"/>
      <c r="Z670" s="37"/>
      <c r="AA670" s="37"/>
      <c r="AB670" s="37"/>
      <c r="AC670" s="37"/>
      <c r="AD670" s="37"/>
      <c r="AE670" s="37"/>
      <c r="AF670" s="37"/>
      <c r="AG670" s="37"/>
      <c r="AH670" s="37"/>
      <c r="AI670" s="37"/>
      <c r="AJ670" s="37"/>
      <c r="AK670" s="37"/>
      <c r="AL670" s="37"/>
      <c r="AM670" s="37"/>
      <c r="AN670" s="37"/>
      <c r="AO670" s="37"/>
      <c r="AP670" s="37"/>
      <c r="AQ670" s="37"/>
      <c r="AR670" s="37"/>
      <c r="AS670" s="37"/>
      <c r="AT670" s="37"/>
      <c r="AU670" s="37"/>
      <c r="AV670" s="37"/>
      <c r="AW670" s="37"/>
      <c r="AX670" s="37"/>
      <c r="AY670" s="37"/>
      <c r="AZ670" s="37"/>
    </row>
    <row r="671" spans="1:52">
      <c r="A671" s="37"/>
      <c r="B671" s="37"/>
      <c r="C671" s="37"/>
      <c r="D671" s="37"/>
      <c r="E671" s="37"/>
      <c r="F671" s="37"/>
      <c r="G671" s="37"/>
      <c r="H671" s="37"/>
      <c r="I671" s="37"/>
      <c r="J671" s="37"/>
      <c r="K671" s="37"/>
      <c r="L671" s="37"/>
      <c r="M671" s="37"/>
      <c r="N671" s="37"/>
      <c r="O671" s="37"/>
      <c r="P671" s="37"/>
      <c r="Q671" s="37"/>
      <c r="R671" s="37"/>
      <c r="S671" s="37"/>
      <c r="T671" s="37"/>
      <c r="U671" s="37"/>
      <c r="V671" s="37"/>
      <c r="W671" s="37"/>
      <c r="X671" s="37"/>
      <c r="Y671" s="37"/>
      <c r="Z671" s="37"/>
      <c r="AA671" s="37"/>
      <c r="AB671" s="37"/>
      <c r="AC671" s="37"/>
      <c r="AD671" s="37"/>
      <c r="AE671" s="37"/>
      <c r="AF671" s="37"/>
      <c r="AG671" s="37"/>
      <c r="AH671" s="37"/>
      <c r="AI671" s="37"/>
      <c r="AJ671" s="37"/>
      <c r="AK671" s="37"/>
      <c r="AL671" s="37"/>
      <c r="AM671" s="37"/>
      <c r="AN671" s="37"/>
      <c r="AO671" s="37"/>
      <c r="AP671" s="37"/>
      <c r="AQ671" s="37"/>
      <c r="AR671" s="37"/>
      <c r="AS671" s="37"/>
      <c r="AT671" s="37"/>
      <c r="AU671" s="37"/>
      <c r="AV671" s="37"/>
      <c r="AW671" s="37"/>
      <c r="AX671" s="37"/>
      <c r="AY671" s="37"/>
      <c r="AZ671" s="37"/>
    </row>
    <row r="672" spans="1:52">
      <c r="A672" s="37"/>
      <c r="B672" s="37"/>
      <c r="C672" s="37"/>
      <c r="D672" s="37"/>
      <c r="E672" s="37"/>
      <c r="F672" s="37"/>
      <c r="G672" s="37"/>
      <c r="H672" s="37"/>
      <c r="I672" s="37"/>
      <c r="J672" s="37"/>
      <c r="K672" s="37"/>
      <c r="L672" s="37"/>
      <c r="M672" s="37"/>
      <c r="N672" s="37"/>
      <c r="O672" s="37"/>
      <c r="P672" s="37"/>
      <c r="Q672" s="37"/>
      <c r="R672" s="37"/>
      <c r="S672" s="37"/>
      <c r="T672" s="37"/>
      <c r="U672" s="37"/>
      <c r="V672" s="37"/>
      <c r="W672" s="37"/>
      <c r="X672" s="37"/>
      <c r="Y672" s="37"/>
      <c r="Z672" s="37"/>
      <c r="AA672" s="37"/>
      <c r="AB672" s="37"/>
      <c r="AC672" s="37"/>
      <c r="AD672" s="37"/>
      <c r="AE672" s="37"/>
      <c r="AF672" s="37"/>
      <c r="AG672" s="37"/>
      <c r="AH672" s="37"/>
      <c r="AI672" s="37"/>
      <c r="AJ672" s="37"/>
      <c r="AK672" s="37"/>
      <c r="AL672" s="37"/>
      <c r="AM672" s="37"/>
      <c r="AN672" s="37"/>
      <c r="AO672" s="37"/>
      <c r="AP672" s="37"/>
      <c r="AQ672" s="37"/>
      <c r="AR672" s="37"/>
      <c r="AS672" s="37"/>
      <c r="AT672" s="37"/>
      <c r="AU672" s="37"/>
      <c r="AV672" s="37"/>
      <c r="AW672" s="37"/>
      <c r="AX672" s="37"/>
      <c r="AY672" s="37"/>
      <c r="AZ672" s="37"/>
    </row>
    <row r="673" spans="1:52">
      <c r="A673" s="37"/>
      <c r="B673" s="37"/>
      <c r="C673" s="37"/>
      <c r="D673" s="37"/>
      <c r="E673" s="37"/>
      <c r="F673" s="37"/>
      <c r="G673" s="37"/>
      <c r="H673" s="37"/>
      <c r="I673" s="37"/>
      <c r="J673" s="37"/>
      <c r="K673" s="37"/>
      <c r="L673" s="37"/>
      <c r="M673" s="37"/>
      <c r="N673" s="37"/>
      <c r="O673" s="37"/>
      <c r="P673" s="37"/>
      <c r="Q673" s="37"/>
      <c r="R673" s="37"/>
      <c r="S673" s="37"/>
      <c r="T673" s="37"/>
      <c r="U673" s="37"/>
      <c r="V673" s="37"/>
      <c r="W673" s="37"/>
      <c r="X673" s="37"/>
      <c r="Y673" s="37"/>
      <c r="Z673" s="37"/>
      <c r="AA673" s="37"/>
      <c r="AB673" s="37"/>
      <c r="AC673" s="37"/>
      <c r="AD673" s="37"/>
      <c r="AE673" s="37"/>
      <c r="AF673" s="37"/>
      <c r="AG673" s="37"/>
      <c r="AH673" s="37"/>
      <c r="AI673" s="37"/>
      <c r="AJ673" s="37"/>
      <c r="AK673" s="37"/>
      <c r="AL673" s="37"/>
      <c r="AM673" s="37"/>
      <c r="AN673" s="37"/>
      <c r="AO673" s="37"/>
      <c r="AP673" s="37"/>
      <c r="AQ673" s="37"/>
      <c r="AR673" s="37"/>
      <c r="AS673" s="37"/>
      <c r="AT673" s="37"/>
      <c r="AU673" s="37"/>
      <c r="AV673" s="37"/>
      <c r="AW673" s="37"/>
      <c r="AX673" s="37"/>
      <c r="AY673" s="37"/>
      <c r="AZ673" s="37"/>
    </row>
    <row r="674" spans="1:52">
      <c r="A674" s="37"/>
      <c r="B674" s="37"/>
      <c r="C674" s="37"/>
      <c r="D674" s="37"/>
      <c r="E674" s="37"/>
      <c r="F674" s="37"/>
      <c r="G674" s="37"/>
      <c r="H674" s="37"/>
      <c r="I674" s="37"/>
      <c r="J674" s="37"/>
      <c r="K674" s="37"/>
      <c r="L674" s="37"/>
      <c r="M674" s="37"/>
      <c r="N674" s="37"/>
      <c r="O674" s="37"/>
      <c r="P674" s="37"/>
      <c r="Q674" s="37"/>
      <c r="R674" s="37"/>
      <c r="S674" s="37"/>
      <c r="T674" s="37"/>
      <c r="U674" s="37"/>
      <c r="V674" s="37"/>
      <c r="W674" s="37"/>
      <c r="X674" s="37"/>
      <c r="Y674" s="37"/>
      <c r="Z674" s="37"/>
      <c r="AA674" s="37"/>
      <c r="AB674" s="37"/>
      <c r="AC674" s="37"/>
      <c r="AD674" s="37"/>
      <c r="AE674" s="37"/>
      <c r="AF674" s="37"/>
      <c r="AG674" s="37"/>
      <c r="AH674" s="37"/>
      <c r="AI674" s="37"/>
      <c r="AJ674" s="37"/>
      <c r="AK674" s="37"/>
      <c r="AL674" s="37"/>
      <c r="AM674" s="37"/>
      <c r="AN674" s="37"/>
      <c r="AO674" s="37"/>
      <c r="AP674" s="37"/>
      <c r="AQ674" s="37"/>
      <c r="AR674" s="37"/>
      <c r="AS674" s="37"/>
      <c r="AT674" s="37"/>
      <c r="AU674" s="37"/>
      <c r="AV674" s="37"/>
      <c r="AW674" s="37"/>
      <c r="AX674" s="37"/>
      <c r="AY674" s="37"/>
      <c r="AZ674" s="37"/>
    </row>
    <row r="675" spans="1:52">
      <c r="A675" s="37"/>
      <c r="B675" s="37"/>
      <c r="C675" s="37"/>
      <c r="D675" s="37"/>
      <c r="E675" s="37"/>
      <c r="F675" s="37"/>
      <c r="G675" s="37"/>
      <c r="H675" s="37"/>
      <c r="I675" s="37"/>
      <c r="J675" s="37"/>
      <c r="K675" s="37"/>
      <c r="L675" s="37"/>
      <c r="M675" s="37"/>
      <c r="N675" s="37"/>
      <c r="O675" s="37"/>
      <c r="P675" s="37"/>
      <c r="Q675" s="37"/>
      <c r="R675" s="37"/>
      <c r="S675" s="37"/>
      <c r="T675" s="37"/>
      <c r="U675" s="37"/>
      <c r="V675" s="37"/>
      <c r="W675" s="37"/>
      <c r="X675" s="37"/>
      <c r="Y675" s="37"/>
      <c r="Z675" s="37"/>
      <c r="AA675" s="37"/>
      <c r="AB675" s="37"/>
      <c r="AC675" s="37"/>
      <c r="AD675" s="37"/>
      <c r="AE675" s="37"/>
      <c r="AF675" s="37"/>
      <c r="AG675" s="37"/>
      <c r="AH675" s="37"/>
      <c r="AI675" s="37"/>
      <c r="AJ675" s="37"/>
      <c r="AK675" s="37"/>
      <c r="AL675" s="37"/>
      <c r="AM675" s="37"/>
      <c r="AN675" s="37"/>
      <c r="AO675" s="37"/>
      <c r="AP675" s="37"/>
      <c r="AQ675" s="37"/>
      <c r="AR675" s="37"/>
      <c r="AS675" s="37"/>
      <c r="AT675" s="37"/>
      <c r="AU675" s="37"/>
      <c r="AV675" s="37"/>
      <c r="AW675" s="37"/>
      <c r="AX675" s="37"/>
      <c r="AY675" s="37"/>
      <c r="AZ675" s="37"/>
    </row>
    <row r="676" spans="1:52">
      <c r="A676" s="37"/>
      <c r="B676" s="37"/>
      <c r="C676" s="37"/>
      <c r="D676" s="37"/>
      <c r="E676" s="37"/>
      <c r="F676" s="37"/>
      <c r="G676" s="37"/>
      <c r="H676" s="37"/>
      <c r="I676" s="37"/>
      <c r="J676" s="37"/>
      <c r="K676" s="37"/>
      <c r="L676" s="37"/>
      <c r="M676" s="37"/>
      <c r="N676" s="37"/>
      <c r="O676" s="37"/>
      <c r="P676" s="37"/>
      <c r="Q676" s="37"/>
      <c r="R676" s="37"/>
      <c r="S676" s="37"/>
      <c r="T676" s="37"/>
      <c r="U676" s="37"/>
      <c r="V676" s="37"/>
      <c r="W676" s="37"/>
      <c r="X676" s="37"/>
      <c r="Y676" s="37"/>
      <c r="Z676" s="37"/>
      <c r="AA676" s="37"/>
      <c r="AB676" s="37"/>
      <c r="AC676" s="37"/>
      <c r="AD676" s="37"/>
      <c r="AE676" s="37"/>
      <c r="AF676" s="37"/>
      <c r="AG676" s="37"/>
      <c r="AH676" s="37"/>
      <c r="AI676" s="37"/>
      <c r="AJ676" s="37"/>
      <c r="AK676" s="37"/>
      <c r="AL676" s="37"/>
      <c r="AM676" s="37"/>
      <c r="AN676" s="37"/>
      <c r="AO676" s="37"/>
      <c r="AP676" s="37"/>
      <c r="AQ676" s="37"/>
      <c r="AR676" s="37"/>
      <c r="AS676" s="37"/>
      <c r="AT676" s="37"/>
      <c r="AU676" s="37"/>
      <c r="AV676" s="37"/>
      <c r="AW676" s="37"/>
      <c r="AX676" s="37"/>
      <c r="AY676" s="37"/>
      <c r="AZ676" s="37"/>
    </row>
    <row r="677" spans="1:52">
      <c r="A677" s="37"/>
      <c r="B677" s="37"/>
      <c r="C677" s="37"/>
      <c r="D677" s="37"/>
      <c r="E677" s="37"/>
      <c r="F677" s="37"/>
      <c r="G677" s="37"/>
      <c r="H677" s="37"/>
      <c r="I677" s="37"/>
      <c r="J677" s="37"/>
      <c r="K677" s="37"/>
      <c r="L677" s="37"/>
      <c r="M677" s="37"/>
      <c r="N677" s="37"/>
      <c r="O677" s="37"/>
      <c r="P677" s="37"/>
      <c r="Q677" s="37"/>
      <c r="R677" s="37"/>
      <c r="S677" s="37"/>
      <c r="T677" s="37"/>
      <c r="U677" s="37"/>
      <c r="V677" s="37"/>
      <c r="W677" s="37"/>
      <c r="X677" s="37"/>
      <c r="Y677" s="37"/>
      <c r="Z677" s="37"/>
      <c r="AA677" s="37"/>
      <c r="AB677" s="37"/>
      <c r="AC677" s="37"/>
      <c r="AD677" s="37"/>
      <c r="AE677" s="37"/>
      <c r="AF677" s="37"/>
      <c r="AG677" s="37"/>
      <c r="AH677" s="37"/>
      <c r="AI677" s="37"/>
      <c r="AJ677" s="37"/>
      <c r="AK677" s="37"/>
      <c r="AL677" s="37"/>
      <c r="AM677" s="37"/>
      <c r="AN677" s="37"/>
      <c r="AO677" s="37"/>
      <c r="AP677" s="37"/>
      <c r="AQ677" s="37"/>
      <c r="AR677" s="37"/>
      <c r="AS677" s="37"/>
      <c r="AT677" s="37"/>
      <c r="AU677" s="37"/>
      <c r="AV677" s="37"/>
      <c r="AW677" s="37"/>
      <c r="AX677" s="37"/>
      <c r="AY677" s="37"/>
      <c r="AZ677" s="37"/>
    </row>
    <row r="678" spans="1:52">
      <c r="A678" s="37"/>
      <c r="B678" s="37"/>
      <c r="C678" s="37"/>
      <c r="D678" s="37"/>
      <c r="E678" s="37"/>
      <c r="F678" s="37"/>
      <c r="G678" s="37"/>
      <c r="H678" s="37"/>
      <c r="I678" s="37"/>
      <c r="J678" s="37"/>
      <c r="K678" s="37"/>
      <c r="L678" s="37"/>
      <c r="M678" s="37"/>
      <c r="N678" s="37"/>
      <c r="O678" s="37"/>
      <c r="P678" s="37"/>
      <c r="Q678" s="37"/>
      <c r="R678" s="37"/>
      <c r="S678" s="37"/>
      <c r="T678" s="37"/>
      <c r="U678" s="37"/>
      <c r="V678" s="37"/>
      <c r="W678" s="37"/>
      <c r="X678" s="37"/>
      <c r="Y678" s="37"/>
      <c r="Z678" s="37"/>
      <c r="AA678" s="37"/>
      <c r="AB678" s="37"/>
      <c r="AC678" s="37"/>
      <c r="AD678" s="37"/>
      <c r="AE678" s="37"/>
      <c r="AF678" s="37"/>
      <c r="AG678" s="37"/>
      <c r="AH678" s="37"/>
      <c r="AI678" s="37"/>
      <c r="AJ678" s="37"/>
      <c r="AK678" s="37"/>
      <c r="AL678" s="37"/>
      <c r="AM678" s="37"/>
      <c r="AN678" s="37"/>
      <c r="AO678" s="37"/>
      <c r="AP678" s="37"/>
      <c r="AQ678" s="37"/>
      <c r="AR678" s="37"/>
      <c r="AS678" s="37"/>
      <c r="AT678" s="37"/>
      <c r="AU678" s="37"/>
      <c r="AV678" s="37"/>
      <c r="AW678" s="37"/>
      <c r="AX678" s="37"/>
      <c r="AY678" s="37"/>
      <c r="AZ678" s="37"/>
    </row>
    <row r="679" spans="1:52">
      <c r="A679" s="37"/>
      <c r="B679" s="37"/>
      <c r="C679" s="37"/>
      <c r="D679" s="37"/>
      <c r="E679" s="37"/>
      <c r="F679" s="37"/>
      <c r="G679" s="37"/>
      <c r="H679" s="37"/>
      <c r="I679" s="37"/>
      <c r="J679" s="37"/>
      <c r="K679" s="37"/>
      <c r="L679" s="37"/>
      <c r="M679" s="37"/>
      <c r="N679" s="37"/>
      <c r="O679" s="37"/>
      <c r="P679" s="37"/>
      <c r="Q679" s="37"/>
      <c r="R679" s="37"/>
      <c r="S679" s="37"/>
      <c r="T679" s="37"/>
      <c r="U679" s="37"/>
      <c r="V679" s="37"/>
      <c r="W679" s="37"/>
      <c r="X679" s="37"/>
      <c r="Y679" s="37"/>
      <c r="Z679" s="37"/>
      <c r="AA679" s="37"/>
      <c r="AB679" s="37"/>
      <c r="AC679" s="37"/>
      <c r="AD679" s="37"/>
      <c r="AE679" s="37"/>
      <c r="AF679" s="37"/>
      <c r="AG679" s="37"/>
      <c r="AH679" s="37"/>
      <c r="AI679" s="37"/>
      <c r="AJ679" s="37"/>
      <c r="AK679" s="37"/>
      <c r="AL679" s="37"/>
      <c r="AM679" s="37"/>
      <c r="AN679" s="37"/>
      <c r="AO679" s="37"/>
      <c r="AP679" s="37"/>
      <c r="AQ679" s="37"/>
      <c r="AR679" s="37"/>
      <c r="AS679" s="37"/>
      <c r="AT679" s="37"/>
      <c r="AU679" s="37"/>
      <c r="AV679" s="37"/>
      <c r="AW679" s="37"/>
      <c r="AX679" s="37"/>
      <c r="AY679" s="37"/>
      <c r="AZ679" s="37"/>
    </row>
    <row r="680" spans="1:52">
      <c r="A680" s="37"/>
      <c r="B680" s="37"/>
      <c r="C680" s="37"/>
      <c r="D680" s="37"/>
      <c r="E680" s="37"/>
      <c r="F680" s="37"/>
      <c r="G680" s="37"/>
      <c r="H680" s="37"/>
      <c r="I680" s="37"/>
      <c r="J680" s="37"/>
      <c r="K680" s="37"/>
      <c r="L680" s="37"/>
      <c r="M680" s="37"/>
      <c r="N680" s="37"/>
      <c r="O680" s="37"/>
      <c r="P680" s="37"/>
      <c r="Q680" s="37"/>
      <c r="R680" s="37"/>
      <c r="S680" s="37"/>
      <c r="T680" s="37"/>
      <c r="U680" s="37"/>
      <c r="V680" s="37"/>
      <c r="W680" s="37"/>
      <c r="X680" s="37"/>
      <c r="Y680" s="37"/>
      <c r="Z680" s="37"/>
      <c r="AA680" s="37"/>
      <c r="AB680" s="37"/>
      <c r="AC680" s="37"/>
      <c r="AD680" s="37"/>
      <c r="AE680" s="37"/>
      <c r="AF680" s="37"/>
      <c r="AG680" s="37"/>
      <c r="AH680" s="37"/>
      <c r="AI680" s="37"/>
      <c r="AJ680" s="37"/>
      <c r="AK680" s="37"/>
      <c r="AL680" s="37"/>
      <c r="AM680" s="37"/>
      <c r="AN680" s="37"/>
      <c r="AO680" s="37"/>
      <c r="AP680" s="37"/>
      <c r="AQ680" s="37"/>
      <c r="AR680" s="37"/>
      <c r="AS680" s="37"/>
      <c r="AT680" s="37"/>
      <c r="AU680" s="37"/>
      <c r="AV680" s="37"/>
      <c r="AW680" s="37"/>
      <c r="AX680" s="37"/>
      <c r="AY680" s="37"/>
      <c r="AZ680" s="37"/>
    </row>
    <row r="681" spans="1:52">
      <c r="A681" s="37"/>
      <c r="B681" s="37"/>
      <c r="C681" s="37"/>
      <c r="D681" s="37"/>
      <c r="E681" s="37"/>
      <c r="F681" s="37"/>
      <c r="G681" s="37"/>
      <c r="H681" s="37"/>
      <c r="I681" s="37"/>
      <c r="J681" s="37"/>
      <c r="K681" s="37"/>
      <c r="L681" s="37"/>
      <c r="M681" s="37"/>
      <c r="N681" s="37"/>
      <c r="O681" s="37"/>
      <c r="P681" s="37"/>
      <c r="Q681" s="37"/>
      <c r="R681" s="37"/>
      <c r="S681" s="37"/>
      <c r="T681" s="37"/>
      <c r="U681" s="37"/>
      <c r="V681" s="37"/>
      <c r="W681" s="37"/>
      <c r="X681" s="37"/>
      <c r="Y681" s="37"/>
      <c r="Z681" s="37"/>
      <c r="AA681" s="37"/>
      <c r="AB681" s="37"/>
      <c r="AC681" s="37"/>
      <c r="AD681" s="37"/>
      <c r="AE681" s="37"/>
      <c r="AF681" s="37"/>
      <c r="AG681" s="37"/>
      <c r="AH681" s="37"/>
      <c r="AI681" s="37"/>
      <c r="AJ681" s="37"/>
      <c r="AK681" s="37"/>
      <c r="AL681" s="37"/>
      <c r="AM681" s="37"/>
      <c r="AN681" s="37"/>
      <c r="AO681" s="37"/>
      <c r="AP681" s="37"/>
      <c r="AQ681" s="37"/>
      <c r="AR681" s="37"/>
      <c r="AS681" s="37"/>
      <c r="AT681" s="37"/>
      <c r="AU681" s="37"/>
      <c r="AV681" s="37"/>
      <c r="AW681" s="37"/>
      <c r="AX681" s="37"/>
      <c r="AY681" s="37"/>
      <c r="AZ681" s="37"/>
    </row>
    <row r="682" spans="1:52">
      <c r="A682" s="37"/>
      <c r="B682" s="37"/>
      <c r="C682" s="37"/>
      <c r="D682" s="37"/>
      <c r="E682" s="37"/>
      <c r="F682" s="37"/>
      <c r="G682" s="37"/>
      <c r="H682" s="37"/>
      <c r="I682" s="37"/>
      <c r="J682" s="37"/>
      <c r="K682" s="37"/>
      <c r="L682" s="37"/>
      <c r="M682" s="37"/>
      <c r="N682" s="37"/>
      <c r="O682" s="37"/>
      <c r="P682" s="37"/>
      <c r="Q682" s="37"/>
      <c r="R682" s="37"/>
      <c r="S682" s="37"/>
      <c r="T682" s="37"/>
      <c r="U682" s="37"/>
      <c r="V682" s="37"/>
      <c r="W682" s="37"/>
      <c r="X682" s="37"/>
      <c r="Y682" s="37"/>
      <c r="Z682" s="37"/>
      <c r="AA682" s="37"/>
      <c r="AB682" s="37"/>
      <c r="AC682" s="37"/>
      <c r="AD682" s="37"/>
      <c r="AE682" s="37"/>
      <c r="AF682" s="37"/>
      <c r="AG682" s="37"/>
      <c r="AH682" s="37"/>
      <c r="AI682" s="37"/>
      <c r="AJ682" s="37"/>
      <c r="AK682" s="37"/>
      <c r="AL682" s="37"/>
      <c r="AM682" s="37"/>
      <c r="AN682" s="37"/>
      <c r="AO682" s="37"/>
      <c r="AP682" s="37"/>
      <c r="AQ682" s="37"/>
      <c r="AR682" s="37"/>
      <c r="AS682" s="37"/>
      <c r="AT682" s="37"/>
      <c r="AU682" s="37"/>
      <c r="AV682" s="37"/>
      <c r="AW682" s="37"/>
      <c r="AX682" s="37"/>
      <c r="AY682" s="37"/>
      <c r="AZ682" s="37"/>
    </row>
    <row r="683" spans="1:52">
      <c r="A683" s="37"/>
      <c r="B683" s="37"/>
      <c r="C683" s="37"/>
      <c r="D683" s="37"/>
      <c r="E683" s="37"/>
      <c r="F683" s="37"/>
      <c r="G683" s="37"/>
      <c r="H683" s="37"/>
      <c r="I683" s="37"/>
      <c r="J683" s="37"/>
      <c r="K683" s="37"/>
      <c r="L683" s="37"/>
      <c r="M683" s="37"/>
      <c r="N683" s="37"/>
      <c r="O683" s="37"/>
      <c r="P683" s="37"/>
      <c r="Q683" s="37"/>
      <c r="R683" s="37"/>
      <c r="S683" s="37"/>
      <c r="T683" s="37"/>
      <c r="U683" s="37"/>
      <c r="V683" s="37"/>
      <c r="W683" s="37"/>
      <c r="X683" s="37"/>
      <c r="Y683" s="37"/>
      <c r="Z683" s="37"/>
      <c r="AA683" s="37"/>
      <c r="AB683" s="37"/>
      <c r="AC683" s="37"/>
      <c r="AD683" s="37"/>
      <c r="AE683" s="37"/>
      <c r="AF683" s="37"/>
      <c r="AG683" s="37"/>
      <c r="AH683" s="37"/>
      <c r="AI683" s="37"/>
      <c r="AJ683" s="37"/>
      <c r="AK683" s="37"/>
      <c r="AL683" s="37"/>
      <c r="AM683" s="37"/>
      <c r="AN683" s="37"/>
      <c r="AO683" s="37"/>
      <c r="AP683" s="37"/>
      <c r="AQ683" s="37"/>
      <c r="AR683" s="37"/>
      <c r="AS683" s="37"/>
      <c r="AT683" s="37"/>
      <c r="AU683" s="37"/>
      <c r="AV683" s="37"/>
      <c r="AW683" s="37"/>
      <c r="AX683" s="37"/>
      <c r="AY683" s="37"/>
      <c r="AZ683" s="37"/>
    </row>
    <row r="684" spans="1:52">
      <c r="A684" s="37"/>
      <c r="B684" s="37"/>
      <c r="C684" s="37"/>
      <c r="D684" s="37"/>
      <c r="E684" s="37"/>
      <c r="F684" s="37"/>
      <c r="G684" s="37"/>
      <c r="H684" s="37"/>
      <c r="I684" s="37"/>
      <c r="J684" s="37"/>
      <c r="K684" s="37"/>
      <c r="L684" s="37"/>
      <c r="M684" s="37"/>
      <c r="N684" s="37"/>
      <c r="O684" s="37"/>
      <c r="P684" s="37"/>
      <c r="Q684" s="37"/>
      <c r="R684" s="37"/>
      <c r="S684" s="37"/>
      <c r="T684" s="37"/>
      <c r="U684" s="37"/>
      <c r="V684" s="37"/>
      <c r="W684" s="37"/>
      <c r="X684" s="37"/>
      <c r="Y684" s="37"/>
      <c r="Z684" s="37"/>
      <c r="AA684" s="37"/>
      <c r="AB684" s="37"/>
      <c r="AC684" s="37"/>
      <c r="AD684" s="37"/>
      <c r="AE684" s="37"/>
      <c r="AF684" s="37"/>
      <c r="AG684" s="37"/>
      <c r="AH684" s="37"/>
      <c r="AI684" s="37"/>
      <c r="AJ684" s="37"/>
      <c r="AK684" s="37"/>
      <c r="AL684" s="37"/>
      <c r="AM684" s="37"/>
      <c r="AN684" s="37"/>
      <c r="AO684" s="37"/>
      <c r="AP684" s="37"/>
      <c r="AQ684" s="37"/>
      <c r="AR684" s="37"/>
      <c r="AS684" s="37"/>
      <c r="AT684" s="37"/>
      <c r="AU684" s="37"/>
      <c r="AV684" s="37"/>
      <c r="AW684" s="37"/>
      <c r="AX684" s="37"/>
      <c r="AY684" s="37"/>
      <c r="AZ684" s="37"/>
    </row>
    <row r="685" spans="1:52">
      <c r="A685" s="37"/>
      <c r="B685" s="37"/>
      <c r="C685" s="37"/>
      <c r="D685" s="37"/>
      <c r="E685" s="37"/>
      <c r="F685" s="37"/>
      <c r="G685" s="37"/>
      <c r="H685" s="37"/>
      <c r="I685" s="37"/>
      <c r="J685" s="37"/>
      <c r="K685" s="37"/>
      <c r="L685" s="37"/>
      <c r="M685" s="37"/>
      <c r="N685" s="37"/>
      <c r="O685" s="37"/>
      <c r="P685" s="37"/>
      <c r="Q685" s="37"/>
      <c r="R685" s="37"/>
      <c r="S685" s="37"/>
      <c r="T685" s="37"/>
      <c r="U685" s="37"/>
      <c r="V685" s="37"/>
      <c r="W685" s="37"/>
      <c r="X685" s="37"/>
      <c r="Y685" s="37"/>
      <c r="Z685" s="37"/>
      <c r="AA685" s="37"/>
      <c r="AB685" s="37"/>
      <c r="AC685" s="37"/>
      <c r="AD685" s="37"/>
      <c r="AE685" s="37"/>
      <c r="AF685" s="37"/>
      <c r="AG685" s="37"/>
      <c r="AH685" s="37"/>
      <c r="AI685" s="37"/>
      <c r="AJ685" s="37"/>
      <c r="AK685" s="37"/>
      <c r="AL685" s="37"/>
      <c r="AM685" s="37"/>
      <c r="AN685" s="37"/>
      <c r="AO685" s="37"/>
      <c r="AP685" s="37"/>
      <c r="AQ685" s="37"/>
      <c r="AR685" s="37"/>
      <c r="AS685" s="37"/>
      <c r="AT685" s="37"/>
      <c r="AU685" s="37"/>
      <c r="AV685" s="37"/>
      <c r="AW685" s="37"/>
      <c r="AX685" s="37"/>
      <c r="AY685" s="37"/>
      <c r="AZ685" s="37"/>
    </row>
    <row r="686" spans="1:52">
      <c r="A686" s="37"/>
      <c r="B686" s="37"/>
      <c r="C686" s="37"/>
      <c r="D686" s="37"/>
      <c r="E686" s="37"/>
      <c r="F686" s="37"/>
      <c r="G686" s="37"/>
      <c r="H686" s="37"/>
      <c r="I686" s="37"/>
      <c r="J686" s="37"/>
      <c r="K686" s="37"/>
      <c r="L686" s="37"/>
      <c r="M686" s="37"/>
      <c r="N686" s="37"/>
      <c r="O686" s="37"/>
      <c r="P686" s="37"/>
      <c r="Q686" s="37"/>
      <c r="R686" s="37"/>
      <c r="S686" s="37"/>
      <c r="T686" s="37"/>
      <c r="U686" s="37"/>
      <c r="V686" s="37"/>
      <c r="W686" s="37"/>
      <c r="X686" s="37"/>
      <c r="Y686" s="37"/>
      <c r="Z686" s="37"/>
      <c r="AA686" s="37"/>
      <c r="AB686" s="37"/>
      <c r="AC686" s="37"/>
      <c r="AD686" s="37"/>
      <c r="AE686" s="37"/>
      <c r="AF686" s="37"/>
      <c r="AG686" s="37"/>
      <c r="AH686" s="37"/>
      <c r="AI686" s="37"/>
      <c r="AJ686" s="37"/>
      <c r="AK686" s="37"/>
      <c r="AL686" s="37"/>
      <c r="AM686" s="37"/>
      <c r="AN686" s="37"/>
      <c r="AO686" s="37"/>
      <c r="AP686" s="37"/>
      <c r="AQ686" s="37"/>
      <c r="AR686" s="37"/>
      <c r="AS686" s="37"/>
      <c r="AT686" s="37"/>
      <c r="AU686" s="37"/>
      <c r="AV686" s="37"/>
      <c r="AW686" s="37"/>
      <c r="AX686" s="37"/>
      <c r="AY686" s="37"/>
      <c r="AZ686" s="37"/>
    </row>
    <row r="687" spans="1:52">
      <c r="A687" s="37"/>
      <c r="B687" s="37"/>
      <c r="C687" s="37"/>
      <c r="D687" s="37"/>
      <c r="E687" s="37"/>
      <c r="F687" s="37"/>
      <c r="G687" s="37"/>
      <c r="H687" s="37"/>
      <c r="I687" s="37"/>
      <c r="J687" s="37"/>
      <c r="K687" s="37"/>
      <c r="L687" s="37"/>
      <c r="M687" s="37"/>
      <c r="N687" s="37"/>
      <c r="O687" s="37"/>
      <c r="P687" s="37"/>
      <c r="Q687" s="37"/>
      <c r="R687" s="37"/>
      <c r="S687" s="37"/>
      <c r="T687" s="37"/>
      <c r="U687" s="37"/>
      <c r="V687" s="37"/>
      <c r="W687" s="37"/>
      <c r="X687" s="37"/>
      <c r="Y687" s="37"/>
      <c r="Z687" s="37"/>
      <c r="AA687" s="37"/>
      <c r="AB687" s="37"/>
      <c r="AC687" s="37"/>
      <c r="AD687" s="37"/>
      <c r="AE687" s="37"/>
      <c r="AF687" s="37"/>
      <c r="AG687" s="37"/>
      <c r="AH687" s="37"/>
      <c r="AI687" s="37"/>
      <c r="AJ687" s="37"/>
      <c r="AK687" s="37"/>
      <c r="AL687" s="37"/>
      <c r="AM687" s="37"/>
      <c r="AN687" s="37"/>
      <c r="AO687" s="37"/>
      <c r="AP687" s="37"/>
      <c r="AQ687" s="37"/>
      <c r="AR687" s="37"/>
      <c r="AS687" s="37"/>
      <c r="AT687" s="37"/>
      <c r="AU687" s="37"/>
      <c r="AV687" s="37"/>
      <c r="AW687" s="37"/>
      <c r="AX687" s="37"/>
      <c r="AY687" s="37"/>
      <c r="AZ687" s="37"/>
    </row>
    <row r="688" spans="1:52">
      <c r="A688" s="37"/>
      <c r="B688" s="37"/>
      <c r="C688" s="37"/>
      <c r="D688" s="37"/>
      <c r="E688" s="37"/>
      <c r="F688" s="37"/>
      <c r="G688" s="37"/>
      <c r="H688" s="37"/>
      <c r="I688" s="37"/>
      <c r="J688" s="37"/>
      <c r="K688" s="37"/>
      <c r="L688" s="37"/>
      <c r="M688" s="37"/>
      <c r="N688" s="37"/>
      <c r="O688" s="37"/>
      <c r="P688" s="37"/>
      <c r="Q688" s="37"/>
      <c r="R688" s="37"/>
      <c r="S688" s="37"/>
      <c r="T688" s="37"/>
      <c r="U688" s="37"/>
      <c r="V688" s="37"/>
      <c r="W688" s="37"/>
      <c r="X688" s="37"/>
      <c r="Y688" s="37"/>
      <c r="Z688" s="37"/>
      <c r="AA688" s="37"/>
      <c r="AB688" s="37"/>
      <c r="AC688" s="37"/>
      <c r="AD688" s="37"/>
      <c r="AE688" s="37"/>
      <c r="AF688" s="37"/>
      <c r="AG688" s="37"/>
      <c r="AH688" s="37"/>
      <c r="AI688" s="37"/>
      <c r="AJ688" s="37"/>
      <c r="AK688" s="37"/>
      <c r="AL688" s="37"/>
      <c r="AM688" s="37"/>
      <c r="AN688" s="37"/>
      <c r="AO688" s="37"/>
      <c r="AP688" s="37"/>
      <c r="AQ688" s="37"/>
      <c r="AR688" s="37"/>
      <c r="AS688" s="37"/>
      <c r="AT688" s="37"/>
      <c r="AU688" s="37"/>
      <c r="AV688" s="37"/>
      <c r="AW688" s="37"/>
      <c r="AX688" s="37"/>
      <c r="AY688" s="37"/>
      <c r="AZ688" s="37"/>
    </row>
    <row r="689" spans="1:52">
      <c r="A689" s="37"/>
      <c r="B689" s="37"/>
      <c r="C689" s="37"/>
      <c r="D689" s="37"/>
      <c r="E689" s="37"/>
      <c r="F689" s="37"/>
      <c r="G689" s="37"/>
      <c r="H689" s="37"/>
      <c r="I689" s="37"/>
      <c r="J689" s="37"/>
      <c r="K689" s="37"/>
      <c r="L689" s="37"/>
      <c r="M689" s="37"/>
      <c r="N689" s="37"/>
      <c r="O689" s="37"/>
      <c r="P689" s="37"/>
      <c r="Q689" s="37"/>
      <c r="R689" s="37"/>
      <c r="S689" s="37"/>
      <c r="T689" s="37"/>
      <c r="U689" s="37"/>
      <c r="V689" s="37"/>
      <c r="W689" s="37"/>
      <c r="X689" s="37"/>
      <c r="Y689" s="37"/>
      <c r="Z689" s="37"/>
      <c r="AA689" s="37"/>
      <c r="AB689" s="37"/>
      <c r="AC689" s="37"/>
      <c r="AD689" s="37"/>
      <c r="AE689" s="37"/>
      <c r="AF689" s="37"/>
      <c r="AG689" s="37"/>
      <c r="AH689" s="37"/>
      <c r="AI689" s="37"/>
      <c r="AJ689" s="37"/>
      <c r="AK689" s="37"/>
      <c r="AL689" s="37"/>
      <c r="AM689" s="37"/>
      <c r="AN689" s="37"/>
      <c r="AO689" s="37"/>
      <c r="AP689" s="37"/>
      <c r="AQ689" s="37"/>
      <c r="AR689" s="37"/>
      <c r="AS689" s="37"/>
      <c r="AT689" s="37"/>
      <c r="AU689" s="37"/>
      <c r="AV689" s="37"/>
      <c r="AW689" s="37"/>
      <c r="AX689" s="37"/>
      <c r="AY689" s="37"/>
      <c r="AZ689" s="37"/>
    </row>
    <row r="690" spans="1:52">
      <c r="A690" s="37"/>
      <c r="B690" s="37"/>
      <c r="C690" s="37"/>
      <c r="D690" s="37"/>
      <c r="E690" s="37"/>
      <c r="F690" s="37"/>
      <c r="G690" s="37"/>
      <c r="H690" s="37"/>
      <c r="I690" s="37"/>
      <c r="J690" s="37"/>
      <c r="K690" s="37"/>
      <c r="L690" s="37"/>
      <c r="M690" s="37"/>
      <c r="N690" s="37"/>
      <c r="O690" s="37"/>
      <c r="P690" s="37"/>
      <c r="Q690" s="37"/>
      <c r="R690" s="37"/>
      <c r="S690" s="37"/>
      <c r="T690" s="37"/>
      <c r="U690" s="37"/>
      <c r="V690" s="37"/>
      <c r="W690" s="37"/>
      <c r="X690" s="37"/>
      <c r="Y690" s="37"/>
      <c r="Z690" s="37"/>
      <c r="AA690" s="37"/>
      <c r="AB690" s="37"/>
      <c r="AC690" s="37"/>
      <c r="AD690" s="37"/>
      <c r="AE690" s="37"/>
      <c r="AF690" s="37"/>
      <c r="AG690" s="37"/>
      <c r="AH690" s="37"/>
      <c r="AI690" s="37"/>
      <c r="AJ690" s="37"/>
      <c r="AK690" s="37"/>
      <c r="AL690" s="37"/>
      <c r="AM690" s="37"/>
      <c r="AN690" s="37"/>
      <c r="AO690" s="37"/>
      <c r="AP690" s="37"/>
      <c r="AQ690" s="37"/>
      <c r="AR690" s="37"/>
      <c r="AS690" s="37"/>
      <c r="AT690" s="37"/>
      <c r="AU690" s="37"/>
      <c r="AV690" s="37"/>
      <c r="AW690" s="37"/>
      <c r="AX690" s="37"/>
      <c r="AY690" s="37"/>
      <c r="AZ690" s="37"/>
    </row>
    <row r="691" spans="1:52">
      <c r="A691" s="37"/>
      <c r="B691" s="37"/>
      <c r="C691" s="37"/>
      <c r="D691" s="37"/>
      <c r="E691" s="37"/>
      <c r="F691" s="37"/>
      <c r="G691" s="37"/>
      <c r="H691" s="37"/>
      <c r="I691" s="37"/>
      <c r="J691" s="37"/>
      <c r="K691" s="37"/>
      <c r="L691" s="37"/>
      <c r="M691" s="37"/>
      <c r="N691" s="37"/>
      <c r="O691" s="37"/>
      <c r="P691" s="37"/>
      <c r="Q691" s="37"/>
      <c r="R691" s="37"/>
      <c r="S691" s="37"/>
      <c r="T691" s="37"/>
      <c r="U691" s="37"/>
      <c r="V691" s="37"/>
      <c r="W691" s="37"/>
      <c r="X691" s="37"/>
      <c r="Y691" s="37"/>
      <c r="Z691" s="37"/>
      <c r="AA691" s="37"/>
      <c r="AB691" s="37"/>
      <c r="AC691" s="37"/>
      <c r="AD691" s="37"/>
      <c r="AE691" s="37"/>
      <c r="AF691" s="37"/>
      <c r="AG691" s="37"/>
      <c r="AH691" s="37"/>
      <c r="AI691" s="37"/>
      <c r="AJ691" s="37"/>
      <c r="AK691" s="37"/>
      <c r="AL691" s="37"/>
      <c r="AM691" s="37"/>
      <c r="AN691" s="37"/>
      <c r="AO691" s="37"/>
      <c r="AP691" s="37"/>
      <c r="AQ691" s="37"/>
      <c r="AR691" s="37"/>
      <c r="AS691" s="37"/>
      <c r="AT691" s="37"/>
      <c r="AU691" s="37"/>
      <c r="AV691" s="37"/>
      <c r="AW691" s="37"/>
      <c r="AX691" s="37"/>
      <c r="AY691" s="37"/>
      <c r="AZ691" s="37"/>
    </row>
    <row r="692" spans="1:52">
      <c r="A692" s="37"/>
      <c r="B692" s="37"/>
      <c r="C692" s="37"/>
      <c r="D692" s="37"/>
      <c r="E692" s="37"/>
      <c r="F692" s="37"/>
      <c r="G692" s="37"/>
      <c r="H692" s="37"/>
      <c r="I692" s="37"/>
      <c r="J692" s="37"/>
      <c r="K692" s="37"/>
      <c r="L692" s="37"/>
      <c r="M692" s="37"/>
      <c r="N692" s="37"/>
      <c r="O692" s="37"/>
      <c r="P692" s="37"/>
      <c r="Q692" s="37"/>
      <c r="R692" s="37"/>
      <c r="S692" s="37"/>
      <c r="T692" s="37"/>
      <c r="U692" s="37"/>
      <c r="V692" s="37"/>
      <c r="W692" s="37"/>
      <c r="X692" s="37"/>
      <c r="Y692" s="37"/>
      <c r="Z692" s="37"/>
      <c r="AA692" s="37"/>
      <c r="AB692" s="37"/>
      <c r="AC692" s="37"/>
      <c r="AD692" s="37"/>
      <c r="AE692" s="37"/>
      <c r="AF692" s="37"/>
      <c r="AG692" s="37"/>
      <c r="AH692" s="37"/>
      <c r="AI692" s="37"/>
      <c r="AJ692" s="37"/>
      <c r="AK692" s="37"/>
      <c r="AL692" s="37"/>
      <c r="AM692" s="37"/>
      <c r="AN692" s="37"/>
      <c r="AO692" s="37"/>
      <c r="AP692" s="37"/>
      <c r="AQ692" s="37"/>
      <c r="AR692" s="37"/>
      <c r="AS692" s="37"/>
      <c r="AT692" s="37"/>
      <c r="AU692" s="37"/>
      <c r="AV692" s="37"/>
      <c r="AW692" s="37"/>
      <c r="AX692" s="37"/>
      <c r="AY692" s="37"/>
      <c r="AZ692" s="37"/>
    </row>
    <row r="693" spans="1:52">
      <c r="A693" s="37"/>
      <c r="B693" s="37"/>
      <c r="C693" s="37"/>
      <c r="D693" s="37"/>
      <c r="E693" s="37"/>
      <c r="F693" s="37"/>
      <c r="G693" s="37"/>
      <c r="H693" s="37"/>
      <c r="I693" s="37"/>
      <c r="J693" s="37"/>
      <c r="K693" s="37"/>
      <c r="L693" s="37"/>
      <c r="M693" s="37"/>
      <c r="N693" s="37"/>
      <c r="O693" s="37"/>
      <c r="P693" s="37"/>
      <c r="Q693" s="37"/>
      <c r="R693" s="37"/>
      <c r="S693" s="37"/>
      <c r="T693" s="37"/>
      <c r="U693" s="37"/>
      <c r="V693" s="37"/>
      <c r="W693" s="37"/>
      <c r="X693" s="37"/>
      <c r="Y693" s="37"/>
      <c r="Z693" s="37"/>
      <c r="AA693" s="37"/>
      <c r="AB693" s="37"/>
      <c r="AC693" s="37"/>
      <c r="AD693" s="37"/>
      <c r="AE693" s="37"/>
      <c r="AF693" s="37"/>
      <c r="AG693" s="37"/>
      <c r="AH693" s="37"/>
      <c r="AI693" s="37"/>
      <c r="AJ693" s="37"/>
      <c r="AK693" s="37"/>
      <c r="AL693" s="37"/>
      <c r="AM693" s="37"/>
      <c r="AN693" s="37"/>
      <c r="AO693" s="37"/>
      <c r="AP693" s="37"/>
      <c r="AQ693" s="37"/>
      <c r="AR693" s="37"/>
      <c r="AS693" s="37"/>
      <c r="AT693" s="37"/>
      <c r="AU693" s="37"/>
      <c r="AV693" s="37"/>
      <c r="AW693" s="37"/>
      <c r="AX693" s="37"/>
      <c r="AY693" s="37"/>
      <c r="AZ693" s="37"/>
    </row>
    <row r="694" spans="1:52">
      <c r="A694" s="37"/>
      <c r="B694" s="37"/>
      <c r="C694" s="37"/>
      <c r="D694" s="37"/>
      <c r="E694" s="37"/>
      <c r="F694" s="37"/>
      <c r="G694" s="37"/>
      <c r="H694" s="37"/>
      <c r="I694" s="37"/>
      <c r="J694" s="37"/>
      <c r="K694" s="37"/>
      <c r="L694" s="37"/>
      <c r="M694" s="37"/>
      <c r="N694" s="37"/>
      <c r="O694" s="37"/>
      <c r="P694" s="37"/>
      <c r="Q694" s="37"/>
      <c r="R694" s="37"/>
      <c r="S694" s="37"/>
      <c r="T694" s="37"/>
      <c r="U694" s="37"/>
      <c r="V694" s="37"/>
      <c r="W694" s="37"/>
      <c r="X694" s="37"/>
      <c r="Y694" s="37"/>
      <c r="Z694" s="37"/>
      <c r="AA694" s="37"/>
      <c r="AB694" s="37"/>
      <c r="AC694" s="37"/>
      <c r="AD694" s="37"/>
      <c r="AE694" s="37"/>
      <c r="AF694" s="37"/>
      <c r="AG694" s="37"/>
      <c r="AH694" s="37"/>
      <c r="AI694" s="37"/>
      <c r="AJ694" s="37"/>
      <c r="AK694" s="37"/>
      <c r="AL694" s="37"/>
      <c r="AM694" s="37"/>
      <c r="AN694" s="37"/>
      <c r="AO694" s="37"/>
      <c r="AP694" s="37"/>
      <c r="AQ694" s="37"/>
      <c r="AR694" s="37"/>
      <c r="AS694" s="37"/>
      <c r="AT694" s="37"/>
      <c r="AU694" s="37"/>
      <c r="AV694" s="37"/>
      <c r="AW694" s="37"/>
      <c r="AX694" s="37"/>
      <c r="AY694" s="37"/>
      <c r="AZ694" s="37"/>
    </row>
    <row r="695" spans="1:52">
      <c r="A695" s="37"/>
      <c r="B695" s="37"/>
      <c r="C695" s="37"/>
      <c r="D695" s="37"/>
      <c r="E695" s="37"/>
      <c r="F695" s="37"/>
      <c r="G695" s="37"/>
      <c r="H695" s="37"/>
      <c r="I695" s="37"/>
      <c r="J695" s="37"/>
      <c r="K695" s="37"/>
      <c r="L695" s="37"/>
      <c r="M695" s="37"/>
      <c r="N695" s="37"/>
      <c r="O695" s="37"/>
      <c r="P695" s="37"/>
      <c r="Q695" s="37"/>
      <c r="R695" s="37"/>
      <c r="S695" s="37"/>
      <c r="T695" s="37"/>
      <c r="U695" s="37"/>
      <c r="V695" s="37"/>
      <c r="W695" s="37"/>
      <c r="X695" s="37"/>
      <c r="Y695" s="37"/>
      <c r="Z695" s="37"/>
      <c r="AA695" s="37"/>
      <c r="AB695" s="37"/>
      <c r="AC695" s="37"/>
      <c r="AD695" s="37"/>
      <c r="AE695" s="37"/>
      <c r="AF695" s="37"/>
      <c r="AG695" s="37"/>
      <c r="AH695" s="37"/>
      <c r="AI695" s="37"/>
      <c r="AJ695" s="37"/>
      <c r="AK695" s="37"/>
      <c r="AL695" s="37"/>
      <c r="AM695" s="37"/>
      <c r="AN695" s="37"/>
      <c r="AO695" s="37"/>
      <c r="AP695" s="37"/>
      <c r="AQ695" s="37"/>
      <c r="AR695" s="37"/>
      <c r="AS695" s="37"/>
      <c r="AT695" s="37"/>
      <c r="AU695" s="37"/>
      <c r="AV695" s="37"/>
      <c r="AW695" s="37"/>
      <c r="AX695" s="37"/>
      <c r="AY695" s="37"/>
      <c r="AZ695" s="37"/>
    </row>
    <row r="696" spans="1:52">
      <c r="A696" s="37"/>
      <c r="B696" s="37"/>
      <c r="C696" s="37"/>
      <c r="D696" s="37"/>
      <c r="E696" s="37"/>
      <c r="F696" s="37"/>
      <c r="G696" s="37"/>
      <c r="H696" s="37"/>
      <c r="I696" s="37"/>
      <c r="J696" s="37"/>
      <c r="K696" s="37"/>
      <c r="L696" s="37"/>
      <c r="M696" s="37"/>
      <c r="N696" s="37"/>
      <c r="O696" s="37"/>
      <c r="P696" s="37"/>
      <c r="Q696" s="37"/>
      <c r="R696" s="37"/>
      <c r="S696" s="37"/>
      <c r="T696" s="37"/>
      <c r="U696" s="37"/>
      <c r="V696" s="37"/>
      <c r="W696" s="37"/>
      <c r="X696" s="37"/>
      <c r="Y696" s="37"/>
      <c r="Z696" s="37"/>
      <c r="AA696" s="37"/>
      <c r="AB696" s="37"/>
      <c r="AC696" s="37"/>
      <c r="AD696" s="37"/>
      <c r="AE696" s="37"/>
      <c r="AF696" s="37"/>
      <c r="AG696" s="37"/>
      <c r="AH696" s="37"/>
      <c r="AI696" s="37"/>
      <c r="AJ696" s="37"/>
      <c r="AK696" s="37"/>
      <c r="AL696" s="37"/>
      <c r="AM696" s="37"/>
      <c r="AN696" s="37"/>
      <c r="AO696" s="37"/>
      <c r="AP696" s="37"/>
      <c r="AQ696" s="37"/>
      <c r="AR696" s="37"/>
      <c r="AS696" s="37"/>
      <c r="AT696" s="37"/>
      <c r="AU696" s="37"/>
      <c r="AV696" s="37"/>
      <c r="AW696" s="37"/>
      <c r="AX696" s="37"/>
      <c r="AY696" s="37"/>
      <c r="AZ696" s="37"/>
    </row>
    <row r="697" spans="1:52">
      <c r="A697" s="37"/>
      <c r="B697" s="37"/>
      <c r="C697" s="37"/>
      <c r="D697" s="37"/>
      <c r="E697" s="37"/>
      <c r="F697" s="37"/>
      <c r="G697" s="37"/>
      <c r="H697" s="37"/>
      <c r="I697" s="37"/>
      <c r="J697" s="37"/>
      <c r="K697" s="37"/>
      <c r="L697" s="37"/>
      <c r="M697" s="37"/>
      <c r="N697" s="37"/>
      <c r="O697" s="37"/>
      <c r="P697" s="37"/>
      <c r="Q697" s="37"/>
      <c r="R697" s="37"/>
      <c r="S697" s="37"/>
      <c r="T697" s="37"/>
      <c r="U697" s="37"/>
      <c r="V697" s="37"/>
      <c r="W697" s="37"/>
      <c r="X697" s="37"/>
      <c r="Y697" s="37"/>
      <c r="Z697" s="37"/>
      <c r="AA697" s="37"/>
      <c r="AB697" s="37"/>
      <c r="AC697" s="37"/>
      <c r="AD697" s="37"/>
      <c r="AE697" s="37"/>
      <c r="AF697" s="37"/>
      <c r="AG697" s="37"/>
      <c r="AH697" s="37"/>
      <c r="AI697" s="37"/>
      <c r="AJ697" s="37"/>
      <c r="AK697" s="37"/>
      <c r="AL697" s="37"/>
      <c r="AM697" s="37"/>
      <c r="AN697" s="37"/>
      <c r="AO697" s="37"/>
      <c r="AP697" s="37"/>
      <c r="AQ697" s="37"/>
      <c r="AR697" s="37"/>
      <c r="AS697" s="37"/>
      <c r="AT697" s="37"/>
      <c r="AU697" s="37"/>
      <c r="AV697" s="37"/>
      <c r="AW697" s="37"/>
      <c r="AX697" s="37"/>
      <c r="AY697" s="37"/>
      <c r="AZ697" s="37"/>
    </row>
    <row r="698" spans="1:52">
      <c r="A698" s="37"/>
      <c r="B698" s="37"/>
      <c r="C698" s="37"/>
      <c r="D698" s="37"/>
      <c r="E698" s="37"/>
      <c r="F698" s="37"/>
      <c r="G698" s="37"/>
      <c r="H698" s="37"/>
      <c r="I698" s="37"/>
      <c r="J698" s="37"/>
      <c r="K698" s="37"/>
      <c r="L698" s="37"/>
      <c r="M698" s="37"/>
      <c r="N698" s="37"/>
      <c r="O698" s="37"/>
      <c r="P698" s="37"/>
      <c r="Q698" s="37"/>
      <c r="R698" s="37"/>
      <c r="S698" s="37"/>
      <c r="T698" s="37"/>
      <c r="U698" s="37"/>
      <c r="V698" s="37"/>
      <c r="W698" s="37"/>
      <c r="X698" s="37"/>
      <c r="Y698" s="37"/>
      <c r="Z698" s="37"/>
      <c r="AA698" s="37"/>
      <c r="AB698" s="37"/>
      <c r="AC698" s="37"/>
      <c r="AD698" s="37"/>
      <c r="AE698" s="37"/>
      <c r="AF698" s="37"/>
      <c r="AG698" s="37"/>
      <c r="AH698" s="37"/>
      <c r="AI698" s="37"/>
      <c r="AJ698" s="37"/>
      <c r="AK698" s="37"/>
      <c r="AL698" s="37"/>
      <c r="AM698" s="37"/>
      <c r="AN698" s="37"/>
      <c r="AO698" s="37"/>
      <c r="AP698" s="37"/>
      <c r="AQ698" s="37"/>
      <c r="AR698" s="37"/>
      <c r="AS698" s="37"/>
      <c r="AT698" s="37"/>
      <c r="AU698" s="37"/>
      <c r="AV698" s="37"/>
      <c r="AW698" s="37"/>
      <c r="AX698" s="37"/>
      <c r="AY698" s="37"/>
      <c r="AZ698" s="37"/>
    </row>
    <row r="699" spans="1:52">
      <c r="A699" s="37"/>
      <c r="B699" s="37"/>
      <c r="C699" s="37"/>
      <c r="D699" s="37"/>
      <c r="E699" s="37"/>
      <c r="F699" s="37"/>
      <c r="G699" s="37"/>
      <c r="H699" s="37"/>
      <c r="I699" s="37"/>
      <c r="J699" s="37"/>
      <c r="K699" s="37"/>
      <c r="L699" s="37"/>
      <c r="M699" s="37"/>
      <c r="N699" s="37"/>
      <c r="O699" s="37"/>
      <c r="P699" s="37"/>
      <c r="Q699" s="37"/>
      <c r="R699" s="37"/>
      <c r="S699" s="37"/>
      <c r="T699" s="37"/>
      <c r="U699" s="37"/>
      <c r="V699" s="37"/>
      <c r="W699" s="37"/>
      <c r="X699" s="37"/>
      <c r="Y699" s="37"/>
      <c r="Z699" s="37"/>
      <c r="AA699" s="37"/>
      <c r="AB699" s="37"/>
      <c r="AC699" s="37"/>
      <c r="AD699" s="37"/>
      <c r="AE699" s="37"/>
      <c r="AF699" s="37"/>
      <c r="AG699" s="37"/>
      <c r="AH699" s="37"/>
      <c r="AI699" s="37"/>
      <c r="AJ699" s="37"/>
      <c r="AK699" s="37"/>
      <c r="AL699" s="37"/>
      <c r="AM699" s="37"/>
      <c r="AN699" s="37"/>
      <c r="AO699" s="37"/>
      <c r="AP699" s="37"/>
      <c r="AQ699" s="37"/>
      <c r="AR699" s="37"/>
      <c r="AS699" s="37"/>
      <c r="AT699" s="37"/>
      <c r="AU699" s="37"/>
      <c r="AV699" s="37"/>
      <c r="AW699" s="37"/>
      <c r="AX699" s="37"/>
      <c r="AY699" s="37"/>
      <c r="AZ699" s="37"/>
    </row>
    <row r="700" spans="1:52">
      <c r="A700" s="37"/>
      <c r="B700" s="37"/>
      <c r="C700" s="37"/>
      <c r="D700" s="37"/>
      <c r="E700" s="37"/>
      <c r="F700" s="37"/>
      <c r="G700" s="37"/>
      <c r="H700" s="37"/>
      <c r="I700" s="37"/>
      <c r="J700" s="37"/>
      <c r="K700" s="37"/>
      <c r="L700" s="37"/>
      <c r="M700" s="37"/>
      <c r="N700" s="37"/>
      <c r="O700" s="37"/>
      <c r="P700" s="37"/>
      <c r="Q700" s="37"/>
      <c r="R700" s="37"/>
      <c r="S700" s="37"/>
      <c r="T700" s="37"/>
      <c r="U700" s="37"/>
      <c r="V700" s="37"/>
      <c r="W700" s="37"/>
      <c r="X700" s="37"/>
      <c r="Y700" s="37"/>
      <c r="Z700" s="37"/>
      <c r="AA700" s="37"/>
      <c r="AB700" s="37"/>
      <c r="AC700" s="37"/>
      <c r="AD700" s="37"/>
      <c r="AE700" s="37"/>
      <c r="AF700" s="37"/>
      <c r="AG700" s="37"/>
      <c r="AH700" s="37"/>
      <c r="AI700" s="37"/>
      <c r="AJ700" s="37"/>
      <c r="AK700" s="37"/>
      <c r="AL700" s="37"/>
      <c r="AM700" s="37"/>
      <c r="AN700" s="37"/>
      <c r="AO700" s="37"/>
      <c r="AP700" s="37"/>
      <c r="AQ700" s="37"/>
      <c r="AR700" s="37"/>
      <c r="AS700" s="37"/>
      <c r="AT700" s="37"/>
      <c r="AU700" s="37"/>
      <c r="AV700" s="37"/>
      <c r="AW700" s="37"/>
      <c r="AX700" s="37"/>
      <c r="AY700" s="37"/>
      <c r="AZ700" s="37"/>
    </row>
    <row r="701" spans="1:52">
      <c r="A701" s="37"/>
      <c r="B701" s="37"/>
      <c r="C701" s="37"/>
      <c r="D701" s="37"/>
      <c r="E701" s="37"/>
      <c r="F701" s="37"/>
      <c r="G701" s="37"/>
      <c r="H701" s="37"/>
      <c r="I701" s="37"/>
      <c r="J701" s="37"/>
      <c r="K701" s="37"/>
      <c r="L701" s="37"/>
      <c r="M701" s="37"/>
      <c r="N701" s="37"/>
      <c r="O701" s="37"/>
      <c r="P701" s="37"/>
      <c r="Q701" s="37"/>
      <c r="R701" s="37"/>
      <c r="S701" s="37"/>
      <c r="T701" s="37"/>
      <c r="U701" s="37"/>
      <c r="V701" s="37"/>
      <c r="W701" s="37"/>
      <c r="X701" s="37"/>
      <c r="Y701" s="37"/>
      <c r="Z701" s="37"/>
      <c r="AA701" s="37"/>
      <c r="AB701" s="37"/>
      <c r="AC701" s="37"/>
      <c r="AD701" s="37"/>
      <c r="AE701" s="37"/>
      <c r="AF701" s="37"/>
      <c r="AG701" s="37"/>
      <c r="AH701" s="37"/>
      <c r="AI701" s="37"/>
      <c r="AJ701" s="37"/>
      <c r="AK701" s="37"/>
      <c r="AL701" s="37"/>
      <c r="AM701" s="37"/>
      <c r="AN701" s="37"/>
      <c r="AO701" s="37"/>
      <c r="AP701" s="37"/>
      <c r="AQ701" s="37"/>
      <c r="AR701" s="37"/>
      <c r="AS701" s="37"/>
      <c r="AT701" s="37"/>
      <c r="AU701" s="37"/>
      <c r="AV701" s="37"/>
      <c r="AW701" s="37"/>
      <c r="AX701" s="37"/>
      <c r="AY701" s="37"/>
      <c r="AZ701" s="37"/>
    </row>
    <row r="702" spans="1:52">
      <c r="A702" s="37"/>
      <c r="B702" s="37"/>
      <c r="C702" s="37"/>
      <c r="D702" s="37"/>
      <c r="E702" s="37"/>
      <c r="F702" s="37"/>
      <c r="G702" s="37"/>
      <c r="H702" s="37"/>
      <c r="I702" s="37"/>
      <c r="J702" s="37"/>
      <c r="K702" s="37"/>
      <c r="L702" s="37"/>
      <c r="M702" s="37"/>
      <c r="N702" s="37"/>
      <c r="O702" s="37"/>
      <c r="P702" s="37"/>
      <c r="Q702" s="37"/>
      <c r="R702" s="37"/>
      <c r="S702" s="37"/>
      <c r="T702" s="37"/>
      <c r="U702" s="37"/>
      <c r="V702" s="37"/>
      <c r="W702" s="37"/>
      <c r="X702" s="37"/>
      <c r="Y702" s="37"/>
      <c r="Z702" s="37"/>
      <c r="AA702" s="37"/>
      <c r="AB702" s="37"/>
      <c r="AC702" s="37"/>
      <c r="AD702" s="37"/>
      <c r="AE702" s="37"/>
      <c r="AF702" s="37"/>
      <c r="AG702" s="37"/>
      <c r="AH702" s="37"/>
      <c r="AI702" s="37"/>
      <c r="AJ702" s="37"/>
      <c r="AK702" s="37"/>
      <c r="AL702" s="37"/>
      <c r="AM702" s="37"/>
      <c r="AN702" s="37"/>
      <c r="AO702" s="37"/>
      <c r="AP702" s="37"/>
      <c r="AQ702" s="37"/>
      <c r="AR702" s="37"/>
      <c r="AS702" s="37"/>
      <c r="AT702" s="37"/>
      <c r="AU702" s="37"/>
      <c r="AV702" s="37"/>
      <c r="AW702" s="37"/>
      <c r="AX702" s="37"/>
      <c r="AY702" s="37"/>
      <c r="AZ702" s="37"/>
    </row>
    <row r="703" spans="1:52">
      <c r="A703" s="37"/>
      <c r="B703" s="37"/>
      <c r="C703" s="37"/>
      <c r="D703" s="37"/>
      <c r="E703" s="37"/>
      <c r="F703" s="37"/>
      <c r="G703" s="37"/>
      <c r="H703" s="37"/>
      <c r="I703" s="37"/>
      <c r="J703" s="37"/>
      <c r="K703" s="37"/>
      <c r="L703" s="37"/>
      <c r="M703" s="37"/>
      <c r="N703" s="37"/>
      <c r="O703" s="37"/>
      <c r="P703" s="37"/>
      <c r="Q703" s="37"/>
      <c r="R703" s="37"/>
      <c r="S703" s="37"/>
      <c r="T703" s="37"/>
      <c r="U703" s="37"/>
      <c r="V703" s="37"/>
      <c r="W703" s="37"/>
      <c r="X703" s="37"/>
      <c r="Y703" s="37"/>
      <c r="Z703" s="37"/>
      <c r="AA703" s="37"/>
      <c r="AB703" s="37"/>
      <c r="AC703" s="37"/>
      <c r="AD703" s="37"/>
      <c r="AE703" s="37"/>
      <c r="AF703" s="37"/>
      <c r="AG703" s="37"/>
      <c r="AH703" s="37"/>
      <c r="AI703" s="37"/>
      <c r="AJ703" s="37"/>
      <c r="AK703" s="37"/>
      <c r="AL703" s="37"/>
      <c r="AM703" s="37"/>
      <c r="AN703" s="37"/>
      <c r="AO703" s="37"/>
      <c r="AP703" s="37"/>
      <c r="AQ703" s="37"/>
      <c r="AR703" s="37"/>
      <c r="AS703" s="37"/>
      <c r="AT703" s="37"/>
      <c r="AU703" s="37"/>
      <c r="AV703" s="37"/>
      <c r="AW703" s="37"/>
      <c r="AX703" s="37"/>
      <c r="AY703" s="37"/>
      <c r="AZ703" s="37"/>
    </row>
    <row r="704" spans="1:52">
      <c r="A704" s="37"/>
      <c r="B704" s="37"/>
      <c r="C704" s="37"/>
      <c r="D704" s="37"/>
      <c r="E704" s="37"/>
      <c r="F704" s="37"/>
      <c r="G704" s="37"/>
      <c r="H704" s="37"/>
      <c r="I704" s="37"/>
      <c r="J704" s="37"/>
      <c r="K704" s="37"/>
      <c r="L704" s="37"/>
      <c r="M704" s="37"/>
      <c r="N704" s="37"/>
      <c r="O704" s="37"/>
      <c r="P704" s="37"/>
      <c r="Q704" s="37"/>
      <c r="R704" s="37"/>
      <c r="S704" s="37"/>
      <c r="T704" s="37"/>
      <c r="U704" s="37"/>
      <c r="V704" s="37"/>
      <c r="W704" s="37"/>
      <c r="X704" s="37"/>
      <c r="Y704" s="37"/>
      <c r="Z704" s="37"/>
      <c r="AA704" s="37"/>
      <c r="AB704" s="37"/>
      <c r="AC704" s="37"/>
      <c r="AD704" s="37"/>
      <c r="AE704" s="37"/>
      <c r="AF704" s="37"/>
      <c r="AG704" s="37"/>
      <c r="AH704" s="37"/>
      <c r="AI704" s="37"/>
      <c r="AJ704" s="37"/>
      <c r="AK704" s="37"/>
      <c r="AL704" s="37"/>
      <c r="AM704" s="37"/>
      <c r="AN704" s="37"/>
      <c r="AO704" s="37"/>
      <c r="AP704" s="37"/>
      <c r="AQ704" s="37"/>
      <c r="AR704" s="37"/>
      <c r="AS704" s="37"/>
      <c r="AT704" s="37"/>
      <c r="AU704" s="37"/>
      <c r="AV704" s="37"/>
      <c r="AW704" s="37"/>
      <c r="AX704" s="37"/>
      <c r="AY704" s="37"/>
      <c r="AZ704" s="37"/>
    </row>
    <row r="705" spans="1:52">
      <c r="A705" s="37"/>
      <c r="B705" s="37"/>
      <c r="C705" s="37"/>
      <c r="D705" s="37"/>
      <c r="E705" s="37"/>
      <c r="F705" s="37"/>
      <c r="G705" s="37"/>
      <c r="H705" s="37"/>
      <c r="I705" s="37"/>
      <c r="J705" s="37"/>
      <c r="K705" s="37"/>
      <c r="L705" s="37"/>
      <c r="M705" s="37"/>
      <c r="N705" s="37"/>
      <c r="O705" s="37"/>
      <c r="P705" s="37"/>
      <c r="Q705" s="37"/>
      <c r="R705" s="37"/>
      <c r="S705" s="37"/>
      <c r="T705" s="37"/>
      <c r="U705" s="37"/>
      <c r="V705" s="37"/>
      <c r="W705" s="37"/>
      <c r="X705" s="37"/>
      <c r="Y705" s="37"/>
      <c r="Z705" s="37"/>
      <c r="AA705" s="37"/>
      <c r="AB705" s="37"/>
      <c r="AC705" s="37"/>
      <c r="AD705" s="37"/>
      <c r="AE705" s="37"/>
      <c r="AF705" s="37"/>
      <c r="AG705" s="37"/>
      <c r="AH705" s="37"/>
      <c r="AI705" s="37"/>
      <c r="AJ705" s="37"/>
      <c r="AK705" s="37"/>
      <c r="AL705" s="37"/>
      <c r="AM705" s="37"/>
      <c r="AN705" s="37"/>
      <c r="AO705" s="37"/>
      <c r="AP705" s="37"/>
      <c r="AQ705" s="37"/>
      <c r="AR705" s="37"/>
      <c r="AS705" s="37"/>
      <c r="AT705" s="37"/>
      <c r="AU705" s="37"/>
      <c r="AV705" s="37"/>
      <c r="AW705" s="37"/>
      <c r="AX705" s="37"/>
      <c r="AY705" s="37"/>
      <c r="AZ705" s="37"/>
    </row>
    <row r="706" spans="1:52">
      <c r="A706" s="37"/>
      <c r="B706" s="37"/>
      <c r="C706" s="37"/>
      <c r="D706" s="37"/>
      <c r="E706" s="37"/>
      <c r="F706" s="37"/>
      <c r="G706" s="37"/>
      <c r="H706" s="37"/>
      <c r="I706" s="37"/>
      <c r="J706" s="37"/>
      <c r="K706" s="37"/>
      <c r="L706" s="37"/>
      <c r="M706" s="37"/>
      <c r="N706" s="37"/>
      <c r="O706" s="37"/>
      <c r="P706" s="37"/>
      <c r="Q706" s="37"/>
      <c r="R706" s="37"/>
      <c r="S706" s="37"/>
      <c r="T706" s="37"/>
      <c r="U706" s="37"/>
      <c r="V706" s="37"/>
      <c r="W706" s="37"/>
      <c r="X706" s="37"/>
      <c r="Y706" s="37"/>
      <c r="Z706" s="37"/>
      <c r="AA706" s="37"/>
      <c r="AB706" s="37"/>
      <c r="AC706" s="37"/>
      <c r="AD706" s="37"/>
      <c r="AE706" s="37"/>
      <c r="AF706" s="37"/>
      <c r="AG706" s="37"/>
      <c r="AH706" s="37"/>
      <c r="AI706" s="37"/>
      <c r="AJ706" s="37"/>
      <c r="AK706" s="37"/>
      <c r="AL706" s="37"/>
      <c r="AM706" s="37"/>
      <c r="AN706" s="37"/>
      <c r="AO706" s="37"/>
      <c r="AP706" s="37"/>
      <c r="AQ706" s="37"/>
      <c r="AR706" s="37"/>
      <c r="AS706" s="37"/>
      <c r="AT706" s="37"/>
      <c r="AU706" s="37"/>
      <c r="AV706" s="37"/>
      <c r="AW706" s="37"/>
      <c r="AX706" s="37"/>
      <c r="AY706" s="37"/>
      <c r="AZ706" s="37"/>
    </row>
    <row r="707" spans="1:52">
      <c r="A707" s="37"/>
      <c r="B707" s="37"/>
      <c r="C707" s="37"/>
      <c r="D707" s="37"/>
      <c r="E707" s="37"/>
      <c r="F707" s="37"/>
      <c r="G707" s="37"/>
      <c r="H707" s="37"/>
      <c r="I707" s="37"/>
      <c r="J707" s="37"/>
      <c r="K707" s="37"/>
      <c r="L707" s="37"/>
      <c r="M707" s="37"/>
      <c r="N707" s="37"/>
      <c r="O707" s="37"/>
      <c r="P707" s="37"/>
      <c r="Q707" s="37"/>
      <c r="R707" s="37"/>
      <c r="S707" s="37"/>
      <c r="T707" s="37"/>
      <c r="U707" s="37"/>
      <c r="V707" s="37"/>
      <c r="W707" s="37"/>
      <c r="X707" s="37"/>
      <c r="Y707" s="37"/>
      <c r="Z707" s="37"/>
      <c r="AA707" s="37"/>
      <c r="AB707" s="37"/>
      <c r="AC707" s="37"/>
      <c r="AD707" s="37"/>
      <c r="AE707" s="37"/>
      <c r="AF707" s="37"/>
      <c r="AG707" s="37"/>
      <c r="AH707" s="37"/>
      <c r="AI707" s="37"/>
      <c r="AJ707" s="37"/>
      <c r="AK707" s="37"/>
      <c r="AL707" s="37"/>
      <c r="AM707" s="37"/>
      <c r="AN707" s="37"/>
      <c r="AO707" s="37"/>
      <c r="AP707" s="37"/>
      <c r="AQ707" s="37"/>
      <c r="AR707" s="37"/>
      <c r="AS707" s="37"/>
      <c r="AT707" s="37"/>
      <c r="AU707" s="37"/>
      <c r="AV707" s="37"/>
      <c r="AW707" s="37"/>
      <c r="AX707" s="37"/>
      <c r="AY707" s="37"/>
      <c r="AZ707" s="37"/>
    </row>
    <row r="708" spans="1:52">
      <c r="A708" s="37"/>
      <c r="B708" s="37"/>
      <c r="C708" s="37"/>
      <c r="D708" s="37"/>
      <c r="E708" s="37"/>
      <c r="F708" s="37"/>
      <c r="G708" s="37"/>
      <c r="H708" s="37"/>
      <c r="I708" s="37"/>
      <c r="J708" s="37"/>
      <c r="K708" s="37"/>
      <c r="L708" s="37"/>
      <c r="M708" s="37"/>
      <c r="N708" s="37"/>
      <c r="O708" s="37"/>
      <c r="P708" s="37"/>
      <c r="Q708" s="37"/>
      <c r="R708" s="37"/>
      <c r="S708" s="37"/>
      <c r="T708" s="37"/>
      <c r="U708" s="37"/>
      <c r="V708" s="37"/>
      <c r="W708" s="37"/>
      <c r="X708" s="37"/>
      <c r="Y708" s="37"/>
      <c r="Z708" s="37"/>
      <c r="AA708" s="37"/>
      <c r="AB708" s="37"/>
      <c r="AC708" s="37"/>
      <c r="AD708" s="37"/>
      <c r="AE708" s="37"/>
      <c r="AF708" s="37"/>
      <c r="AG708" s="37"/>
      <c r="AH708" s="37"/>
      <c r="AI708" s="37"/>
      <c r="AJ708" s="37"/>
      <c r="AK708" s="37"/>
      <c r="AL708" s="37"/>
      <c r="AM708" s="37"/>
      <c r="AN708" s="37"/>
      <c r="AO708" s="37"/>
      <c r="AP708" s="37"/>
      <c r="AQ708" s="37"/>
      <c r="AR708" s="37"/>
      <c r="AS708" s="37"/>
      <c r="AT708" s="37"/>
      <c r="AU708" s="37"/>
      <c r="AV708" s="37"/>
      <c r="AW708" s="37"/>
      <c r="AX708" s="37"/>
      <c r="AY708" s="37"/>
      <c r="AZ708" s="37"/>
    </row>
    <row r="709" spans="1:52">
      <c r="A709" s="37"/>
      <c r="B709" s="37"/>
      <c r="C709" s="37"/>
      <c r="D709" s="37"/>
      <c r="E709" s="37"/>
      <c r="F709" s="37"/>
      <c r="G709" s="37"/>
      <c r="H709" s="37"/>
      <c r="I709" s="37"/>
      <c r="J709" s="37"/>
      <c r="K709" s="37"/>
      <c r="L709" s="37"/>
      <c r="M709" s="37"/>
      <c r="N709" s="37"/>
      <c r="O709" s="37"/>
      <c r="P709" s="37"/>
      <c r="Q709" s="37"/>
      <c r="R709" s="37"/>
      <c r="S709" s="37"/>
      <c r="T709" s="37"/>
      <c r="U709" s="37"/>
      <c r="V709" s="37"/>
      <c r="W709" s="37"/>
      <c r="X709" s="37"/>
      <c r="Y709" s="37"/>
      <c r="Z709" s="37"/>
      <c r="AA709" s="37"/>
      <c r="AB709" s="37"/>
      <c r="AC709" s="37"/>
      <c r="AD709" s="37"/>
      <c r="AE709" s="37"/>
      <c r="AF709" s="37"/>
      <c r="AG709" s="37"/>
      <c r="AH709" s="37"/>
      <c r="AI709" s="37"/>
      <c r="AJ709" s="37"/>
      <c r="AK709" s="37"/>
      <c r="AL709" s="37"/>
      <c r="AM709" s="37"/>
      <c r="AN709" s="37"/>
      <c r="AO709" s="37"/>
      <c r="AP709" s="37"/>
      <c r="AQ709" s="37"/>
      <c r="AR709" s="37"/>
      <c r="AS709" s="37"/>
      <c r="AT709" s="37"/>
      <c r="AU709" s="37"/>
      <c r="AV709" s="37"/>
      <c r="AW709" s="37"/>
      <c r="AX709" s="37"/>
      <c r="AY709" s="37"/>
      <c r="AZ709" s="37"/>
    </row>
    <row r="710" spans="1:52">
      <c r="A710" s="37"/>
      <c r="B710" s="37"/>
      <c r="C710" s="37"/>
      <c r="D710" s="37"/>
      <c r="E710" s="37"/>
      <c r="F710" s="37"/>
      <c r="G710" s="37"/>
      <c r="H710" s="37"/>
      <c r="I710" s="37"/>
      <c r="J710" s="37"/>
      <c r="K710" s="37"/>
      <c r="L710" s="37"/>
      <c r="M710" s="37"/>
      <c r="N710" s="37"/>
      <c r="O710" s="37"/>
      <c r="P710" s="37"/>
      <c r="Q710" s="37"/>
      <c r="R710" s="37"/>
      <c r="S710" s="37"/>
      <c r="T710" s="37"/>
      <c r="U710" s="37"/>
      <c r="V710" s="37"/>
      <c r="W710" s="37"/>
      <c r="X710" s="37"/>
      <c r="Y710" s="37"/>
      <c r="Z710" s="37"/>
      <c r="AA710" s="37"/>
      <c r="AB710" s="37"/>
      <c r="AC710" s="37"/>
      <c r="AD710" s="37"/>
      <c r="AE710" s="37"/>
      <c r="AF710" s="37"/>
      <c r="AG710" s="37"/>
      <c r="AH710" s="37"/>
      <c r="AI710" s="37"/>
      <c r="AJ710" s="37"/>
      <c r="AK710" s="37"/>
      <c r="AL710" s="37"/>
      <c r="AM710" s="37"/>
      <c r="AN710" s="37"/>
      <c r="AO710" s="37"/>
      <c r="AP710" s="37"/>
      <c r="AQ710" s="37"/>
      <c r="AR710" s="37"/>
      <c r="AS710" s="37"/>
      <c r="AT710" s="37"/>
      <c r="AU710" s="37"/>
      <c r="AV710" s="37"/>
      <c r="AW710" s="37"/>
      <c r="AX710" s="37"/>
      <c r="AY710" s="37"/>
      <c r="AZ710" s="37"/>
    </row>
    <row r="711" spans="1:52">
      <c r="A711" s="37"/>
      <c r="B711" s="37"/>
      <c r="C711" s="37"/>
      <c r="D711" s="37"/>
      <c r="E711" s="37"/>
      <c r="F711" s="37"/>
      <c r="G711" s="37"/>
      <c r="H711" s="37"/>
      <c r="I711" s="37"/>
      <c r="J711" s="37"/>
      <c r="K711" s="37"/>
      <c r="L711" s="37"/>
      <c r="M711" s="37"/>
      <c r="N711" s="37"/>
      <c r="O711" s="37"/>
      <c r="P711" s="37"/>
      <c r="Q711" s="37"/>
      <c r="R711" s="37"/>
      <c r="S711" s="37"/>
      <c r="T711" s="37"/>
      <c r="U711" s="37"/>
      <c r="V711" s="37"/>
      <c r="W711" s="37"/>
      <c r="X711" s="37"/>
      <c r="Y711" s="37"/>
      <c r="Z711" s="37"/>
      <c r="AA711" s="37"/>
      <c r="AB711" s="37"/>
      <c r="AC711" s="37"/>
      <c r="AD711" s="37"/>
      <c r="AE711" s="37"/>
      <c r="AF711" s="37"/>
      <c r="AG711" s="37"/>
      <c r="AH711" s="37"/>
      <c r="AI711" s="37"/>
      <c r="AJ711" s="37"/>
      <c r="AK711" s="37"/>
      <c r="AL711" s="37"/>
      <c r="AM711" s="37"/>
      <c r="AN711" s="37"/>
      <c r="AO711" s="37"/>
      <c r="AP711" s="37"/>
      <c r="AQ711" s="37"/>
      <c r="AR711" s="37"/>
      <c r="AS711" s="37"/>
      <c r="AT711" s="37"/>
      <c r="AU711" s="37"/>
      <c r="AV711" s="37"/>
      <c r="AW711" s="37"/>
      <c r="AX711" s="37"/>
      <c r="AY711" s="37"/>
      <c r="AZ711" s="37"/>
    </row>
    <row r="712" spans="1:52">
      <c r="A712" s="37"/>
      <c r="B712" s="37"/>
      <c r="C712" s="37"/>
      <c r="D712" s="37"/>
      <c r="E712" s="37"/>
      <c r="F712" s="37"/>
      <c r="G712" s="37"/>
      <c r="H712" s="37"/>
      <c r="I712" s="37"/>
      <c r="J712" s="37"/>
      <c r="K712" s="37"/>
      <c r="L712" s="37"/>
      <c r="M712" s="37"/>
      <c r="N712" s="37"/>
      <c r="O712" s="37"/>
      <c r="P712" s="37"/>
      <c r="Q712" s="37"/>
      <c r="R712" s="37"/>
      <c r="S712" s="37"/>
      <c r="T712" s="37"/>
      <c r="U712" s="37"/>
      <c r="V712" s="37"/>
      <c r="W712" s="37"/>
      <c r="X712" s="37"/>
      <c r="Y712" s="37"/>
      <c r="Z712" s="37"/>
      <c r="AA712" s="37"/>
      <c r="AB712" s="37"/>
      <c r="AC712" s="37"/>
      <c r="AD712" s="37"/>
      <c r="AE712" s="37"/>
      <c r="AF712" s="37"/>
      <c r="AG712" s="37"/>
      <c r="AH712" s="37"/>
      <c r="AI712" s="37"/>
      <c r="AJ712" s="37"/>
      <c r="AK712" s="37"/>
      <c r="AL712" s="37"/>
      <c r="AM712" s="37"/>
      <c r="AN712" s="37"/>
      <c r="AO712" s="37"/>
      <c r="AP712" s="37"/>
      <c r="AQ712" s="37"/>
      <c r="AR712" s="37"/>
      <c r="AS712" s="37"/>
      <c r="AT712" s="37"/>
      <c r="AU712" s="37"/>
      <c r="AV712" s="37"/>
      <c r="AW712" s="37"/>
      <c r="AX712" s="37"/>
      <c r="AY712" s="37"/>
      <c r="AZ712" s="37"/>
    </row>
    <row r="713" spans="1:52">
      <c r="A713" s="37"/>
      <c r="B713" s="37"/>
      <c r="C713" s="37"/>
      <c r="D713" s="37"/>
      <c r="E713" s="37"/>
      <c r="F713" s="37"/>
      <c r="G713" s="37"/>
      <c r="H713" s="37"/>
      <c r="I713" s="37"/>
      <c r="J713" s="37"/>
      <c r="K713" s="37"/>
      <c r="L713" s="37"/>
      <c r="M713" s="37"/>
      <c r="N713" s="37"/>
      <c r="O713" s="37"/>
      <c r="P713" s="37"/>
      <c r="Q713" s="37"/>
      <c r="R713" s="37"/>
      <c r="S713" s="37"/>
      <c r="T713" s="37"/>
      <c r="U713" s="37"/>
      <c r="V713" s="37"/>
      <c r="W713" s="37"/>
      <c r="X713" s="37"/>
      <c r="Y713" s="37"/>
      <c r="Z713" s="37"/>
      <c r="AA713" s="37"/>
      <c r="AB713" s="37"/>
      <c r="AC713" s="37"/>
      <c r="AD713" s="37"/>
      <c r="AE713" s="37"/>
      <c r="AF713" s="37"/>
      <c r="AG713" s="37"/>
      <c r="AH713" s="37"/>
      <c r="AI713" s="37"/>
      <c r="AJ713" s="37"/>
      <c r="AK713" s="37"/>
      <c r="AL713" s="37"/>
      <c r="AM713" s="37"/>
      <c r="AN713" s="37"/>
      <c r="AO713" s="37"/>
      <c r="AP713" s="37"/>
      <c r="AQ713" s="37"/>
      <c r="AR713" s="37"/>
      <c r="AS713" s="37"/>
      <c r="AT713" s="37"/>
      <c r="AU713" s="37"/>
      <c r="AV713" s="37"/>
      <c r="AW713" s="37"/>
      <c r="AX713" s="37"/>
      <c r="AY713" s="37"/>
      <c r="AZ713" s="37"/>
    </row>
    <row r="714" spans="1:52">
      <c r="A714" s="37"/>
      <c r="B714" s="37"/>
      <c r="C714" s="37"/>
      <c r="D714" s="37"/>
      <c r="E714" s="37"/>
      <c r="F714" s="37"/>
      <c r="G714" s="37"/>
      <c r="H714" s="37"/>
      <c r="I714" s="37"/>
      <c r="J714" s="37"/>
      <c r="K714" s="37"/>
      <c r="L714" s="37"/>
      <c r="M714" s="37"/>
      <c r="N714" s="37"/>
      <c r="O714" s="37"/>
      <c r="P714" s="37"/>
      <c r="Q714" s="37"/>
      <c r="R714" s="37"/>
      <c r="S714" s="37"/>
      <c r="T714" s="37"/>
      <c r="U714" s="37"/>
      <c r="V714" s="37"/>
      <c r="W714" s="37"/>
      <c r="X714" s="37"/>
      <c r="Y714" s="37"/>
      <c r="Z714" s="37"/>
      <c r="AA714" s="37"/>
      <c r="AB714" s="37"/>
      <c r="AC714" s="37"/>
      <c r="AD714" s="37"/>
      <c r="AE714" s="37"/>
      <c r="AF714" s="37"/>
      <c r="AG714" s="37"/>
      <c r="AH714" s="37"/>
      <c r="AI714" s="37"/>
      <c r="AJ714" s="37"/>
      <c r="AK714" s="37"/>
      <c r="AL714" s="37"/>
      <c r="AM714" s="37"/>
      <c r="AN714" s="37"/>
      <c r="AO714" s="37"/>
      <c r="AP714" s="37"/>
      <c r="AQ714" s="37"/>
      <c r="AR714" s="37"/>
      <c r="AS714" s="37"/>
      <c r="AT714" s="37"/>
      <c r="AU714" s="37"/>
      <c r="AV714" s="37"/>
      <c r="AW714" s="37"/>
      <c r="AX714" s="37"/>
      <c r="AY714" s="37"/>
      <c r="AZ714" s="37"/>
    </row>
    <row r="715" spans="1:52">
      <c r="A715" s="37"/>
      <c r="B715" s="37"/>
      <c r="C715" s="37"/>
      <c r="D715" s="37"/>
      <c r="E715" s="37"/>
      <c r="F715" s="37"/>
      <c r="G715" s="37"/>
      <c r="H715" s="37"/>
      <c r="I715" s="37"/>
      <c r="J715" s="37"/>
      <c r="K715" s="37"/>
      <c r="L715" s="37"/>
      <c r="M715" s="37"/>
      <c r="N715" s="37"/>
      <c r="O715" s="37"/>
      <c r="P715" s="37"/>
      <c r="Q715" s="37"/>
      <c r="R715" s="37"/>
      <c r="S715" s="37"/>
      <c r="T715" s="37"/>
      <c r="U715" s="37"/>
      <c r="V715" s="37"/>
      <c r="W715" s="37"/>
      <c r="X715" s="37"/>
      <c r="Y715" s="37"/>
      <c r="Z715" s="37"/>
      <c r="AA715" s="37"/>
      <c r="AB715" s="37"/>
      <c r="AC715" s="37"/>
      <c r="AD715" s="37"/>
      <c r="AE715" s="37"/>
      <c r="AF715" s="37"/>
      <c r="AG715" s="37"/>
      <c r="AH715" s="37"/>
      <c r="AI715" s="37"/>
      <c r="AJ715" s="37"/>
      <c r="AK715" s="37"/>
      <c r="AL715" s="37"/>
      <c r="AM715" s="37"/>
      <c r="AN715" s="37"/>
      <c r="AO715" s="37"/>
      <c r="AP715" s="37"/>
      <c r="AQ715" s="37"/>
      <c r="AR715" s="37"/>
      <c r="AS715" s="37"/>
      <c r="AT715" s="37"/>
      <c r="AU715" s="37"/>
      <c r="AV715" s="37"/>
      <c r="AW715" s="37"/>
      <c r="AX715" s="37"/>
      <c r="AY715" s="37"/>
      <c r="AZ715" s="37"/>
    </row>
    <row r="716" spans="1:52">
      <c r="A716" s="37"/>
      <c r="B716" s="37"/>
      <c r="C716" s="37"/>
      <c r="D716" s="37"/>
      <c r="E716" s="37"/>
      <c r="F716" s="37"/>
      <c r="G716" s="37"/>
      <c r="H716" s="37"/>
      <c r="I716" s="37"/>
      <c r="J716" s="37"/>
      <c r="K716" s="37"/>
      <c r="L716" s="37"/>
      <c r="M716" s="37"/>
      <c r="N716" s="37"/>
      <c r="O716" s="37"/>
      <c r="P716" s="37"/>
      <c r="Q716" s="37"/>
      <c r="R716" s="37"/>
      <c r="S716" s="37"/>
      <c r="T716" s="37"/>
      <c r="U716" s="37"/>
      <c r="V716" s="37"/>
      <c r="W716" s="37"/>
      <c r="X716" s="37"/>
      <c r="Y716" s="37"/>
      <c r="Z716" s="37"/>
      <c r="AA716" s="37"/>
      <c r="AB716" s="37"/>
      <c r="AC716" s="37"/>
      <c r="AD716" s="37"/>
      <c r="AE716" s="37"/>
      <c r="AF716" s="37"/>
      <c r="AG716" s="37"/>
      <c r="AH716" s="37"/>
      <c r="AI716" s="37"/>
      <c r="AJ716" s="37"/>
      <c r="AK716" s="37"/>
      <c r="AL716" s="37"/>
      <c r="AM716" s="37"/>
      <c r="AN716" s="37"/>
      <c r="AO716" s="37"/>
      <c r="AP716" s="37"/>
      <c r="AQ716" s="37"/>
      <c r="AR716" s="37"/>
      <c r="AS716" s="37"/>
      <c r="AT716" s="37"/>
      <c r="AU716" s="37"/>
      <c r="AV716" s="37"/>
      <c r="AW716" s="37"/>
      <c r="AX716" s="37"/>
      <c r="AY716" s="37"/>
      <c r="AZ716" s="37"/>
    </row>
    <row r="717" spans="1:52">
      <c r="A717" s="37"/>
      <c r="B717" s="37"/>
      <c r="C717" s="37"/>
      <c r="D717" s="37"/>
      <c r="E717" s="37"/>
      <c r="F717" s="37"/>
      <c r="G717" s="37"/>
      <c r="H717" s="37"/>
      <c r="I717" s="37"/>
      <c r="J717" s="37"/>
      <c r="K717" s="37"/>
      <c r="L717" s="37"/>
      <c r="M717" s="37"/>
      <c r="N717" s="37"/>
      <c r="O717" s="37"/>
      <c r="P717" s="37"/>
      <c r="Q717" s="37"/>
      <c r="R717" s="37"/>
      <c r="S717" s="37"/>
      <c r="T717" s="37"/>
      <c r="U717" s="37"/>
      <c r="V717" s="37"/>
      <c r="W717" s="37"/>
      <c r="X717" s="37"/>
      <c r="Y717" s="37"/>
      <c r="Z717" s="37"/>
      <c r="AA717" s="37"/>
      <c r="AB717" s="37"/>
      <c r="AC717" s="37"/>
      <c r="AD717" s="37"/>
      <c r="AE717" s="37"/>
      <c r="AF717" s="37"/>
      <c r="AG717" s="37"/>
      <c r="AH717" s="37"/>
      <c r="AI717" s="37"/>
      <c r="AJ717" s="37"/>
      <c r="AK717" s="37"/>
      <c r="AL717" s="37"/>
      <c r="AM717" s="37"/>
      <c r="AN717" s="37"/>
      <c r="AO717" s="37"/>
      <c r="AP717" s="37"/>
      <c r="AQ717" s="37"/>
      <c r="AR717" s="37"/>
      <c r="AS717" s="37"/>
      <c r="AT717" s="37"/>
      <c r="AU717" s="37"/>
      <c r="AV717" s="37"/>
      <c r="AW717" s="37"/>
      <c r="AX717" s="37"/>
      <c r="AY717" s="37"/>
      <c r="AZ717" s="37"/>
    </row>
    <row r="718" spans="1:52">
      <c r="A718" s="37"/>
      <c r="B718" s="37"/>
      <c r="C718" s="37"/>
      <c r="D718" s="37"/>
      <c r="E718" s="37"/>
      <c r="F718" s="37"/>
      <c r="G718" s="37"/>
      <c r="H718" s="37"/>
      <c r="I718" s="37"/>
      <c r="J718" s="37"/>
      <c r="K718" s="37"/>
      <c r="L718" s="37"/>
      <c r="M718" s="37"/>
      <c r="N718" s="37"/>
      <c r="O718" s="37"/>
      <c r="P718" s="37"/>
      <c r="Q718" s="37"/>
      <c r="R718" s="37"/>
      <c r="S718" s="37"/>
      <c r="T718" s="37"/>
      <c r="U718" s="37"/>
      <c r="V718" s="37"/>
      <c r="W718" s="37"/>
      <c r="X718" s="37"/>
      <c r="Y718" s="37"/>
      <c r="Z718" s="37"/>
      <c r="AA718" s="37"/>
      <c r="AB718" s="37"/>
      <c r="AC718" s="37"/>
      <c r="AD718" s="37"/>
      <c r="AE718" s="37"/>
      <c r="AF718" s="37"/>
      <c r="AG718" s="37"/>
      <c r="AH718" s="37"/>
      <c r="AI718" s="37"/>
      <c r="AJ718" s="37"/>
      <c r="AK718" s="37"/>
      <c r="AL718" s="37"/>
      <c r="AM718" s="37"/>
      <c r="AN718" s="37"/>
      <c r="AO718" s="37"/>
      <c r="AP718" s="37"/>
      <c r="AQ718" s="37"/>
      <c r="AR718" s="37"/>
      <c r="AS718" s="37"/>
      <c r="AT718" s="37"/>
      <c r="AU718" s="37"/>
      <c r="AV718" s="37"/>
      <c r="AW718" s="37"/>
      <c r="AX718" s="37"/>
      <c r="AY718" s="37"/>
      <c r="AZ718" s="37"/>
    </row>
    <row r="719" spans="1:52">
      <c r="A719" s="37"/>
      <c r="B719" s="37"/>
      <c r="C719" s="37"/>
      <c r="D719" s="37"/>
      <c r="E719" s="37"/>
      <c r="F719" s="37"/>
      <c r="G719" s="37"/>
      <c r="H719" s="37"/>
      <c r="I719" s="37"/>
      <c r="J719" s="37"/>
      <c r="K719" s="37"/>
      <c r="L719" s="37"/>
      <c r="M719" s="37"/>
      <c r="N719" s="37"/>
      <c r="O719" s="37"/>
      <c r="P719" s="37"/>
      <c r="Q719" s="37"/>
      <c r="R719" s="37"/>
      <c r="S719" s="37"/>
      <c r="T719" s="37"/>
      <c r="U719" s="37"/>
      <c r="V719" s="37"/>
      <c r="W719" s="37"/>
      <c r="X719" s="37"/>
      <c r="Y719" s="37"/>
      <c r="Z719" s="37"/>
      <c r="AA719" s="37"/>
      <c r="AB719" s="37"/>
      <c r="AC719" s="37"/>
      <c r="AD719" s="37"/>
      <c r="AE719" s="37"/>
      <c r="AF719" s="37"/>
      <c r="AG719" s="37"/>
      <c r="AH719" s="37"/>
      <c r="AI719" s="37"/>
      <c r="AJ719" s="37"/>
      <c r="AK719" s="37"/>
      <c r="AL719" s="37"/>
      <c r="AM719" s="37"/>
      <c r="AN719" s="37"/>
      <c r="AO719" s="37"/>
      <c r="AP719" s="37"/>
      <c r="AQ719" s="37"/>
      <c r="AR719" s="37"/>
      <c r="AS719" s="37"/>
      <c r="AT719" s="37"/>
      <c r="AU719" s="37"/>
      <c r="AV719" s="37"/>
      <c r="AW719" s="37"/>
      <c r="AX719" s="37"/>
      <c r="AY719" s="37"/>
      <c r="AZ719" s="37"/>
    </row>
    <row r="720" spans="1:52">
      <c r="A720" s="37"/>
      <c r="B720" s="37"/>
      <c r="C720" s="37"/>
      <c r="D720" s="37"/>
      <c r="E720" s="37"/>
      <c r="F720" s="37"/>
      <c r="G720" s="37"/>
      <c r="H720" s="37"/>
      <c r="I720" s="37"/>
      <c r="J720" s="37"/>
      <c r="K720" s="37"/>
      <c r="L720" s="37"/>
      <c r="M720" s="37"/>
      <c r="N720" s="37"/>
      <c r="O720" s="37"/>
      <c r="P720" s="37"/>
      <c r="Q720" s="37"/>
      <c r="R720" s="37"/>
      <c r="S720" s="37"/>
      <c r="T720" s="37"/>
      <c r="U720" s="37"/>
      <c r="V720" s="37"/>
      <c r="W720" s="37"/>
      <c r="X720" s="37"/>
      <c r="Y720" s="37"/>
      <c r="Z720" s="37"/>
      <c r="AA720" s="37"/>
      <c r="AB720" s="37"/>
      <c r="AC720" s="37"/>
      <c r="AD720" s="37"/>
      <c r="AE720" s="37"/>
      <c r="AF720" s="37"/>
      <c r="AG720" s="37"/>
      <c r="AH720" s="37"/>
      <c r="AI720" s="37"/>
      <c r="AJ720" s="37"/>
      <c r="AK720" s="37"/>
      <c r="AL720" s="37"/>
      <c r="AM720" s="37"/>
      <c r="AN720" s="37"/>
      <c r="AO720" s="37"/>
      <c r="AP720" s="37"/>
      <c r="AQ720" s="37"/>
      <c r="AR720" s="37"/>
      <c r="AS720" s="37"/>
      <c r="AT720" s="37"/>
      <c r="AU720" s="37"/>
      <c r="AV720" s="37"/>
      <c r="AW720" s="37"/>
      <c r="AX720" s="37"/>
      <c r="AY720" s="37"/>
      <c r="AZ720" s="37"/>
    </row>
    <row r="721" spans="1:52">
      <c r="A721" s="37"/>
      <c r="B721" s="37"/>
      <c r="C721" s="37"/>
      <c r="D721" s="37"/>
      <c r="E721" s="37"/>
      <c r="F721" s="37"/>
      <c r="G721" s="37"/>
      <c r="H721" s="37"/>
      <c r="I721" s="37"/>
      <c r="J721" s="37"/>
      <c r="K721" s="37"/>
      <c r="L721" s="37"/>
      <c r="M721" s="37"/>
      <c r="N721" s="37"/>
      <c r="O721" s="37"/>
      <c r="P721" s="37"/>
      <c r="Q721" s="37"/>
      <c r="R721" s="37"/>
      <c r="S721" s="37"/>
      <c r="T721" s="37"/>
      <c r="U721" s="37"/>
      <c r="V721" s="37"/>
      <c r="W721" s="37"/>
      <c r="X721" s="37"/>
      <c r="Y721" s="37"/>
      <c r="Z721" s="37"/>
      <c r="AA721" s="37"/>
      <c r="AB721" s="37"/>
      <c r="AC721" s="37"/>
      <c r="AD721" s="37"/>
      <c r="AE721" s="37"/>
      <c r="AF721" s="37"/>
      <c r="AG721" s="37"/>
      <c r="AH721" s="37"/>
      <c r="AI721" s="37"/>
      <c r="AJ721" s="37"/>
      <c r="AK721" s="37"/>
      <c r="AL721" s="37"/>
      <c r="AM721" s="37"/>
      <c r="AN721" s="37"/>
      <c r="AO721" s="37"/>
      <c r="AP721" s="37"/>
      <c r="AQ721" s="37"/>
      <c r="AR721" s="37"/>
      <c r="AS721" s="37"/>
      <c r="AT721" s="37"/>
      <c r="AU721" s="37"/>
      <c r="AV721" s="37"/>
      <c r="AW721" s="37"/>
      <c r="AX721" s="37"/>
      <c r="AY721" s="37"/>
      <c r="AZ721" s="37"/>
    </row>
    <row r="722" spans="1:52">
      <c r="A722" s="37"/>
      <c r="B722" s="37"/>
      <c r="C722" s="37"/>
      <c r="D722" s="37"/>
      <c r="E722" s="37"/>
      <c r="F722" s="37"/>
      <c r="G722" s="37"/>
      <c r="H722" s="37"/>
      <c r="I722" s="37"/>
      <c r="J722" s="37"/>
      <c r="K722" s="37"/>
      <c r="L722" s="37"/>
      <c r="M722" s="37"/>
      <c r="N722" s="37"/>
      <c r="O722" s="37"/>
      <c r="P722" s="37"/>
      <c r="Q722" s="37"/>
      <c r="R722" s="37"/>
      <c r="S722" s="37"/>
      <c r="T722" s="37"/>
      <c r="U722" s="37"/>
      <c r="V722" s="37"/>
      <c r="W722" s="37"/>
      <c r="X722" s="37"/>
      <c r="Y722" s="37"/>
      <c r="Z722" s="37"/>
      <c r="AA722" s="37"/>
      <c r="AB722" s="37"/>
      <c r="AC722" s="37"/>
      <c r="AD722" s="37"/>
      <c r="AE722" s="37"/>
      <c r="AF722" s="37"/>
      <c r="AG722" s="37"/>
      <c r="AH722" s="37"/>
      <c r="AI722" s="37"/>
      <c r="AJ722" s="37"/>
      <c r="AK722" s="37"/>
      <c r="AL722" s="37"/>
      <c r="AM722" s="37"/>
      <c r="AN722" s="37"/>
      <c r="AO722" s="37"/>
      <c r="AP722" s="37"/>
      <c r="AQ722" s="37"/>
      <c r="AR722" s="37"/>
      <c r="AS722" s="37"/>
      <c r="AT722" s="37"/>
      <c r="AU722" s="37"/>
      <c r="AV722" s="37"/>
      <c r="AW722" s="37"/>
      <c r="AX722" s="37"/>
      <c r="AY722" s="37"/>
      <c r="AZ722" s="37"/>
    </row>
    <row r="723" spans="1:52">
      <c r="A723" s="37"/>
      <c r="B723" s="37"/>
      <c r="C723" s="37"/>
      <c r="D723" s="37"/>
      <c r="E723" s="37"/>
      <c r="F723" s="37"/>
      <c r="G723" s="37"/>
      <c r="H723" s="37"/>
      <c r="I723" s="37"/>
      <c r="J723" s="37"/>
      <c r="K723" s="37"/>
      <c r="L723" s="37"/>
      <c r="M723" s="37"/>
      <c r="N723" s="37"/>
      <c r="O723" s="37"/>
      <c r="P723" s="37"/>
      <c r="Q723" s="37"/>
      <c r="R723" s="37"/>
      <c r="S723" s="37"/>
      <c r="T723" s="37"/>
      <c r="U723" s="37"/>
      <c r="V723" s="37"/>
      <c r="W723" s="37"/>
      <c r="X723" s="37"/>
      <c r="Y723" s="37"/>
      <c r="Z723" s="37"/>
      <c r="AA723" s="37"/>
      <c r="AB723" s="37"/>
      <c r="AC723" s="37"/>
      <c r="AD723" s="37"/>
      <c r="AE723" s="37"/>
      <c r="AF723" s="37"/>
      <c r="AG723" s="37"/>
      <c r="AH723" s="37"/>
      <c r="AI723" s="37"/>
      <c r="AJ723" s="37"/>
      <c r="AK723" s="37"/>
      <c r="AL723" s="37"/>
      <c r="AM723" s="37"/>
      <c r="AN723" s="37"/>
      <c r="AO723" s="37"/>
      <c r="AP723" s="37"/>
      <c r="AQ723" s="37"/>
      <c r="AR723" s="37"/>
      <c r="AS723" s="37"/>
      <c r="AT723" s="37"/>
      <c r="AU723" s="37"/>
      <c r="AV723" s="37"/>
      <c r="AW723" s="37"/>
      <c r="AX723" s="37"/>
      <c r="AY723" s="37"/>
      <c r="AZ723" s="37"/>
    </row>
    <row r="724" spans="1:52">
      <c r="A724" s="37"/>
      <c r="B724" s="37"/>
      <c r="C724" s="37"/>
      <c r="D724" s="37"/>
      <c r="E724" s="37"/>
      <c r="F724" s="37"/>
      <c r="G724" s="37"/>
      <c r="H724" s="37"/>
      <c r="I724" s="37"/>
      <c r="J724" s="37"/>
      <c r="K724" s="37"/>
      <c r="L724" s="37"/>
      <c r="M724" s="37"/>
      <c r="N724" s="37"/>
      <c r="O724" s="37"/>
      <c r="P724" s="37"/>
      <c r="Q724" s="37"/>
      <c r="R724" s="37"/>
      <c r="S724" s="37"/>
      <c r="T724" s="37"/>
      <c r="U724" s="37"/>
      <c r="V724" s="37"/>
      <c r="W724" s="37"/>
      <c r="X724" s="37"/>
      <c r="Y724" s="37"/>
      <c r="Z724" s="37"/>
      <c r="AA724" s="37"/>
      <c r="AB724" s="37"/>
      <c r="AC724" s="37"/>
      <c r="AD724" s="37"/>
      <c r="AE724" s="37"/>
      <c r="AF724" s="37"/>
      <c r="AG724" s="37"/>
      <c r="AH724" s="37"/>
      <c r="AI724" s="37"/>
      <c r="AJ724" s="37"/>
      <c r="AK724" s="37"/>
      <c r="AL724" s="37"/>
      <c r="AM724" s="37"/>
      <c r="AN724" s="37"/>
      <c r="AO724" s="37"/>
      <c r="AP724" s="37"/>
      <c r="AQ724" s="37"/>
      <c r="AR724" s="37"/>
      <c r="AS724" s="37"/>
      <c r="AT724" s="37"/>
      <c r="AU724" s="37"/>
      <c r="AV724" s="37"/>
      <c r="AW724" s="37"/>
      <c r="AX724" s="37"/>
      <c r="AY724" s="37"/>
      <c r="AZ724" s="37"/>
    </row>
    <row r="725" spans="1:52">
      <c r="A725" s="37"/>
      <c r="B725" s="37"/>
      <c r="C725" s="37"/>
      <c r="D725" s="37"/>
      <c r="E725" s="37"/>
      <c r="F725" s="37"/>
      <c r="G725" s="37"/>
      <c r="H725" s="37"/>
      <c r="I725" s="37"/>
      <c r="J725" s="37"/>
      <c r="K725" s="37"/>
      <c r="L725" s="37"/>
      <c r="M725" s="37"/>
      <c r="N725" s="37"/>
      <c r="O725" s="37"/>
      <c r="P725" s="37"/>
      <c r="Q725" s="37"/>
      <c r="R725" s="37"/>
      <c r="S725" s="37"/>
      <c r="T725" s="37"/>
      <c r="U725" s="37"/>
      <c r="V725" s="37"/>
      <c r="W725" s="37"/>
      <c r="X725" s="37"/>
      <c r="Y725" s="37"/>
      <c r="Z725" s="37"/>
      <c r="AA725" s="37"/>
      <c r="AB725" s="37"/>
      <c r="AC725" s="37"/>
      <c r="AD725" s="37"/>
      <c r="AE725" s="37"/>
      <c r="AF725" s="37"/>
      <c r="AG725" s="37"/>
      <c r="AH725" s="37"/>
      <c r="AI725" s="37"/>
      <c r="AJ725" s="37"/>
      <c r="AK725" s="37"/>
      <c r="AL725" s="37"/>
      <c r="AM725" s="37"/>
      <c r="AN725" s="37"/>
      <c r="AO725" s="37"/>
      <c r="AP725" s="37"/>
      <c r="AQ725" s="37"/>
      <c r="AR725" s="37"/>
      <c r="AS725" s="37"/>
      <c r="AT725" s="37"/>
      <c r="AU725" s="37"/>
      <c r="AV725" s="37"/>
      <c r="AW725" s="37"/>
      <c r="AX725" s="37"/>
      <c r="AY725" s="37"/>
      <c r="AZ725" s="37"/>
    </row>
    <row r="726" spans="1:52">
      <c r="A726" s="37"/>
      <c r="B726" s="37"/>
      <c r="C726" s="37"/>
      <c r="D726" s="37"/>
      <c r="E726" s="37"/>
      <c r="F726" s="37"/>
      <c r="G726" s="37"/>
      <c r="H726" s="37"/>
      <c r="I726" s="37"/>
      <c r="J726" s="37"/>
      <c r="K726" s="37"/>
      <c r="L726" s="37"/>
      <c r="M726" s="37"/>
      <c r="N726" s="37"/>
      <c r="O726" s="37"/>
      <c r="P726" s="37"/>
      <c r="Q726" s="37"/>
      <c r="R726" s="37"/>
      <c r="S726" s="37"/>
      <c r="T726" s="37"/>
      <c r="U726" s="37"/>
      <c r="V726" s="37"/>
      <c r="W726" s="37"/>
      <c r="X726" s="37"/>
      <c r="Y726" s="37"/>
      <c r="Z726" s="37"/>
      <c r="AA726" s="37"/>
      <c r="AB726" s="37"/>
      <c r="AC726" s="37"/>
      <c r="AD726" s="37"/>
      <c r="AE726" s="37"/>
      <c r="AF726" s="37"/>
      <c r="AG726" s="37"/>
      <c r="AH726" s="37"/>
      <c r="AI726" s="37"/>
      <c r="AJ726" s="37"/>
      <c r="AK726" s="37"/>
      <c r="AL726" s="37"/>
      <c r="AM726" s="37"/>
      <c r="AN726" s="37"/>
      <c r="AO726" s="37"/>
      <c r="AP726" s="37"/>
      <c r="AQ726" s="37"/>
      <c r="AR726" s="37"/>
      <c r="AS726" s="37"/>
      <c r="AT726" s="37"/>
      <c r="AU726" s="37"/>
      <c r="AV726" s="37"/>
      <c r="AW726" s="37"/>
      <c r="AX726" s="37"/>
      <c r="AY726" s="37"/>
      <c r="AZ726" s="37"/>
    </row>
    <row r="727" spans="1:52">
      <c r="A727" s="37"/>
      <c r="B727" s="37"/>
      <c r="C727" s="37"/>
      <c r="D727" s="37"/>
      <c r="E727" s="37"/>
      <c r="F727" s="37"/>
      <c r="G727" s="37"/>
      <c r="H727" s="37"/>
      <c r="I727" s="37"/>
      <c r="J727" s="37"/>
      <c r="K727" s="37"/>
      <c r="L727" s="37"/>
      <c r="M727" s="37"/>
      <c r="N727" s="37"/>
      <c r="O727" s="37"/>
      <c r="P727" s="37"/>
      <c r="Q727" s="37"/>
      <c r="R727" s="37"/>
      <c r="S727" s="37"/>
      <c r="T727" s="37"/>
      <c r="U727" s="37"/>
      <c r="V727" s="37"/>
      <c r="W727" s="37"/>
      <c r="X727" s="37"/>
      <c r="Y727" s="37"/>
      <c r="Z727" s="37"/>
      <c r="AA727" s="37"/>
      <c r="AB727" s="37"/>
      <c r="AC727" s="37"/>
      <c r="AD727" s="37"/>
      <c r="AE727" s="37"/>
      <c r="AF727" s="37"/>
      <c r="AG727" s="37"/>
      <c r="AH727" s="37"/>
      <c r="AI727" s="37"/>
      <c r="AJ727" s="37"/>
      <c r="AK727" s="37"/>
      <c r="AL727" s="37"/>
      <c r="AM727" s="37"/>
      <c r="AN727" s="37"/>
      <c r="AO727" s="37"/>
      <c r="AP727" s="37"/>
      <c r="AQ727" s="37"/>
      <c r="AR727" s="37"/>
      <c r="AS727" s="37"/>
      <c r="AT727" s="37"/>
      <c r="AU727" s="37"/>
      <c r="AV727" s="37"/>
      <c r="AW727" s="37"/>
      <c r="AX727" s="37"/>
      <c r="AY727" s="37"/>
      <c r="AZ727" s="37"/>
    </row>
    <row r="728" spans="1:52">
      <c r="A728" s="37"/>
      <c r="B728" s="37"/>
      <c r="C728" s="37"/>
      <c r="D728" s="37"/>
      <c r="E728" s="37"/>
      <c r="F728" s="37"/>
      <c r="G728" s="37"/>
      <c r="H728" s="37"/>
      <c r="I728" s="37"/>
      <c r="J728" s="37"/>
      <c r="K728" s="37"/>
      <c r="L728" s="37"/>
      <c r="M728" s="37"/>
      <c r="N728" s="37"/>
      <c r="O728" s="37"/>
      <c r="P728" s="37"/>
      <c r="Q728" s="37"/>
      <c r="R728" s="37"/>
      <c r="S728" s="37"/>
      <c r="T728" s="37"/>
      <c r="U728" s="37"/>
      <c r="V728" s="37"/>
      <c r="W728" s="37"/>
      <c r="X728" s="37"/>
      <c r="Y728" s="37"/>
      <c r="Z728" s="37"/>
      <c r="AA728" s="37"/>
      <c r="AB728" s="37"/>
      <c r="AC728" s="37"/>
      <c r="AD728" s="37"/>
      <c r="AE728" s="37"/>
      <c r="AF728" s="37"/>
      <c r="AG728" s="37"/>
      <c r="AH728" s="37"/>
      <c r="AI728" s="37"/>
      <c r="AJ728" s="37"/>
      <c r="AK728" s="37"/>
      <c r="AL728" s="37"/>
      <c r="AM728" s="37"/>
      <c r="AN728" s="37"/>
      <c r="AO728" s="37"/>
      <c r="AP728" s="37"/>
      <c r="AQ728" s="37"/>
      <c r="AR728" s="37"/>
      <c r="AS728" s="37"/>
      <c r="AT728" s="37"/>
      <c r="AU728" s="37"/>
      <c r="AV728" s="37"/>
      <c r="AW728" s="37"/>
      <c r="AX728" s="37"/>
      <c r="AY728" s="37"/>
      <c r="AZ728" s="37"/>
    </row>
    <row r="729" spans="1:52">
      <c r="A729" s="37"/>
      <c r="B729" s="37"/>
      <c r="C729" s="37"/>
      <c r="D729" s="37"/>
      <c r="E729" s="37"/>
      <c r="F729" s="37"/>
      <c r="G729" s="37"/>
      <c r="H729" s="37"/>
      <c r="I729" s="37"/>
      <c r="J729" s="37"/>
      <c r="K729" s="37"/>
      <c r="L729" s="37"/>
      <c r="M729" s="37"/>
      <c r="N729" s="37"/>
      <c r="O729" s="37"/>
      <c r="P729" s="37"/>
      <c r="Q729" s="37"/>
      <c r="R729" s="37"/>
      <c r="S729" s="37"/>
      <c r="T729" s="37"/>
      <c r="U729" s="37"/>
      <c r="V729" s="37"/>
      <c r="W729" s="37"/>
      <c r="X729" s="37"/>
      <c r="Y729" s="37"/>
      <c r="Z729" s="37"/>
      <c r="AA729" s="37"/>
      <c r="AB729" s="37"/>
      <c r="AC729" s="37"/>
      <c r="AD729" s="37"/>
      <c r="AE729" s="37"/>
      <c r="AF729" s="37"/>
      <c r="AG729" s="37"/>
      <c r="AH729" s="37"/>
      <c r="AI729" s="37"/>
      <c r="AJ729" s="37"/>
      <c r="AK729" s="37"/>
      <c r="AL729" s="37"/>
      <c r="AM729" s="37"/>
      <c r="AN729" s="37"/>
      <c r="AO729" s="37"/>
      <c r="AP729" s="37"/>
      <c r="AQ729" s="37"/>
      <c r="AR729" s="37"/>
      <c r="AS729" s="37"/>
      <c r="AT729" s="37"/>
      <c r="AU729" s="37"/>
      <c r="AV729" s="37"/>
      <c r="AW729" s="37"/>
      <c r="AX729" s="37"/>
      <c r="AY729" s="37"/>
      <c r="AZ729" s="37"/>
    </row>
    <row r="730" spans="1:52">
      <c r="A730" s="37"/>
      <c r="B730" s="37"/>
      <c r="C730" s="37"/>
      <c r="D730" s="37"/>
      <c r="E730" s="37"/>
      <c r="F730" s="37"/>
      <c r="G730" s="37"/>
      <c r="H730" s="37"/>
      <c r="I730" s="37"/>
      <c r="J730" s="37"/>
      <c r="K730" s="37"/>
      <c r="L730" s="37"/>
      <c r="M730" s="37"/>
      <c r="N730" s="37"/>
      <c r="O730" s="37"/>
      <c r="P730" s="37"/>
      <c r="Q730" s="37"/>
      <c r="R730" s="37"/>
      <c r="S730" s="37"/>
      <c r="T730" s="37"/>
      <c r="U730" s="37"/>
      <c r="V730" s="37"/>
      <c r="W730" s="37"/>
      <c r="X730" s="37"/>
      <c r="Y730" s="37"/>
      <c r="Z730" s="37"/>
      <c r="AA730" s="37"/>
      <c r="AB730" s="37"/>
      <c r="AC730" s="37"/>
      <c r="AD730" s="37"/>
      <c r="AE730" s="37"/>
      <c r="AF730" s="37"/>
      <c r="AG730" s="37"/>
      <c r="AH730" s="37"/>
      <c r="AI730" s="37"/>
      <c r="AJ730" s="37"/>
      <c r="AK730" s="37"/>
      <c r="AL730" s="37"/>
      <c r="AM730" s="37"/>
      <c r="AN730" s="37"/>
      <c r="AO730" s="37"/>
      <c r="AP730" s="37"/>
      <c r="AQ730" s="37"/>
      <c r="AR730" s="37"/>
      <c r="AS730" s="37"/>
      <c r="AT730" s="37"/>
      <c r="AU730" s="37"/>
      <c r="AV730" s="37"/>
      <c r="AW730" s="37"/>
      <c r="AX730" s="37"/>
      <c r="AY730" s="37"/>
      <c r="AZ730" s="37"/>
    </row>
    <row r="731" spans="1:52">
      <c r="A731" s="37"/>
      <c r="B731" s="37"/>
      <c r="C731" s="37"/>
      <c r="D731" s="37"/>
      <c r="E731" s="37"/>
      <c r="F731" s="37"/>
      <c r="G731" s="37"/>
      <c r="H731" s="37"/>
      <c r="I731" s="37"/>
      <c r="J731" s="37"/>
      <c r="K731" s="37"/>
      <c r="L731" s="37"/>
      <c r="M731" s="37"/>
      <c r="N731" s="37"/>
      <c r="O731" s="37"/>
      <c r="P731" s="37"/>
      <c r="Q731" s="37"/>
      <c r="R731" s="37"/>
      <c r="S731" s="37"/>
      <c r="T731" s="37"/>
      <c r="U731" s="37"/>
      <c r="V731" s="37"/>
      <c r="W731" s="37"/>
      <c r="X731" s="37"/>
      <c r="Y731" s="37"/>
      <c r="Z731" s="37"/>
      <c r="AA731" s="37"/>
      <c r="AB731" s="37"/>
      <c r="AC731" s="37"/>
      <c r="AD731" s="37"/>
      <c r="AE731" s="37"/>
      <c r="AF731" s="37"/>
      <c r="AG731" s="37"/>
      <c r="AH731" s="37"/>
      <c r="AI731" s="37"/>
      <c r="AJ731" s="37"/>
      <c r="AK731" s="37"/>
      <c r="AL731" s="37"/>
      <c r="AM731" s="37"/>
      <c r="AN731" s="37"/>
      <c r="AO731" s="37"/>
      <c r="AP731" s="37"/>
      <c r="AQ731" s="37"/>
      <c r="AR731" s="37"/>
      <c r="AS731" s="37"/>
      <c r="AT731" s="37"/>
      <c r="AU731" s="37"/>
      <c r="AV731" s="37"/>
      <c r="AW731" s="37"/>
      <c r="AX731" s="37"/>
      <c r="AY731" s="37"/>
      <c r="AZ731" s="37"/>
    </row>
    <row r="732" spans="1:52">
      <c r="A732" s="37"/>
      <c r="B732" s="37"/>
      <c r="C732" s="37"/>
      <c r="D732" s="37"/>
      <c r="E732" s="37"/>
      <c r="F732" s="37"/>
      <c r="G732" s="37"/>
      <c r="H732" s="37"/>
      <c r="I732" s="37"/>
      <c r="J732" s="37"/>
      <c r="K732" s="37"/>
      <c r="L732" s="37"/>
      <c r="M732" s="37"/>
      <c r="N732" s="37"/>
      <c r="O732" s="37"/>
      <c r="P732" s="37"/>
      <c r="Q732" s="37"/>
      <c r="R732" s="37"/>
      <c r="S732" s="37"/>
      <c r="T732" s="37"/>
      <c r="U732" s="37"/>
      <c r="V732" s="37"/>
      <c r="W732" s="37"/>
      <c r="X732" s="37"/>
      <c r="Y732" s="37"/>
      <c r="Z732" s="37"/>
      <c r="AA732" s="37"/>
      <c r="AB732" s="37"/>
      <c r="AC732" s="37"/>
      <c r="AD732" s="37"/>
      <c r="AE732" s="37"/>
      <c r="AF732" s="37"/>
      <c r="AG732" s="37"/>
      <c r="AH732" s="37"/>
      <c r="AI732" s="37"/>
      <c r="AJ732" s="37"/>
      <c r="AK732" s="37"/>
      <c r="AL732" s="37"/>
      <c r="AM732" s="37"/>
      <c r="AN732" s="37"/>
      <c r="AO732" s="37"/>
      <c r="AP732" s="37"/>
      <c r="AQ732" s="37"/>
      <c r="AR732" s="37"/>
      <c r="AS732" s="37"/>
      <c r="AT732" s="37"/>
      <c r="AU732" s="37"/>
      <c r="AV732" s="37"/>
      <c r="AW732" s="37"/>
      <c r="AX732" s="37"/>
      <c r="AY732" s="37"/>
      <c r="AZ732" s="37"/>
    </row>
    <row r="733" spans="1:52">
      <c r="A733" s="37"/>
      <c r="B733" s="37"/>
      <c r="C733" s="37"/>
      <c r="D733" s="37"/>
      <c r="E733" s="37"/>
      <c r="F733" s="37"/>
      <c r="G733" s="37"/>
      <c r="H733" s="37"/>
      <c r="I733" s="37"/>
      <c r="J733" s="37"/>
      <c r="K733" s="37"/>
      <c r="L733" s="37"/>
      <c r="M733" s="37"/>
      <c r="N733" s="37"/>
      <c r="O733" s="37"/>
      <c r="P733" s="37"/>
      <c r="Q733" s="37"/>
      <c r="R733" s="37"/>
      <c r="S733" s="37"/>
      <c r="T733" s="37"/>
      <c r="U733" s="37"/>
      <c r="V733" s="37"/>
      <c r="W733" s="37"/>
      <c r="X733" s="37"/>
      <c r="Y733" s="37"/>
      <c r="Z733" s="37"/>
      <c r="AA733" s="37"/>
      <c r="AB733" s="37"/>
      <c r="AC733" s="37"/>
      <c r="AD733" s="37"/>
      <c r="AE733" s="37"/>
      <c r="AF733" s="37"/>
      <c r="AG733" s="37"/>
      <c r="AH733" s="37"/>
      <c r="AI733" s="37"/>
      <c r="AJ733" s="37"/>
      <c r="AK733" s="37"/>
      <c r="AL733" s="37"/>
      <c r="AM733" s="37"/>
      <c r="AN733" s="37"/>
      <c r="AO733" s="37"/>
      <c r="AP733" s="37"/>
      <c r="AQ733" s="37"/>
      <c r="AR733" s="37"/>
      <c r="AS733" s="37"/>
      <c r="AT733" s="37"/>
      <c r="AU733" s="37"/>
      <c r="AV733" s="37"/>
      <c r="AW733" s="37"/>
      <c r="AX733" s="37"/>
      <c r="AY733" s="37"/>
      <c r="AZ733" s="37"/>
    </row>
    <row r="734" spans="1:52">
      <c r="A734" s="37"/>
      <c r="B734" s="37"/>
      <c r="C734" s="37"/>
      <c r="D734" s="37"/>
      <c r="E734" s="37"/>
      <c r="F734" s="37"/>
      <c r="G734" s="37"/>
      <c r="H734" s="37"/>
      <c r="I734" s="37"/>
      <c r="J734" s="37"/>
      <c r="K734" s="37"/>
      <c r="L734" s="37"/>
      <c r="M734" s="37"/>
      <c r="N734" s="37"/>
      <c r="O734" s="37"/>
      <c r="P734" s="37"/>
      <c r="Q734" s="37"/>
      <c r="R734" s="37"/>
      <c r="S734" s="37"/>
      <c r="T734" s="37"/>
      <c r="U734" s="37"/>
      <c r="V734" s="37"/>
      <c r="W734" s="37"/>
      <c r="X734" s="37"/>
      <c r="Y734" s="37"/>
      <c r="Z734" s="37"/>
      <c r="AA734" s="37"/>
      <c r="AB734" s="37"/>
      <c r="AC734" s="37"/>
      <c r="AD734" s="37"/>
      <c r="AE734" s="37"/>
      <c r="AF734" s="37"/>
      <c r="AG734" s="37"/>
      <c r="AH734" s="37"/>
      <c r="AI734" s="37"/>
      <c r="AJ734" s="37"/>
      <c r="AK734" s="37"/>
      <c r="AL734" s="37"/>
      <c r="AM734" s="37"/>
      <c r="AN734" s="37"/>
      <c r="AO734" s="37"/>
      <c r="AP734" s="37"/>
      <c r="AQ734" s="37"/>
      <c r="AR734" s="37"/>
      <c r="AS734" s="37"/>
      <c r="AT734" s="37"/>
      <c r="AU734" s="37"/>
      <c r="AV734" s="37"/>
      <c r="AW734" s="37"/>
      <c r="AX734" s="37"/>
      <c r="AY734" s="37"/>
      <c r="AZ734" s="37"/>
    </row>
    <row r="735" spans="1:52">
      <c r="A735" s="37"/>
      <c r="B735" s="37"/>
      <c r="C735" s="37"/>
      <c r="D735" s="37"/>
      <c r="E735" s="37"/>
      <c r="F735" s="37"/>
      <c r="G735" s="37"/>
      <c r="H735" s="37"/>
      <c r="I735" s="37"/>
      <c r="J735" s="37"/>
      <c r="K735" s="37"/>
      <c r="L735" s="37"/>
      <c r="M735" s="37"/>
      <c r="N735" s="37"/>
      <c r="O735" s="37"/>
      <c r="P735" s="37"/>
      <c r="Q735" s="37"/>
      <c r="R735" s="37"/>
      <c r="S735" s="37"/>
      <c r="T735" s="37"/>
      <c r="U735" s="37"/>
      <c r="V735" s="37"/>
      <c r="W735" s="37"/>
      <c r="X735" s="37"/>
      <c r="Y735" s="37"/>
      <c r="Z735" s="37"/>
      <c r="AA735" s="37"/>
      <c r="AB735" s="37"/>
      <c r="AC735" s="37"/>
      <c r="AD735" s="37"/>
      <c r="AE735" s="37"/>
      <c r="AF735" s="37"/>
      <c r="AG735" s="37"/>
      <c r="AH735" s="37"/>
      <c r="AI735" s="37"/>
      <c r="AJ735" s="37"/>
      <c r="AK735" s="37"/>
      <c r="AL735" s="37"/>
      <c r="AM735" s="37"/>
      <c r="AN735" s="37"/>
      <c r="AO735" s="37"/>
      <c r="AP735" s="37"/>
      <c r="AQ735" s="37"/>
      <c r="AR735" s="37"/>
      <c r="AS735" s="37"/>
      <c r="AT735" s="37"/>
      <c r="AU735" s="37"/>
      <c r="AV735" s="37"/>
      <c r="AW735" s="37"/>
      <c r="AX735" s="37"/>
      <c r="AY735" s="37"/>
      <c r="AZ735" s="37"/>
    </row>
    <row r="736" spans="1:52">
      <c r="A736" s="37"/>
      <c r="B736" s="37"/>
      <c r="C736" s="37"/>
      <c r="D736" s="37"/>
      <c r="E736" s="37"/>
      <c r="F736" s="37"/>
      <c r="G736" s="37"/>
      <c r="H736" s="37"/>
      <c r="I736" s="37"/>
      <c r="J736" s="37"/>
      <c r="K736" s="37"/>
      <c r="L736" s="37"/>
      <c r="M736" s="37"/>
      <c r="N736" s="37"/>
      <c r="O736" s="37"/>
      <c r="P736" s="37"/>
      <c r="Q736" s="37"/>
      <c r="R736" s="37"/>
      <c r="S736" s="37"/>
      <c r="T736" s="37"/>
      <c r="U736" s="37"/>
      <c r="V736" s="37"/>
      <c r="W736" s="37"/>
      <c r="X736" s="37"/>
      <c r="Y736" s="37"/>
      <c r="Z736" s="37"/>
      <c r="AA736" s="37"/>
      <c r="AB736" s="37"/>
      <c r="AC736" s="37"/>
      <c r="AD736" s="37"/>
      <c r="AE736" s="37"/>
      <c r="AF736" s="37"/>
      <c r="AG736" s="37"/>
      <c r="AH736" s="37"/>
      <c r="AI736" s="37"/>
      <c r="AJ736" s="37"/>
      <c r="AK736" s="37"/>
      <c r="AL736" s="37"/>
      <c r="AM736" s="37"/>
      <c r="AN736" s="37"/>
      <c r="AO736" s="37"/>
      <c r="AP736" s="37"/>
      <c r="AQ736" s="37"/>
      <c r="AR736" s="37"/>
      <c r="AS736" s="37"/>
      <c r="AT736" s="37"/>
      <c r="AU736" s="37"/>
      <c r="AV736" s="37"/>
      <c r="AW736" s="37"/>
      <c r="AX736" s="37"/>
      <c r="AY736" s="37"/>
      <c r="AZ736" s="37"/>
    </row>
    <row r="737" spans="1:52">
      <c r="A737" s="37"/>
      <c r="B737" s="37"/>
      <c r="C737" s="37"/>
      <c r="D737" s="37"/>
      <c r="E737" s="37"/>
      <c r="F737" s="37"/>
      <c r="G737" s="37"/>
      <c r="H737" s="37"/>
      <c r="I737" s="37"/>
      <c r="J737" s="37"/>
      <c r="K737" s="37"/>
      <c r="L737" s="37"/>
      <c r="M737" s="37"/>
      <c r="N737" s="37"/>
      <c r="O737" s="37"/>
      <c r="P737" s="37"/>
      <c r="Q737" s="37"/>
      <c r="R737" s="37"/>
      <c r="S737" s="37"/>
      <c r="T737" s="37"/>
      <c r="U737" s="37"/>
      <c r="V737" s="37"/>
      <c r="W737" s="37"/>
      <c r="X737" s="37"/>
      <c r="Y737" s="37"/>
      <c r="Z737" s="37"/>
      <c r="AA737" s="37"/>
      <c r="AB737" s="37"/>
      <c r="AC737" s="37"/>
      <c r="AD737" s="37"/>
      <c r="AE737" s="37"/>
      <c r="AF737" s="37"/>
      <c r="AG737" s="37"/>
      <c r="AH737" s="37"/>
      <c r="AI737" s="37"/>
      <c r="AJ737" s="37"/>
      <c r="AK737" s="37"/>
      <c r="AL737" s="37"/>
      <c r="AM737" s="37"/>
      <c r="AN737" s="37"/>
      <c r="AO737" s="37"/>
      <c r="AP737" s="37"/>
      <c r="AQ737" s="37"/>
      <c r="AR737" s="37"/>
      <c r="AS737" s="37"/>
      <c r="AT737" s="37"/>
      <c r="AU737" s="37"/>
      <c r="AV737" s="37"/>
      <c r="AW737" s="37"/>
      <c r="AX737" s="37"/>
      <c r="AY737" s="37"/>
      <c r="AZ737" s="37"/>
    </row>
    <row r="738" spans="1:52">
      <c r="A738" s="37"/>
      <c r="B738" s="37"/>
      <c r="C738" s="37"/>
      <c r="D738" s="37"/>
      <c r="E738" s="37"/>
      <c r="F738" s="37"/>
      <c r="G738" s="37"/>
      <c r="H738" s="37"/>
      <c r="I738" s="37"/>
      <c r="J738" s="37"/>
      <c r="K738" s="37"/>
      <c r="L738" s="37"/>
      <c r="M738" s="37"/>
      <c r="N738" s="37"/>
      <c r="O738" s="37"/>
      <c r="P738" s="37"/>
      <c r="Q738" s="37"/>
      <c r="R738" s="37"/>
      <c r="S738" s="37"/>
      <c r="T738" s="37"/>
      <c r="U738" s="37"/>
      <c r="V738" s="37"/>
      <c r="W738" s="37"/>
      <c r="X738" s="37"/>
      <c r="Y738" s="37"/>
      <c r="Z738" s="37"/>
      <c r="AA738" s="37"/>
      <c r="AB738" s="37"/>
      <c r="AC738" s="37"/>
      <c r="AD738" s="37"/>
      <c r="AE738" s="37"/>
      <c r="AF738" s="37"/>
      <c r="AG738" s="37"/>
      <c r="AH738" s="37"/>
      <c r="AI738" s="37"/>
      <c r="AJ738" s="37"/>
      <c r="AK738" s="37"/>
      <c r="AL738" s="37"/>
      <c r="AM738" s="37"/>
      <c r="AN738" s="37"/>
      <c r="AO738" s="37"/>
      <c r="AP738" s="37"/>
      <c r="AQ738" s="37"/>
      <c r="AR738" s="37"/>
      <c r="AS738" s="37"/>
      <c r="AT738" s="37"/>
      <c r="AU738" s="37"/>
      <c r="AV738" s="37"/>
      <c r="AW738" s="37"/>
      <c r="AX738" s="37"/>
      <c r="AY738" s="37"/>
      <c r="AZ738" s="37"/>
    </row>
    <row r="739" spans="1:52">
      <c r="A739" s="37"/>
      <c r="B739" s="37"/>
      <c r="C739" s="37"/>
      <c r="D739" s="37"/>
      <c r="E739" s="37"/>
      <c r="F739" s="37"/>
      <c r="G739" s="37"/>
      <c r="H739" s="37"/>
      <c r="I739" s="37"/>
      <c r="J739" s="37"/>
      <c r="K739" s="37"/>
      <c r="L739" s="37"/>
      <c r="M739" s="37"/>
      <c r="N739" s="37"/>
      <c r="O739" s="37"/>
      <c r="P739" s="37"/>
      <c r="Q739" s="37"/>
      <c r="R739" s="37"/>
      <c r="S739" s="37"/>
      <c r="T739" s="37"/>
      <c r="U739" s="37"/>
      <c r="V739" s="37"/>
      <c r="W739" s="37"/>
      <c r="X739" s="37"/>
      <c r="Y739" s="37"/>
      <c r="Z739" s="37"/>
      <c r="AA739" s="37"/>
      <c r="AB739" s="37"/>
      <c r="AC739" s="37"/>
      <c r="AD739" s="37"/>
      <c r="AE739" s="37"/>
      <c r="AF739" s="37"/>
      <c r="AG739" s="37"/>
      <c r="AH739" s="37"/>
      <c r="AI739" s="37"/>
      <c r="AJ739" s="37"/>
      <c r="AK739" s="37"/>
      <c r="AL739" s="37"/>
      <c r="AM739" s="37"/>
      <c r="AN739" s="37"/>
      <c r="AO739" s="37"/>
      <c r="AP739" s="37"/>
      <c r="AQ739" s="37"/>
      <c r="AR739" s="37"/>
      <c r="AS739" s="37"/>
      <c r="AT739" s="37"/>
      <c r="AU739" s="37"/>
      <c r="AV739" s="37"/>
      <c r="AW739" s="37"/>
      <c r="AX739" s="37"/>
      <c r="AY739" s="37"/>
      <c r="AZ739" s="37"/>
    </row>
    <row r="740" spans="1:52">
      <c r="A740" s="37"/>
      <c r="B740" s="37"/>
      <c r="C740" s="37"/>
      <c r="D740" s="37"/>
      <c r="E740" s="37"/>
      <c r="F740" s="37"/>
      <c r="G740" s="37"/>
      <c r="H740" s="37"/>
      <c r="I740" s="37"/>
      <c r="J740" s="37"/>
      <c r="K740" s="37"/>
      <c r="L740" s="37"/>
      <c r="M740" s="37"/>
      <c r="N740" s="37"/>
      <c r="O740" s="37"/>
      <c r="P740" s="37"/>
      <c r="Q740" s="37"/>
      <c r="R740" s="37"/>
      <c r="S740" s="37"/>
      <c r="T740" s="37"/>
      <c r="U740" s="37"/>
      <c r="V740" s="37"/>
      <c r="W740" s="37"/>
      <c r="X740" s="37"/>
      <c r="Y740" s="37"/>
      <c r="Z740" s="37"/>
      <c r="AA740" s="37"/>
      <c r="AB740" s="37"/>
      <c r="AC740" s="37"/>
      <c r="AD740" s="37"/>
      <c r="AE740" s="37"/>
      <c r="AF740" s="37"/>
      <c r="AG740" s="37"/>
      <c r="AH740" s="37"/>
      <c r="AI740" s="37"/>
      <c r="AJ740" s="37"/>
      <c r="AK740" s="37"/>
      <c r="AL740" s="37"/>
      <c r="AM740" s="37"/>
      <c r="AN740" s="37"/>
      <c r="AO740" s="37"/>
      <c r="AP740" s="37"/>
      <c r="AQ740" s="37"/>
      <c r="AR740" s="37"/>
      <c r="AS740" s="37"/>
      <c r="AT740" s="37"/>
      <c r="AU740" s="37"/>
      <c r="AV740" s="37"/>
      <c r="AW740" s="37"/>
      <c r="AX740" s="37"/>
      <c r="AY740" s="37"/>
      <c r="AZ740" s="37"/>
    </row>
    <row r="741" spans="1:52">
      <c r="A741" s="37"/>
      <c r="B741" s="37"/>
      <c r="C741" s="37"/>
      <c r="D741" s="37"/>
      <c r="E741" s="37"/>
      <c r="F741" s="37"/>
      <c r="G741" s="37"/>
      <c r="H741" s="37"/>
      <c r="I741" s="37"/>
      <c r="J741" s="37"/>
      <c r="K741" s="37"/>
      <c r="L741" s="37"/>
      <c r="M741" s="37"/>
      <c r="N741" s="37"/>
      <c r="O741" s="37"/>
      <c r="P741" s="37"/>
      <c r="Q741" s="37"/>
      <c r="R741" s="37"/>
      <c r="S741" s="37"/>
      <c r="T741" s="37"/>
      <c r="U741" s="37"/>
      <c r="V741" s="37"/>
      <c r="W741" s="37"/>
      <c r="X741" s="37"/>
      <c r="Y741" s="37"/>
      <c r="Z741" s="37"/>
      <c r="AA741" s="37"/>
      <c r="AB741" s="37"/>
      <c r="AC741" s="37"/>
      <c r="AD741" s="37"/>
      <c r="AE741" s="37"/>
      <c r="AF741" s="37"/>
      <c r="AG741" s="37"/>
      <c r="AH741" s="37"/>
      <c r="AI741" s="37"/>
      <c r="AJ741" s="37"/>
      <c r="AK741" s="37"/>
      <c r="AL741" s="37"/>
      <c r="AM741" s="37"/>
      <c r="AN741" s="37"/>
      <c r="AO741" s="37"/>
      <c r="AP741" s="37"/>
      <c r="AQ741" s="37"/>
      <c r="AR741" s="37"/>
      <c r="AS741" s="37"/>
      <c r="AT741" s="37"/>
      <c r="AU741" s="37"/>
      <c r="AV741" s="37"/>
      <c r="AW741" s="37"/>
      <c r="AX741" s="37"/>
      <c r="AY741" s="37"/>
      <c r="AZ741" s="37"/>
    </row>
    <row r="742" spans="1:52">
      <c r="A742" s="37"/>
      <c r="B742" s="37"/>
      <c r="C742" s="37"/>
      <c r="D742" s="37"/>
      <c r="E742" s="37"/>
      <c r="F742" s="37"/>
      <c r="G742" s="37"/>
      <c r="H742" s="37"/>
      <c r="I742" s="37"/>
      <c r="J742" s="37"/>
      <c r="K742" s="37"/>
      <c r="L742" s="37"/>
      <c r="M742" s="37"/>
      <c r="N742" s="37"/>
      <c r="O742" s="37"/>
      <c r="P742" s="37"/>
      <c r="Q742" s="37"/>
      <c r="R742" s="37"/>
      <c r="S742" s="37"/>
      <c r="T742" s="37"/>
      <c r="U742" s="37"/>
      <c r="V742" s="37"/>
      <c r="W742" s="37"/>
      <c r="X742" s="37"/>
      <c r="Y742" s="37"/>
      <c r="Z742" s="37"/>
      <c r="AA742" s="37"/>
      <c r="AB742" s="37"/>
      <c r="AC742" s="37"/>
      <c r="AD742" s="37"/>
      <c r="AE742" s="37"/>
      <c r="AF742" s="37"/>
      <c r="AG742" s="37"/>
      <c r="AH742" s="37"/>
      <c r="AI742" s="37"/>
      <c r="AJ742" s="37"/>
      <c r="AK742" s="37"/>
      <c r="AL742" s="37"/>
      <c r="AM742" s="37"/>
      <c r="AN742" s="37"/>
      <c r="AO742" s="37"/>
      <c r="AP742" s="37"/>
      <c r="AQ742" s="37"/>
      <c r="AR742" s="37"/>
      <c r="AS742" s="37"/>
      <c r="AT742" s="37"/>
      <c r="AU742" s="37"/>
      <c r="AV742" s="37"/>
      <c r="AW742" s="37"/>
      <c r="AX742" s="37"/>
      <c r="AY742" s="37"/>
      <c r="AZ742" s="37"/>
    </row>
    <row r="743" spans="1:52">
      <c r="A743" s="37"/>
      <c r="B743" s="37"/>
      <c r="C743" s="37"/>
      <c r="D743" s="37"/>
      <c r="E743" s="37"/>
      <c r="F743" s="37"/>
      <c r="G743" s="37"/>
      <c r="H743" s="37"/>
      <c r="I743" s="37"/>
      <c r="J743" s="37"/>
      <c r="K743" s="37"/>
      <c r="L743" s="37"/>
      <c r="M743" s="37"/>
      <c r="N743" s="37"/>
      <c r="O743" s="37"/>
      <c r="P743" s="37"/>
      <c r="Q743" s="37"/>
      <c r="R743" s="37"/>
      <c r="S743" s="37"/>
      <c r="T743" s="37"/>
      <c r="U743" s="37"/>
      <c r="V743" s="37"/>
      <c r="W743" s="37"/>
      <c r="X743" s="37"/>
      <c r="Y743" s="37"/>
      <c r="Z743" s="37"/>
      <c r="AA743" s="37"/>
      <c r="AB743" s="37"/>
      <c r="AC743" s="37"/>
      <c r="AD743" s="37"/>
      <c r="AE743" s="37"/>
      <c r="AF743" s="37"/>
      <c r="AG743" s="37"/>
      <c r="AH743" s="37"/>
      <c r="AI743" s="37"/>
      <c r="AJ743" s="37"/>
      <c r="AK743" s="37"/>
      <c r="AL743" s="37"/>
      <c r="AM743" s="37"/>
      <c r="AN743" s="37"/>
      <c r="AO743" s="37"/>
      <c r="AP743" s="37"/>
      <c r="AQ743" s="37"/>
      <c r="AR743" s="37"/>
      <c r="AS743" s="37"/>
      <c r="AT743" s="37"/>
      <c r="AU743" s="37"/>
      <c r="AV743" s="37"/>
      <c r="AW743" s="37"/>
      <c r="AX743" s="37"/>
      <c r="AY743" s="37"/>
      <c r="AZ743" s="37"/>
    </row>
    <row r="744" spans="1:52">
      <c r="A744" s="37"/>
      <c r="B744" s="37"/>
      <c r="C744" s="37"/>
      <c r="D744" s="37"/>
      <c r="E744" s="37"/>
      <c r="F744" s="37"/>
      <c r="G744" s="37"/>
      <c r="H744" s="37"/>
      <c r="I744" s="37"/>
      <c r="J744" s="37"/>
      <c r="K744" s="37"/>
      <c r="L744" s="37"/>
      <c r="M744" s="37"/>
      <c r="N744" s="37"/>
      <c r="O744" s="37"/>
      <c r="P744" s="37"/>
      <c r="Q744" s="37"/>
      <c r="R744" s="37"/>
      <c r="S744" s="37"/>
      <c r="T744" s="37"/>
      <c r="U744" s="37"/>
      <c r="V744" s="37"/>
      <c r="W744" s="37"/>
      <c r="X744" s="37"/>
      <c r="Y744" s="37"/>
      <c r="Z744" s="37"/>
      <c r="AA744" s="37"/>
      <c r="AB744" s="37"/>
      <c r="AC744" s="37"/>
      <c r="AD744" s="37"/>
      <c r="AE744" s="37"/>
      <c r="AF744" s="37"/>
      <c r="AG744" s="37"/>
      <c r="AH744" s="37"/>
      <c r="AI744" s="37"/>
      <c r="AJ744" s="37"/>
      <c r="AK744" s="37"/>
      <c r="AL744" s="37"/>
      <c r="AM744" s="37"/>
      <c r="AN744" s="37"/>
      <c r="AO744" s="37"/>
      <c r="AP744" s="37"/>
      <c r="AQ744" s="37"/>
      <c r="AR744" s="37"/>
      <c r="AS744" s="37"/>
      <c r="AT744" s="37"/>
      <c r="AU744" s="37"/>
      <c r="AV744" s="37"/>
      <c r="AW744" s="37"/>
      <c r="AX744" s="37"/>
      <c r="AY744" s="37"/>
      <c r="AZ744" s="37"/>
    </row>
    <row r="745" spans="1:52">
      <c r="A745" s="37"/>
      <c r="B745" s="37"/>
      <c r="C745" s="37"/>
      <c r="D745" s="37"/>
      <c r="E745" s="37"/>
      <c r="F745" s="37"/>
      <c r="G745" s="37"/>
      <c r="H745" s="37"/>
      <c r="I745" s="37"/>
      <c r="J745" s="37"/>
      <c r="K745" s="37"/>
      <c r="L745" s="37"/>
      <c r="M745" s="37"/>
      <c r="N745" s="37"/>
      <c r="O745" s="37"/>
      <c r="P745" s="37"/>
      <c r="Q745" s="37"/>
      <c r="R745" s="37"/>
      <c r="S745" s="37"/>
      <c r="T745" s="37"/>
      <c r="U745" s="37"/>
      <c r="V745" s="37"/>
      <c r="W745" s="37"/>
      <c r="X745" s="37"/>
      <c r="Y745" s="37"/>
      <c r="Z745" s="37"/>
      <c r="AA745" s="37"/>
      <c r="AB745" s="37"/>
      <c r="AC745" s="37"/>
      <c r="AD745" s="37"/>
      <c r="AE745" s="37"/>
      <c r="AF745" s="37"/>
      <c r="AG745" s="37"/>
      <c r="AH745" s="37"/>
      <c r="AI745" s="37"/>
      <c r="AJ745" s="37"/>
      <c r="AK745" s="37"/>
      <c r="AL745" s="37"/>
      <c r="AM745" s="37"/>
      <c r="AN745" s="37"/>
      <c r="AO745" s="37"/>
      <c r="AP745" s="37"/>
      <c r="AQ745" s="37"/>
      <c r="AR745" s="37"/>
      <c r="AS745" s="37"/>
      <c r="AT745" s="37"/>
      <c r="AU745" s="37"/>
      <c r="AV745" s="37"/>
      <c r="AW745" s="37"/>
      <c r="AX745" s="37"/>
      <c r="AY745" s="37"/>
      <c r="AZ745" s="37"/>
    </row>
    <row r="746" spans="1:52">
      <c r="A746" s="37"/>
      <c r="B746" s="37"/>
      <c r="C746" s="37"/>
      <c r="D746" s="37"/>
      <c r="E746" s="37"/>
      <c r="F746" s="37"/>
      <c r="G746" s="37"/>
      <c r="H746" s="37"/>
      <c r="I746" s="37"/>
      <c r="J746" s="37"/>
      <c r="K746" s="37"/>
      <c r="L746" s="37"/>
      <c r="M746" s="37"/>
      <c r="N746" s="37"/>
      <c r="O746" s="37"/>
      <c r="P746" s="37"/>
      <c r="Q746" s="37"/>
      <c r="R746" s="37"/>
      <c r="S746" s="37"/>
      <c r="T746" s="37"/>
      <c r="U746" s="37"/>
      <c r="V746" s="37"/>
      <c r="W746" s="37"/>
      <c r="X746" s="37"/>
      <c r="Y746" s="37"/>
      <c r="Z746" s="37"/>
      <c r="AA746" s="37"/>
      <c r="AB746" s="37"/>
      <c r="AC746" s="37"/>
      <c r="AD746" s="37"/>
      <c r="AE746" s="37"/>
      <c r="AF746" s="37"/>
      <c r="AG746" s="37"/>
      <c r="AH746" s="37"/>
      <c r="AI746" s="37"/>
      <c r="AJ746" s="37"/>
      <c r="AK746" s="37"/>
      <c r="AL746" s="37"/>
      <c r="AM746" s="37"/>
      <c r="AN746" s="37"/>
      <c r="AO746" s="37"/>
      <c r="AP746" s="37"/>
      <c r="AQ746" s="37"/>
      <c r="AR746" s="37"/>
      <c r="AS746" s="37"/>
      <c r="AT746" s="37"/>
      <c r="AU746" s="37"/>
      <c r="AV746" s="37"/>
      <c r="AW746" s="37"/>
      <c r="AX746" s="37"/>
      <c r="AY746" s="37"/>
      <c r="AZ746" s="37"/>
    </row>
    <row r="747" spans="1:52">
      <c r="A747" s="37"/>
      <c r="B747" s="37"/>
      <c r="C747" s="37"/>
      <c r="D747" s="37"/>
      <c r="E747" s="37"/>
      <c r="F747" s="37"/>
      <c r="G747" s="37"/>
      <c r="H747" s="37"/>
      <c r="I747" s="37"/>
      <c r="J747" s="37"/>
      <c r="K747" s="37"/>
      <c r="L747" s="37"/>
      <c r="M747" s="37"/>
      <c r="N747" s="37"/>
      <c r="O747" s="37"/>
      <c r="P747" s="37"/>
      <c r="Q747" s="37"/>
      <c r="R747" s="37"/>
      <c r="S747" s="37"/>
      <c r="T747" s="37"/>
      <c r="U747" s="37"/>
      <c r="V747" s="37"/>
      <c r="W747" s="37"/>
      <c r="X747" s="37"/>
      <c r="Y747" s="37"/>
      <c r="Z747" s="37"/>
      <c r="AA747" s="37"/>
      <c r="AB747" s="37"/>
      <c r="AC747" s="37"/>
      <c r="AD747" s="37"/>
      <c r="AE747" s="37"/>
      <c r="AF747" s="37"/>
      <c r="AG747" s="37"/>
      <c r="AH747" s="37"/>
      <c r="AI747" s="37"/>
      <c r="AJ747" s="37"/>
      <c r="AK747" s="37"/>
      <c r="AL747" s="37"/>
      <c r="AM747" s="37"/>
      <c r="AN747" s="37"/>
      <c r="AO747" s="37"/>
      <c r="AP747" s="37"/>
      <c r="AQ747" s="37"/>
      <c r="AR747" s="37"/>
      <c r="AS747" s="37"/>
      <c r="AT747" s="37"/>
      <c r="AU747" s="37"/>
      <c r="AV747" s="37"/>
      <c r="AW747" s="37"/>
      <c r="AX747" s="37"/>
      <c r="AY747" s="37"/>
      <c r="AZ747" s="37"/>
    </row>
    <row r="748" spans="1:52">
      <c r="A748" s="37"/>
      <c r="B748" s="37"/>
      <c r="C748" s="37"/>
      <c r="D748" s="37"/>
      <c r="E748" s="37"/>
      <c r="F748" s="37"/>
      <c r="G748" s="37"/>
      <c r="H748" s="37"/>
      <c r="I748" s="37"/>
      <c r="J748" s="37"/>
      <c r="K748" s="37"/>
      <c r="L748" s="37"/>
      <c r="M748" s="37"/>
      <c r="N748" s="37"/>
      <c r="O748" s="37"/>
      <c r="P748" s="37"/>
      <c r="Q748" s="37"/>
      <c r="R748" s="37"/>
      <c r="S748" s="37"/>
      <c r="T748" s="37"/>
      <c r="U748" s="37"/>
      <c r="V748" s="37"/>
      <c r="W748" s="37"/>
      <c r="X748" s="37"/>
      <c r="Y748" s="37"/>
      <c r="Z748" s="37"/>
      <c r="AA748" s="37"/>
      <c r="AB748" s="37"/>
      <c r="AC748" s="37"/>
      <c r="AD748" s="37"/>
      <c r="AE748" s="37"/>
      <c r="AF748" s="37"/>
      <c r="AG748" s="37"/>
      <c r="AH748" s="37"/>
      <c r="AI748" s="37"/>
      <c r="AJ748" s="37"/>
      <c r="AK748" s="37"/>
      <c r="AL748" s="37"/>
      <c r="AM748" s="37"/>
      <c r="AN748" s="37"/>
      <c r="AO748" s="37"/>
      <c r="AP748" s="37"/>
      <c r="AQ748" s="37"/>
      <c r="AR748" s="37"/>
      <c r="AS748" s="37"/>
      <c r="AT748" s="37"/>
      <c r="AU748" s="37"/>
      <c r="AV748" s="37"/>
      <c r="AW748" s="37"/>
      <c r="AX748" s="37"/>
      <c r="AY748" s="37"/>
      <c r="AZ748" s="37"/>
    </row>
    <row r="749" spans="1:52">
      <c r="A749" s="37"/>
      <c r="B749" s="37"/>
      <c r="C749" s="37"/>
      <c r="D749" s="37"/>
      <c r="E749" s="37"/>
      <c r="F749" s="37"/>
      <c r="G749" s="37"/>
      <c r="H749" s="37"/>
      <c r="I749" s="37"/>
      <c r="J749" s="37"/>
      <c r="K749" s="37"/>
      <c r="L749" s="37"/>
      <c r="M749" s="37"/>
      <c r="N749" s="37"/>
      <c r="O749" s="37"/>
      <c r="P749" s="37"/>
      <c r="Q749" s="37"/>
      <c r="R749" s="37"/>
      <c r="S749" s="37"/>
      <c r="T749" s="37"/>
      <c r="U749" s="37"/>
      <c r="V749" s="37"/>
      <c r="W749" s="37"/>
      <c r="X749" s="37"/>
      <c r="Y749" s="37"/>
      <c r="Z749" s="37"/>
      <c r="AA749" s="37"/>
      <c r="AB749" s="37"/>
      <c r="AC749" s="37"/>
      <c r="AD749" s="37"/>
      <c r="AE749" s="37"/>
      <c r="AF749" s="37"/>
      <c r="AG749" s="37"/>
      <c r="AH749" s="37"/>
      <c r="AI749" s="37"/>
      <c r="AJ749" s="37"/>
      <c r="AK749" s="37"/>
      <c r="AL749" s="37"/>
      <c r="AM749" s="37"/>
      <c r="AN749" s="37"/>
      <c r="AO749" s="37"/>
      <c r="AP749" s="37"/>
      <c r="AQ749" s="37"/>
      <c r="AR749" s="37"/>
      <c r="AS749" s="37"/>
      <c r="AT749" s="37"/>
      <c r="AU749" s="37"/>
      <c r="AV749" s="37"/>
      <c r="AW749" s="37"/>
      <c r="AX749" s="37"/>
      <c r="AY749" s="37"/>
      <c r="AZ749" s="37"/>
    </row>
    <row r="750" spans="1:52">
      <c r="A750" s="37"/>
      <c r="B750" s="37"/>
      <c r="C750" s="37"/>
      <c r="D750" s="37"/>
      <c r="E750" s="37"/>
      <c r="F750" s="37"/>
      <c r="G750" s="37"/>
      <c r="H750" s="37"/>
      <c r="I750" s="37"/>
      <c r="J750" s="37"/>
      <c r="K750" s="37"/>
      <c r="L750" s="37"/>
      <c r="M750" s="37"/>
      <c r="N750" s="37"/>
      <c r="O750" s="37"/>
      <c r="P750" s="37"/>
      <c r="Q750" s="37"/>
      <c r="R750" s="37"/>
      <c r="S750" s="37"/>
      <c r="T750" s="37"/>
      <c r="U750" s="37"/>
      <c r="V750" s="37"/>
      <c r="W750" s="37"/>
      <c r="X750" s="37"/>
      <c r="Y750" s="37"/>
      <c r="Z750" s="37"/>
      <c r="AA750" s="37"/>
      <c r="AB750" s="37"/>
      <c r="AC750" s="37"/>
      <c r="AD750" s="37"/>
      <c r="AE750" s="37"/>
      <c r="AF750" s="37"/>
      <c r="AG750" s="37"/>
      <c r="AH750" s="37"/>
      <c r="AI750" s="37"/>
      <c r="AJ750" s="37"/>
      <c r="AK750" s="37"/>
      <c r="AL750" s="37"/>
      <c r="AM750" s="37"/>
      <c r="AN750" s="37"/>
      <c r="AO750" s="37"/>
      <c r="AP750" s="37"/>
      <c r="AQ750" s="37"/>
      <c r="AR750" s="37"/>
      <c r="AS750" s="37"/>
      <c r="AT750" s="37"/>
      <c r="AU750" s="37"/>
      <c r="AV750" s="37"/>
      <c r="AW750" s="37"/>
      <c r="AX750" s="37"/>
      <c r="AY750" s="37"/>
      <c r="AZ750" s="37"/>
    </row>
    <row r="751" spans="1:52">
      <c r="A751" s="37"/>
      <c r="B751" s="37"/>
      <c r="C751" s="37"/>
      <c r="D751" s="37"/>
      <c r="E751" s="37"/>
      <c r="F751" s="37"/>
      <c r="G751" s="37"/>
      <c r="H751" s="37"/>
      <c r="I751" s="37"/>
      <c r="J751" s="37"/>
      <c r="K751" s="37"/>
      <c r="L751" s="37"/>
      <c r="M751" s="37"/>
      <c r="N751" s="37"/>
      <c r="O751" s="37"/>
      <c r="P751" s="37"/>
      <c r="Q751" s="37"/>
      <c r="R751" s="37"/>
      <c r="S751" s="37"/>
      <c r="T751" s="37"/>
      <c r="U751" s="37"/>
      <c r="V751" s="37"/>
      <c r="W751" s="37"/>
      <c r="X751" s="37"/>
      <c r="Y751" s="37"/>
      <c r="Z751" s="37"/>
      <c r="AA751" s="37"/>
      <c r="AB751" s="37"/>
      <c r="AC751" s="37"/>
      <c r="AD751" s="37"/>
      <c r="AE751" s="37"/>
      <c r="AF751" s="37"/>
      <c r="AG751" s="37"/>
      <c r="AH751" s="37"/>
      <c r="AI751" s="37"/>
      <c r="AJ751" s="37"/>
      <c r="AK751" s="37"/>
      <c r="AL751" s="37"/>
      <c r="AM751" s="37"/>
      <c r="AN751" s="37"/>
      <c r="AO751" s="37"/>
      <c r="AP751" s="37"/>
      <c r="AQ751" s="37"/>
      <c r="AR751" s="37"/>
      <c r="AS751" s="37"/>
      <c r="AT751" s="37"/>
      <c r="AU751" s="37"/>
      <c r="AV751" s="37"/>
      <c r="AW751" s="37"/>
      <c r="AX751" s="37"/>
      <c r="AY751" s="37"/>
      <c r="AZ751" s="37"/>
    </row>
    <row r="752" spans="1:52">
      <c r="A752" s="37"/>
      <c r="B752" s="37"/>
      <c r="C752" s="37"/>
      <c r="D752" s="37"/>
      <c r="E752" s="37"/>
      <c r="F752" s="37"/>
      <c r="G752" s="37"/>
      <c r="H752" s="37"/>
      <c r="I752" s="37"/>
      <c r="J752" s="37"/>
      <c r="K752" s="37"/>
      <c r="L752" s="37"/>
      <c r="M752" s="37"/>
      <c r="N752" s="37"/>
      <c r="O752" s="37"/>
      <c r="P752" s="37"/>
      <c r="Q752" s="37"/>
      <c r="R752" s="37"/>
      <c r="S752" s="37"/>
      <c r="T752" s="37"/>
      <c r="U752" s="37"/>
      <c r="V752" s="37"/>
      <c r="W752" s="37"/>
      <c r="X752" s="37"/>
      <c r="Y752" s="37"/>
      <c r="Z752" s="37"/>
      <c r="AA752" s="37"/>
      <c r="AB752" s="37"/>
      <c r="AC752" s="37"/>
      <c r="AD752" s="37"/>
      <c r="AE752" s="37"/>
      <c r="AF752" s="37"/>
      <c r="AG752" s="37"/>
      <c r="AH752" s="37"/>
      <c r="AI752" s="37"/>
      <c r="AJ752" s="37"/>
      <c r="AK752" s="37"/>
      <c r="AL752" s="37"/>
      <c r="AM752" s="37"/>
      <c r="AN752" s="37"/>
      <c r="AO752" s="37"/>
      <c r="AP752" s="37"/>
      <c r="AQ752" s="37"/>
      <c r="AR752" s="37"/>
      <c r="AS752" s="37"/>
      <c r="AT752" s="37"/>
      <c r="AU752" s="37"/>
      <c r="AV752" s="37"/>
      <c r="AW752" s="37"/>
      <c r="AX752" s="37"/>
      <c r="AY752" s="37"/>
      <c r="AZ752" s="37"/>
    </row>
    <row r="753" spans="1:52">
      <c r="A753" s="37"/>
      <c r="B753" s="37"/>
      <c r="C753" s="37"/>
      <c r="D753" s="37"/>
      <c r="E753" s="37"/>
      <c r="F753" s="37"/>
      <c r="G753" s="37"/>
      <c r="H753" s="37"/>
      <c r="I753" s="37"/>
      <c r="J753" s="37"/>
      <c r="K753" s="37"/>
      <c r="L753" s="37"/>
      <c r="M753" s="37"/>
      <c r="N753" s="37"/>
      <c r="O753" s="37"/>
      <c r="P753" s="37"/>
      <c r="Q753" s="37"/>
      <c r="R753" s="37"/>
      <c r="S753" s="37"/>
      <c r="T753" s="37"/>
      <c r="U753" s="37"/>
      <c r="V753" s="37"/>
      <c r="W753" s="37"/>
      <c r="X753" s="37"/>
      <c r="Y753" s="37"/>
      <c r="Z753" s="37"/>
      <c r="AA753" s="37"/>
      <c r="AB753" s="37"/>
      <c r="AC753" s="37"/>
      <c r="AD753" s="37"/>
      <c r="AE753" s="37"/>
      <c r="AF753" s="37"/>
      <c r="AG753" s="37"/>
      <c r="AH753" s="37"/>
      <c r="AI753" s="37"/>
      <c r="AJ753" s="37"/>
      <c r="AK753" s="37"/>
      <c r="AL753" s="37"/>
      <c r="AM753" s="37"/>
      <c r="AN753" s="37"/>
      <c r="AO753" s="37"/>
      <c r="AP753" s="37"/>
      <c r="AQ753" s="37"/>
      <c r="AR753" s="37"/>
      <c r="AS753" s="37"/>
      <c r="AT753" s="37"/>
      <c r="AU753" s="37"/>
      <c r="AV753" s="37"/>
      <c r="AW753" s="37"/>
      <c r="AX753" s="37"/>
      <c r="AY753" s="37"/>
      <c r="AZ753" s="37"/>
    </row>
    <row r="754" spans="1:52">
      <c r="A754" s="37"/>
      <c r="B754" s="37"/>
      <c r="C754" s="37"/>
      <c r="D754" s="37"/>
      <c r="E754" s="37"/>
      <c r="F754" s="37"/>
      <c r="G754" s="37"/>
      <c r="H754" s="37"/>
      <c r="I754" s="37"/>
      <c r="J754" s="37"/>
      <c r="K754" s="37"/>
      <c r="L754" s="37"/>
      <c r="M754" s="37"/>
      <c r="N754" s="37"/>
      <c r="O754" s="37"/>
      <c r="P754" s="37"/>
      <c r="Q754" s="37"/>
      <c r="R754" s="37"/>
      <c r="S754" s="37"/>
      <c r="T754" s="37"/>
      <c r="U754" s="37"/>
      <c r="V754" s="37"/>
      <c r="W754" s="37"/>
      <c r="X754" s="37"/>
      <c r="Y754" s="37"/>
      <c r="Z754" s="37"/>
      <c r="AA754" s="37"/>
      <c r="AB754" s="37"/>
      <c r="AC754" s="37"/>
      <c r="AD754" s="37"/>
      <c r="AE754" s="37"/>
      <c r="AF754" s="37"/>
      <c r="AG754" s="37"/>
      <c r="AH754" s="37"/>
      <c r="AI754" s="37"/>
      <c r="AJ754" s="37"/>
      <c r="AK754" s="37"/>
      <c r="AL754" s="37"/>
      <c r="AM754" s="37"/>
      <c r="AN754" s="37"/>
      <c r="AO754" s="37"/>
      <c r="AP754" s="37"/>
      <c r="AQ754" s="37"/>
      <c r="AR754" s="37"/>
      <c r="AS754" s="37"/>
      <c r="AT754" s="37"/>
      <c r="AU754" s="37"/>
      <c r="AV754" s="37"/>
      <c r="AW754" s="37"/>
      <c r="AX754" s="37"/>
      <c r="AY754" s="37"/>
      <c r="AZ754" s="37"/>
    </row>
    <row r="755" spans="1:52">
      <c r="A755" s="37"/>
      <c r="B755" s="37"/>
      <c r="C755" s="37"/>
      <c r="D755" s="37"/>
      <c r="E755" s="37"/>
      <c r="F755" s="37"/>
      <c r="G755" s="37"/>
      <c r="H755" s="37"/>
      <c r="I755" s="37"/>
      <c r="J755" s="37"/>
      <c r="K755" s="37"/>
      <c r="L755" s="37"/>
      <c r="M755" s="37"/>
      <c r="N755" s="37"/>
      <c r="O755" s="37"/>
      <c r="P755" s="37"/>
      <c r="Q755" s="37"/>
      <c r="R755" s="37"/>
      <c r="S755" s="37"/>
      <c r="T755" s="37"/>
      <c r="U755" s="37"/>
      <c r="V755" s="37"/>
      <c r="W755" s="37"/>
      <c r="X755" s="37"/>
      <c r="Y755" s="37"/>
      <c r="Z755" s="37"/>
      <c r="AA755" s="37"/>
      <c r="AB755" s="37"/>
      <c r="AC755" s="37"/>
      <c r="AD755" s="37"/>
      <c r="AE755" s="37"/>
      <c r="AF755" s="37"/>
      <c r="AG755" s="37"/>
      <c r="AH755" s="37"/>
      <c r="AI755" s="37"/>
      <c r="AJ755" s="37"/>
      <c r="AK755" s="37"/>
      <c r="AL755" s="37"/>
      <c r="AM755" s="37"/>
      <c r="AN755" s="37"/>
      <c r="AO755" s="37"/>
      <c r="AP755" s="37"/>
      <c r="AQ755" s="37"/>
      <c r="AR755" s="37"/>
      <c r="AS755" s="37"/>
      <c r="AT755" s="37"/>
      <c r="AU755" s="37"/>
      <c r="AV755" s="37"/>
      <c r="AW755" s="37"/>
      <c r="AX755" s="37"/>
      <c r="AY755" s="37"/>
      <c r="AZ755" s="37"/>
    </row>
    <row r="756" spans="1:52">
      <c r="A756" s="37"/>
      <c r="B756" s="37"/>
      <c r="C756" s="37"/>
      <c r="D756" s="37"/>
      <c r="E756" s="37"/>
      <c r="F756" s="37"/>
      <c r="G756" s="37"/>
      <c r="H756" s="37"/>
      <c r="I756" s="37"/>
      <c r="J756" s="37"/>
      <c r="K756" s="37"/>
      <c r="L756" s="37"/>
      <c r="M756" s="37"/>
      <c r="N756" s="37"/>
      <c r="O756" s="37"/>
      <c r="P756" s="37"/>
      <c r="Q756" s="37"/>
      <c r="R756" s="37"/>
      <c r="S756" s="37"/>
      <c r="T756" s="37"/>
      <c r="U756" s="37"/>
      <c r="V756" s="37"/>
      <c r="W756" s="37"/>
      <c r="X756" s="37"/>
      <c r="Y756" s="37"/>
      <c r="Z756" s="37"/>
      <c r="AA756" s="37"/>
      <c r="AB756" s="37"/>
      <c r="AC756" s="37"/>
      <c r="AD756" s="37"/>
      <c r="AE756" s="37"/>
      <c r="AF756" s="37"/>
      <c r="AG756" s="37"/>
      <c r="AH756" s="37"/>
      <c r="AI756" s="37"/>
      <c r="AJ756" s="37"/>
      <c r="AK756" s="37"/>
      <c r="AL756" s="37"/>
      <c r="AM756" s="37"/>
      <c r="AN756" s="37"/>
      <c r="AO756" s="37"/>
      <c r="AP756" s="37"/>
      <c r="AQ756" s="37"/>
      <c r="AR756" s="37"/>
      <c r="AS756" s="37"/>
      <c r="AT756" s="37"/>
      <c r="AU756" s="37"/>
      <c r="AV756" s="37"/>
      <c r="AW756" s="37"/>
      <c r="AX756" s="37"/>
      <c r="AY756" s="37"/>
      <c r="AZ756" s="37"/>
    </row>
    <row r="757" spans="1:52">
      <c r="A757" s="37"/>
      <c r="B757" s="37"/>
      <c r="C757" s="37"/>
      <c r="D757" s="37"/>
      <c r="E757" s="37"/>
      <c r="F757" s="37"/>
      <c r="G757" s="37"/>
      <c r="H757" s="37"/>
      <c r="I757" s="37"/>
      <c r="J757" s="37"/>
      <c r="K757" s="37"/>
      <c r="L757" s="37"/>
      <c r="M757" s="37"/>
      <c r="N757" s="37"/>
      <c r="O757" s="37"/>
      <c r="P757" s="37"/>
      <c r="Q757" s="37"/>
      <c r="R757" s="37"/>
      <c r="S757" s="37"/>
      <c r="T757" s="37"/>
      <c r="U757" s="37"/>
      <c r="V757" s="37"/>
      <c r="W757" s="37"/>
      <c r="X757" s="37"/>
      <c r="Y757" s="37"/>
      <c r="Z757" s="37"/>
      <c r="AA757" s="37"/>
      <c r="AB757" s="37"/>
      <c r="AC757" s="37"/>
      <c r="AD757" s="37"/>
      <c r="AE757" s="37"/>
      <c r="AF757" s="37"/>
      <c r="AG757" s="37"/>
      <c r="AH757" s="37"/>
      <c r="AI757" s="37"/>
      <c r="AJ757" s="37"/>
      <c r="AK757" s="37"/>
      <c r="AL757" s="37"/>
      <c r="AM757" s="37"/>
      <c r="AN757" s="37"/>
      <c r="AO757" s="37"/>
      <c r="AP757" s="37"/>
      <c r="AQ757" s="37"/>
      <c r="AR757" s="37"/>
      <c r="AS757" s="37"/>
      <c r="AT757" s="37"/>
      <c r="AU757" s="37"/>
      <c r="AV757" s="37"/>
      <c r="AW757" s="37"/>
      <c r="AX757" s="37"/>
      <c r="AY757" s="37"/>
      <c r="AZ757" s="37"/>
    </row>
    <row r="758" spans="1:52">
      <c r="A758" s="37"/>
      <c r="B758" s="37"/>
      <c r="C758" s="37"/>
      <c r="D758" s="37"/>
      <c r="E758" s="37"/>
      <c r="F758" s="37"/>
      <c r="G758" s="37"/>
      <c r="H758" s="37"/>
      <c r="I758" s="37"/>
      <c r="J758" s="37"/>
      <c r="K758" s="37"/>
      <c r="L758" s="37"/>
      <c r="M758" s="37"/>
      <c r="N758" s="37"/>
      <c r="O758" s="37"/>
      <c r="P758" s="37"/>
      <c r="Q758" s="37"/>
      <c r="R758" s="37"/>
      <c r="S758" s="37"/>
      <c r="T758" s="37"/>
      <c r="U758" s="37"/>
      <c r="V758" s="37"/>
      <c r="W758" s="37"/>
      <c r="X758" s="37"/>
      <c r="Y758" s="37"/>
      <c r="Z758" s="37"/>
      <c r="AA758" s="37"/>
      <c r="AB758" s="37"/>
      <c r="AC758" s="37"/>
      <c r="AD758" s="37"/>
      <c r="AE758" s="37"/>
      <c r="AF758" s="37"/>
      <c r="AG758" s="37"/>
      <c r="AH758" s="37"/>
      <c r="AI758" s="37"/>
      <c r="AJ758" s="37"/>
      <c r="AK758" s="37"/>
      <c r="AL758" s="37"/>
      <c r="AM758" s="37"/>
      <c r="AN758" s="37"/>
      <c r="AO758" s="37"/>
      <c r="AP758" s="37"/>
      <c r="AQ758" s="37"/>
      <c r="AR758" s="37"/>
      <c r="AS758" s="37"/>
      <c r="AT758" s="37"/>
      <c r="AU758" s="37"/>
      <c r="AV758" s="37"/>
      <c r="AW758" s="37"/>
      <c r="AX758" s="37"/>
      <c r="AY758" s="37"/>
      <c r="AZ758" s="37"/>
    </row>
    <row r="759" spans="1:52">
      <c r="A759" s="37"/>
      <c r="B759" s="37"/>
      <c r="C759" s="37"/>
      <c r="D759" s="37"/>
      <c r="E759" s="37"/>
      <c r="F759" s="37"/>
      <c r="G759" s="37"/>
      <c r="H759" s="37"/>
      <c r="I759" s="37"/>
      <c r="J759" s="37"/>
      <c r="K759" s="37"/>
      <c r="L759" s="37"/>
      <c r="M759" s="37"/>
      <c r="N759" s="37"/>
      <c r="O759" s="37"/>
      <c r="P759" s="37"/>
      <c r="Q759" s="37"/>
      <c r="R759" s="37"/>
      <c r="S759" s="37"/>
      <c r="T759" s="37"/>
      <c r="U759" s="37"/>
      <c r="V759" s="37"/>
      <c r="W759" s="37"/>
      <c r="X759" s="37"/>
      <c r="Y759" s="37"/>
      <c r="Z759" s="37"/>
      <c r="AA759" s="37"/>
      <c r="AB759" s="37"/>
      <c r="AC759" s="37"/>
      <c r="AD759" s="37"/>
      <c r="AE759" s="37"/>
      <c r="AF759" s="37"/>
      <c r="AG759" s="37"/>
      <c r="AH759" s="37"/>
      <c r="AI759" s="37"/>
      <c r="AJ759" s="37"/>
      <c r="AK759" s="37"/>
      <c r="AL759" s="37"/>
      <c r="AM759" s="37"/>
      <c r="AN759" s="37"/>
      <c r="AO759" s="37"/>
      <c r="AP759" s="37"/>
      <c r="AQ759" s="37"/>
      <c r="AR759" s="37"/>
      <c r="AS759" s="37"/>
      <c r="AT759" s="37"/>
      <c r="AU759" s="37"/>
      <c r="AV759" s="37"/>
      <c r="AW759" s="37"/>
      <c r="AX759" s="37"/>
      <c r="AY759" s="37"/>
      <c r="AZ759" s="37"/>
    </row>
    <row r="760" spans="1:52">
      <c r="A760" s="37"/>
      <c r="B760" s="37"/>
      <c r="C760" s="37"/>
      <c r="D760" s="37"/>
      <c r="E760" s="37"/>
      <c r="F760" s="37"/>
      <c r="G760" s="37"/>
      <c r="H760" s="37"/>
      <c r="I760" s="37"/>
      <c r="J760" s="37"/>
      <c r="K760" s="37"/>
      <c r="L760" s="37"/>
      <c r="M760" s="37"/>
      <c r="N760" s="37"/>
      <c r="O760" s="37"/>
      <c r="P760" s="37"/>
      <c r="Q760" s="37"/>
      <c r="R760" s="37"/>
      <c r="S760" s="37"/>
      <c r="T760" s="37"/>
      <c r="U760" s="37"/>
      <c r="V760" s="37"/>
      <c r="W760" s="37"/>
      <c r="X760" s="37"/>
      <c r="Y760" s="37"/>
      <c r="Z760" s="37"/>
      <c r="AA760" s="37"/>
      <c r="AB760" s="37"/>
      <c r="AC760" s="37"/>
      <c r="AD760" s="37"/>
      <c r="AE760" s="37"/>
      <c r="AF760" s="37"/>
      <c r="AG760" s="37"/>
      <c r="AH760" s="37"/>
      <c r="AI760" s="37"/>
      <c r="AJ760" s="37"/>
      <c r="AK760" s="37"/>
      <c r="AL760" s="37"/>
      <c r="AM760" s="37"/>
      <c r="AN760" s="37"/>
      <c r="AO760" s="37"/>
      <c r="AP760" s="37"/>
      <c r="AQ760" s="37"/>
      <c r="AR760" s="37"/>
      <c r="AS760" s="37"/>
      <c r="AT760" s="37"/>
      <c r="AU760" s="37"/>
      <c r="AV760" s="37"/>
      <c r="AW760" s="37"/>
      <c r="AX760" s="37"/>
      <c r="AY760" s="37"/>
      <c r="AZ760" s="37"/>
    </row>
    <row r="761" spans="1:52">
      <c r="A761" s="37"/>
      <c r="B761" s="37"/>
      <c r="C761" s="37"/>
      <c r="D761" s="37"/>
      <c r="E761" s="37"/>
      <c r="F761" s="37"/>
      <c r="G761" s="37"/>
      <c r="H761" s="37"/>
      <c r="I761" s="37"/>
      <c r="J761" s="37"/>
      <c r="K761" s="37"/>
      <c r="L761" s="37"/>
      <c r="M761" s="37"/>
      <c r="N761" s="37"/>
      <c r="O761" s="37"/>
      <c r="P761" s="37"/>
      <c r="Q761" s="37"/>
      <c r="R761" s="37"/>
      <c r="S761" s="37"/>
      <c r="T761" s="37"/>
      <c r="U761" s="37"/>
      <c r="V761" s="37"/>
      <c r="W761" s="37"/>
      <c r="X761" s="37"/>
      <c r="Y761" s="37"/>
      <c r="Z761" s="37"/>
      <c r="AA761" s="37"/>
      <c r="AB761" s="37"/>
      <c r="AC761" s="37"/>
      <c r="AD761" s="37"/>
      <c r="AE761" s="37"/>
      <c r="AF761" s="37"/>
      <c r="AG761" s="37"/>
      <c r="AH761" s="37"/>
      <c r="AI761" s="37"/>
      <c r="AJ761" s="37"/>
      <c r="AK761" s="37"/>
      <c r="AL761" s="37"/>
      <c r="AM761" s="37"/>
      <c r="AN761" s="37"/>
      <c r="AO761" s="37"/>
      <c r="AP761" s="37"/>
      <c r="AQ761" s="37"/>
      <c r="AR761" s="37"/>
      <c r="AS761" s="37"/>
      <c r="AT761" s="37"/>
      <c r="AU761" s="37"/>
      <c r="AV761" s="37"/>
      <c r="AW761" s="37"/>
      <c r="AX761" s="37"/>
      <c r="AY761" s="37"/>
      <c r="AZ761" s="37"/>
    </row>
    <row r="762" spans="1:52">
      <c r="A762" s="37"/>
      <c r="B762" s="37"/>
      <c r="C762" s="37"/>
      <c r="D762" s="37"/>
      <c r="E762" s="37"/>
      <c r="F762" s="37"/>
      <c r="G762" s="37"/>
      <c r="H762" s="37"/>
      <c r="I762" s="37"/>
      <c r="J762" s="37"/>
      <c r="K762" s="37"/>
      <c r="L762" s="37"/>
      <c r="M762" s="37"/>
      <c r="N762" s="37"/>
      <c r="O762" s="37"/>
      <c r="P762" s="37"/>
      <c r="Q762" s="37"/>
      <c r="R762" s="37"/>
      <c r="S762" s="37"/>
      <c r="T762" s="37"/>
      <c r="U762" s="37"/>
      <c r="V762" s="37"/>
      <c r="W762" s="37"/>
      <c r="X762" s="37"/>
      <c r="Y762" s="37"/>
      <c r="Z762" s="37"/>
      <c r="AA762" s="37"/>
      <c r="AB762" s="37"/>
      <c r="AC762" s="37"/>
      <c r="AD762" s="37"/>
      <c r="AE762" s="37"/>
      <c r="AF762" s="37"/>
      <c r="AG762" s="37"/>
      <c r="AH762" s="37"/>
      <c r="AI762" s="37"/>
      <c r="AJ762" s="37"/>
      <c r="AK762" s="37"/>
      <c r="AL762" s="37"/>
      <c r="AM762" s="37"/>
      <c r="AN762" s="37"/>
      <c r="AO762" s="37"/>
      <c r="AP762" s="37"/>
      <c r="AQ762" s="37"/>
      <c r="AR762" s="37"/>
      <c r="AS762" s="37"/>
      <c r="AT762" s="37"/>
      <c r="AU762" s="37"/>
      <c r="AV762" s="37"/>
      <c r="AW762" s="37"/>
      <c r="AX762" s="37"/>
      <c r="AY762" s="37"/>
      <c r="AZ762" s="37"/>
    </row>
    <row r="763" spans="1:52">
      <c r="A763" s="37"/>
      <c r="B763" s="37"/>
      <c r="C763" s="37"/>
      <c r="D763" s="37"/>
      <c r="E763" s="37"/>
      <c r="F763" s="37"/>
      <c r="G763" s="37"/>
      <c r="H763" s="37"/>
      <c r="I763" s="37"/>
      <c r="J763" s="37"/>
      <c r="K763" s="37"/>
      <c r="L763" s="37"/>
      <c r="M763" s="37"/>
      <c r="N763" s="37"/>
      <c r="O763" s="37"/>
      <c r="P763" s="37"/>
      <c r="Q763" s="37"/>
      <c r="R763" s="37"/>
      <c r="S763" s="37"/>
      <c r="T763" s="37"/>
      <c r="U763" s="37"/>
      <c r="V763" s="37"/>
      <c r="W763" s="37"/>
      <c r="X763" s="37"/>
      <c r="Y763" s="37"/>
      <c r="Z763" s="37"/>
      <c r="AA763" s="37"/>
      <c r="AB763" s="37"/>
      <c r="AC763" s="37"/>
      <c r="AD763" s="37"/>
      <c r="AE763" s="37"/>
      <c r="AF763" s="37"/>
      <c r="AG763" s="37"/>
      <c r="AH763" s="37"/>
      <c r="AI763" s="37"/>
      <c r="AJ763" s="37"/>
      <c r="AK763" s="37"/>
      <c r="AL763" s="37"/>
      <c r="AM763" s="37"/>
      <c r="AN763" s="37"/>
      <c r="AO763" s="37"/>
      <c r="AP763" s="37"/>
      <c r="AQ763" s="37"/>
      <c r="AR763" s="37"/>
      <c r="AS763" s="37"/>
      <c r="AT763" s="37"/>
      <c r="AU763" s="37"/>
      <c r="AV763" s="37"/>
      <c r="AW763" s="37"/>
      <c r="AX763" s="37"/>
      <c r="AY763" s="37"/>
      <c r="AZ763" s="37"/>
    </row>
    <row r="764" spans="1:52">
      <c r="A764" s="37"/>
      <c r="B764" s="37"/>
      <c r="C764" s="37"/>
      <c r="D764" s="37"/>
      <c r="E764" s="37"/>
      <c r="F764" s="37"/>
      <c r="G764" s="37"/>
      <c r="H764" s="37"/>
      <c r="I764" s="37"/>
      <c r="J764" s="37"/>
      <c r="K764" s="37"/>
      <c r="L764" s="37"/>
      <c r="M764" s="37"/>
      <c r="N764" s="37"/>
      <c r="O764" s="37"/>
      <c r="P764" s="37"/>
      <c r="Q764" s="37"/>
      <c r="R764" s="37"/>
      <c r="S764" s="37"/>
      <c r="T764" s="37"/>
      <c r="U764" s="37"/>
      <c r="V764" s="37"/>
      <c r="W764" s="37"/>
      <c r="X764" s="37"/>
      <c r="Y764" s="37"/>
      <c r="Z764" s="37"/>
      <c r="AA764" s="37"/>
      <c r="AB764" s="37"/>
      <c r="AC764" s="37"/>
      <c r="AD764" s="37"/>
      <c r="AE764" s="37"/>
      <c r="AF764" s="37"/>
      <c r="AG764" s="37"/>
      <c r="AH764" s="37"/>
      <c r="AI764" s="37"/>
      <c r="AJ764" s="37"/>
      <c r="AK764" s="37"/>
      <c r="AL764" s="37"/>
      <c r="AM764" s="37"/>
      <c r="AN764" s="37"/>
      <c r="AO764" s="37"/>
      <c r="AP764" s="37"/>
      <c r="AQ764" s="37"/>
      <c r="AR764" s="37"/>
      <c r="AS764" s="37"/>
      <c r="AT764" s="37"/>
      <c r="AU764" s="37"/>
      <c r="AV764" s="37"/>
      <c r="AW764" s="37"/>
      <c r="AX764" s="37"/>
      <c r="AY764" s="37"/>
      <c r="AZ764" s="37"/>
    </row>
    <row r="765" spans="1:52">
      <c r="A765" s="37"/>
      <c r="B765" s="37"/>
      <c r="C765" s="37"/>
      <c r="D765" s="37"/>
      <c r="E765" s="37"/>
      <c r="F765" s="37"/>
      <c r="G765" s="37"/>
      <c r="H765" s="37"/>
      <c r="I765" s="37"/>
      <c r="J765" s="37"/>
      <c r="K765" s="37"/>
      <c r="L765" s="37"/>
      <c r="M765" s="37"/>
      <c r="N765" s="37"/>
      <c r="O765" s="37"/>
      <c r="P765" s="37"/>
      <c r="Q765" s="37"/>
      <c r="R765" s="37"/>
      <c r="S765" s="37"/>
      <c r="T765" s="37"/>
      <c r="U765" s="37"/>
      <c r="V765" s="37"/>
      <c r="W765" s="37"/>
      <c r="X765" s="37"/>
      <c r="Y765" s="37"/>
      <c r="Z765" s="37"/>
      <c r="AA765" s="37"/>
      <c r="AB765" s="37"/>
      <c r="AC765" s="37"/>
      <c r="AD765" s="37"/>
      <c r="AE765" s="37"/>
      <c r="AF765" s="37"/>
      <c r="AG765" s="37"/>
      <c r="AH765" s="37"/>
      <c r="AI765" s="37"/>
      <c r="AJ765" s="37"/>
      <c r="AK765" s="37"/>
      <c r="AL765" s="37"/>
      <c r="AM765" s="37"/>
      <c r="AN765" s="37"/>
      <c r="AO765" s="37"/>
      <c r="AP765" s="37"/>
      <c r="AQ765" s="37"/>
      <c r="AR765" s="37"/>
      <c r="AS765" s="37"/>
      <c r="AT765" s="37"/>
      <c r="AU765" s="37"/>
      <c r="AV765" s="37"/>
      <c r="AW765" s="37"/>
      <c r="AX765" s="37"/>
      <c r="AY765" s="37"/>
      <c r="AZ765" s="37"/>
    </row>
    <row r="766" spans="1:52">
      <c r="A766" s="37"/>
      <c r="B766" s="37"/>
      <c r="C766" s="37"/>
      <c r="D766" s="37"/>
      <c r="E766" s="37"/>
      <c r="F766" s="37"/>
      <c r="G766" s="37"/>
      <c r="H766" s="37"/>
      <c r="I766" s="37"/>
      <c r="J766" s="37"/>
      <c r="K766" s="37"/>
      <c r="L766" s="37"/>
      <c r="M766" s="37"/>
      <c r="N766" s="37"/>
      <c r="O766" s="37"/>
      <c r="P766" s="37"/>
      <c r="Q766" s="37"/>
      <c r="R766" s="37"/>
      <c r="S766" s="37"/>
      <c r="T766" s="37"/>
      <c r="U766" s="37"/>
      <c r="V766" s="37"/>
      <c r="W766" s="37"/>
      <c r="X766" s="37"/>
      <c r="Y766" s="37"/>
      <c r="Z766" s="37"/>
      <c r="AA766" s="37"/>
      <c r="AB766" s="37"/>
      <c r="AC766" s="37"/>
      <c r="AD766" s="37"/>
      <c r="AE766" s="37"/>
      <c r="AF766" s="37"/>
      <c r="AG766" s="37"/>
      <c r="AH766" s="37"/>
      <c r="AI766" s="37"/>
      <c r="AJ766" s="37"/>
      <c r="AK766" s="37"/>
      <c r="AL766" s="37"/>
      <c r="AM766" s="37"/>
      <c r="AN766" s="37"/>
      <c r="AO766" s="37"/>
      <c r="AP766" s="37"/>
      <c r="AQ766" s="37"/>
      <c r="AR766" s="37"/>
      <c r="AS766" s="37"/>
      <c r="AT766" s="37"/>
      <c r="AU766" s="37"/>
      <c r="AV766" s="37"/>
      <c r="AW766" s="37"/>
      <c r="AX766" s="37"/>
      <c r="AY766" s="37"/>
      <c r="AZ766" s="37"/>
    </row>
    <row r="767" spans="1:52">
      <c r="A767" s="37"/>
      <c r="B767" s="37"/>
      <c r="C767" s="37"/>
      <c r="D767" s="37"/>
      <c r="E767" s="37"/>
      <c r="F767" s="37"/>
      <c r="G767" s="37"/>
      <c r="H767" s="37"/>
      <c r="I767" s="37"/>
      <c r="J767" s="37"/>
      <c r="K767" s="37"/>
      <c r="L767" s="37"/>
      <c r="M767" s="37"/>
      <c r="N767" s="37"/>
      <c r="O767" s="37"/>
      <c r="P767" s="37"/>
      <c r="Q767" s="37"/>
      <c r="R767" s="37"/>
      <c r="S767" s="37"/>
      <c r="T767" s="37"/>
      <c r="U767" s="37"/>
      <c r="V767" s="37"/>
      <c r="W767" s="37"/>
      <c r="X767" s="37"/>
      <c r="Y767" s="37"/>
      <c r="Z767" s="37"/>
      <c r="AA767" s="37"/>
      <c r="AB767" s="37"/>
      <c r="AC767" s="37"/>
      <c r="AD767" s="37"/>
      <c r="AE767" s="37"/>
      <c r="AF767" s="37"/>
      <c r="AG767" s="37"/>
      <c r="AH767" s="37"/>
      <c r="AI767" s="37"/>
      <c r="AJ767" s="37"/>
      <c r="AK767" s="37"/>
      <c r="AL767" s="37"/>
      <c r="AM767" s="37"/>
      <c r="AN767" s="37"/>
      <c r="AO767" s="37"/>
      <c r="AP767" s="37"/>
      <c r="AQ767" s="37"/>
      <c r="AR767" s="37"/>
      <c r="AS767" s="37"/>
      <c r="AT767" s="37"/>
      <c r="AU767" s="37"/>
      <c r="AV767" s="37"/>
      <c r="AW767" s="37"/>
      <c r="AX767" s="37"/>
      <c r="AY767" s="37"/>
      <c r="AZ767" s="37"/>
    </row>
    <row r="768" spans="1:52">
      <c r="A768" s="37"/>
      <c r="B768" s="37"/>
      <c r="C768" s="37"/>
      <c r="D768" s="37"/>
      <c r="E768" s="37"/>
      <c r="F768" s="37"/>
      <c r="G768" s="37"/>
      <c r="H768" s="37"/>
      <c r="I768" s="37"/>
      <c r="J768" s="37"/>
      <c r="K768" s="37"/>
      <c r="L768" s="37"/>
      <c r="M768" s="37"/>
      <c r="N768" s="37"/>
      <c r="O768" s="37"/>
      <c r="P768" s="37"/>
      <c r="Q768" s="37"/>
      <c r="R768" s="37"/>
      <c r="S768" s="37"/>
      <c r="T768" s="37"/>
      <c r="U768" s="37"/>
      <c r="V768" s="37"/>
      <c r="W768" s="37"/>
      <c r="X768" s="37"/>
      <c r="Y768" s="37"/>
      <c r="Z768" s="37"/>
      <c r="AA768" s="37"/>
      <c r="AB768" s="37"/>
      <c r="AC768" s="37"/>
      <c r="AD768" s="37"/>
      <c r="AE768" s="37"/>
      <c r="AF768" s="37"/>
      <c r="AG768" s="37"/>
      <c r="AH768" s="37"/>
      <c r="AI768" s="37"/>
      <c r="AJ768" s="37"/>
      <c r="AK768" s="37"/>
      <c r="AL768" s="37"/>
      <c r="AM768" s="37"/>
      <c r="AN768" s="37"/>
      <c r="AO768" s="37"/>
      <c r="AP768" s="37"/>
      <c r="AQ768" s="37"/>
      <c r="AR768" s="37"/>
      <c r="AS768" s="37"/>
      <c r="AT768" s="37"/>
      <c r="AU768" s="37"/>
      <c r="AV768" s="37"/>
      <c r="AW768" s="37"/>
      <c r="AX768" s="37"/>
      <c r="AY768" s="37"/>
      <c r="AZ768" s="37"/>
    </row>
    <row r="769" spans="1:52">
      <c r="A769" s="37"/>
      <c r="B769" s="37"/>
      <c r="C769" s="37"/>
      <c r="D769" s="37"/>
      <c r="E769" s="37"/>
      <c r="F769" s="37"/>
      <c r="G769" s="37"/>
      <c r="H769" s="37"/>
      <c r="I769" s="37"/>
      <c r="J769" s="37"/>
      <c r="K769" s="37"/>
      <c r="L769" s="37"/>
      <c r="M769" s="37"/>
      <c r="N769" s="37"/>
      <c r="O769" s="37"/>
      <c r="P769" s="37"/>
      <c r="Q769" s="37"/>
      <c r="R769" s="37"/>
      <c r="S769" s="37"/>
      <c r="T769" s="37"/>
      <c r="U769" s="37"/>
      <c r="V769" s="37"/>
      <c r="W769" s="37"/>
      <c r="X769" s="37"/>
      <c r="Y769" s="37"/>
      <c r="Z769" s="37"/>
      <c r="AA769" s="37"/>
      <c r="AB769" s="37"/>
      <c r="AC769" s="37"/>
      <c r="AD769" s="37"/>
      <c r="AE769" s="37"/>
      <c r="AF769" s="37"/>
      <c r="AG769" s="37"/>
      <c r="AH769" s="37"/>
      <c r="AI769" s="37"/>
      <c r="AJ769" s="37"/>
      <c r="AK769" s="37"/>
      <c r="AL769" s="37"/>
      <c r="AM769" s="37"/>
      <c r="AN769" s="37"/>
      <c r="AO769" s="37"/>
      <c r="AP769" s="37"/>
      <c r="AQ769" s="37"/>
      <c r="AR769" s="37"/>
      <c r="AS769" s="37"/>
      <c r="AT769" s="37"/>
      <c r="AU769" s="37"/>
      <c r="AV769" s="37"/>
      <c r="AW769" s="37"/>
      <c r="AX769" s="37"/>
      <c r="AY769" s="37"/>
      <c r="AZ769" s="37"/>
    </row>
    <row r="770" spans="1:52">
      <c r="A770" s="37"/>
      <c r="B770" s="37"/>
      <c r="C770" s="37"/>
      <c r="D770" s="37"/>
      <c r="E770" s="37"/>
      <c r="F770" s="37"/>
      <c r="G770" s="37"/>
      <c r="H770" s="37"/>
      <c r="I770" s="37"/>
      <c r="J770" s="37"/>
      <c r="K770" s="37"/>
      <c r="L770" s="37"/>
      <c r="M770" s="37"/>
      <c r="N770" s="37"/>
      <c r="O770" s="37"/>
      <c r="P770" s="37"/>
      <c r="Q770" s="37"/>
      <c r="R770" s="37"/>
      <c r="S770" s="37"/>
      <c r="T770" s="37"/>
      <c r="U770" s="37"/>
      <c r="V770" s="37"/>
      <c r="W770" s="37"/>
      <c r="X770" s="37"/>
      <c r="Y770" s="37"/>
      <c r="Z770" s="37"/>
      <c r="AA770" s="37"/>
      <c r="AB770" s="37"/>
      <c r="AC770" s="37"/>
      <c r="AD770" s="37"/>
      <c r="AE770" s="37"/>
      <c r="AF770" s="37"/>
      <c r="AG770" s="37"/>
      <c r="AH770" s="37"/>
      <c r="AI770" s="37"/>
      <c r="AJ770" s="37"/>
      <c r="AK770" s="37"/>
      <c r="AL770" s="37"/>
      <c r="AM770" s="37"/>
      <c r="AN770" s="37"/>
      <c r="AO770" s="37"/>
      <c r="AP770" s="37"/>
      <c r="AQ770" s="37"/>
      <c r="AR770" s="37"/>
      <c r="AS770" s="37"/>
      <c r="AT770" s="37"/>
      <c r="AU770" s="37"/>
      <c r="AV770" s="37"/>
      <c r="AW770" s="37"/>
      <c r="AX770" s="37"/>
      <c r="AY770" s="37"/>
      <c r="AZ770" s="37"/>
    </row>
    <row r="771" spans="1:52">
      <c r="A771" s="37"/>
      <c r="B771" s="37"/>
      <c r="C771" s="37"/>
      <c r="D771" s="37"/>
      <c r="E771" s="37"/>
      <c r="F771" s="37"/>
      <c r="G771" s="37"/>
      <c r="H771" s="37"/>
      <c r="I771" s="37"/>
      <c r="J771" s="37"/>
      <c r="K771" s="37"/>
      <c r="L771" s="37"/>
      <c r="M771" s="37"/>
      <c r="N771" s="37"/>
      <c r="O771" s="37"/>
      <c r="P771" s="37"/>
      <c r="Q771" s="37"/>
      <c r="R771" s="37"/>
      <c r="S771" s="37"/>
      <c r="T771" s="37"/>
      <c r="U771" s="37"/>
      <c r="V771" s="37"/>
      <c r="W771" s="37"/>
      <c r="X771" s="37"/>
      <c r="Y771" s="37"/>
      <c r="Z771" s="37"/>
      <c r="AA771" s="37"/>
      <c r="AB771" s="37"/>
      <c r="AC771" s="37"/>
      <c r="AD771" s="37"/>
      <c r="AE771" s="37"/>
      <c r="AF771" s="37"/>
      <c r="AG771" s="37"/>
      <c r="AH771" s="37"/>
      <c r="AI771" s="37"/>
      <c r="AJ771" s="37"/>
      <c r="AK771" s="37"/>
      <c r="AL771" s="37"/>
      <c r="AM771" s="37"/>
      <c r="AN771" s="37"/>
      <c r="AO771" s="37"/>
      <c r="AP771" s="37"/>
      <c r="AQ771" s="37"/>
      <c r="AR771" s="37"/>
      <c r="AS771" s="37"/>
      <c r="AT771" s="37"/>
      <c r="AU771" s="37"/>
      <c r="AV771" s="37"/>
      <c r="AW771" s="37"/>
      <c r="AX771" s="37"/>
      <c r="AY771" s="37"/>
      <c r="AZ771" s="37"/>
    </row>
    <row r="772" spans="1:52">
      <c r="A772" s="37"/>
      <c r="B772" s="37"/>
      <c r="C772" s="37"/>
      <c r="D772" s="37"/>
      <c r="E772" s="37"/>
      <c r="F772" s="37"/>
      <c r="G772" s="37"/>
      <c r="H772" s="37"/>
      <c r="I772" s="37"/>
      <c r="J772" s="37"/>
      <c r="K772" s="37"/>
      <c r="L772" s="37"/>
      <c r="M772" s="37"/>
      <c r="N772" s="37"/>
      <c r="O772" s="37"/>
      <c r="P772" s="37"/>
      <c r="Q772" s="37"/>
      <c r="R772" s="37"/>
      <c r="S772" s="37"/>
      <c r="T772" s="37"/>
      <c r="U772" s="37"/>
      <c r="V772" s="37"/>
      <c r="W772" s="37"/>
      <c r="X772" s="37"/>
      <c r="Y772" s="37"/>
      <c r="Z772" s="37"/>
      <c r="AA772" s="37"/>
      <c r="AB772" s="37"/>
      <c r="AC772" s="37"/>
      <c r="AD772" s="37"/>
      <c r="AE772" s="37"/>
      <c r="AF772" s="37"/>
      <c r="AG772" s="37"/>
      <c r="AH772" s="37"/>
      <c r="AI772" s="37"/>
      <c r="AJ772" s="37"/>
      <c r="AK772" s="37"/>
      <c r="AL772" s="37"/>
      <c r="AM772" s="37"/>
      <c r="AN772" s="37"/>
      <c r="AO772" s="37"/>
      <c r="AP772" s="37"/>
      <c r="AQ772" s="37"/>
      <c r="AR772" s="37"/>
      <c r="AS772" s="37"/>
      <c r="AT772" s="37"/>
      <c r="AU772" s="37"/>
      <c r="AV772" s="37"/>
      <c r="AW772" s="37"/>
      <c r="AX772" s="37"/>
      <c r="AY772" s="37"/>
      <c r="AZ772" s="37"/>
    </row>
    <row r="773" spans="1:52">
      <c r="A773" s="37"/>
      <c r="B773" s="37"/>
      <c r="C773" s="37"/>
      <c r="D773" s="37"/>
      <c r="E773" s="37"/>
      <c r="F773" s="37"/>
      <c r="G773" s="37"/>
      <c r="H773" s="37"/>
      <c r="I773" s="37"/>
      <c r="J773" s="37"/>
      <c r="K773" s="37"/>
      <c r="L773" s="37"/>
      <c r="M773" s="37"/>
      <c r="N773" s="37"/>
      <c r="O773" s="37"/>
      <c r="P773" s="37"/>
      <c r="Q773" s="37"/>
      <c r="R773" s="37"/>
      <c r="S773" s="37"/>
      <c r="T773" s="37"/>
      <c r="U773" s="37"/>
      <c r="V773" s="37"/>
      <c r="W773" s="37"/>
      <c r="X773" s="37"/>
      <c r="Y773" s="37"/>
      <c r="Z773" s="37"/>
      <c r="AA773" s="37"/>
      <c r="AB773" s="37"/>
      <c r="AC773" s="37"/>
      <c r="AD773" s="37"/>
      <c r="AE773" s="37"/>
      <c r="AF773" s="37"/>
      <c r="AG773" s="37"/>
      <c r="AH773" s="37"/>
      <c r="AI773" s="37"/>
      <c r="AJ773" s="37"/>
      <c r="AK773" s="37"/>
      <c r="AL773" s="37"/>
      <c r="AM773" s="37"/>
      <c r="AN773" s="37"/>
      <c r="AO773" s="37"/>
      <c r="AP773" s="37"/>
      <c r="AQ773" s="37"/>
      <c r="AR773" s="37"/>
      <c r="AS773" s="37"/>
      <c r="AT773" s="37"/>
      <c r="AU773" s="37"/>
      <c r="AV773" s="37"/>
      <c r="AW773" s="37"/>
      <c r="AX773" s="37"/>
      <c r="AY773" s="37"/>
      <c r="AZ773" s="37"/>
    </row>
    <row r="774" spans="1:52">
      <c r="A774" s="37"/>
      <c r="B774" s="37"/>
      <c r="C774" s="37"/>
      <c r="D774" s="37"/>
      <c r="E774" s="37"/>
      <c r="F774" s="37"/>
      <c r="G774" s="37"/>
      <c r="H774" s="37"/>
      <c r="I774" s="37"/>
      <c r="J774" s="37"/>
      <c r="K774" s="37"/>
      <c r="L774" s="37"/>
      <c r="M774" s="37"/>
      <c r="N774" s="37"/>
      <c r="O774" s="37"/>
      <c r="P774" s="37"/>
      <c r="Q774" s="37"/>
      <c r="R774" s="37"/>
      <c r="S774" s="37"/>
      <c r="T774" s="37"/>
      <c r="U774" s="37"/>
      <c r="V774" s="37"/>
      <c r="W774" s="37"/>
      <c r="X774" s="37"/>
      <c r="Y774" s="37"/>
      <c r="Z774" s="37"/>
      <c r="AA774" s="37"/>
      <c r="AB774" s="37"/>
      <c r="AC774" s="37"/>
      <c r="AD774" s="37"/>
      <c r="AE774" s="37"/>
      <c r="AF774" s="37"/>
      <c r="AG774" s="37"/>
      <c r="AH774" s="37"/>
      <c r="AI774" s="37"/>
      <c r="AJ774" s="37"/>
      <c r="AK774" s="37"/>
      <c r="AL774" s="37"/>
      <c r="AM774" s="37"/>
      <c r="AN774" s="37"/>
      <c r="AO774" s="37"/>
      <c r="AP774" s="37"/>
      <c r="AQ774" s="37"/>
      <c r="AR774" s="37"/>
      <c r="AS774" s="37"/>
      <c r="AT774" s="37"/>
      <c r="AU774" s="37"/>
      <c r="AV774" s="37"/>
      <c r="AW774" s="37"/>
      <c r="AX774" s="37"/>
      <c r="AY774" s="37"/>
      <c r="AZ774" s="37"/>
    </row>
    <row r="775" spans="1:52">
      <c r="A775" s="37"/>
      <c r="B775" s="37"/>
      <c r="C775" s="37"/>
      <c r="D775" s="37"/>
      <c r="E775" s="37"/>
      <c r="F775" s="37"/>
      <c r="G775" s="37"/>
      <c r="H775" s="37"/>
      <c r="I775" s="37"/>
      <c r="J775" s="37"/>
      <c r="K775" s="37"/>
      <c r="L775" s="37"/>
      <c r="M775" s="37"/>
      <c r="N775" s="37"/>
      <c r="O775" s="37"/>
      <c r="P775" s="37"/>
      <c r="Q775" s="37"/>
      <c r="R775" s="37"/>
      <c r="S775" s="37"/>
      <c r="T775" s="37"/>
      <c r="U775" s="37"/>
      <c r="V775" s="37"/>
      <c r="W775" s="37"/>
      <c r="X775" s="37"/>
      <c r="Y775" s="37"/>
      <c r="Z775" s="37"/>
      <c r="AA775" s="37"/>
      <c r="AB775" s="37"/>
      <c r="AC775" s="37"/>
      <c r="AD775" s="37"/>
      <c r="AE775" s="37"/>
      <c r="AF775" s="37"/>
      <c r="AG775" s="37"/>
      <c r="AH775" s="37"/>
      <c r="AI775" s="37"/>
      <c r="AJ775" s="37"/>
      <c r="AK775" s="37"/>
      <c r="AL775" s="37"/>
      <c r="AM775" s="37"/>
      <c r="AN775" s="37"/>
      <c r="AO775" s="37"/>
      <c r="AP775" s="37"/>
      <c r="AQ775" s="37"/>
      <c r="AR775" s="37"/>
      <c r="AS775" s="37"/>
      <c r="AT775" s="37"/>
      <c r="AU775" s="37"/>
      <c r="AV775" s="37"/>
      <c r="AW775" s="37"/>
      <c r="AX775" s="37"/>
      <c r="AY775" s="37"/>
      <c r="AZ775" s="37"/>
    </row>
    <row r="776" spans="1:52">
      <c r="A776" s="37"/>
      <c r="B776" s="37"/>
      <c r="C776" s="37"/>
      <c r="D776" s="37"/>
      <c r="E776" s="37"/>
      <c r="F776" s="37"/>
      <c r="G776" s="37"/>
      <c r="H776" s="37"/>
      <c r="I776" s="37"/>
      <c r="J776" s="37"/>
      <c r="K776" s="37"/>
      <c r="L776" s="37"/>
      <c r="M776" s="37"/>
      <c r="N776" s="37"/>
      <c r="O776" s="37"/>
      <c r="P776" s="37"/>
      <c r="Q776" s="37"/>
      <c r="R776" s="37"/>
      <c r="S776" s="37"/>
      <c r="T776" s="37"/>
      <c r="U776" s="37"/>
      <c r="V776" s="37"/>
      <c r="W776" s="37"/>
      <c r="X776" s="37"/>
      <c r="Y776" s="37"/>
      <c r="Z776" s="37"/>
      <c r="AA776" s="37"/>
      <c r="AB776" s="37"/>
      <c r="AC776" s="37"/>
      <c r="AD776" s="37"/>
      <c r="AE776" s="37"/>
      <c r="AF776" s="37"/>
      <c r="AG776" s="37"/>
      <c r="AH776" s="37"/>
      <c r="AI776" s="37"/>
      <c r="AJ776" s="37"/>
      <c r="AK776" s="37"/>
      <c r="AL776" s="37"/>
      <c r="AM776" s="37"/>
      <c r="AN776" s="37"/>
      <c r="AO776" s="37"/>
      <c r="AP776" s="37"/>
      <c r="AQ776" s="37"/>
      <c r="AR776" s="37"/>
      <c r="AS776" s="37"/>
      <c r="AT776" s="37"/>
      <c r="AU776" s="37"/>
      <c r="AV776" s="37"/>
      <c r="AW776" s="37"/>
      <c r="AX776" s="37"/>
      <c r="AY776" s="37"/>
      <c r="AZ776" s="37"/>
    </row>
    <row r="777" spans="1:52">
      <c r="A777" s="37"/>
      <c r="B777" s="37"/>
      <c r="C777" s="37"/>
      <c r="D777" s="37"/>
      <c r="E777" s="37"/>
      <c r="F777" s="37"/>
      <c r="G777" s="37"/>
      <c r="H777" s="37"/>
      <c r="I777" s="37"/>
      <c r="J777" s="37"/>
      <c r="K777" s="37"/>
      <c r="L777" s="37"/>
      <c r="M777" s="37"/>
      <c r="N777" s="37"/>
      <c r="O777" s="37"/>
      <c r="P777" s="37"/>
      <c r="Q777" s="37"/>
      <c r="R777" s="37"/>
      <c r="S777" s="37"/>
      <c r="T777" s="37"/>
      <c r="U777" s="37"/>
      <c r="V777" s="37"/>
      <c r="W777" s="37"/>
      <c r="X777" s="37"/>
      <c r="Y777" s="37"/>
      <c r="Z777" s="37"/>
      <c r="AA777" s="37"/>
      <c r="AB777" s="37"/>
      <c r="AC777" s="37"/>
      <c r="AD777" s="37"/>
      <c r="AE777" s="37"/>
      <c r="AF777" s="37"/>
      <c r="AG777" s="37"/>
      <c r="AH777" s="37"/>
      <c r="AI777" s="37"/>
      <c r="AJ777" s="37"/>
      <c r="AK777" s="37"/>
      <c r="AL777" s="37"/>
      <c r="AM777" s="37"/>
      <c r="AN777" s="37"/>
      <c r="AO777" s="37"/>
      <c r="AP777" s="37"/>
      <c r="AQ777" s="37"/>
      <c r="AR777" s="37"/>
      <c r="AS777" s="37"/>
      <c r="AT777" s="37"/>
      <c r="AU777" s="37"/>
      <c r="AV777" s="37"/>
      <c r="AW777" s="37"/>
      <c r="AX777" s="37"/>
      <c r="AY777" s="37"/>
      <c r="AZ777" s="37"/>
    </row>
    <row r="778" spans="1:52">
      <c r="A778" s="37"/>
      <c r="B778" s="37"/>
      <c r="C778" s="37"/>
      <c r="D778" s="37"/>
      <c r="E778" s="37"/>
      <c r="F778" s="37"/>
      <c r="G778" s="37"/>
      <c r="H778" s="37"/>
      <c r="I778" s="37"/>
      <c r="J778" s="37"/>
      <c r="K778" s="37"/>
      <c r="L778" s="37"/>
      <c r="M778" s="37"/>
      <c r="N778" s="37"/>
      <c r="O778" s="37"/>
      <c r="P778" s="37"/>
      <c r="Q778" s="37"/>
      <c r="R778" s="37"/>
      <c r="S778" s="37"/>
      <c r="T778" s="37"/>
      <c r="U778" s="37"/>
      <c r="V778" s="37"/>
      <c r="W778" s="37"/>
      <c r="X778" s="37"/>
      <c r="Y778" s="37"/>
      <c r="Z778" s="37"/>
      <c r="AA778" s="37"/>
      <c r="AB778" s="37"/>
      <c r="AC778" s="37"/>
      <c r="AD778" s="37"/>
      <c r="AE778" s="37"/>
      <c r="AF778" s="37"/>
      <c r="AG778" s="37"/>
      <c r="AH778" s="37"/>
      <c r="AI778" s="37"/>
      <c r="AJ778" s="37"/>
      <c r="AK778" s="37"/>
      <c r="AL778" s="37"/>
      <c r="AM778" s="37"/>
      <c r="AN778" s="37"/>
      <c r="AO778" s="37"/>
      <c r="AP778" s="37"/>
      <c r="AQ778" s="37"/>
      <c r="AR778" s="37"/>
      <c r="AS778" s="37"/>
      <c r="AT778" s="37"/>
      <c r="AU778" s="37"/>
      <c r="AV778" s="37"/>
      <c r="AW778" s="37"/>
      <c r="AX778" s="37"/>
      <c r="AY778" s="37"/>
      <c r="AZ778" s="37"/>
    </row>
    <row r="779" spans="1:52">
      <c r="A779" s="37"/>
      <c r="B779" s="37"/>
      <c r="C779" s="37"/>
      <c r="D779" s="37"/>
      <c r="E779" s="37"/>
      <c r="F779" s="37"/>
      <c r="G779" s="37"/>
      <c r="H779" s="37"/>
      <c r="I779" s="37"/>
      <c r="J779" s="37"/>
      <c r="K779" s="37"/>
      <c r="L779" s="37"/>
      <c r="M779" s="37"/>
      <c r="N779" s="37"/>
      <c r="O779" s="37"/>
      <c r="P779" s="37"/>
      <c r="Q779" s="37"/>
      <c r="R779" s="37"/>
      <c r="S779" s="37"/>
      <c r="T779" s="37"/>
      <c r="U779" s="37"/>
      <c r="V779" s="37"/>
      <c r="W779" s="37"/>
      <c r="X779" s="37"/>
      <c r="Y779" s="37"/>
      <c r="Z779" s="37"/>
      <c r="AA779" s="37"/>
      <c r="AB779" s="37"/>
      <c r="AC779" s="37"/>
      <c r="AD779" s="37"/>
      <c r="AE779" s="37"/>
      <c r="AF779" s="37"/>
      <c r="AG779" s="37"/>
      <c r="AH779" s="37"/>
      <c r="AI779" s="37"/>
      <c r="AJ779" s="37"/>
      <c r="AK779" s="37"/>
      <c r="AL779" s="37"/>
      <c r="AM779" s="37"/>
      <c r="AN779" s="37"/>
      <c r="AO779" s="37"/>
      <c r="AP779" s="37"/>
      <c r="AQ779" s="37"/>
      <c r="AR779" s="37"/>
      <c r="AS779" s="37"/>
      <c r="AT779" s="37"/>
      <c r="AU779" s="37"/>
      <c r="AV779" s="37"/>
      <c r="AW779" s="37"/>
      <c r="AX779" s="37"/>
      <c r="AY779" s="37"/>
      <c r="AZ779" s="37"/>
    </row>
    <row r="780" spans="1:52">
      <c r="A780" s="37"/>
      <c r="B780" s="37"/>
      <c r="C780" s="37"/>
      <c r="D780" s="37"/>
      <c r="E780" s="37"/>
      <c r="F780" s="37"/>
      <c r="G780" s="37"/>
      <c r="H780" s="37"/>
      <c r="I780" s="37"/>
      <c r="J780" s="37"/>
      <c r="K780" s="37"/>
      <c r="L780" s="37"/>
      <c r="M780" s="37"/>
      <c r="N780" s="37"/>
      <c r="O780" s="37"/>
      <c r="P780" s="37"/>
      <c r="Q780" s="37"/>
      <c r="R780" s="37"/>
      <c r="S780" s="37"/>
      <c r="T780" s="37"/>
      <c r="U780" s="37"/>
      <c r="V780" s="37"/>
      <c r="W780" s="37"/>
      <c r="X780" s="37"/>
      <c r="Y780" s="37"/>
      <c r="Z780" s="37"/>
      <c r="AA780" s="37"/>
      <c r="AB780" s="37"/>
      <c r="AC780" s="37"/>
      <c r="AD780" s="37"/>
      <c r="AE780" s="37"/>
      <c r="AF780" s="37"/>
      <c r="AG780" s="37"/>
      <c r="AH780" s="37"/>
      <c r="AI780" s="37"/>
      <c r="AJ780" s="37"/>
      <c r="AK780" s="37"/>
      <c r="AL780" s="37"/>
      <c r="AM780" s="37"/>
      <c r="AN780" s="37"/>
      <c r="AO780" s="37"/>
      <c r="AP780" s="37"/>
      <c r="AQ780" s="37"/>
      <c r="AR780" s="37"/>
      <c r="AS780" s="37"/>
      <c r="AT780" s="37"/>
      <c r="AU780" s="37"/>
      <c r="AV780" s="37"/>
      <c r="AW780" s="37"/>
      <c r="AX780" s="37"/>
      <c r="AY780" s="37"/>
      <c r="AZ780" s="37"/>
    </row>
    <row r="781" spans="1:52">
      <c r="A781" s="37"/>
      <c r="B781" s="37"/>
      <c r="C781" s="37"/>
      <c r="D781" s="37"/>
      <c r="E781" s="37"/>
      <c r="F781" s="37"/>
      <c r="G781" s="37"/>
      <c r="H781" s="37"/>
      <c r="I781" s="37"/>
      <c r="J781" s="37"/>
      <c r="K781" s="37"/>
      <c r="L781" s="37"/>
      <c r="M781" s="37"/>
      <c r="N781" s="37"/>
      <c r="O781" s="37"/>
      <c r="P781" s="37"/>
      <c r="Q781" s="37"/>
      <c r="R781" s="37"/>
      <c r="S781" s="37"/>
      <c r="T781" s="37"/>
      <c r="U781" s="37"/>
      <c r="V781" s="37"/>
      <c r="W781" s="37"/>
      <c r="X781" s="37"/>
      <c r="Y781" s="37"/>
      <c r="Z781" s="37"/>
      <c r="AA781" s="37"/>
      <c r="AB781" s="37"/>
      <c r="AC781" s="37"/>
      <c r="AD781" s="37"/>
      <c r="AE781" s="37"/>
      <c r="AF781" s="37"/>
      <c r="AG781" s="37"/>
      <c r="AH781" s="37"/>
      <c r="AI781" s="37"/>
      <c r="AJ781" s="37"/>
      <c r="AK781" s="37"/>
      <c r="AL781" s="37"/>
      <c r="AM781" s="37"/>
      <c r="AN781" s="37"/>
      <c r="AO781" s="37"/>
      <c r="AP781" s="37"/>
      <c r="AQ781" s="37"/>
      <c r="AR781" s="37"/>
      <c r="AS781" s="37"/>
      <c r="AT781" s="37"/>
      <c r="AU781" s="37"/>
      <c r="AV781" s="37"/>
      <c r="AW781" s="37"/>
      <c r="AX781" s="37"/>
      <c r="AY781" s="37"/>
      <c r="AZ781" s="37"/>
    </row>
    <row r="782" spans="1:52">
      <c r="A782" s="37"/>
      <c r="B782" s="37"/>
      <c r="C782" s="37"/>
      <c r="D782" s="37"/>
      <c r="E782" s="37"/>
      <c r="F782" s="37"/>
      <c r="G782" s="37"/>
      <c r="H782" s="37"/>
      <c r="I782" s="37"/>
      <c r="J782" s="37"/>
      <c r="K782" s="37"/>
      <c r="L782" s="37"/>
      <c r="M782" s="37"/>
      <c r="N782" s="37"/>
      <c r="O782" s="37"/>
      <c r="P782" s="37"/>
      <c r="Q782" s="37"/>
      <c r="R782" s="37"/>
      <c r="S782" s="37"/>
      <c r="T782" s="37"/>
      <c r="U782" s="37"/>
      <c r="V782" s="37"/>
      <c r="W782" s="37"/>
      <c r="X782" s="37"/>
      <c r="Y782" s="37"/>
      <c r="Z782" s="37"/>
      <c r="AA782" s="37"/>
      <c r="AB782" s="37"/>
      <c r="AC782" s="37"/>
      <c r="AD782" s="37"/>
      <c r="AE782" s="37"/>
      <c r="AF782" s="37"/>
      <c r="AG782" s="37"/>
      <c r="AH782" s="37"/>
      <c r="AI782" s="37"/>
      <c r="AJ782" s="37"/>
      <c r="AK782" s="37"/>
      <c r="AL782" s="37"/>
      <c r="AM782" s="37"/>
      <c r="AN782" s="37"/>
      <c r="AO782" s="37"/>
      <c r="AP782" s="37"/>
      <c r="AQ782" s="37"/>
      <c r="AR782" s="37"/>
      <c r="AS782" s="37"/>
      <c r="AT782" s="37"/>
      <c r="AU782" s="37"/>
      <c r="AV782" s="37"/>
      <c r="AW782" s="37"/>
      <c r="AX782" s="37"/>
      <c r="AY782" s="37"/>
      <c r="AZ782" s="37"/>
    </row>
    <row r="783" spans="1:52">
      <c r="A783" s="37"/>
      <c r="B783" s="37"/>
      <c r="C783" s="37"/>
      <c r="D783" s="37"/>
      <c r="E783" s="37"/>
      <c r="F783" s="37"/>
      <c r="G783" s="37"/>
      <c r="H783" s="37"/>
      <c r="I783" s="37"/>
      <c r="J783" s="37"/>
      <c r="K783" s="37"/>
      <c r="L783" s="37"/>
      <c r="M783" s="37"/>
      <c r="N783" s="37"/>
      <c r="O783" s="37"/>
      <c r="P783" s="37"/>
      <c r="Q783" s="37"/>
      <c r="R783" s="37"/>
      <c r="S783" s="37"/>
      <c r="T783" s="37"/>
      <c r="U783" s="37"/>
      <c r="V783" s="37"/>
      <c r="W783" s="37"/>
      <c r="X783" s="37"/>
      <c r="Y783" s="37"/>
      <c r="Z783" s="37"/>
      <c r="AA783" s="37"/>
      <c r="AB783" s="37"/>
      <c r="AC783" s="37"/>
      <c r="AD783" s="37"/>
      <c r="AE783" s="37"/>
      <c r="AF783" s="37"/>
      <c r="AG783" s="37"/>
      <c r="AH783" s="37"/>
      <c r="AI783" s="37"/>
      <c r="AJ783" s="37"/>
      <c r="AK783" s="37"/>
      <c r="AL783" s="37"/>
      <c r="AM783" s="37"/>
      <c r="AN783" s="37"/>
      <c r="AO783" s="37"/>
      <c r="AP783" s="37"/>
      <c r="AQ783" s="37"/>
      <c r="AR783" s="37"/>
      <c r="AS783" s="37"/>
      <c r="AT783" s="37"/>
      <c r="AU783" s="37"/>
      <c r="AV783" s="37"/>
      <c r="AW783" s="37"/>
      <c r="AX783" s="37"/>
      <c r="AY783" s="37"/>
      <c r="AZ783" s="37"/>
    </row>
    <row r="784" spans="1:52">
      <c r="A784" s="37"/>
      <c r="B784" s="37"/>
      <c r="C784" s="37"/>
      <c r="D784" s="37"/>
      <c r="E784" s="37"/>
      <c r="F784" s="37"/>
      <c r="G784" s="37"/>
      <c r="H784" s="37"/>
      <c r="I784" s="37"/>
      <c r="J784" s="37"/>
      <c r="K784" s="37"/>
      <c r="L784" s="37"/>
      <c r="M784" s="37"/>
      <c r="N784" s="37"/>
      <c r="O784" s="37"/>
      <c r="P784" s="37"/>
      <c r="Q784" s="37"/>
      <c r="R784" s="37"/>
      <c r="S784" s="37"/>
      <c r="T784" s="37"/>
      <c r="U784" s="37"/>
      <c r="V784" s="37"/>
      <c r="W784" s="37"/>
      <c r="X784" s="37"/>
      <c r="Y784" s="37"/>
      <c r="Z784" s="37"/>
      <c r="AA784" s="37"/>
      <c r="AB784" s="37"/>
      <c r="AC784" s="37"/>
      <c r="AD784" s="37"/>
      <c r="AE784" s="37"/>
      <c r="AF784" s="37"/>
      <c r="AG784" s="37"/>
      <c r="AH784" s="37"/>
      <c r="AI784" s="37"/>
      <c r="AJ784" s="37"/>
      <c r="AK784" s="37"/>
      <c r="AL784" s="37"/>
      <c r="AM784" s="37"/>
      <c r="AN784" s="37"/>
      <c r="AO784" s="37"/>
      <c r="AP784" s="37"/>
      <c r="AQ784" s="37"/>
      <c r="AR784" s="37"/>
      <c r="AS784" s="37"/>
      <c r="AT784" s="37"/>
      <c r="AU784" s="37"/>
      <c r="AV784" s="37"/>
      <c r="AW784" s="37"/>
      <c r="AX784" s="37"/>
      <c r="AY784" s="37"/>
      <c r="AZ784" s="37"/>
    </row>
    <row r="785" spans="1:52">
      <c r="A785" s="37"/>
      <c r="B785" s="37"/>
      <c r="C785" s="37"/>
      <c r="D785" s="37"/>
      <c r="E785" s="37"/>
      <c r="F785" s="37"/>
      <c r="G785" s="37"/>
      <c r="H785" s="37"/>
      <c r="I785" s="37"/>
      <c r="J785" s="37"/>
      <c r="K785" s="37"/>
      <c r="L785" s="37"/>
      <c r="M785" s="37"/>
      <c r="N785" s="37"/>
      <c r="O785" s="37"/>
      <c r="P785" s="37"/>
      <c r="Q785" s="37"/>
      <c r="R785" s="37"/>
      <c r="S785" s="37"/>
      <c r="T785" s="37"/>
      <c r="U785" s="37"/>
      <c r="V785" s="37"/>
      <c r="W785" s="37"/>
      <c r="X785" s="37"/>
      <c r="Y785" s="37"/>
      <c r="Z785" s="37"/>
      <c r="AA785" s="37"/>
      <c r="AB785" s="37"/>
      <c r="AC785" s="37"/>
      <c r="AD785" s="37"/>
      <c r="AE785" s="37"/>
      <c r="AF785" s="37"/>
      <c r="AG785" s="37"/>
      <c r="AH785" s="37"/>
      <c r="AI785" s="37"/>
      <c r="AJ785" s="37"/>
      <c r="AK785" s="37"/>
      <c r="AL785" s="37"/>
      <c r="AM785" s="37"/>
      <c r="AN785" s="37"/>
      <c r="AO785" s="37"/>
      <c r="AP785" s="37"/>
      <c r="AQ785" s="37"/>
      <c r="AR785" s="37"/>
      <c r="AS785" s="37"/>
      <c r="AT785" s="37"/>
      <c r="AU785" s="37"/>
      <c r="AV785" s="37"/>
      <c r="AW785" s="37"/>
      <c r="AX785" s="37"/>
      <c r="AY785" s="37"/>
      <c r="AZ785" s="37"/>
    </row>
    <row r="786" spans="1:52">
      <c r="A786" s="37"/>
      <c r="B786" s="37"/>
      <c r="C786" s="37"/>
      <c r="D786" s="37"/>
      <c r="E786" s="37"/>
      <c r="F786" s="37"/>
      <c r="G786" s="37"/>
      <c r="H786" s="37"/>
      <c r="I786" s="37"/>
      <c r="J786" s="37"/>
      <c r="K786" s="37"/>
      <c r="L786" s="37"/>
      <c r="M786" s="37"/>
      <c r="N786" s="37"/>
      <c r="O786" s="37"/>
      <c r="P786" s="37"/>
      <c r="Q786" s="37"/>
      <c r="R786" s="37"/>
      <c r="S786" s="37"/>
      <c r="T786" s="37"/>
      <c r="U786" s="37"/>
      <c r="V786" s="37"/>
      <c r="W786" s="37"/>
      <c r="X786" s="37"/>
      <c r="Y786" s="37"/>
      <c r="Z786" s="37"/>
      <c r="AA786" s="37"/>
      <c r="AB786" s="37"/>
      <c r="AC786" s="37"/>
      <c r="AD786" s="37"/>
      <c r="AE786" s="37"/>
      <c r="AF786" s="37"/>
      <c r="AG786" s="37"/>
      <c r="AH786" s="37"/>
      <c r="AI786" s="37"/>
      <c r="AJ786" s="37"/>
      <c r="AK786" s="37"/>
      <c r="AL786" s="37"/>
      <c r="AM786" s="37"/>
      <c r="AN786" s="37"/>
      <c r="AO786" s="37"/>
      <c r="AP786" s="37"/>
      <c r="AQ786" s="37"/>
      <c r="AR786" s="37"/>
      <c r="AS786" s="37"/>
      <c r="AT786" s="37"/>
      <c r="AU786" s="37"/>
      <c r="AV786" s="37"/>
      <c r="AW786" s="37"/>
      <c r="AX786" s="37"/>
      <c r="AY786" s="37"/>
      <c r="AZ786" s="37"/>
    </row>
    <row r="787" spans="1:52">
      <c r="A787" s="37"/>
      <c r="B787" s="37"/>
      <c r="C787" s="37"/>
      <c r="D787" s="37"/>
      <c r="E787" s="37"/>
      <c r="F787" s="37"/>
      <c r="G787" s="37"/>
      <c r="H787" s="37"/>
      <c r="I787" s="37"/>
      <c r="J787" s="37"/>
      <c r="K787" s="37"/>
      <c r="L787" s="37"/>
      <c r="M787" s="37"/>
      <c r="N787" s="37"/>
      <c r="O787" s="37"/>
      <c r="P787" s="37"/>
      <c r="Q787" s="37"/>
      <c r="R787" s="37"/>
      <c r="S787" s="37"/>
      <c r="T787" s="37"/>
      <c r="U787" s="37"/>
      <c r="V787" s="37"/>
      <c r="W787" s="37"/>
      <c r="X787" s="37"/>
      <c r="Y787" s="37"/>
      <c r="Z787" s="37"/>
      <c r="AA787" s="37"/>
      <c r="AB787" s="37"/>
      <c r="AC787" s="37"/>
      <c r="AD787" s="37"/>
      <c r="AE787" s="37"/>
      <c r="AF787" s="37"/>
      <c r="AG787" s="37"/>
      <c r="AH787" s="37"/>
      <c r="AI787" s="37"/>
      <c r="AJ787" s="37"/>
      <c r="AK787" s="37"/>
      <c r="AL787" s="37"/>
      <c r="AM787" s="37"/>
      <c r="AN787" s="37"/>
      <c r="AO787" s="37"/>
      <c r="AP787" s="37"/>
      <c r="AQ787" s="37"/>
      <c r="AR787" s="37"/>
      <c r="AS787" s="37"/>
      <c r="AT787" s="37"/>
      <c r="AU787" s="37"/>
      <c r="AV787" s="37"/>
      <c r="AW787" s="37"/>
      <c r="AX787" s="37"/>
      <c r="AY787" s="37"/>
      <c r="AZ787" s="37"/>
    </row>
    <row r="788" spans="1:52">
      <c r="A788" s="37"/>
      <c r="B788" s="37"/>
      <c r="C788" s="37"/>
      <c r="D788" s="37"/>
      <c r="E788" s="37"/>
      <c r="F788" s="37"/>
      <c r="G788" s="37"/>
      <c r="H788" s="37"/>
      <c r="I788" s="37"/>
      <c r="J788" s="37"/>
      <c r="K788" s="37"/>
      <c r="L788" s="37"/>
      <c r="M788" s="37"/>
      <c r="N788" s="37"/>
      <c r="O788" s="37"/>
      <c r="P788" s="37"/>
      <c r="Q788" s="37"/>
      <c r="R788" s="37"/>
      <c r="S788" s="37"/>
      <c r="T788" s="37"/>
      <c r="U788" s="37"/>
      <c r="V788" s="37"/>
      <c r="W788" s="37"/>
      <c r="X788" s="37"/>
      <c r="Y788" s="37"/>
      <c r="Z788" s="37"/>
      <c r="AA788" s="37"/>
      <c r="AB788" s="37"/>
      <c r="AC788" s="37"/>
      <c r="AD788" s="37"/>
      <c r="AE788" s="37"/>
      <c r="AF788" s="37"/>
      <c r="AG788" s="37"/>
      <c r="AH788" s="37"/>
      <c r="AI788" s="37"/>
      <c r="AJ788" s="37"/>
      <c r="AK788" s="37"/>
      <c r="AL788" s="37"/>
      <c r="AM788" s="37"/>
      <c r="AN788" s="37"/>
      <c r="AO788" s="37"/>
      <c r="AP788" s="37"/>
      <c r="AQ788" s="37"/>
      <c r="AR788" s="37"/>
      <c r="AS788" s="37"/>
      <c r="AT788" s="37"/>
      <c r="AU788" s="37"/>
      <c r="AV788" s="37"/>
      <c r="AW788" s="37"/>
      <c r="AX788" s="37"/>
      <c r="AY788" s="37"/>
      <c r="AZ788" s="37"/>
    </row>
    <row r="789" spans="1:52">
      <c r="A789" s="37"/>
      <c r="B789" s="37"/>
      <c r="C789" s="37"/>
      <c r="D789" s="37"/>
      <c r="E789" s="37"/>
      <c r="F789" s="37"/>
      <c r="G789" s="37"/>
      <c r="H789" s="37"/>
      <c r="I789" s="37"/>
      <c r="J789" s="37"/>
      <c r="K789" s="37"/>
      <c r="L789" s="37"/>
      <c r="M789" s="37"/>
      <c r="N789" s="37"/>
      <c r="O789" s="37"/>
      <c r="P789" s="37"/>
      <c r="Q789" s="37"/>
      <c r="R789" s="37"/>
      <c r="S789" s="37"/>
      <c r="T789" s="37"/>
      <c r="U789" s="37"/>
      <c r="V789" s="37"/>
      <c r="W789" s="37"/>
      <c r="X789" s="37"/>
      <c r="Y789" s="37"/>
      <c r="Z789" s="37"/>
      <c r="AA789" s="37"/>
      <c r="AB789" s="37"/>
      <c r="AC789" s="37"/>
      <c r="AD789" s="37"/>
      <c r="AE789" s="37"/>
      <c r="AF789" s="37"/>
      <c r="AG789" s="37"/>
      <c r="AH789" s="37"/>
      <c r="AI789" s="37"/>
      <c r="AJ789" s="37"/>
      <c r="AK789" s="37"/>
      <c r="AL789" s="37"/>
      <c r="AM789" s="37"/>
      <c r="AN789" s="37"/>
      <c r="AO789" s="37"/>
      <c r="AP789" s="37"/>
      <c r="AQ789" s="37"/>
      <c r="AR789" s="37"/>
      <c r="AS789" s="37"/>
      <c r="AT789" s="37"/>
      <c r="AU789" s="37"/>
      <c r="AV789" s="37"/>
      <c r="AW789" s="37"/>
      <c r="AX789" s="37"/>
      <c r="AY789" s="37"/>
      <c r="AZ789" s="37"/>
    </row>
    <row r="790" spans="1:52">
      <c r="A790" s="37"/>
      <c r="B790" s="37"/>
      <c r="C790" s="37"/>
      <c r="D790" s="37"/>
      <c r="E790" s="37"/>
      <c r="F790" s="37"/>
      <c r="G790" s="37"/>
      <c r="H790" s="37"/>
      <c r="I790" s="37"/>
      <c r="J790" s="37"/>
      <c r="K790" s="37"/>
      <c r="L790" s="37"/>
      <c r="M790" s="37"/>
      <c r="N790" s="37"/>
      <c r="O790" s="37"/>
      <c r="P790" s="37"/>
      <c r="Q790" s="37"/>
      <c r="R790" s="37"/>
      <c r="S790" s="37"/>
      <c r="T790" s="37"/>
      <c r="U790" s="37"/>
      <c r="V790" s="37"/>
      <c r="W790" s="37"/>
      <c r="X790" s="37"/>
      <c r="Y790" s="37"/>
      <c r="Z790" s="37"/>
      <c r="AA790" s="37"/>
      <c r="AB790" s="37"/>
      <c r="AC790" s="37"/>
      <c r="AD790" s="37"/>
      <c r="AE790" s="37"/>
      <c r="AF790" s="37"/>
      <c r="AG790" s="37"/>
      <c r="AH790" s="37"/>
      <c r="AI790" s="37"/>
      <c r="AJ790" s="37"/>
      <c r="AK790" s="37"/>
      <c r="AL790" s="37"/>
      <c r="AM790" s="37"/>
      <c r="AN790" s="37"/>
      <c r="AO790" s="37"/>
      <c r="AP790" s="37"/>
      <c r="AQ790" s="37"/>
      <c r="AR790" s="37"/>
      <c r="AS790" s="37"/>
      <c r="AT790" s="37"/>
      <c r="AU790" s="37"/>
      <c r="AV790" s="37"/>
      <c r="AW790" s="37"/>
      <c r="AX790" s="37"/>
      <c r="AY790" s="37"/>
      <c r="AZ790" s="37"/>
    </row>
    <row r="791" spans="1:52">
      <c r="A791" s="37"/>
      <c r="B791" s="37"/>
      <c r="C791" s="37"/>
      <c r="D791" s="37"/>
      <c r="E791" s="37"/>
      <c r="F791" s="37"/>
      <c r="G791" s="37"/>
      <c r="H791" s="37"/>
      <c r="I791" s="37"/>
      <c r="J791" s="37"/>
      <c r="K791" s="37"/>
      <c r="L791" s="37"/>
      <c r="M791" s="37"/>
      <c r="N791" s="37"/>
      <c r="O791" s="37"/>
      <c r="P791" s="37"/>
      <c r="Q791" s="37"/>
      <c r="R791" s="37"/>
      <c r="S791" s="37"/>
      <c r="T791" s="37"/>
      <c r="U791" s="37"/>
      <c r="V791" s="37"/>
      <c r="W791" s="37"/>
      <c r="X791" s="37"/>
      <c r="Y791" s="37"/>
      <c r="Z791" s="37"/>
      <c r="AA791" s="37"/>
      <c r="AB791" s="37"/>
      <c r="AC791" s="37"/>
      <c r="AD791" s="37"/>
      <c r="AE791" s="37"/>
      <c r="AF791" s="37"/>
      <c r="AG791" s="37"/>
      <c r="AH791" s="37"/>
      <c r="AI791" s="37"/>
      <c r="AJ791" s="37"/>
      <c r="AK791" s="37"/>
      <c r="AL791" s="37"/>
      <c r="AM791" s="37"/>
      <c r="AN791" s="37"/>
      <c r="AO791" s="37"/>
      <c r="AP791" s="37"/>
      <c r="AQ791" s="37"/>
      <c r="AR791" s="37"/>
      <c r="AS791" s="37"/>
      <c r="AT791" s="37"/>
      <c r="AU791" s="37"/>
      <c r="AV791" s="37"/>
      <c r="AW791" s="37"/>
      <c r="AX791" s="37"/>
      <c r="AY791" s="37"/>
      <c r="AZ791" s="37"/>
    </row>
    <row r="792" spans="1:52">
      <c r="A792" s="37"/>
      <c r="B792" s="37"/>
      <c r="C792" s="37"/>
      <c r="D792" s="37"/>
      <c r="E792" s="37"/>
      <c r="F792" s="37"/>
      <c r="G792" s="37"/>
      <c r="H792" s="37"/>
      <c r="I792" s="37"/>
      <c r="J792" s="37"/>
      <c r="K792" s="37"/>
      <c r="L792" s="37"/>
      <c r="M792" s="37"/>
      <c r="N792" s="37"/>
      <c r="O792" s="37"/>
      <c r="P792" s="37"/>
      <c r="Q792" s="37"/>
      <c r="R792" s="37"/>
      <c r="S792" s="37"/>
      <c r="T792" s="37"/>
      <c r="U792" s="37"/>
      <c r="V792" s="37"/>
      <c r="W792" s="37"/>
      <c r="X792" s="37"/>
      <c r="Y792" s="37"/>
      <c r="Z792" s="37"/>
      <c r="AA792" s="37"/>
      <c r="AB792" s="37"/>
      <c r="AC792" s="37"/>
      <c r="AD792" s="37"/>
      <c r="AE792" s="37"/>
      <c r="AF792" s="37"/>
      <c r="AG792" s="37"/>
      <c r="AH792" s="37"/>
      <c r="AI792" s="37"/>
      <c r="AJ792" s="37"/>
      <c r="AK792" s="37"/>
      <c r="AL792" s="37"/>
      <c r="AM792" s="37"/>
      <c r="AN792" s="37"/>
      <c r="AO792" s="37"/>
      <c r="AP792" s="37"/>
      <c r="AQ792" s="37"/>
      <c r="AR792" s="37"/>
      <c r="AS792" s="37"/>
      <c r="AT792" s="37"/>
      <c r="AU792" s="37"/>
      <c r="AV792" s="37"/>
      <c r="AW792" s="37"/>
      <c r="AX792" s="37"/>
      <c r="AY792" s="37"/>
      <c r="AZ792" s="37"/>
    </row>
    <row r="793" spans="1:52">
      <c r="A793" s="37"/>
      <c r="B793" s="37"/>
      <c r="C793" s="37"/>
      <c r="D793" s="37"/>
      <c r="E793" s="37"/>
      <c r="F793" s="37"/>
      <c r="G793" s="37"/>
      <c r="H793" s="37"/>
      <c r="I793" s="37"/>
      <c r="J793" s="37"/>
      <c r="K793" s="37"/>
      <c r="L793" s="37"/>
      <c r="M793" s="37"/>
      <c r="N793" s="37"/>
      <c r="O793" s="37"/>
      <c r="P793" s="37"/>
      <c r="Q793" s="37"/>
      <c r="R793" s="37"/>
      <c r="S793" s="37"/>
      <c r="T793" s="37"/>
      <c r="U793" s="37"/>
      <c r="V793" s="37"/>
      <c r="W793" s="37"/>
      <c r="X793" s="37"/>
      <c r="Y793" s="37"/>
      <c r="Z793" s="37"/>
      <c r="AA793" s="37"/>
      <c r="AB793" s="37"/>
      <c r="AC793" s="37"/>
      <c r="AD793" s="37"/>
      <c r="AE793" s="37"/>
      <c r="AF793" s="37"/>
      <c r="AG793" s="37"/>
      <c r="AH793" s="37"/>
      <c r="AI793" s="37"/>
      <c r="AJ793" s="37"/>
      <c r="AK793" s="37"/>
      <c r="AL793" s="37"/>
      <c r="AM793" s="37"/>
      <c r="AN793" s="37"/>
      <c r="AO793" s="37"/>
      <c r="AP793" s="37"/>
      <c r="AQ793" s="37"/>
      <c r="AR793" s="37"/>
      <c r="AS793" s="37"/>
      <c r="AT793" s="37"/>
      <c r="AU793" s="37"/>
      <c r="AV793" s="37"/>
      <c r="AW793" s="37"/>
      <c r="AX793" s="37"/>
      <c r="AY793" s="37"/>
      <c r="AZ793" s="37"/>
    </row>
    <row r="794" spans="1:52">
      <c r="A794" s="37"/>
      <c r="B794" s="37"/>
      <c r="C794" s="37"/>
      <c r="D794" s="37"/>
      <c r="E794" s="37"/>
      <c r="F794" s="37"/>
      <c r="G794" s="37"/>
      <c r="H794" s="37"/>
      <c r="I794" s="37"/>
      <c r="J794" s="37"/>
      <c r="K794" s="37"/>
      <c r="L794" s="37"/>
      <c r="M794" s="37"/>
      <c r="N794" s="37"/>
      <c r="O794" s="37"/>
      <c r="P794" s="37"/>
      <c r="Q794" s="37"/>
      <c r="R794" s="37"/>
      <c r="S794" s="37"/>
      <c r="T794" s="37"/>
      <c r="U794" s="37"/>
      <c r="V794" s="37"/>
      <c r="W794" s="37"/>
      <c r="X794" s="37"/>
      <c r="Y794" s="37"/>
      <c r="Z794" s="37"/>
      <c r="AA794" s="37"/>
      <c r="AB794" s="37"/>
      <c r="AC794" s="37"/>
      <c r="AD794" s="37"/>
      <c r="AE794" s="37"/>
      <c r="AF794" s="37"/>
      <c r="AG794" s="37"/>
      <c r="AH794" s="37"/>
      <c r="AI794" s="37"/>
      <c r="AJ794" s="37"/>
      <c r="AK794" s="37"/>
      <c r="AL794" s="37"/>
      <c r="AM794" s="37"/>
      <c r="AN794" s="37"/>
      <c r="AO794" s="37"/>
      <c r="AP794" s="37"/>
      <c r="AQ794" s="37"/>
      <c r="AR794" s="37"/>
      <c r="AS794" s="37"/>
      <c r="AT794" s="37"/>
      <c r="AU794" s="37"/>
      <c r="AV794" s="37"/>
      <c r="AW794" s="37"/>
      <c r="AX794" s="37"/>
      <c r="AY794" s="37"/>
      <c r="AZ794" s="37"/>
    </row>
    <row r="795" spans="1:52">
      <c r="A795" s="37"/>
      <c r="B795" s="37"/>
      <c r="C795" s="37"/>
      <c r="D795" s="37"/>
      <c r="E795" s="37"/>
      <c r="F795" s="37"/>
      <c r="G795" s="37"/>
      <c r="H795" s="37"/>
      <c r="I795" s="37"/>
      <c r="J795" s="37"/>
      <c r="K795" s="37"/>
      <c r="L795" s="37"/>
      <c r="M795" s="37"/>
      <c r="N795" s="37"/>
      <c r="O795" s="37"/>
      <c r="P795" s="37"/>
      <c r="Q795" s="37"/>
      <c r="R795" s="37"/>
      <c r="S795" s="37"/>
      <c r="T795" s="37"/>
      <c r="U795" s="37"/>
      <c r="V795" s="37"/>
      <c r="W795" s="37"/>
      <c r="X795" s="37"/>
      <c r="Y795" s="37"/>
      <c r="Z795" s="37"/>
      <c r="AA795" s="37"/>
      <c r="AB795" s="37"/>
      <c r="AC795" s="37"/>
      <c r="AD795" s="37"/>
      <c r="AE795" s="37"/>
      <c r="AF795" s="37"/>
      <c r="AG795" s="37"/>
      <c r="AH795" s="37"/>
      <c r="AI795" s="37"/>
      <c r="AJ795" s="37"/>
      <c r="AK795" s="37"/>
      <c r="AL795" s="37"/>
      <c r="AM795" s="37"/>
      <c r="AN795" s="37"/>
      <c r="AO795" s="37"/>
      <c r="AP795" s="37"/>
      <c r="AQ795" s="37"/>
      <c r="AR795" s="37"/>
      <c r="AS795" s="37"/>
      <c r="AT795" s="37"/>
      <c r="AU795" s="37"/>
      <c r="AV795" s="37"/>
      <c r="AW795" s="37"/>
      <c r="AX795" s="37"/>
      <c r="AY795" s="37"/>
      <c r="AZ795" s="37"/>
    </row>
    <row r="796" spans="1:52">
      <c r="A796" s="37"/>
      <c r="B796" s="37"/>
      <c r="C796" s="37"/>
      <c r="D796" s="37"/>
      <c r="E796" s="37"/>
      <c r="F796" s="37"/>
      <c r="G796" s="37"/>
      <c r="H796" s="37"/>
      <c r="I796" s="37"/>
      <c r="J796" s="37"/>
      <c r="K796" s="37"/>
      <c r="L796" s="37"/>
      <c r="M796" s="37"/>
      <c r="N796" s="37"/>
      <c r="O796" s="37"/>
      <c r="P796" s="37"/>
      <c r="Q796" s="37"/>
      <c r="R796" s="37"/>
      <c r="S796" s="37"/>
      <c r="T796" s="37"/>
      <c r="U796" s="37"/>
      <c r="V796" s="37"/>
      <c r="W796" s="37"/>
      <c r="X796" s="37"/>
      <c r="Y796" s="37"/>
      <c r="Z796" s="37"/>
      <c r="AA796" s="37"/>
      <c r="AB796" s="37"/>
      <c r="AC796" s="37"/>
      <c r="AD796" s="37"/>
      <c r="AE796" s="37"/>
      <c r="AF796" s="37"/>
      <c r="AG796" s="37"/>
      <c r="AH796" s="37"/>
      <c r="AI796" s="37"/>
      <c r="AJ796" s="37"/>
      <c r="AK796" s="37"/>
      <c r="AL796" s="37"/>
      <c r="AM796" s="37"/>
      <c r="AN796" s="37"/>
      <c r="AO796" s="37"/>
      <c r="AP796" s="37"/>
      <c r="AQ796" s="37"/>
      <c r="AR796" s="37"/>
      <c r="AS796" s="37"/>
      <c r="AT796" s="37"/>
      <c r="AU796" s="37"/>
      <c r="AV796" s="37"/>
      <c r="AW796" s="37"/>
      <c r="AX796" s="37"/>
      <c r="AY796" s="37"/>
      <c r="AZ796" s="37"/>
    </row>
    <row r="797" spans="1:52">
      <c r="A797" s="37"/>
      <c r="B797" s="37"/>
      <c r="C797" s="37"/>
      <c r="D797" s="37"/>
      <c r="E797" s="37"/>
      <c r="F797" s="37"/>
      <c r="G797" s="37"/>
      <c r="H797" s="37"/>
      <c r="I797" s="37"/>
      <c r="J797" s="37"/>
      <c r="K797" s="37"/>
      <c r="L797" s="37"/>
      <c r="M797" s="37"/>
      <c r="N797" s="37"/>
      <c r="O797" s="37"/>
      <c r="P797" s="37"/>
      <c r="Q797" s="37"/>
      <c r="R797" s="37"/>
      <c r="S797" s="37"/>
      <c r="T797" s="37"/>
      <c r="U797" s="37"/>
      <c r="V797" s="37"/>
      <c r="W797" s="37"/>
      <c r="X797" s="37"/>
      <c r="Y797" s="37"/>
      <c r="Z797" s="37"/>
      <c r="AA797" s="37"/>
      <c r="AB797" s="37"/>
      <c r="AC797" s="37"/>
      <c r="AD797" s="37"/>
      <c r="AE797" s="37"/>
      <c r="AF797" s="37"/>
      <c r="AG797" s="37"/>
      <c r="AH797" s="37"/>
      <c r="AI797" s="37"/>
      <c r="AJ797" s="37"/>
      <c r="AK797" s="37"/>
      <c r="AL797" s="37"/>
      <c r="AM797" s="37"/>
      <c r="AN797" s="37"/>
      <c r="AO797" s="37"/>
      <c r="AP797" s="37"/>
      <c r="AQ797" s="37"/>
      <c r="AR797" s="37"/>
      <c r="AS797" s="37"/>
      <c r="AT797" s="37"/>
      <c r="AU797" s="37"/>
      <c r="AV797" s="37"/>
      <c r="AW797" s="37"/>
      <c r="AX797" s="37"/>
      <c r="AY797" s="37"/>
      <c r="AZ797" s="37"/>
    </row>
    <row r="798" spans="1:52">
      <c r="A798" s="37"/>
      <c r="B798" s="37"/>
      <c r="C798" s="37"/>
      <c r="D798" s="37"/>
      <c r="E798" s="37"/>
      <c r="F798" s="37"/>
      <c r="G798" s="37"/>
      <c r="H798" s="37"/>
      <c r="I798" s="37"/>
      <c r="J798" s="37"/>
      <c r="K798" s="37"/>
      <c r="L798" s="37"/>
      <c r="M798" s="37"/>
      <c r="N798" s="37"/>
      <c r="O798" s="37"/>
      <c r="P798" s="37"/>
      <c r="Q798" s="37"/>
      <c r="R798" s="37"/>
      <c r="S798" s="37"/>
      <c r="T798" s="37"/>
      <c r="U798" s="37"/>
      <c r="V798" s="37"/>
      <c r="W798" s="37"/>
      <c r="X798" s="37"/>
      <c r="Y798" s="37"/>
      <c r="Z798" s="37"/>
      <c r="AA798" s="37"/>
      <c r="AB798" s="37"/>
      <c r="AC798" s="37"/>
      <c r="AD798" s="37"/>
      <c r="AE798" s="37"/>
      <c r="AF798" s="37"/>
      <c r="AG798" s="37"/>
      <c r="AH798" s="37"/>
      <c r="AI798" s="37"/>
      <c r="AJ798" s="37"/>
      <c r="AK798" s="37"/>
      <c r="AL798" s="37"/>
      <c r="AM798" s="37"/>
      <c r="AN798" s="37"/>
      <c r="AO798" s="37"/>
      <c r="AP798" s="37"/>
      <c r="AQ798" s="37"/>
      <c r="AR798" s="37"/>
      <c r="AS798" s="37"/>
      <c r="AT798" s="37"/>
      <c r="AU798" s="37"/>
      <c r="AV798" s="37"/>
      <c r="AW798" s="37"/>
      <c r="AX798" s="37"/>
      <c r="AY798" s="37"/>
      <c r="AZ798" s="37"/>
    </row>
    <row r="799" spans="1:52">
      <c r="A799" s="37"/>
      <c r="B799" s="37"/>
      <c r="C799" s="37"/>
      <c r="D799" s="37"/>
      <c r="E799" s="37"/>
      <c r="F799" s="37"/>
      <c r="G799" s="37"/>
      <c r="H799" s="37"/>
      <c r="I799" s="37"/>
      <c r="J799" s="37"/>
      <c r="K799" s="37"/>
      <c r="L799" s="37"/>
      <c r="M799" s="37"/>
      <c r="N799" s="37"/>
      <c r="O799" s="37"/>
      <c r="P799" s="37"/>
      <c r="Q799" s="37"/>
      <c r="R799" s="37"/>
      <c r="S799" s="37"/>
      <c r="T799" s="37"/>
      <c r="U799" s="37"/>
      <c r="V799" s="37"/>
      <c r="W799" s="37"/>
      <c r="X799" s="37"/>
      <c r="Y799" s="37"/>
      <c r="Z799" s="37"/>
      <c r="AA799" s="37"/>
      <c r="AB799" s="37"/>
      <c r="AC799" s="37"/>
      <c r="AD799" s="37"/>
      <c r="AE799" s="37"/>
      <c r="AF799" s="37"/>
      <c r="AG799" s="37"/>
      <c r="AH799" s="37"/>
      <c r="AI799" s="37"/>
      <c r="AJ799" s="37"/>
      <c r="AK799" s="37"/>
      <c r="AL799" s="37"/>
      <c r="AM799" s="37"/>
      <c r="AN799" s="37"/>
      <c r="AO799" s="37"/>
      <c r="AP799" s="37"/>
      <c r="AQ799" s="37"/>
      <c r="AR799" s="37"/>
      <c r="AS799" s="37"/>
      <c r="AT799" s="37"/>
      <c r="AU799" s="37"/>
      <c r="AV799" s="37"/>
      <c r="AW799" s="37"/>
      <c r="AX799" s="37"/>
      <c r="AY799" s="37"/>
      <c r="AZ799" s="37"/>
    </row>
    <row r="800" spans="1:52">
      <c r="A800" s="37"/>
      <c r="B800" s="37"/>
      <c r="C800" s="37"/>
      <c r="D800" s="37"/>
      <c r="E800" s="37"/>
      <c r="F800" s="37"/>
      <c r="G800" s="37"/>
      <c r="H800" s="37"/>
      <c r="I800" s="37"/>
      <c r="J800" s="37"/>
      <c r="K800" s="37"/>
      <c r="L800" s="37"/>
      <c r="M800" s="37"/>
      <c r="N800" s="37"/>
      <c r="O800" s="37"/>
      <c r="P800" s="37"/>
      <c r="Q800" s="37"/>
      <c r="R800" s="37"/>
      <c r="S800" s="37"/>
      <c r="T800" s="37"/>
      <c r="U800" s="37"/>
      <c r="V800" s="37"/>
      <c r="W800" s="37"/>
      <c r="X800" s="37"/>
      <c r="Y800" s="37"/>
      <c r="Z800" s="37"/>
      <c r="AA800" s="37"/>
      <c r="AB800" s="37"/>
      <c r="AC800" s="37"/>
      <c r="AD800" s="37"/>
      <c r="AE800" s="37"/>
      <c r="AF800" s="37"/>
      <c r="AG800" s="37"/>
      <c r="AH800" s="37"/>
      <c r="AI800" s="37"/>
      <c r="AJ800" s="37"/>
      <c r="AK800" s="37"/>
      <c r="AL800" s="37"/>
      <c r="AM800" s="37"/>
      <c r="AN800" s="37"/>
      <c r="AO800" s="37"/>
      <c r="AP800" s="37"/>
      <c r="AQ800" s="37"/>
      <c r="AR800" s="37"/>
      <c r="AS800" s="37"/>
      <c r="AT800" s="37"/>
      <c r="AU800" s="37"/>
      <c r="AV800" s="37"/>
      <c r="AW800" s="37"/>
      <c r="AX800" s="37"/>
      <c r="AY800" s="37"/>
      <c r="AZ800" s="37"/>
    </row>
    <row r="801" spans="1:52">
      <c r="A801" s="37"/>
      <c r="B801" s="37"/>
      <c r="C801" s="37"/>
      <c r="D801" s="37"/>
      <c r="E801" s="37"/>
      <c r="F801" s="37"/>
      <c r="G801" s="37"/>
      <c r="H801" s="37"/>
      <c r="I801" s="37"/>
      <c r="J801" s="37"/>
      <c r="K801" s="37"/>
      <c r="L801" s="37"/>
      <c r="M801" s="37"/>
      <c r="N801" s="37"/>
      <c r="O801" s="37"/>
      <c r="P801" s="37"/>
      <c r="Q801" s="37"/>
      <c r="R801" s="37"/>
      <c r="S801" s="37"/>
      <c r="T801" s="37"/>
      <c r="U801" s="37"/>
      <c r="V801" s="37"/>
      <c r="W801" s="37"/>
      <c r="X801" s="37"/>
      <c r="Y801" s="37"/>
      <c r="Z801" s="37"/>
      <c r="AA801" s="37"/>
      <c r="AB801" s="37"/>
      <c r="AC801" s="37"/>
      <c r="AD801" s="37"/>
      <c r="AE801" s="37"/>
      <c r="AF801" s="37"/>
      <c r="AG801" s="37"/>
      <c r="AH801" s="37"/>
      <c r="AI801" s="37"/>
      <c r="AJ801" s="37"/>
      <c r="AK801" s="37"/>
      <c r="AL801" s="37"/>
      <c r="AM801" s="37"/>
      <c r="AN801" s="37"/>
      <c r="AO801" s="37"/>
      <c r="AP801" s="37"/>
      <c r="AQ801" s="37"/>
      <c r="AR801" s="37"/>
      <c r="AS801" s="37"/>
      <c r="AT801" s="37"/>
      <c r="AU801" s="37"/>
      <c r="AV801" s="37"/>
      <c r="AW801" s="37"/>
      <c r="AX801" s="37"/>
      <c r="AY801" s="37"/>
      <c r="AZ801" s="37"/>
    </row>
    <row r="802" spans="1:52">
      <c r="A802" s="37"/>
      <c r="B802" s="37"/>
      <c r="C802" s="37"/>
      <c r="D802" s="37"/>
      <c r="E802" s="37"/>
      <c r="F802" s="37"/>
      <c r="G802" s="37"/>
      <c r="H802" s="37"/>
      <c r="I802" s="37"/>
      <c r="J802" s="37"/>
      <c r="K802" s="37"/>
      <c r="L802" s="37"/>
      <c r="M802" s="37"/>
      <c r="N802" s="37"/>
      <c r="O802" s="37"/>
      <c r="P802" s="37"/>
      <c r="Q802" s="37"/>
      <c r="R802" s="37"/>
      <c r="S802" s="37"/>
      <c r="T802" s="37"/>
      <c r="U802" s="37"/>
      <c r="V802" s="37"/>
      <c r="W802" s="37"/>
      <c r="X802" s="37"/>
      <c r="Y802" s="37"/>
      <c r="Z802" s="37"/>
      <c r="AA802" s="37"/>
      <c r="AB802" s="37"/>
      <c r="AC802" s="37"/>
      <c r="AD802" s="37"/>
      <c r="AE802" s="37"/>
      <c r="AF802" s="37"/>
      <c r="AG802" s="37"/>
      <c r="AH802" s="37"/>
      <c r="AI802" s="37"/>
      <c r="AJ802" s="37"/>
      <c r="AK802" s="37"/>
      <c r="AL802" s="37"/>
      <c r="AM802" s="37"/>
      <c r="AN802" s="37"/>
      <c r="AO802" s="37"/>
      <c r="AP802" s="37"/>
      <c r="AQ802" s="37"/>
      <c r="AR802" s="37"/>
      <c r="AS802" s="37"/>
      <c r="AT802" s="37"/>
      <c r="AU802" s="37"/>
      <c r="AV802" s="37"/>
      <c r="AW802" s="37"/>
      <c r="AX802" s="37"/>
      <c r="AY802" s="37"/>
      <c r="AZ802" s="37"/>
    </row>
    <row r="803" spans="1:52">
      <c r="A803" s="37"/>
      <c r="B803" s="37"/>
      <c r="C803" s="37"/>
      <c r="D803" s="37"/>
      <c r="E803" s="37"/>
      <c r="F803" s="37"/>
      <c r="G803" s="37"/>
      <c r="H803" s="37"/>
      <c r="I803" s="37"/>
      <c r="J803" s="37"/>
      <c r="K803" s="37"/>
      <c r="L803" s="37"/>
      <c r="M803" s="37"/>
      <c r="N803" s="37"/>
      <c r="O803" s="37"/>
      <c r="P803" s="37"/>
      <c r="Q803" s="37"/>
      <c r="R803" s="37"/>
      <c r="S803" s="37"/>
      <c r="T803" s="37"/>
      <c r="U803" s="37"/>
      <c r="V803" s="37"/>
      <c r="W803" s="37"/>
      <c r="X803" s="37"/>
      <c r="Y803" s="37"/>
      <c r="Z803" s="37"/>
      <c r="AA803" s="37"/>
      <c r="AB803" s="37"/>
      <c r="AC803" s="37"/>
      <c r="AD803" s="37"/>
      <c r="AE803" s="37"/>
      <c r="AF803" s="37"/>
      <c r="AG803" s="37"/>
      <c r="AH803" s="37"/>
      <c r="AI803" s="37"/>
      <c r="AJ803" s="37"/>
      <c r="AK803" s="37"/>
      <c r="AL803" s="37"/>
      <c r="AM803" s="37"/>
      <c r="AN803" s="37"/>
      <c r="AO803" s="37"/>
      <c r="AP803" s="37"/>
      <c r="AQ803" s="37"/>
      <c r="AR803" s="37"/>
      <c r="AS803" s="37"/>
      <c r="AT803" s="37"/>
      <c r="AU803" s="37"/>
      <c r="AV803" s="37"/>
      <c r="AW803" s="37"/>
      <c r="AX803" s="37"/>
      <c r="AY803" s="37"/>
      <c r="AZ803" s="37"/>
    </row>
    <row r="804" spans="1:52">
      <c r="A804" s="37"/>
      <c r="B804" s="37"/>
      <c r="C804" s="37"/>
      <c r="D804" s="37"/>
      <c r="E804" s="37"/>
      <c r="F804" s="37"/>
      <c r="G804" s="37"/>
      <c r="H804" s="37"/>
      <c r="I804" s="37"/>
      <c r="J804" s="37"/>
      <c r="K804" s="37"/>
      <c r="L804" s="37"/>
      <c r="M804" s="37"/>
      <c r="N804" s="37"/>
      <c r="O804" s="37"/>
      <c r="P804" s="37"/>
      <c r="Q804" s="37"/>
      <c r="R804" s="37"/>
      <c r="S804" s="37"/>
      <c r="T804" s="37"/>
      <c r="U804" s="37"/>
      <c r="V804" s="37"/>
      <c r="W804" s="37"/>
      <c r="X804" s="37"/>
      <c r="Y804" s="37"/>
      <c r="Z804" s="37"/>
      <c r="AA804" s="37"/>
      <c r="AB804" s="37"/>
      <c r="AC804" s="37"/>
      <c r="AD804" s="37"/>
      <c r="AE804" s="37"/>
      <c r="AF804" s="37"/>
      <c r="AG804" s="37"/>
      <c r="AH804" s="37"/>
      <c r="AI804" s="37"/>
      <c r="AJ804" s="37"/>
      <c r="AK804" s="37"/>
      <c r="AL804" s="37"/>
      <c r="AM804" s="37"/>
      <c r="AN804" s="37"/>
      <c r="AO804" s="37"/>
      <c r="AP804" s="37"/>
      <c r="AQ804" s="37"/>
      <c r="AR804" s="37"/>
      <c r="AS804" s="37"/>
      <c r="AT804" s="37"/>
      <c r="AU804" s="37"/>
      <c r="AV804" s="37"/>
      <c r="AW804" s="37"/>
      <c r="AX804" s="37"/>
      <c r="AY804" s="37"/>
      <c r="AZ804" s="37"/>
    </row>
    <row r="805" spans="1:52">
      <c r="A805" s="37"/>
      <c r="B805" s="37"/>
      <c r="C805" s="37"/>
      <c r="D805" s="37"/>
      <c r="E805" s="37"/>
      <c r="F805" s="37"/>
      <c r="G805" s="37"/>
      <c r="H805" s="37"/>
      <c r="I805" s="37"/>
      <c r="J805" s="37"/>
      <c r="K805" s="37"/>
      <c r="L805" s="37"/>
      <c r="M805" s="37"/>
      <c r="N805" s="37"/>
      <c r="O805" s="37"/>
      <c r="P805" s="37"/>
      <c r="Q805" s="37"/>
      <c r="R805" s="37"/>
      <c r="S805" s="37"/>
      <c r="T805" s="37"/>
      <c r="U805" s="37"/>
      <c r="V805" s="37"/>
      <c r="W805" s="37"/>
      <c r="X805" s="37"/>
      <c r="Y805" s="37"/>
      <c r="Z805" s="37"/>
      <c r="AA805" s="37"/>
      <c r="AB805" s="37"/>
      <c r="AC805" s="37"/>
      <c r="AD805" s="37"/>
      <c r="AE805" s="37"/>
      <c r="AF805" s="37"/>
      <c r="AG805" s="37"/>
      <c r="AH805" s="37"/>
      <c r="AI805" s="37"/>
      <c r="AJ805" s="37"/>
      <c r="AK805" s="37"/>
      <c r="AL805" s="37"/>
      <c r="AM805" s="37"/>
      <c r="AN805" s="37"/>
      <c r="AO805" s="37"/>
      <c r="AP805" s="37"/>
      <c r="AQ805" s="37"/>
      <c r="AR805" s="37"/>
      <c r="AS805" s="37"/>
      <c r="AT805" s="37"/>
      <c r="AU805" s="37"/>
      <c r="AV805" s="37"/>
      <c r="AW805" s="37"/>
      <c r="AX805" s="37"/>
      <c r="AY805" s="37"/>
      <c r="AZ805" s="37"/>
    </row>
    <row r="806" spans="1:52">
      <c r="A806" s="37"/>
      <c r="B806" s="37"/>
      <c r="C806" s="37"/>
      <c r="D806" s="37"/>
      <c r="E806" s="37"/>
      <c r="F806" s="37"/>
      <c r="G806" s="37"/>
      <c r="H806" s="37"/>
      <c r="I806" s="37"/>
      <c r="J806" s="37"/>
      <c r="K806" s="37"/>
      <c r="L806" s="37"/>
      <c r="M806" s="37"/>
      <c r="N806" s="37"/>
      <c r="O806" s="37"/>
      <c r="P806" s="37"/>
      <c r="Q806" s="37"/>
      <c r="R806" s="37"/>
      <c r="S806" s="37"/>
      <c r="T806" s="37"/>
      <c r="U806" s="37"/>
      <c r="V806" s="37"/>
      <c r="W806" s="37"/>
      <c r="X806" s="37"/>
      <c r="Y806" s="37"/>
      <c r="Z806" s="37"/>
      <c r="AA806" s="37"/>
      <c r="AB806" s="37"/>
      <c r="AC806" s="37"/>
      <c r="AD806" s="37"/>
      <c r="AE806" s="37"/>
      <c r="AF806" s="37"/>
      <c r="AG806" s="37"/>
      <c r="AH806" s="37"/>
      <c r="AI806" s="37"/>
      <c r="AJ806" s="37"/>
      <c r="AK806" s="37"/>
      <c r="AL806" s="37"/>
      <c r="AM806" s="37"/>
      <c r="AN806" s="37"/>
      <c r="AO806" s="37"/>
      <c r="AP806" s="37"/>
      <c r="AQ806" s="37"/>
      <c r="AR806" s="37"/>
      <c r="AS806" s="37"/>
      <c r="AT806" s="37"/>
      <c r="AU806" s="37"/>
      <c r="AV806" s="37"/>
      <c r="AW806" s="37"/>
      <c r="AX806" s="37"/>
      <c r="AY806" s="37"/>
      <c r="AZ806" s="37"/>
    </row>
    <row r="807" spans="1:52">
      <c r="A807" s="37"/>
      <c r="B807" s="37"/>
      <c r="C807" s="37"/>
      <c r="D807" s="37"/>
      <c r="E807" s="37"/>
      <c r="F807" s="37"/>
      <c r="G807" s="37"/>
      <c r="H807" s="37"/>
      <c r="I807" s="37"/>
      <c r="J807" s="37"/>
      <c r="K807" s="37"/>
      <c r="L807" s="37"/>
      <c r="M807" s="37"/>
      <c r="N807" s="37"/>
      <c r="O807" s="37"/>
      <c r="P807" s="37"/>
      <c r="Q807" s="37"/>
      <c r="R807" s="37"/>
      <c r="S807" s="37"/>
      <c r="T807" s="37"/>
      <c r="U807" s="37"/>
      <c r="V807" s="37"/>
      <c r="W807" s="37"/>
      <c r="X807" s="37"/>
      <c r="Y807" s="37"/>
      <c r="Z807" s="37"/>
      <c r="AA807" s="37"/>
      <c r="AB807" s="37"/>
      <c r="AC807" s="37"/>
      <c r="AD807" s="37"/>
      <c r="AE807" s="37"/>
      <c r="AF807" s="37"/>
      <c r="AG807" s="37"/>
      <c r="AH807" s="37"/>
      <c r="AI807" s="37"/>
      <c r="AJ807" s="37"/>
      <c r="AK807" s="37"/>
      <c r="AL807" s="37"/>
      <c r="AM807" s="37"/>
      <c r="AN807" s="37"/>
      <c r="AO807" s="37"/>
      <c r="AP807" s="37"/>
      <c r="AQ807" s="37"/>
      <c r="AR807" s="37"/>
      <c r="AS807" s="37"/>
      <c r="AT807" s="37"/>
      <c r="AU807" s="37"/>
      <c r="AV807" s="37"/>
      <c r="AW807" s="37"/>
      <c r="AX807" s="37"/>
      <c r="AY807" s="37"/>
      <c r="AZ807" s="37"/>
    </row>
    <row r="808" spans="1:52">
      <c r="A808" s="37"/>
      <c r="B808" s="37"/>
      <c r="C808" s="37"/>
      <c r="D808" s="37"/>
      <c r="E808" s="37"/>
      <c r="F808" s="37"/>
      <c r="G808" s="37"/>
      <c r="H808" s="37"/>
      <c r="I808" s="37"/>
      <c r="J808" s="37"/>
      <c r="K808" s="37"/>
      <c r="L808" s="37"/>
      <c r="M808" s="37"/>
      <c r="N808" s="37"/>
      <c r="O808" s="37"/>
      <c r="P808" s="37"/>
      <c r="Q808" s="37"/>
      <c r="R808" s="37"/>
      <c r="S808" s="37"/>
      <c r="T808" s="37"/>
      <c r="U808" s="37"/>
      <c r="V808" s="37"/>
      <c r="W808" s="37"/>
      <c r="X808" s="37"/>
      <c r="Y808" s="37"/>
      <c r="Z808" s="37"/>
      <c r="AA808" s="37"/>
      <c r="AB808" s="37"/>
      <c r="AC808" s="37"/>
      <c r="AD808" s="37"/>
      <c r="AE808" s="37"/>
      <c r="AF808" s="37"/>
      <c r="AG808" s="37"/>
      <c r="AH808" s="37"/>
      <c r="AI808" s="37"/>
      <c r="AJ808" s="37"/>
      <c r="AK808" s="37"/>
      <c r="AL808" s="37"/>
      <c r="AM808" s="37"/>
      <c r="AN808" s="37"/>
      <c r="AO808" s="37"/>
      <c r="AP808" s="37"/>
      <c r="AQ808" s="37"/>
      <c r="AR808" s="37"/>
      <c r="AS808" s="37"/>
      <c r="AT808" s="37"/>
      <c r="AU808" s="37"/>
      <c r="AV808" s="37"/>
      <c r="AW808" s="37"/>
      <c r="AX808" s="37"/>
      <c r="AY808" s="37"/>
      <c r="AZ808" s="37"/>
    </row>
    <row r="809" spans="1:52">
      <c r="A809" s="37"/>
      <c r="B809" s="37"/>
      <c r="C809" s="37"/>
      <c r="D809" s="37"/>
      <c r="E809" s="37"/>
      <c r="F809" s="37"/>
      <c r="G809" s="37"/>
      <c r="H809" s="37"/>
      <c r="I809" s="37"/>
      <c r="J809" s="37"/>
      <c r="K809" s="37"/>
      <c r="L809" s="37"/>
      <c r="M809" s="37"/>
      <c r="N809" s="37"/>
      <c r="O809" s="37"/>
      <c r="P809" s="37"/>
      <c r="Q809" s="37"/>
      <c r="R809" s="37"/>
      <c r="S809" s="37"/>
      <c r="T809" s="37"/>
      <c r="U809" s="37"/>
      <c r="V809" s="37"/>
      <c r="W809" s="37"/>
      <c r="X809" s="37"/>
      <c r="Y809" s="37"/>
      <c r="Z809" s="37"/>
      <c r="AA809" s="37"/>
      <c r="AB809" s="37"/>
      <c r="AC809" s="37"/>
      <c r="AD809" s="37"/>
      <c r="AE809" s="37"/>
      <c r="AF809" s="37"/>
      <c r="AG809" s="37"/>
      <c r="AH809" s="37"/>
      <c r="AI809" s="37"/>
      <c r="AJ809" s="37"/>
      <c r="AK809" s="37"/>
      <c r="AL809" s="37"/>
      <c r="AM809" s="37"/>
      <c r="AN809" s="37"/>
      <c r="AO809" s="37"/>
      <c r="AP809" s="37"/>
      <c r="AQ809" s="37"/>
      <c r="AR809" s="37"/>
      <c r="AS809" s="37"/>
      <c r="AT809" s="37"/>
      <c r="AU809" s="37"/>
      <c r="AV809" s="37"/>
      <c r="AW809" s="37"/>
      <c r="AX809" s="37"/>
      <c r="AY809" s="37"/>
      <c r="AZ809" s="37"/>
    </row>
    <row r="810" spans="1:52">
      <c r="A810" s="37"/>
      <c r="B810" s="37"/>
      <c r="C810" s="37"/>
      <c r="D810" s="37"/>
      <c r="E810" s="37"/>
      <c r="F810" s="37"/>
      <c r="G810" s="37"/>
      <c r="H810" s="37"/>
      <c r="I810" s="37"/>
      <c r="J810" s="37"/>
      <c r="K810" s="37"/>
      <c r="L810" s="37"/>
      <c r="M810" s="37"/>
      <c r="N810" s="37"/>
      <c r="O810" s="37"/>
      <c r="P810" s="37"/>
      <c r="Q810" s="37"/>
      <c r="R810" s="37"/>
      <c r="S810" s="37"/>
      <c r="T810" s="37"/>
      <c r="U810" s="37"/>
      <c r="V810" s="37"/>
      <c r="W810" s="37"/>
      <c r="X810" s="37"/>
      <c r="Y810" s="37"/>
      <c r="Z810" s="37"/>
      <c r="AA810" s="37"/>
      <c r="AB810" s="37"/>
      <c r="AC810" s="37"/>
      <c r="AD810" s="37"/>
      <c r="AE810" s="37"/>
      <c r="AF810" s="37"/>
      <c r="AG810" s="37"/>
      <c r="AH810" s="37"/>
      <c r="AI810" s="37"/>
      <c r="AJ810" s="37"/>
      <c r="AK810" s="37"/>
      <c r="AL810" s="37"/>
      <c r="AM810" s="37"/>
      <c r="AN810" s="37"/>
      <c r="AO810" s="37"/>
      <c r="AP810" s="37"/>
      <c r="AQ810" s="37"/>
      <c r="AR810" s="37"/>
      <c r="AS810" s="37"/>
      <c r="AT810" s="37"/>
      <c r="AU810" s="37"/>
      <c r="AV810" s="37"/>
      <c r="AW810" s="37"/>
      <c r="AX810" s="37"/>
      <c r="AY810" s="37"/>
      <c r="AZ810" s="37"/>
    </row>
    <row r="811" spans="1:52">
      <c r="A811" s="37"/>
      <c r="B811" s="37"/>
      <c r="C811" s="37"/>
      <c r="D811" s="37"/>
      <c r="E811" s="37"/>
      <c r="F811" s="37"/>
      <c r="G811" s="37"/>
      <c r="H811" s="37"/>
      <c r="I811" s="37"/>
      <c r="J811" s="37"/>
      <c r="K811" s="37"/>
      <c r="L811" s="37"/>
      <c r="M811" s="37"/>
      <c r="N811" s="37"/>
      <c r="O811" s="37"/>
      <c r="P811" s="37"/>
      <c r="Q811" s="37"/>
      <c r="R811" s="37"/>
      <c r="S811" s="37"/>
      <c r="T811" s="37"/>
      <c r="U811" s="37"/>
      <c r="V811" s="37"/>
      <c r="W811" s="37"/>
      <c r="X811" s="37"/>
      <c r="Y811" s="37"/>
      <c r="Z811" s="37"/>
      <c r="AA811" s="37"/>
      <c r="AB811" s="37"/>
      <c r="AC811" s="37"/>
      <c r="AD811" s="37"/>
      <c r="AE811" s="37"/>
      <c r="AF811" s="37"/>
      <c r="AG811" s="37"/>
      <c r="AH811" s="37"/>
      <c r="AI811" s="37"/>
      <c r="AJ811" s="37"/>
      <c r="AK811" s="37"/>
      <c r="AL811" s="37"/>
      <c r="AM811" s="37"/>
      <c r="AN811" s="37"/>
      <c r="AO811" s="37"/>
      <c r="AP811" s="37"/>
      <c r="AQ811" s="37"/>
      <c r="AR811" s="37"/>
      <c r="AS811" s="37"/>
      <c r="AT811" s="37"/>
      <c r="AU811" s="37"/>
      <c r="AV811" s="37"/>
      <c r="AW811" s="37"/>
      <c r="AX811" s="37"/>
      <c r="AY811" s="37"/>
      <c r="AZ811" s="37"/>
    </row>
    <row r="812" spans="1:52">
      <c r="A812" s="37"/>
      <c r="B812" s="37"/>
      <c r="C812" s="37"/>
      <c r="D812" s="37"/>
      <c r="E812" s="37"/>
      <c r="F812" s="37"/>
      <c r="G812" s="37"/>
      <c r="H812" s="37"/>
      <c r="I812" s="37"/>
      <c r="J812" s="37"/>
      <c r="K812" s="37"/>
      <c r="L812" s="37"/>
      <c r="M812" s="37"/>
      <c r="N812" s="37"/>
      <c r="O812" s="37"/>
      <c r="P812" s="37"/>
      <c r="Q812" s="37"/>
      <c r="R812" s="37"/>
      <c r="S812" s="37"/>
      <c r="T812" s="37"/>
      <c r="U812" s="37"/>
      <c r="V812" s="37"/>
      <c r="W812" s="37"/>
      <c r="X812" s="37"/>
      <c r="Y812" s="37"/>
      <c r="Z812" s="37"/>
      <c r="AA812" s="37"/>
      <c r="AB812" s="37"/>
      <c r="AC812" s="37"/>
      <c r="AD812" s="37"/>
      <c r="AE812" s="37"/>
      <c r="AF812" s="37"/>
      <c r="AG812" s="37"/>
      <c r="AH812" s="37"/>
      <c r="AI812" s="37"/>
      <c r="AJ812" s="37"/>
      <c r="AK812" s="37"/>
      <c r="AL812" s="37"/>
      <c r="AM812" s="37"/>
      <c r="AN812" s="37"/>
      <c r="AO812" s="37"/>
      <c r="AP812" s="37"/>
      <c r="AQ812" s="37"/>
      <c r="AR812" s="37"/>
      <c r="AS812" s="37"/>
      <c r="AT812" s="37"/>
      <c r="AU812" s="37"/>
      <c r="AV812" s="37"/>
      <c r="AW812" s="37"/>
      <c r="AX812" s="37"/>
      <c r="AY812" s="37"/>
      <c r="AZ812" s="37"/>
    </row>
    <row r="813" spans="1:52">
      <c r="A813" s="37"/>
      <c r="B813" s="37"/>
      <c r="C813" s="37"/>
      <c r="D813" s="37"/>
      <c r="E813" s="37"/>
      <c r="F813" s="37"/>
      <c r="G813" s="37"/>
      <c r="H813" s="37"/>
      <c r="I813" s="37"/>
      <c r="J813" s="37"/>
      <c r="K813" s="37"/>
      <c r="L813" s="37"/>
      <c r="M813" s="37"/>
      <c r="N813" s="37"/>
      <c r="O813" s="37"/>
      <c r="P813" s="37"/>
      <c r="Q813" s="37"/>
      <c r="R813" s="37"/>
      <c r="S813" s="37"/>
      <c r="T813" s="37"/>
      <c r="U813" s="37"/>
      <c r="V813" s="37"/>
      <c r="W813" s="37"/>
      <c r="X813" s="37"/>
      <c r="Y813" s="37"/>
      <c r="Z813" s="37"/>
      <c r="AA813" s="37"/>
      <c r="AB813" s="37"/>
      <c r="AC813" s="37"/>
      <c r="AD813" s="37"/>
      <c r="AE813" s="37"/>
      <c r="AF813" s="37"/>
      <c r="AG813" s="37"/>
      <c r="AH813" s="37"/>
      <c r="AI813" s="37"/>
      <c r="AJ813" s="37"/>
      <c r="AK813" s="37"/>
      <c r="AL813" s="37"/>
      <c r="AM813" s="37"/>
      <c r="AN813" s="37"/>
      <c r="AO813" s="37"/>
      <c r="AP813" s="37"/>
      <c r="AQ813" s="37"/>
      <c r="AR813" s="37"/>
      <c r="AS813" s="37"/>
      <c r="AT813" s="37"/>
      <c r="AU813" s="37"/>
      <c r="AV813" s="37"/>
      <c r="AW813" s="37"/>
      <c r="AX813" s="37"/>
      <c r="AY813" s="37"/>
      <c r="AZ813" s="37"/>
    </row>
    <row r="814" spans="1:52">
      <c r="A814" s="37"/>
      <c r="B814" s="37"/>
      <c r="C814" s="37"/>
      <c r="D814" s="37"/>
      <c r="E814" s="37"/>
      <c r="F814" s="37"/>
      <c r="G814" s="37"/>
      <c r="H814" s="37"/>
      <c r="I814" s="37"/>
      <c r="J814" s="37"/>
      <c r="K814" s="37"/>
      <c r="L814" s="37"/>
      <c r="M814" s="37"/>
      <c r="N814" s="37"/>
      <c r="O814" s="37"/>
      <c r="P814" s="37"/>
      <c r="Q814" s="37"/>
      <c r="R814" s="37"/>
      <c r="S814" s="37"/>
      <c r="T814" s="37"/>
      <c r="U814" s="37"/>
      <c r="V814" s="37"/>
      <c r="W814" s="37"/>
      <c r="X814" s="37"/>
      <c r="Y814" s="37"/>
      <c r="Z814" s="37"/>
      <c r="AA814" s="37"/>
      <c r="AB814" s="37"/>
      <c r="AC814" s="37"/>
      <c r="AD814" s="37"/>
      <c r="AE814" s="37"/>
      <c r="AF814" s="37"/>
      <c r="AG814" s="37"/>
      <c r="AH814" s="37"/>
      <c r="AI814" s="37"/>
      <c r="AJ814" s="37"/>
      <c r="AK814" s="37"/>
      <c r="AL814" s="37"/>
      <c r="AM814" s="37"/>
      <c r="AN814" s="37"/>
      <c r="AO814" s="37"/>
      <c r="AP814" s="37"/>
      <c r="AQ814" s="37"/>
      <c r="AR814" s="37"/>
      <c r="AS814" s="37"/>
      <c r="AT814" s="37"/>
      <c r="AU814" s="37"/>
      <c r="AV814" s="37"/>
      <c r="AW814" s="37"/>
      <c r="AX814" s="37"/>
      <c r="AY814" s="37"/>
      <c r="AZ814" s="37"/>
    </row>
    <row r="815" spans="1:52">
      <c r="A815" s="37"/>
      <c r="B815" s="37"/>
      <c r="C815" s="37"/>
      <c r="D815" s="37"/>
      <c r="E815" s="37"/>
      <c r="F815" s="37"/>
      <c r="G815" s="37"/>
      <c r="H815" s="37"/>
      <c r="I815" s="37"/>
      <c r="J815" s="37"/>
      <c r="K815" s="37"/>
      <c r="L815" s="37"/>
      <c r="M815" s="37"/>
      <c r="N815" s="37"/>
      <c r="O815" s="37"/>
      <c r="P815" s="37"/>
      <c r="Q815" s="37"/>
      <c r="R815" s="37"/>
      <c r="S815" s="37"/>
      <c r="T815" s="37"/>
      <c r="U815" s="37"/>
      <c r="V815" s="37"/>
      <c r="W815" s="37"/>
      <c r="X815" s="37"/>
      <c r="Y815" s="37"/>
      <c r="Z815" s="37"/>
      <c r="AA815" s="37"/>
      <c r="AB815" s="37"/>
      <c r="AC815" s="37"/>
      <c r="AD815" s="37"/>
      <c r="AE815" s="37"/>
      <c r="AF815" s="37"/>
      <c r="AG815" s="37"/>
      <c r="AH815" s="37"/>
      <c r="AI815" s="37"/>
      <c r="AJ815" s="37"/>
      <c r="AK815" s="37"/>
      <c r="AL815" s="37"/>
      <c r="AM815" s="37"/>
      <c r="AN815" s="37"/>
      <c r="AO815" s="37"/>
      <c r="AP815" s="37"/>
      <c r="AQ815" s="37"/>
      <c r="AR815" s="37"/>
      <c r="AS815" s="37"/>
      <c r="AT815" s="37"/>
      <c r="AU815" s="37"/>
      <c r="AV815" s="37"/>
      <c r="AW815" s="37"/>
      <c r="AX815" s="37"/>
      <c r="AY815" s="37"/>
      <c r="AZ815" s="37"/>
    </row>
    <row r="816" spans="1:52">
      <c r="A816" s="37"/>
      <c r="B816" s="37"/>
      <c r="C816" s="37"/>
      <c r="D816" s="37"/>
      <c r="E816" s="37"/>
      <c r="F816" s="37"/>
      <c r="G816" s="37"/>
      <c r="H816" s="37"/>
      <c r="I816" s="37"/>
      <c r="J816" s="37"/>
      <c r="K816" s="37"/>
      <c r="L816" s="37"/>
      <c r="M816" s="37"/>
      <c r="N816" s="37"/>
      <c r="O816" s="37"/>
      <c r="P816" s="37"/>
      <c r="Q816" s="37"/>
      <c r="R816" s="37"/>
      <c r="S816" s="37"/>
      <c r="T816" s="37"/>
      <c r="U816" s="37"/>
      <c r="V816" s="37"/>
      <c r="W816" s="37"/>
      <c r="X816" s="37"/>
      <c r="Y816" s="37"/>
      <c r="Z816" s="37"/>
      <c r="AA816" s="37"/>
      <c r="AB816" s="37"/>
      <c r="AC816" s="37"/>
      <c r="AD816" s="37"/>
      <c r="AE816" s="37"/>
      <c r="AF816" s="37"/>
      <c r="AG816" s="37"/>
      <c r="AH816" s="37"/>
      <c r="AI816" s="37"/>
      <c r="AJ816" s="37"/>
      <c r="AK816" s="37"/>
      <c r="AL816" s="37"/>
      <c r="AM816" s="37"/>
      <c r="AN816" s="37"/>
      <c r="AO816" s="37"/>
      <c r="AP816" s="37"/>
      <c r="AQ816" s="37"/>
      <c r="AR816" s="37"/>
      <c r="AS816" s="37"/>
      <c r="AT816" s="37"/>
      <c r="AU816" s="37"/>
      <c r="AV816" s="37"/>
      <c r="AW816" s="37"/>
      <c r="AX816" s="37"/>
      <c r="AY816" s="37"/>
      <c r="AZ816" s="37"/>
    </row>
    <row r="817" spans="1:52">
      <c r="A817" s="37"/>
      <c r="B817" s="37"/>
      <c r="C817" s="37"/>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s="37"/>
      <c r="AL817" s="37"/>
      <c r="AM817" s="37"/>
      <c r="AN817" s="37"/>
      <c r="AO817" s="37"/>
      <c r="AP817" s="37"/>
      <c r="AQ817" s="37"/>
      <c r="AR817" s="37"/>
      <c r="AS817" s="37"/>
      <c r="AT817" s="37"/>
      <c r="AU817" s="37"/>
      <c r="AV817" s="37"/>
      <c r="AW817" s="37"/>
      <c r="AX817" s="37"/>
      <c r="AY817" s="37"/>
      <c r="AZ817" s="37"/>
    </row>
    <row r="818" spans="1:52">
      <c r="A818" s="37"/>
      <c r="B818" s="37"/>
      <c r="C818" s="37"/>
      <c r="D818" s="37"/>
      <c r="E818" s="37"/>
      <c r="F818" s="37"/>
      <c r="G818" s="37"/>
      <c r="H818" s="37"/>
      <c r="I818" s="37"/>
      <c r="J818" s="37"/>
      <c r="K818" s="37"/>
      <c r="L818" s="37"/>
      <c r="M818" s="37"/>
      <c r="N818" s="37"/>
      <c r="O818" s="37"/>
      <c r="P818" s="37"/>
      <c r="Q818" s="37"/>
      <c r="R818" s="37"/>
      <c r="S818" s="37"/>
      <c r="T818" s="37"/>
      <c r="U818" s="37"/>
      <c r="V818" s="37"/>
      <c r="W818" s="37"/>
      <c r="X818" s="37"/>
      <c r="Y818" s="37"/>
      <c r="Z818" s="37"/>
      <c r="AA818" s="37"/>
      <c r="AB818" s="37"/>
      <c r="AC818" s="37"/>
      <c r="AD818" s="37"/>
      <c r="AE818" s="37"/>
      <c r="AF818" s="37"/>
      <c r="AG818" s="37"/>
      <c r="AH818" s="37"/>
      <c r="AI818" s="37"/>
      <c r="AJ818" s="37"/>
      <c r="AK818" s="37"/>
      <c r="AL818" s="37"/>
      <c r="AM818" s="37"/>
      <c r="AN818" s="37"/>
      <c r="AO818" s="37"/>
      <c r="AP818" s="37"/>
      <c r="AQ818" s="37"/>
      <c r="AR818" s="37"/>
      <c r="AS818" s="37"/>
      <c r="AT818" s="37"/>
      <c r="AU818" s="37"/>
      <c r="AV818" s="37"/>
      <c r="AW818" s="37"/>
      <c r="AX818" s="37"/>
      <c r="AY818" s="37"/>
      <c r="AZ818" s="37"/>
    </row>
    <row r="819" spans="1:52">
      <c r="A819" s="37"/>
      <c r="B819" s="37"/>
      <c r="C819" s="37"/>
      <c r="D819" s="37"/>
      <c r="E819" s="37"/>
      <c r="F819" s="37"/>
      <c r="G819" s="37"/>
      <c r="H819" s="37"/>
      <c r="I819" s="37"/>
      <c r="J819" s="37"/>
      <c r="K819" s="37"/>
      <c r="L819" s="37"/>
      <c r="M819" s="37"/>
      <c r="N819" s="37"/>
      <c r="O819" s="37"/>
      <c r="P819" s="37"/>
      <c r="Q819" s="37"/>
      <c r="R819" s="37"/>
      <c r="S819" s="37"/>
      <c r="T819" s="37"/>
      <c r="U819" s="37"/>
      <c r="V819" s="37"/>
      <c r="W819" s="37"/>
      <c r="X819" s="37"/>
      <c r="Y819" s="37"/>
      <c r="Z819" s="37"/>
      <c r="AA819" s="37"/>
      <c r="AB819" s="37"/>
      <c r="AC819" s="37"/>
      <c r="AD819" s="37"/>
      <c r="AE819" s="37"/>
      <c r="AF819" s="37"/>
      <c r="AG819" s="37"/>
      <c r="AH819" s="37"/>
      <c r="AI819" s="37"/>
      <c r="AJ819" s="37"/>
      <c r="AK819" s="37"/>
      <c r="AL819" s="37"/>
      <c r="AM819" s="37"/>
      <c r="AN819" s="37"/>
      <c r="AO819" s="37"/>
      <c r="AP819" s="37"/>
      <c r="AQ819" s="37"/>
      <c r="AR819" s="37"/>
      <c r="AS819" s="37"/>
      <c r="AT819" s="37"/>
      <c r="AU819" s="37"/>
      <c r="AV819" s="37"/>
      <c r="AW819" s="37"/>
      <c r="AX819" s="37"/>
      <c r="AY819" s="37"/>
      <c r="AZ819" s="37"/>
    </row>
    <row r="820" spans="1:52">
      <c r="A820" s="37"/>
      <c r="B820" s="37"/>
      <c r="C820" s="37"/>
      <c r="D820" s="37"/>
      <c r="E820" s="37"/>
      <c r="F820" s="37"/>
      <c r="G820" s="37"/>
      <c r="H820" s="37"/>
      <c r="I820" s="37"/>
      <c r="J820" s="37"/>
      <c r="K820" s="37"/>
      <c r="L820" s="37"/>
      <c r="M820" s="37"/>
      <c r="N820" s="37"/>
      <c r="O820" s="37"/>
      <c r="P820" s="37"/>
      <c r="Q820" s="37"/>
      <c r="R820" s="37"/>
      <c r="S820" s="37"/>
      <c r="T820" s="37"/>
      <c r="U820" s="37"/>
      <c r="V820" s="37"/>
      <c r="W820" s="37"/>
      <c r="X820" s="37"/>
      <c r="Y820" s="37"/>
      <c r="Z820" s="37"/>
      <c r="AA820" s="37"/>
      <c r="AB820" s="37"/>
      <c r="AC820" s="37"/>
      <c r="AD820" s="37"/>
      <c r="AE820" s="37"/>
      <c r="AF820" s="37"/>
      <c r="AG820" s="37"/>
      <c r="AH820" s="37"/>
      <c r="AI820" s="37"/>
      <c r="AJ820" s="37"/>
      <c r="AK820" s="37"/>
      <c r="AL820" s="37"/>
      <c r="AM820" s="37"/>
      <c r="AN820" s="37"/>
      <c r="AO820" s="37"/>
      <c r="AP820" s="37"/>
      <c r="AQ820" s="37"/>
      <c r="AR820" s="37"/>
      <c r="AS820" s="37"/>
      <c r="AT820" s="37"/>
      <c r="AU820" s="37"/>
      <c r="AV820" s="37"/>
      <c r="AW820" s="37"/>
      <c r="AX820" s="37"/>
      <c r="AY820" s="37"/>
      <c r="AZ820" s="37"/>
    </row>
    <row r="821" spans="1:52">
      <c r="A821" s="37"/>
      <c r="B821" s="37"/>
      <c r="C821" s="37"/>
      <c r="D821" s="37"/>
      <c r="E821" s="37"/>
      <c r="F821" s="37"/>
      <c r="G821" s="37"/>
      <c r="H821" s="37"/>
      <c r="I821" s="37"/>
      <c r="J821" s="37"/>
      <c r="K821" s="37"/>
      <c r="L821" s="37"/>
      <c r="M821" s="37"/>
      <c r="N821" s="37"/>
      <c r="O821" s="37"/>
      <c r="P821" s="37"/>
      <c r="Q821" s="37"/>
      <c r="R821" s="37"/>
      <c r="S821" s="37"/>
      <c r="T821" s="37"/>
      <c r="U821" s="37"/>
      <c r="V821" s="37"/>
      <c r="W821" s="37"/>
      <c r="X821" s="37"/>
      <c r="Y821" s="37"/>
      <c r="Z821" s="37"/>
      <c r="AA821" s="37"/>
      <c r="AB821" s="37"/>
      <c r="AC821" s="37"/>
      <c r="AD821" s="37"/>
      <c r="AE821" s="37"/>
      <c r="AF821" s="37"/>
      <c r="AG821" s="37"/>
      <c r="AH821" s="37"/>
      <c r="AI821" s="37"/>
      <c r="AJ821" s="37"/>
      <c r="AK821" s="37"/>
      <c r="AL821" s="37"/>
      <c r="AM821" s="37"/>
      <c r="AN821" s="37"/>
      <c r="AO821" s="37"/>
      <c r="AP821" s="37"/>
      <c r="AQ821" s="37"/>
      <c r="AR821" s="37"/>
      <c r="AS821" s="37"/>
      <c r="AT821" s="37"/>
      <c r="AU821" s="37"/>
      <c r="AV821" s="37"/>
      <c r="AW821" s="37"/>
      <c r="AX821" s="37"/>
      <c r="AY821" s="37"/>
      <c r="AZ821" s="37"/>
    </row>
    <row r="822" spans="1:52">
      <c r="A822" s="37"/>
      <c r="B822" s="37"/>
      <c r="C822" s="37"/>
      <c r="D822" s="37"/>
      <c r="E822" s="37"/>
      <c r="F822" s="37"/>
      <c r="G822" s="37"/>
      <c r="H822" s="37"/>
      <c r="I822" s="37"/>
      <c r="J822" s="37"/>
      <c r="K822" s="37"/>
      <c r="L822" s="37"/>
      <c r="M822" s="37"/>
      <c r="N822" s="37"/>
      <c r="O822" s="37"/>
      <c r="P822" s="37"/>
      <c r="Q822" s="37"/>
      <c r="R822" s="37"/>
      <c r="S822" s="37"/>
      <c r="T822" s="37"/>
      <c r="U822" s="37"/>
      <c r="V822" s="37"/>
      <c r="W822" s="37"/>
      <c r="X822" s="37"/>
      <c r="Y822" s="37"/>
      <c r="Z822" s="37"/>
      <c r="AA822" s="37"/>
      <c r="AB822" s="37"/>
      <c r="AC822" s="37"/>
      <c r="AD822" s="37"/>
      <c r="AE822" s="37"/>
      <c r="AF822" s="37"/>
      <c r="AG822" s="37"/>
      <c r="AH822" s="37"/>
      <c r="AI822" s="37"/>
      <c r="AJ822" s="37"/>
      <c r="AK822" s="37"/>
      <c r="AL822" s="37"/>
      <c r="AM822" s="37"/>
      <c r="AN822" s="37"/>
      <c r="AO822" s="37"/>
      <c r="AP822" s="37"/>
      <c r="AQ822" s="37"/>
      <c r="AR822" s="37"/>
      <c r="AS822" s="37"/>
      <c r="AT822" s="37"/>
      <c r="AU822" s="37"/>
      <c r="AV822" s="37"/>
      <c r="AW822" s="37"/>
      <c r="AX822" s="37"/>
      <c r="AY822" s="37"/>
      <c r="AZ822" s="37"/>
    </row>
    <row r="823" spans="1:52">
      <c r="A823" s="37"/>
      <c r="B823" s="37"/>
      <c r="C823" s="37"/>
      <c r="D823" s="37"/>
      <c r="E823" s="37"/>
      <c r="F823" s="37"/>
      <c r="G823" s="37"/>
      <c r="H823" s="37"/>
      <c r="I823" s="37"/>
      <c r="J823" s="37"/>
      <c r="K823" s="37"/>
      <c r="L823" s="37"/>
      <c r="M823" s="37"/>
      <c r="N823" s="37"/>
      <c r="O823" s="37"/>
      <c r="P823" s="37"/>
      <c r="Q823" s="37"/>
      <c r="R823" s="37"/>
      <c r="S823" s="37"/>
      <c r="T823" s="37"/>
      <c r="U823" s="37"/>
      <c r="V823" s="37"/>
      <c r="W823" s="37"/>
      <c r="X823" s="37"/>
      <c r="Y823" s="37"/>
      <c r="Z823" s="37"/>
      <c r="AA823" s="37"/>
      <c r="AB823" s="37"/>
      <c r="AC823" s="37"/>
      <c r="AD823" s="37"/>
      <c r="AE823" s="37"/>
      <c r="AF823" s="37"/>
      <c r="AG823" s="37"/>
      <c r="AH823" s="37"/>
      <c r="AI823" s="37"/>
      <c r="AJ823" s="37"/>
      <c r="AK823" s="37"/>
      <c r="AL823" s="37"/>
      <c r="AM823" s="37"/>
      <c r="AN823" s="37"/>
      <c r="AO823" s="37"/>
      <c r="AP823" s="37"/>
      <c r="AQ823" s="37"/>
      <c r="AR823" s="37"/>
      <c r="AS823" s="37"/>
      <c r="AT823" s="37"/>
      <c r="AU823" s="37"/>
      <c r="AV823" s="37"/>
      <c r="AW823" s="37"/>
      <c r="AX823" s="37"/>
      <c r="AY823" s="37"/>
      <c r="AZ823" s="37"/>
    </row>
    <row r="824" spans="1:52">
      <c r="A824" s="37"/>
      <c r="B824" s="37"/>
      <c r="C824" s="37"/>
      <c r="D824" s="37"/>
      <c r="E824" s="37"/>
      <c r="F824" s="37"/>
      <c r="G824" s="37"/>
      <c r="H824" s="37"/>
      <c r="I824" s="37"/>
      <c r="J824" s="37"/>
      <c r="K824" s="37"/>
      <c r="L824" s="37"/>
      <c r="M824" s="37"/>
      <c r="N824" s="37"/>
      <c r="O824" s="37"/>
      <c r="P824" s="37"/>
      <c r="Q824" s="37"/>
      <c r="R824" s="37"/>
      <c r="S824" s="37"/>
      <c r="T824" s="37"/>
      <c r="U824" s="37"/>
      <c r="V824" s="37"/>
      <c r="W824" s="37"/>
      <c r="X824" s="37"/>
      <c r="Y824" s="37"/>
      <c r="Z824" s="37"/>
      <c r="AA824" s="37"/>
      <c r="AB824" s="37"/>
      <c r="AC824" s="37"/>
      <c r="AD824" s="37"/>
      <c r="AE824" s="37"/>
      <c r="AF824" s="37"/>
      <c r="AG824" s="37"/>
      <c r="AH824" s="37"/>
      <c r="AI824" s="37"/>
      <c r="AJ824" s="37"/>
      <c r="AK824" s="37"/>
      <c r="AL824" s="37"/>
      <c r="AM824" s="37"/>
      <c r="AN824" s="37"/>
      <c r="AO824" s="37"/>
      <c r="AP824" s="37"/>
      <c r="AQ824" s="37"/>
      <c r="AR824" s="37"/>
      <c r="AS824" s="37"/>
      <c r="AT824" s="37"/>
      <c r="AU824" s="37"/>
      <c r="AV824" s="37"/>
      <c r="AW824" s="37"/>
      <c r="AX824" s="37"/>
      <c r="AY824" s="37"/>
      <c r="AZ824" s="37"/>
    </row>
    <row r="825" spans="1:52">
      <c r="A825" s="37"/>
      <c r="B825" s="37"/>
      <c r="C825" s="37"/>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s="37"/>
      <c r="AL825" s="37"/>
      <c r="AM825" s="37"/>
      <c r="AN825" s="37"/>
      <c r="AO825" s="37"/>
      <c r="AP825" s="37"/>
      <c r="AQ825" s="37"/>
      <c r="AR825" s="37"/>
      <c r="AS825" s="37"/>
      <c r="AT825" s="37"/>
      <c r="AU825" s="37"/>
      <c r="AV825" s="37"/>
      <c r="AW825" s="37"/>
      <c r="AX825" s="37"/>
      <c r="AY825" s="37"/>
      <c r="AZ825" s="37"/>
    </row>
    <row r="826" spans="1:52">
      <c r="A826" s="37"/>
      <c r="B826" s="37"/>
      <c r="C826" s="37"/>
      <c r="D826" s="37"/>
      <c r="E826" s="37"/>
      <c r="F826" s="37"/>
      <c r="G826" s="37"/>
      <c r="H826" s="37"/>
      <c r="I826" s="37"/>
      <c r="J826" s="37"/>
      <c r="K826" s="37"/>
      <c r="L826" s="37"/>
      <c r="M826" s="37"/>
      <c r="N826" s="37"/>
      <c r="O826" s="37"/>
      <c r="P826" s="37"/>
      <c r="Q826" s="37"/>
      <c r="R826" s="37"/>
      <c r="S826" s="37"/>
      <c r="T826" s="37"/>
      <c r="U826" s="37"/>
      <c r="V826" s="37"/>
      <c r="W826" s="37"/>
      <c r="X826" s="37"/>
      <c r="Y826" s="37"/>
      <c r="Z826" s="37"/>
      <c r="AA826" s="37"/>
      <c r="AB826" s="37"/>
      <c r="AC826" s="37"/>
      <c r="AD826" s="37"/>
      <c r="AE826" s="37"/>
      <c r="AF826" s="37"/>
      <c r="AG826" s="37"/>
      <c r="AH826" s="37"/>
      <c r="AI826" s="37"/>
      <c r="AJ826" s="37"/>
      <c r="AK826" s="37"/>
      <c r="AL826" s="37"/>
      <c r="AM826" s="37"/>
      <c r="AN826" s="37"/>
      <c r="AO826" s="37"/>
      <c r="AP826" s="37"/>
      <c r="AQ826" s="37"/>
      <c r="AR826" s="37"/>
      <c r="AS826" s="37"/>
      <c r="AT826" s="37"/>
      <c r="AU826" s="37"/>
      <c r="AV826" s="37"/>
      <c r="AW826" s="37"/>
      <c r="AX826" s="37"/>
      <c r="AY826" s="37"/>
      <c r="AZ826" s="37"/>
    </row>
    <row r="827" spans="1:52">
      <c r="A827" s="37"/>
      <c r="B827" s="37"/>
      <c r="C827" s="37"/>
      <c r="D827" s="37"/>
      <c r="E827" s="37"/>
      <c r="F827" s="37"/>
      <c r="G827" s="37"/>
      <c r="H827" s="37"/>
      <c r="I827" s="37"/>
      <c r="J827" s="37"/>
      <c r="K827" s="37"/>
      <c r="L827" s="37"/>
      <c r="M827" s="37"/>
      <c r="N827" s="37"/>
      <c r="O827" s="37"/>
      <c r="P827" s="37"/>
      <c r="Q827" s="37"/>
      <c r="R827" s="37"/>
      <c r="S827" s="37"/>
      <c r="T827" s="37"/>
      <c r="U827" s="37"/>
      <c r="V827" s="37"/>
      <c r="W827" s="37"/>
      <c r="X827" s="37"/>
      <c r="Y827" s="37"/>
      <c r="Z827" s="37"/>
      <c r="AA827" s="37"/>
      <c r="AB827" s="37"/>
      <c r="AC827" s="37"/>
      <c r="AD827" s="37"/>
      <c r="AE827" s="37"/>
      <c r="AF827" s="37"/>
      <c r="AG827" s="37"/>
      <c r="AH827" s="37"/>
      <c r="AI827" s="37"/>
      <c r="AJ827" s="37"/>
      <c r="AK827" s="37"/>
      <c r="AL827" s="37"/>
      <c r="AM827" s="37"/>
      <c r="AN827" s="37"/>
      <c r="AO827" s="37"/>
      <c r="AP827" s="37"/>
      <c r="AQ827" s="37"/>
      <c r="AR827" s="37"/>
      <c r="AS827" s="37"/>
      <c r="AT827" s="37"/>
      <c r="AU827" s="37"/>
      <c r="AV827" s="37"/>
      <c r="AW827" s="37"/>
      <c r="AX827" s="37"/>
      <c r="AY827" s="37"/>
      <c r="AZ827" s="37"/>
    </row>
    <row r="828" spans="1:52">
      <c r="A828" s="37"/>
      <c r="B828" s="37"/>
      <c r="C828" s="37"/>
      <c r="D828" s="37"/>
      <c r="E828" s="37"/>
      <c r="F828" s="37"/>
      <c r="G828" s="37"/>
      <c r="H828" s="37"/>
      <c r="I828" s="37"/>
      <c r="J828" s="37"/>
      <c r="K828" s="37"/>
      <c r="L828" s="37"/>
      <c r="M828" s="37"/>
      <c r="N828" s="37"/>
      <c r="O828" s="37"/>
      <c r="P828" s="37"/>
      <c r="Q828" s="37"/>
      <c r="R828" s="37"/>
      <c r="S828" s="37"/>
      <c r="T828" s="37"/>
      <c r="U828" s="37"/>
      <c r="V828" s="37"/>
      <c r="W828" s="37"/>
      <c r="X828" s="37"/>
      <c r="Y828" s="37"/>
      <c r="Z828" s="37"/>
      <c r="AA828" s="37"/>
      <c r="AB828" s="37"/>
      <c r="AC828" s="37"/>
      <c r="AD828" s="37"/>
      <c r="AE828" s="37"/>
      <c r="AF828" s="37"/>
      <c r="AG828" s="37"/>
      <c r="AH828" s="37"/>
      <c r="AI828" s="37"/>
      <c r="AJ828" s="37"/>
      <c r="AK828" s="37"/>
      <c r="AL828" s="37"/>
      <c r="AM828" s="37"/>
      <c r="AN828" s="37"/>
      <c r="AO828" s="37"/>
      <c r="AP828" s="37"/>
      <c r="AQ828" s="37"/>
      <c r="AR828" s="37"/>
      <c r="AS828" s="37"/>
      <c r="AT828" s="37"/>
      <c r="AU828" s="37"/>
      <c r="AV828" s="37"/>
      <c r="AW828" s="37"/>
      <c r="AX828" s="37"/>
      <c r="AY828" s="37"/>
      <c r="AZ828" s="37"/>
    </row>
    <row r="829" spans="1:52">
      <c r="A829" s="37"/>
      <c r="B829" s="37"/>
      <c r="C829" s="37"/>
      <c r="D829" s="37"/>
      <c r="E829" s="37"/>
      <c r="F829" s="37"/>
      <c r="G829" s="37"/>
      <c r="H829" s="37"/>
      <c r="I829" s="37"/>
      <c r="J829" s="37"/>
      <c r="K829" s="37"/>
      <c r="L829" s="37"/>
      <c r="M829" s="37"/>
      <c r="N829" s="37"/>
      <c r="O829" s="37"/>
      <c r="P829" s="37"/>
      <c r="Q829" s="37"/>
      <c r="R829" s="37"/>
      <c r="S829" s="37"/>
      <c r="T829" s="37"/>
      <c r="U829" s="37"/>
      <c r="V829" s="37"/>
      <c r="W829" s="37"/>
      <c r="X829" s="37"/>
      <c r="Y829" s="37"/>
      <c r="Z829" s="37"/>
      <c r="AA829" s="37"/>
      <c r="AB829" s="37"/>
      <c r="AC829" s="37"/>
      <c r="AD829" s="37"/>
      <c r="AE829" s="37"/>
      <c r="AF829" s="37"/>
      <c r="AG829" s="37"/>
      <c r="AH829" s="37"/>
      <c r="AI829" s="37"/>
      <c r="AJ829" s="37"/>
      <c r="AK829" s="37"/>
      <c r="AL829" s="37"/>
      <c r="AM829" s="37"/>
      <c r="AN829" s="37"/>
      <c r="AO829" s="37"/>
      <c r="AP829" s="37"/>
      <c r="AQ829" s="37"/>
      <c r="AR829" s="37"/>
      <c r="AS829" s="37"/>
      <c r="AT829" s="37"/>
      <c r="AU829" s="37"/>
      <c r="AV829" s="37"/>
      <c r="AW829" s="37"/>
      <c r="AX829" s="37"/>
      <c r="AY829" s="37"/>
      <c r="AZ829" s="37"/>
    </row>
    <row r="830" spans="1:52">
      <c r="A830" s="37"/>
      <c r="B830" s="37"/>
      <c r="C830" s="37"/>
      <c r="D830" s="37"/>
      <c r="E830" s="37"/>
      <c r="F830" s="37"/>
      <c r="G830" s="37"/>
      <c r="H830" s="37"/>
      <c r="I830" s="37"/>
      <c r="J830" s="37"/>
      <c r="K830" s="37"/>
      <c r="L830" s="37"/>
      <c r="M830" s="37"/>
      <c r="N830" s="37"/>
      <c r="O830" s="37"/>
      <c r="P830" s="37"/>
      <c r="Q830" s="37"/>
      <c r="R830" s="37"/>
      <c r="S830" s="37"/>
      <c r="T830" s="37"/>
      <c r="U830" s="37"/>
      <c r="V830" s="37"/>
      <c r="W830" s="37"/>
      <c r="X830" s="37"/>
      <c r="Y830" s="37"/>
      <c r="Z830" s="37"/>
      <c r="AA830" s="37"/>
      <c r="AB830" s="37"/>
      <c r="AC830" s="37"/>
      <c r="AD830" s="37"/>
      <c r="AE830" s="37"/>
      <c r="AF830" s="37"/>
      <c r="AG830" s="37"/>
      <c r="AH830" s="37"/>
      <c r="AI830" s="37"/>
      <c r="AJ830" s="37"/>
      <c r="AK830" s="37"/>
      <c r="AL830" s="37"/>
      <c r="AM830" s="37"/>
      <c r="AN830" s="37"/>
      <c r="AO830" s="37"/>
      <c r="AP830" s="37"/>
      <c r="AQ830" s="37"/>
      <c r="AR830" s="37"/>
      <c r="AS830" s="37"/>
      <c r="AT830" s="37"/>
      <c r="AU830" s="37"/>
      <c r="AV830" s="37"/>
      <c r="AW830" s="37"/>
      <c r="AX830" s="37"/>
      <c r="AY830" s="37"/>
      <c r="AZ830" s="37"/>
    </row>
    <row r="831" spans="1:52">
      <c r="A831" s="37"/>
      <c r="B831" s="37"/>
      <c r="C831" s="37"/>
      <c r="D831" s="37"/>
      <c r="E831" s="37"/>
      <c r="F831" s="37"/>
      <c r="G831" s="37"/>
      <c r="H831" s="37"/>
      <c r="I831" s="37"/>
      <c r="J831" s="37"/>
      <c r="K831" s="37"/>
      <c r="L831" s="37"/>
      <c r="M831" s="37"/>
      <c r="N831" s="37"/>
      <c r="O831" s="37"/>
      <c r="P831" s="37"/>
      <c r="Q831" s="37"/>
      <c r="R831" s="37"/>
      <c r="S831" s="37"/>
      <c r="T831" s="37"/>
      <c r="U831" s="37"/>
      <c r="V831" s="37"/>
      <c r="W831" s="37"/>
      <c r="X831" s="37"/>
      <c r="Y831" s="37"/>
      <c r="Z831" s="37"/>
      <c r="AA831" s="37"/>
      <c r="AB831" s="37"/>
      <c r="AC831" s="37"/>
      <c r="AD831" s="37"/>
      <c r="AE831" s="37"/>
      <c r="AF831" s="37"/>
      <c r="AG831" s="37"/>
      <c r="AH831" s="37"/>
      <c r="AI831" s="37"/>
      <c r="AJ831" s="37"/>
      <c r="AK831" s="37"/>
      <c r="AL831" s="37"/>
      <c r="AM831" s="37"/>
      <c r="AN831" s="37"/>
      <c r="AO831" s="37"/>
      <c r="AP831" s="37"/>
      <c r="AQ831" s="37"/>
      <c r="AR831" s="37"/>
      <c r="AS831" s="37"/>
      <c r="AT831" s="37"/>
      <c r="AU831" s="37"/>
      <c r="AV831" s="37"/>
      <c r="AW831" s="37"/>
      <c r="AX831" s="37"/>
      <c r="AY831" s="37"/>
      <c r="AZ831" s="37"/>
    </row>
    <row r="832" spans="1:52">
      <c r="A832" s="37"/>
      <c r="B832" s="37"/>
      <c r="C832" s="37"/>
      <c r="D832" s="37"/>
      <c r="E832" s="37"/>
      <c r="F832" s="37"/>
      <c r="G832" s="37"/>
      <c r="H832" s="37"/>
      <c r="I832" s="37"/>
      <c r="J832" s="37"/>
      <c r="K832" s="37"/>
      <c r="L832" s="37"/>
      <c r="M832" s="37"/>
      <c r="N832" s="37"/>
      <c r="O832" s="37"/>
      <c r="P832" s="37"/>
      <c r="Q832" s="37"/>
      <c r="R832" s="37"/>
      <c r="S832" s="37"/>
      <c r="T832" s="37"/>
      <c r="U832" s="37"/>
      <c r="V832" s="37"/>
      <c r="W832" s="37"/>
      <c r="X832" s="37"/>
      <c r="Y832" s="37"/>
      <c r="Z832" s="37"/>
      <c r="AA832" s="37"/>
      <c r="AB832" s="37"/>
      <c r="AC832" s="37"/>
      <c r="AD832" s="37"/>
      <c r="AE832" s="37"/>
      <c r="AF832" s="37"/>
      <c r="AG832" s="37"/>
      <c r="AH832" s="37"/>
      <c r="AI832" s="37"/>
      <c r="AJ832" s="37"/>
      <c r="AK832" s="37"/>
      <c r="AL832" s="37"/>
      <c r="AM832" s="37"/>
      <c r="AN832" s="37"/>
      <c r="AO832" s="37"/>
      <c r="AP832" s="37"/>
      <c r="AQ832" s="37"/>
      <c r="AR832" s="37"/>
      <c r="AS832" s="37"/>
      <c r="AT832" s="37"/>
      <c r="AU832" s="37"/>
      <c r="AV832" s="37"/>
      <c r="AW832" s="37"/>
      <c r="AX832" s="37"/>
      <c r="AY832" s="37"/>
      <c r="AZ832" s="37"/>
    </row>
    <row r="833" spans="1:52">
      <c r="A833" s="37"/>
      <c r="B833" s="37"/>
      <c r="C833" s="37"/>
      <c r="D833" s="37"/>
      <c r="E833" s="37"/>
      <c r="F833" s="37"/>
      <c r="G833" s="37"/>
      <c r="H833" s="37"/>
      <c r="I833" s="37"/>
      <c r="J833" s="37"/>
      <c r="K833" s="37"/>
      <c r="L833" s="37"/>
      <c r="M833" s="37"/>
      <c r="N833" s="37"/>
      <c r="O833" s="37"/>
      <c r="P833" s="37"/>
      <c r="Q833" s="37"/>
      <c r="R833" s="37"/>
      <c r="S833" s="37"/>
      <c r="T833" s="37"/>
      <c r="U833" s="37"/>
      <c r="V833" s="37"/>
      <c r="W833" s="37"/>
      <c r="X833" s="37"/>
      <c r="Y833" s="37"/>
      <c r="Z833" s="37"/>
      <c r="AA833" s="37"/>
      <c r="AB833" s="37"/>
      <c r="AC833" s="37"/>
      <c r="AD833" s="37"/>
      <c r="AE833" s="37"/>
      <c r="AF833" s="37"/>
      <c r="AG833" s="37"/>
      <c r="AH833" s="37"/>
      <c r="AI833" s="37"/>
      <c r="AJ833" s="37"/>
      <c r="AK833" s="37"/>
      <c r="AL833" s="37"/>
      <c r="AM833" s="37"/>
      <c r="AN833" s="37"/>
      <c r="AO833" s="37"/>
      <c r="AP833" s="37"/>
      <c r="AQ833" s="37"/>
      <c r="AR833" s="37"/>
      <c r="AS833" s="37"/>
      <c r="AT833" s="37"/>
      <c r="AU833" s="37"/>
      <c r="AV833" s="37"/>
      <c r="AW833" s="37"/>
      <c r="AX833" s="37"/>
      <c r="AY833" s="37"/>
      <c r="AZ833" s="37"/>
    </row>
    <row r="834" spans="1:52">
      <c r="A834" s="37"/>
      <c r="B834" s="37"/>
      <c r="C834" s="37"/>
      <c r="D834" s="37"/>
      <c r="E834" s="37"/>
      <c r="F834" s="37"/>
      <c r="G834" s="37"/>
      <c r="H834" s="37"/>
      <c r="I834" s="37"/>
      <c r="J834" s="37"/>
      <c r="K834" s="37"/>
      <c r="L834" s="37"/>
      <c r="M834" s="37"/>
      <c r="N834" s="37"/>
      <c r="O834" s="37"/>
      <c r="P834" s="37"/>
      <c r="Q834" s="37"/>
      <c r="R834" s="37"/>
      <c r="S834" s="37"/>
      <c r="T834" s="37"/>
      <c r="U834" s="37"/>
      <c r="V834" s="37"/>
      <c r="W834" s="37"/>
      <c r="X834" s="37"/>
      <c r="Y834" s="37"/>
      <c r="Z834" s="37"/>
      <c r="AA834" s="37"/>
      <c r="AB834" s="37"/>
      <c r="AC834" s="37"/>
      <c r="AD834" s="37"/>
      <c r="AE834" s="37"/>
      <c r="AF834" s="37"/>
      <c r="AG834" s="37"/>
      <c r="AH834" s="37"/>
      <c r="AI834" s="37"/>
      <c r="AJ834" s="37"/>
      <c r="AK834" s="37"/>
      <c r="AL834" s="37"/>
      <c r="AM834" s="37"/>
      <c r="AN834" s="37"/>
      <c r="AO834" s="37"/>
      <c r="AP834" s="37"/>
      <c r="AQ834" s="37"/>
      <c r="AR834" s="37"/>
      <c r="AS834" s="37"/>
      <c r="AT834" s="37"/>
      <c r="AU834" s="37"/>
      <c r="AV834" s="37"/>
      <c r="AW834" s="37"/>
      <c r="AX834" s="37"/>
      <c r="AY834" s="37"/>
      <c r="AZ834" s="37"/>
    </row>
    <row r="835" spans="1:52">
      <c r="A835" s="37"/>
      <c r="B835" s="37"/>
      <c r="C835" s="37"/>
      <c r="D835" s="37"/>
      <c r="E835" s="37"/>
      <c r="F835" s="37"/>
      <c r="G835" s="37"/>
      <c r="H835" s="37"/>
      <c r="I835" s="37"/>
      <c r="J835" s="37"/>
      <c r="K835" s="37"/>
      <c r="L835" s="37"/>
      <c r="M835" s="37"/>
      <c r="N835" s="37"/>
      <c r="O835" s="37"/>
      <c r="P835" s="37"/>
      <c r="Q835" s="37"/>
      <c r="R835" s="37"/>
      <c r="S835" s="37"/>
      <c r="T835" s="37"/>
      <c r="U835" s="37"/>
      <c r="V835" s="37"/>
      <c r="W835" s="37"/>
      <c r="X835" s="37"/>
      <c r="Y835" s="37"/>
      <c r="Z835" s="37"/>
      <c r="AA835" s="37"/>
      <c r="AB835" s="37"/>
      <c r="AC835" s="37"/>
      <c r="AD835" s="37"/>
      <c r="AE835" s="37"/>
      <c r="AF835" s="37"/>
      <c r="AG835" s="37"/>
      <c r="AH835" s="37"/>
      <c r="AI835" s="37"/>
      <c r="AJ835" s="37"/>
      <c r="AK835" s="37"/>
      <c r="AL835" s="37"/>
      <c r="AM835" s="37"/>
      <c r="AN835" s="37"/>
      <c r="AO835" s="37"/>
      <c r="AP835" s="37"/>
      <c r="AQ835" s="37"/>
      <c r="AR835" s="37"/>
      <c r="AS835" s="37"/>
      <c r="AT835" s="37"/>
      <c r="AU835" s="37"/>
      <c r="AV835" s="37"/>
      <c r="AW835" s="37"/>
      <c r="AX835" s="37"/>
      <c r="AY835" s="37"/>
      <c r="AZ835" s="37"/>
    </row>
    <row r="836" spans="1:52">
      <c r="A836" s="37"/>
      <c r="B836" s="37"/>
      <c r="C836" s="37"/>
      <c r="D836" s="37"/>
      <c r="E836" s="37"/>
      <c r="F836" s="37"/>
      <c r="G836" s="37"/>
      <c r="H836" s="37"/>
      <c r="I836" s="37"/>
      <c r="J836" s="37"/>
      <c r="K836" s="37"/>
      <c r="L836" s="37"/>
      <c r="M836" s="37"/>
      <c r="N836" s="37"/>
      <c r="O836" s="37"/>
      <c r="P836" s="37"/>
      <c r="Q836" s="37"/>
      <c r="R836" s="37"/>
      <c r="S836" s="37"/>
      <c r="T836" s="37"/>
      <c r="U836" s="37"/>
      <c r="V836" s="37"/>
      <c r="W836" s="37"/>
      <c r="X836" s="37"/>
      <c r="Y836" s="37"/>
      <c r="Z836" s="37"/>
      <c r="AA836" s="37"/>
      <c r="AB836" s="37"/>
      <c r="AC836" s="37"/>
      <c r="AD836" s="37"/>
      <c r="AE836" s="37"/>
      <c r="AF836" s="37"/>
      <c r="AG836" s="37"/>
      <c r="AH836" s="37"/>
      <c r="AI836" s="37"/>
      <c r="AJ836" s="37"/>
      <c r="AK836" s="37"/>
      <c r="AL836" s="37"/>
      <c r="AM836" s="37"/>
      <c r="AN836" s="37"/>
      <c r="AO836" s="37"/>
      <c r="AP836" s="37"/>
      <c r="AQ836" s="37"/>
      <c r="AR836" s="37"/>
      <c r="AS836" s="37"/>
      <c r="AT836" s="37"/>
      <c r="AU836" s="37"/>
      <c r="AV836" s="37"/>
      <c r="AW836" s="37"/>
      <c r="AX836" s="37"/>
      <c r="AY836" s="37"/>
      <c r="AZ836" s="37"/>
    </row>
    <row r="837" spans="1:52">
      <c r="A837" s="37"/>
      <c r="B837" s="37"/>
      <c r="C837" s="37"/>
      <c r="D837" s="37"/>
      <c r="E837" s="37"/>
      <c r="F837" s="37"/>
      <c r="G837" s="37"/>
      <c r="H837" s="37"/>
      <c r="I837" s="37"/>
      <c r="J837" s="37"/>
      <c r="K837" s="37"/>
      <c r="L837" s="37"/>
      <c r="M837" s="37"/>
      <c r="N837" s="37"/>
      <c r="O837" s="37"/>
      <c r="P837" s="37"/>
      <c r="Q837" s="37"/>
      <c r="R837" s="37"/>
      <c r="S837" s="37"/>
      <c r="T837" s="37"/>
      <c r="U837" s="37"/>
      <c r="V837" s="37"/>
      <c r="W837" s="37"/>
      <c r="X837" s="37"/>
      <c r="Y837" s="37"/>
      <c r="Z837" s="37"/>
      <c r="AA837" s="37"/>
      <c r="AB837" s="37"/>
      <c r="AC837" s="37"/>
      <c r="AD837" s="37"/>
      <c r="AE837" s="37"/>
      <c r="AF837" s="37"/>
      <c r="AG837" s="37"/>
      <c r="AH837" s="37"/>
      <c r="AI837" s="37"/>
      <c r="AJ837" s="37"/>
      <c r="AK837" s="37"/>
      <c r="AL837" s="37"/>
      <c r="AM837" s="37"/>
      <c r="AN837" s="37"/>
      <c r="AO837" s="37"/>
      <c r="AP837" s="37"/>
      <c r="AQ837" s="37"/>
      <c r="AR837" s="37"/>
      <c r="AS837" s="37"/>
      <c r="AT837" s="37"/>
      <c r="AU837" s="37"/>
      <c r="AV837" s="37"/>
      <c r="AW837" s="37"/>
      <c r="AX837" s="37"/>
      <c r="AY837" s="37"/>
      <c r="AZ837" s="37"/>
    </row>
    <row r="838" spans="1:52">
      <c r="A838" s="37"/>
      <c r="B838" s="37"/>
      <c r="C838" s="37"/>
      <c r="D838" s="37"/>
      <c r="E838" s="37"/>
      <c r="F838" s="37"/>
      <c r="G838" s="37"/>
      <c r="H838" s="37"/>
      <c r="I838" s="37"/>
      <c r="J838" s="37"/>
      <c r="K838" s="37"/>
      <c r="L838" s="37"/>
      <c r="M838" s="37"/>
      <c r="N838" s="37"/>
      <c r="O838" s="37"/>
      <c r="P838" s="37"/>
      <c r="Q838" s="37"/>
      <c r="R838" s="37"/>
      <c r="S838" s="37"/>
      <c r="T838" s="37"/>
      <c r="U838" s="37"/>
      <c r="V838" s="37"/>
      <c r="W838" s="37"/>
      <c r="X838" s="37"/>
      <c r="Y838" s="37"/>
      <c r="Z838" s="37"/>
      <c r="AA838" s="37"/>
      <c r="AB838" s="37"/>
      <c r="AC838" s="37"/>
      <c r="AD838" s="37"/>
      <c r="AE838" s="37"/>
      <c r="AF838" s="37"/>
      <c r="AG838" s="37"/>
      <c r="AH838" s="37"/>
      <c r="AI838" s="37"/>
      <c r="AJ838" s="37"/>
      <c r="AK838" s="37"/>
      <c r="AL838" s="37"/>
      <c r="AM838" s="37"/>
      <c r="AN838" s="37"/>
      <c r="AO838" s="37"/>
      <c r="AP838" s="37"/>
      <c r="AQ838" s="37"/>
      <c r="AR838" s="37"/>
      <c r="AS838" s="37"/>
      <c r="AT838" s="37"/>
      <c r="AU838" s="37"/>
      <c r="AV838" s="37"/>
      <c r="AW838" s="37"/>
      <c r="AX838" s="37"/>
      <c r="AY838" s="37"/>
      <c r="AZ838" s="37"/>
    </row>
    <row r="839" spans="1:52">
      <c r="A839" s="37"/>
      <c r="B839" s="37"/>
      <c r="C839" s="37"/>
      <c r="D839" s="37"/>
      <c r="E839" s="37"/>
      <c r="F839" s="37"/>
      <c r="G839" s="37"/>
      <c r="H839" s="37"/>
      <c r="I839" s="37"/>
      <c r="J839" s="37"/>
      <c r="K839" s="37"/>
      <c r="L839" s="37"/>
      <c r="M839" s="37"/>
      <c r="N839" s="37"/>
      <c r="O839" s="37"/>
      <c r="P839" s="37"/>
      <c r="Q839" s="37"/>
      <c r="R839" s="37"/>
      <c r="S839" s="37"/>
      <c r="T839" s="37"/>
      <c r="U839" s="37"/>
      <c r="V839" s="37"/>
      <c r="W839" s="37"/>
      <c r="X839" s="37"/>
      <c r="Y839" s="37"/>
      <c r="Z839" s="37"/>
      <c r="AA839" s="37"/>
      <c r="AB839" s="37"/>
      <c r="AC839" s="37"/>
      <c r="AD839" s="37"/>
      <c r="AE839" s="37"/>
      <c r="AF839" s="37"/>
      <c r="AG839" s="37"/>
      <c r="AH839" s="37"/>
      <c r="AI839" s="37"/>
      <c r="AJ839" s="37"/>
      <c r="AK839" s="37"/>
      <c r="AL839" s="37"/>
      <c r="AM839" s="37"/>
      <c r="AN839" s="37"/>
      <c r="AO839" s="37"/>
      <c r="AP839" s="37"/>
      <c r="AQ839" s="37"/>
      <c r="AR839" s="37"/>
      <c r="AS839" s="37"/>
      <c r="AT839" s="37"/>
      <c r="AU839" s="37"/>
      <c r="AV839" s="37"/>
      <c r="AW839" s="37"/>
      <c r="AX839" s="37"/>
      <c r="AY839" s="37"/>
      <c r="AZ839" s="37"/>
    </row>
    <row r="840" spans="1:52">
      <c r="A840" s="37"/>
      <c r="B840" s="37"/>
      <c r="C840" s="37"/>
      <c r="D840" s="37"/>
      <c r="E840" s="37"/>
      <c r="F840" s="37"/>
      <c r="G840" s="37"/>
      <c r="H840" s="37"/>
      <c r="I840" s="37"/>
      <c r="J840" s="37"/>
      <c r="K840" s="37"/>
      <c r="L840" s="37"/>
      <c r="M840" s="37"/>
      <c r="N840" s="37"/>
      <c r="O840" s="37"/>
      <c r="P840" s="37"/>
      <c r="Q840" s="37"/>
      <c r="R840" s="37"/>
      <c r="S840" s="37"/>
      <c r="T840" s="37"/>
      <c r="U840" s="37"/>
      <c r="V840" s="37"/>
      <c r="W840" s="37"/>
      <c r="X840" s="37"/>
      <c r="Y840" s="37"/>
      <c r="Z840" s="37"/>
      <c r="AA840" s="37"/>
      <c r="AB840" s="37"/>
      <c r="AC840" s="37"/>
      <c r="AD840" s="37"/>
      <c r="AE840" s="37"/>
      <c r="AF840" s="37"/>
      <c r="AG840" s="37"/>
      <c r="AH840" s="37"/>
      <c r="AI840" s="37"/>
      <c r="AJ840" s="37"/>
      <c r="AK840" s="37"/>
      <c r="AL840" s="37"/>
      <c r="AM840" s="37"/>
      <c r="AN840" s="37"/>
      <c r="AO840" s="37"/>
      <c r="AP840" s="37"/>
      <c r="AQ840" s="37"/>
      <c r="AR840" s="37"/>
      <c r="AS840" s="37"/>
      <c r="AT840" s="37"/>
      <c r="AU840" s="37"/>
      <c r="AV840" s="37"/>
      <c r="AW840" s="37"/>
      <c r="AX840" s="37"/>
      <c r="AY840" s="37"/>
      <c r="AZ840" s="37"/>
    </row>
    <row r="841" spans="1:52">
      <c r="A841" s="37"/>
      <c r="B841" s="37"/>
      <c r="C841" s="37"/>
      <c r="D841" s="37"/>
      <c r="E841" s="37"/>
      <c r="F841" s="37"/>
      <c r="G841" s="37"/>
      <c r="H841" s="37"/>
      <c r="I841" s="37"/>
      <c r="J841" s="37"/>
      <c r="K841" s="37"/>
      <c r="L841" s="37"/>
      <c r="M841" s="37"/>
      <c r="N841" s="37"/>
      <c r="O841" s="37"/>
      <c r="P841" s="37"/>
      <c r="Q841" s="37"/>
      <c r="R841" s="37"/>
      <c r="S841" s="37"/>
      <c r="T841" s="37"/>
      <c r="U841" s="37"/>
      <c r="V841" s="37"/>
      <c r="W841" s="37"/>
      <c r="X841" s="37"/>
      <c r="Y841" s="37"/>
      <c r="Z841" s="37"/>
      <c r="AA841" s="37"/>
      <c r="AB841" s="37"/>
      <c r="AC841" s="37"/>
      <c r="AD841" s="37"/>
      <c r="AE841" s="37"/>
      <c r="AF841" s="37"/>
      <c r="AG841" s="37"/>
      <c r="AH841" s="37"/>
      <c r="AI841" s="37"/>
      <c r="AJ841" s="37"/>
      <c r="AK841" s="37"/>
      <c r="AL841" s="37"/>
      <c r="AM841" s="37"/>
      <c r="AN841" s="37"/>
      <c r="AO841" s="37"/>
      <c r="AP841" s="37"/>
      <c r="AQ841" s="37"/>
      <c r="AR841" s="37"/>
      <c r="AS841" s="37"/>
      <c r="AT841" s="37"/>
      <c r="AU841" s="37"/>
      <c r="AV841" s="37"/>
      <c r="AW841" s="37"/>
      <c r="AX841" s="37"/>
      <c r="AY841" s="37"/>
      <c r="AZ841" s="37"/>
    </row>
    <row r="842" spans="1:52">
      <c r="A842" s="37"/>
      <c r="B842" s="37"/>
      <c r="C842" s="37"/>
      <c r="D842" s="37"/>
      <c r="E842" s="37"/>
      <c r="F842" s="37"/>
      <c r="G842" s="37"/>
      <c r="H842" s="37"/>
      <c r="I842" s="37"/>
      <c r="J842" s="37"/>
      <c r="K842" s="37"/>
      <c r="L842" s="37"/>
      <c r="M842" s="37"/>
      <c r="N842" s="37"/>
      <c r="O842" s="37"/>
      <c r="P842" s="37"/>
      <c r="Q842" s="37"/>
      <c r="R842" s="37"/>
      <c r="S842" s="37"/>
      <c r="T842" s="37"/>
      <c r="U842" s="37"/>
      <c r="V842" s="37"/>
      <c r="W842" s="37"/>
      <c r="X842" s="37"/>
      <c r="Y842" s="37"/>
      <c r="Z842" s="37"/>
      <c r="AA842" s="37"/>
      <c r="AB842" s="37"/>
      <c r="AC842" s="37"/>
      <c r="AD842" s="37"/>
      <c r="AE842" s="37"/>
      <c r="AF842" s="37"/>
      <c r="AG842" s="37"/>
      <c r="AH842" s="37"/>
      <c r="AI842" s="37"/>
      <c r="AJ842" s="37"/>
      <c r="AK842" s="37"/>
      <c r="AL842" s="37"/>
      <c r="AM842" s="37"/>
      <c r="AN842" s="37"/>
      <c r="AO842" s="37"/>
      <c r="AP842" s="37"/>
      <c r="AQ842" s="37"/>
      <c r="AR842" s="37"/>
      <c r="AS842" s="37"/>
      <c r="AT842" s="37"/>
      <c r="AU842" s="37"/>
      <c r="AV842" s="37"/>
      <c r="AW842" s="37"/>
      <c r="AX842" s="37"/>
      <c r="AY842" s="37"/>
      <c r="AZ842" s="37"/>
    </row>
    <row r="843" spans="1:52">
      <c r="A843" s="37"/>
      <c r="B843" s="37"/>
      <c r="C843" s="37"/>
      <c r="D843" s="37"/>
      <c r="E843" s="37"/>
      <c r="F843" s="37"/>
      <c r="G843" s="37"/>
      <c r="H843" s="37"/>
      <c r="I843" s="37"/>
      <c r="J843" s="37"/>
      <c r="K843" s="37"/>
      <c r="L843" s="37"/>
      <c r="M843" s="37"/>
      <c r="N843" s="37"/>
      <c r="O843" s="37"/>
      <c r="P843" s="37"/>
      <c r="Q843" s="37"/>
      <c r="R843" s="37"/>
      <c r="S843" s="37"/>
      <c r="T843" s="37"/>
      <c r="U843" s="37"/>
      <c r="V843" s="37"/>
      <c r="W843" s="37"/>
      <c r="X843" s="37"/>
      <c r="Y843" s="37"/>
      <c r="Z843" s="37"/>
      <c r="AA843" s="37"/>
      <c r="AB843" s="37"/>
      <c r="AC843" s="37"/>
      <c r="AD843" s="37"/>
      <c r="AE843" s="37"/>
      <c r="AF843" s="37"/>
      <c r="AG843" s="37"/>
      <c r="AH843" s="37"/>
      <c r="AI843" s="37"/>
      <c r="AJ843" s="37"/>
      <c r="AK843" s="37"/>
      <c r="AL843" s="37"/>
      <c r="AM843" s="37"/>
      <c r="AN843" s="37"/>
      <c r="AO843" s="37"/>
      <c r="AP843" s="37"/>
      <c r="AQ843" s="37"/>
      <c r="AR843" s="37"/>
      <c r="AS843" s="37"/>
      <c r="AT843" s="37"/>
      <c r="AU843" s="37"/>
      <c r="AV843" s="37"/>
      <c r="AW843" s="37"/>
      <c r="AX843" s="37"/>
      <c r="AY843" s="37"/>
      <c r="AZ843" s="37"/>
    </row>
    <row r="844" spans="1:52">
      <c r="A844" s="37"/>
      <c r="B844" s="37"/>
      <c r="C844" s="37"/>
      <c r="D844" s="37"/>
      <c r="E844" s="37"/>
      <c r="F844" s="37"/>
      <c r="G844" s="37"/>
      <c r="H844" s="37"/>
      <c r="I844" s="37"/>
      <c r="J844" s="37"/>
      <c r="K844" s="37"/>
      <c r="L844" s="37"/>
      <c r="M844" s="37"/>
      <c r="N844" s="37"/>
      <c r="O844" s="37"/>
      <c r="P844" s="37"/>
      <c r="Q844" s="37"/>
      <c r="R844" s="37"/>
      <c r="S844" s="37"/>
      <c r="T844" s="37"/>
      <c r="U844" s="37"/>
      <c r="V844" s="37"/>
      <c r="W844" s="37"/>
      <c r="X844" s="37"/>
      <c r="Y844" s="37"/>
      <c r="Z844" s="37"/>
      <c r="AA844" s="37"/>
      <c r="AB844" s="37"/>
      <c r="AC844" s="37"/>
      <c r="AD844" s="37"/>
      <c r="AE844" s="37"/>
      <c r="AF844" s="37"/>
      <c r="AG844" s="37"/>
      <c r="AH844" s="37"/>
      <c r="AI844" s="37"/>
      <c r="AJ844" s="37"/>
      <c r="AK844" s="37"/>
      <c r="AL844" s="37"/>
      <c r="AM844" s="37"/>
      <c r="AN844" s="37"/>
      <c r="AO844" s="37"/>
      <c r="AP844" s="37"/>
      <c r="AQ844" s="37"/>
      <c r="AR844" s="37"/>
      <c r="AS844" s="37"/>
      <c r="AT844" s="37"/>
      <c r="AU844" s="37"/>
      <c r="AV844" s="37"/>
      <c r="AW844" s="37"/>
      <c r="AX844" s="37"/>
      <c r="AY844" s="37"/>
      <c r="AZ844" s="37"/>
    </row>
    <row r="845" spans="1:52">
      <c r="A845" s="37"/>
      <c r="B845" s="37"/>
      <c r="C845" s="37"/>
      <c r="D845" s="37"/>
      <c r="E845" s="37"/>
      <c r="F845" s="37"/>
      <c r="G845" s="37"/>
      <c r="H845" s="37"/>
      <c r="I845" s="37"/>
      <c r="J845" s="37"/>
      <c r="K845" s="37"/>
      <c r="L845" s="37"/>
      <c r="M845" s="37"/>
      <c r="N845" s="37"/>
      <c r="O845" s="37"/>
      <c r="P845" s="37"/>
      <c r="Q845" s="37"/>
      <c r="R845" s="37"/>
      <c r="S845" s="37"/>
      <c r="T845" s="37"/>
      <c r="U845" s="37"/>
      <c r="V845" s="37"/>
      <c r="W845" s="37"/>
      <c r="X845" s="37"/>
      <c r="Y845" s="37"/>
      <c r="Z845" s="37"/>
      <c r="AA845" s="37"/>
      <c r="AB845" s="37"/>
      <c r="AC845" s="37"/>
      <c r="AD845" s="37"/>
      <c r="AE845" s="37"/>
      <c r="AF845" s="37"/>
      <c r="AG845" s="37"/>
      <c r="AH845" s="37"/>
      <c r="AI845" s="37"/>
      <c r="AJ845" s="37"/>
      <c r="AK845" s="37"/>
      <c r="AL845" s="37"/>
      <c r="AM845" s="37"/>
      <c r="AN845" s="37"/>
      <c r="AO845" s="37"/>
      <c r="AP845" s="37"/>
      <c r="AQ845" s="37"/>
      <c r="AR845" s="37"/>
      <c r="AS845" s="37"/>
      <c r="AT845" s="37"/>
      <c r="AU845" s="37"/>
      <c r="AV845" s="37"/>
      <c r="AW845" s="37"/>
      <c r="AX845" s="37"/>
      <c r="AY845" s="37"/>
      <c r="AZ845" s="37"/>
    </row>
    <row r="846" spans="1:52">
      <c r="A846" s="37"/>
      <c r="B846" s="37"/>
      <c r="C846" s="37"/>
      <c r="D846" s="37"/>
      <c r="E846" s="37"/>
      <c r="F846" s="37"/>
      <c r="G846" s="37"/>
      <c r="H846" s="37"/>
      <c r="I846" s="37"/>
      <c r="J846" s="37"/>
      <c r="K846" s="37"/>
      <c r="L846" s="37"/>
      <c r="M846" s="37"/>
      <c r="N846" s="37"/>
      <c r="O846" s="37"/>
      <c r="P846" s="37"/>
      <c r="Q846" s="37"/>
      <c r="R846" s="37"/>
      <c r="S846" s="37"/>
      <c r="T846" s="37"/>
      <c r="U846" s="37"/>
      <c r="V846" s="37"/>
      <c r="W846" s="37"/>
      <c r="X846" s="37"/>
      <c r="Y846" s="37"/>
      <c r="Z846" s="37"/>
      <c r="AA846" s="37"/>
      <c r="AB846" s="37"/>
      <c r="AC846" s="37"/>
      <c r="AD846" s="37"/>
      <c r="AE846" s="37"/>
      <c r="AF846" s="37"/>
      <c r="AG846" s="37"/>
      <c r="AH846" s="37"/>
      <c r="AI846" s="37"/>
      <c r="AJ846" s="37"/>
      <c r="AK846" s="37"/>
      <c r="AL846" s="37"/>
      <c r="AM846" s="37"/>
      <c r="AN846" s="37"/>
      <c r="AO846" s="37"/>
      <c r="AP846" s="37"/>
      <c r="AQ846" s="37"/>
      <c r="AR846" s="37"/>
      <c r="AS846" s="37"/>
      <c r="AT846" s="37"/>
      <c r="AU846" s="37"/>
      <c r="AV846" s="37"/>
      <c r="AW846" s="37"/>
      <c r="AX846" s="37"/>
      <c r="AY846" s="37"/>
      <c r="AZ846" s="37"/>
    </row>
    <row r="847" spans="1:52">
      <c r="A847" s="37"/>
      <c r="B847" s="37"/>
      <c r="C847" s="37"/>
      <c r="D847" s="37"/>
      <c r="E847" s="37"/>
      <c r="F847" s="37"/>
      <c r="G847" s="37"/>
      <c r="H847" s="37"/>
      <c r="I847" s="37"/>
      <c r="J847" s="37"/>
      <c r="K847" s="37"/>
      <c r="L847" s="37"/>
      <c r="M847" s="37"/>
      <c r="N847" s="37"/>
      <c r="O847" s="37"/>
      <c r="P847" s="37"/>
      <c r="Q847" s="37"/>
      <c r="R847" s="37"/>
      <c r="S847" s="37"/>
      <c r="T847" s="37"/>
      <c r="U847" s="37"/>
      <c r="V847" s="37"/>
      <c r="W847" s="37"/>
      <c r="X847" s="37"/>
      <c r="Y847" s="37"/>
      <c r="Z847" s="37"/>
      <c r="AA847" s="37"/>
      <c r="AB847" s="37"/>
      <c r="AC847" s="37"/>
      <c r="AD847" s="37"/>
      <c r="AE847" s="37"/>
      <c r="AF847" s="37"/>
      <c r="AG847" s="37"/>
      <c r="AH847" s="37"/>
      <c r="AI847" s="37"/>
      <c r="AJ847" s="37"/>
      <c r="AK847" s="37"/>
      <c r="AL847" s="37"/>
      <c r="AM847" s="37"/>
      <c r="AN847" s="37"/>
      <c r="AO847" s="37"/>
      <c r="AP847" s="37"/>
      <c r="AQ847" s="37"/>
      <c r="AR847" s="37"/>
      <c r="AS847" s="37"/>
      <c r="AT847" s="37"/>
      <c r="AU847" s="37"/>
      <c r="AV847" s="37"/>
      <c r="AW847" s="37"/>
      <c r="AX847" s="37"/>
      <c r="AY847" s="37"/>
      <c r="AZ847" s="37"/>
    </row>
    <row r="848" spans="1:52">
      <c r="A848" s="37"/>
      <c r="B848" s="37"/>
      <c r="C848" s="37"/>
      <c r="D848" s="37"/>
      <c r="E848" s="37"/>
      <c r="F848" s="37"/>
      <c r="G848" s="37"/>
      <c r="H848" s="37"/>
      <c r="I848" s="37"/>
      <c r="J848" s="37"/>
      <c r="K848" s="37"/>
      <c r="L848" s="37"/>
      <c r="M848" s="37"/>
      <c r="N848" s="37"/>
      <c r="O848" s="37"/>
      <c r="P848" s="37"/>
      <c r="Q848" s="37"/>
      <c r="R848" s="37"/>
      <c r="S848" s="37"/>
      <c r="T848" s="37"/>
      <c r="U848" s="37"/>
      <c r="V848" s="37"/>
      <c r="W848" s="37"/>
      <c r="X848" s="37"/>
      <c r="Y848" s="37"/>
      <c r="Z848" s="37"/>
      <c r="AA848" s="37"/>
      <c r="AB848" s="37"/>
      <c r="AC848" s="37"/>
      <c r="AD848" s="37"/>
      <c r="AE848" s="37"/>
      <c r="AF848" s="37"/>
      <c r="AG848" s="37"/>
      <c r="AH848" s="37"/>
      <c r="AI848" s="37"/>
      <c r="AJ848" s="37"/>
      <c r="AK848" s="37"/>
      <c r="AL848" s="37"/>
      <c r="AM848" s="37"/>
      <c r="AN848" s="37"/>
      <c r="AO848" s="37"/>
      <c r="AP848" s="37"/>
      <c r="AQ848" s="37"/>
      <c r="AR848" s="37"/>
      <c r="AS848" s="37"/>
      <c r="AT848" s="37"/>
      <c r="AU848" s="37"/>
      <c r="AV848" s="37"/>
      <c r="AW848" s="37"/>
      <c r="AX848" s="37"/>
      <c r="AY848" s="37"/>
      <c r="AZ848" s="37"/>
    </row>
    <row r="849" spans="1:52">
      <c r="A849" s="37"/>
      <c r="B849" s="37"/>
      <c r="C849" s="37"/>
      <c r="D849" s="37"/>
      <c r="E849" s="37"/>
      <c r="F849" s="37"/>
      <c r="G849" s="37"/>
      <c r="H849" s="37"/>
      <c r="I849" s="37"/>
      <c r="J849" s="37"/>
      <c r="K849" s="37"/>
      <c r="L849" s="37"/>
      <c r="M849" s="37"/>
      <c r="N849" s="37"/>
      <c r="O849" s="37"/>
      <c r="P849" s="37"/>
      <c r="Q849" s="37"/>
      <c r="R849" s="37"/>
      <c r="S849" s="37"/>
      <c r="T849" s="37"/>
      <c r="U849" s="37"/>
      <c r="V849" s="37"/>
      <c r="W849" s="37"/>
      <c r="X849" s="37"/>
      <c r="Y849" s="37"/>
      <c r="Z849" s="37"/>
      <c r="AA849" s="37"/>
      <c r="AB849" s="37"/>
      <c r="AC849" s="37"/>
      <c r="AD849" s="37"/>
      <c r="AE849" s="37"/>
      <c r="AF849" s="37"/>
      <c r="AG849" s="37"/>
      <c r="AH849" s="37"/>
      <c r="AI849" s="37"/>
      <c r="AJ849" s="37"/>
      <c r="AK849" s="37"/>
      <c r="AL849" s="37"/>
      <c r="AM849" s="37"/>
      <c r="AN849" s="37"/>
      <c r="AO849" s="37"/>
      <c r="AP849" s="37"/>
      <c r="AQ849" s="37"/>
      <c r="AR849" s="37"/>
      <c r="AS849" s="37"/>
      <c r="AT849" s="37"/>
      <c r="AU849" s="37"/>
      <c r="AV849" s="37"/>
      <c r="AW849" s="37"/>
      <c r="AX849" s="37"/>
      <c r="AY849" s="37"/>
      <c r="AZ849" s="37"/>
    </row>
    <row r="850" spans="1:52">
      <c r="A850" s="37"/>
      <c r="B850" s="37"/>
      <c r="C850" s="37"/>
      <c r="D850" s="37"/>
      <c r="E850" s="37"/>
      <c r="F850" s="37"/>
      <c r="G850" s="37"/>
      <c r="H850" s="37"/>
      <c r="I850" s="37"/>
      <c r="J850" s="37"/>
      <c r="K850" s="37"/>
      <c r="L850" s="37"/>
      <c r="M850" s="37"/>
      <c r="N850" s="37"/>
      <c r="O850" s="37"/>
      <c r="P850" s="37"/>
      <c r="Q850" s="37"/>
      <c r="R850" s="37"/>
      <c r="S850" s="37"/>
      <c r="T850" s="37"/>
      <c r="U850" s="37"/>
      <c r="V850" s="37"/>
      <c r="W850" s="37"/>
      <c r="X850" s="37"/>
      <c r="Y850" s="37"/>
      <c r="Z850" s="37"/>
      <c r="AA850" s="37"/>
      <c r="AB850" s="37"/>
      <c r="AC850" s="37"/>
      <c r="AD850" s="37"/>
      <c r="AE850" s="37"/>
      <c r="AF850" s="37"/>
      <c r="AG850" s="37"/>
      <c r="AH850" s="37"/>
      <c r="AI850" s="37"/>
      <c r="AJ850" s="37"/>
      <c r="AK850" s="37"/>
      <c r="AL850" s="37"/>
      <c r="AM850" s="37"/>
      <c r="AN850" s="37"/>
      <c r="AO850" s="37"/>
      <c r="AP850" s="37"/>
      <c r="AQ850" s="37"/>
      <c r="AR850" s="37"/>
      <c r="AS850" s="37"/>
      <c r="AT850" s="37"/>
      <c r="AU850" s="37"/>
      <c r="AV850" s="37"/>
      <c r="AW850" s="37"/>
      <c r="AX850" s="37"/>
      <c r="AY850" s="37"/>
      <c r="AZ850" s="37"/>
    </row>
    <row r="851" spans="1:52">
      <c r="A851" s="37"/>
      <c r="B851" s="37"/>
      <c r="C851" s="37"/>
      <c r="D851" s="37"/>
      <c r="E851" s="37"/>
      <c r="F851" s="37"/>
      <c r="G851" s="37"/>
      <c r="H851" s="37"/>
      <c r="I851" s="37"/>
      <c r="J851" s="37"/>
      <c r="K851" s="37"/>
      <c r="L851" s="37"/>
      <c r="M851" s="37"/>
      <c r="N851" s="37"/>
      <c r="O851" s="37"/>
      <c r="P851" s="37"/>
      <c r="Q851" s="37"/>
      <c r="R851" s="37"/>
      <c r="S851" s="37"/>
      <c r="T851" s="37"/>
      <c r="U851" s="37"/>
      <c r="V851" s="37"/>
      <c r="W851" s="37"/>
      <c r="X851" s="37"/>
      <c r="Y851" s="37"/>
      <c r="Z851" s="37"/>
      <c r="AA851" s="37"/>
      <c r="AB851" s="37"/>
      <c r="AC851" s="37"/>
      <c r="AD851" s="37"/>
      <c r="AE851" s="37"/>
      <c r="AF851" s="37"/>
      <c r="AG851" s="37"/>
      <c r="AH851" s="37"/>
      <c r="AI851" s="37"/>
      <c r="AJ851" s="37"/>
      <c r="AK851" s="37"/>
      <c r="AL851" s="37"/>
      <c r="AM851" s="37"/>
      <c r="AN851" s="37"/>
      <c r="AO851" s="37"/>
      <c r="AP851" s="37"/>
      <c r="AQ851" s="37"/>
      <c r="AR851" s="37"/>
      <c r="AS851" s="37"/>
      <c r="AT851" s="37"/>
      <c r="AU851" s="37"/>
      <c r="AV851" s="37"/>
      <c r="AW851" s="37"/>
      <c r="AX851" s="37"/>
      <c r="AY851" s="37"/>
      <c r="AZ851" s="37"/>
    </row>
    <row r="852" spans="1:52">
      <c r="A852" s="37"/>
      <c r="B852" s="37"/>
      <c r="C852" s="37"/>
      <c r="D852" s="37"/>
      <c r="E852" s="37"/>
      <c r="F852" s="37"/>
      <c r="G852" s="37"/>
      <c r="H852" s="37"/>
      <c r="I852" s="37"/>
      <c r="J852" s="37"/>
      <c r="K852" s="37"/>
      <c r="L852" s="37"/>
      <c r="M852" s="37"/>
      <c r="N852" s="37"/>
      <c r="O852" s="37"/>
      <c r="P852" s="37"/>
      <c r="Q852" s="37"/>
      <c r="R852" s="37"/>
      <c r="S852" s="37"/>
      <c r="T852" s="37"/>
      <c r="U852" s="37"/>
      <c r="V852" s="37"/>
      <c r="W852" s="37"/>
      <c r="X852" s="37"/>
      <c r="Y852" s="37"/>
      <c r="Z852" s="37"/>
      <c r="AA852" s="37"/>
      <c r="AB852" s="37"/>
      <c r="AC852" s="37"/>
      <c r="AD852" s="37"/>
      <c r="AE852" s="37"/>
      <c r="AF852" s="37"/>
      <c r="AG852" s="37"/>
      <c r="AH852" s="37"/>
      <c r="AI852" s="37"/>
      <c r="AJ852" s="37"/>
      <c r="AK852" s="37"/>
      <c r="AL852" s="37"/>
      <c r="AM852" s="37"/>
      <c r="AN852" s="37"/>
      <c r="AO852" s="37"/>
      <c r="AP852" s="37"/>
      <c r="AQ852" s="37"/>
      <c r="AR852" s="37"/>
      <c r="AS852" s="37"/>
      <c r="AT852" s="37"/>
      <c r="AU852" s="37"/>
      <c r="AV852" s="37"/>
      <c r="AW852" s="37"/>
      <c r="AX852" s="37"/>
      <c r="AY852" s="37"/>
      <c r="AZ852" s="37"/>
    </row>
    <row r="853" spans="1:52">
      <c r="A853" s="37"/>
      <c r="B853" s="37"/>
      <c r="C853" s="37"/>
      <c r="D853" s="37"/>
      <c r="E853" s="37"/>
      <c r="F853" s="37"/>
      <c r="G853" s="37"/>
      <c r="H853" s="37"/>
      <c r="I853" s="37"/>
      <c r="J853" s="37"/>
      <c r="K853" s="37"/>
      <c r="L853" s="37"/>
      <c r="M853" s="37"/>
      <c r="N853" s="37"/>
      <c r="O853" s="37"/>
      <c r="P853" s="37"/>
      <c r="Q853" s="37"/>
      <c r="R853" s="37"/>
      <c r="S853" s="37"/>
      <c r="T853" s="37"/>
      <c r="U853" s="37"/>
      <c r="V853" s="37"/>
      <c r="W853" s="37"/>
      <c r="X853" s="37"/>
      <c r="Y853" s="37"/>
      <c r="Z853" s="37"/>
      <c r="AA853" s="37"/>
      <c r="AB853" s="37"/>
      <c r="AC853" s="37"/>
      <c r="AD853" s="37"/>
      <c r="AE853" s="37"/>
      <c r="AF853" s="37"/>
      <c r="AG853" s="37"/>
      <c r="AH853" s="37"/>
      <c r="AI853" s="37"/>
      <c r="AJ853" s="37"/>
      <c r="AK853" s="37"/>
      <c r="AL853" s="37"/>
      <c r="AM853" s="37"/>
      <c r="AN853" s="37"/>
      <c r="AO853" s="37"/>
      <c r="AP853" s="37"/>
      <c r="AQ853" s="37"/>
      <c r="AR853" s="37"/>
      <c r="AS853" s="37"/>
      <c r="AT853" s="37"/>
      <c r="AU853" s="37"/>
      <c r="AV853" s="37"/>
      <c r="AW853" s="37"/>
      <c r="AX853" s="37"/>
      <c r="AY853" s="37"/>
      <c r="AZ853" s="37"/>
    </row>
    <row r="854" spans="1:52">
      <c r="A854" s="37"/>
      <c r="B854" s="37"/>
      <c r="C854" s="37"/>
      <c r="D854" s="37"/>
      <c r="E854" s="37"/>
      <c r="F854" s="37"/>
      <c r="G854" s="37"/>
      <c r="H854" s="37"/>
      <c r="I854" s="37"/>
      <c r="J854" s="37"/>
      <c r="K854" s="37"/>
      <c r="L854" s="37"/>
      <c r="M854" s="37"/>
      <c r="N854" s="37"/>
      <c r="O854" s="37"/>
      <c r="P854" s="37"/>
      <c r="Q854" s="37"/>
      <c r="R854" s="37"/>
      <c r="S854" s="37"/>
      <c r="T854" s="37"/>
      <c r="U854" s="37"/>
      <c r="V854" s="37"/>
      <c r="W854" s="37"/>
      <c r="X854" s="37"/>
      <c r="Y854" s="37"/>
      <c r="Z854" s="37"/>
      <c r="AA854" s="37"/>
      <c r="AB854" s="37"/>
      <c r="AC854" s="37"/>
      <c r="AD854" s="37"/>
      <c r="AE854" s="37"/>
      <c r="AF854" s="37"/>
      <c r="AG854" s="37"/>
      <c r="AH854" s="37"/>
      <c r="AI854" s="37"/>
      <c r="AJ854" s="37"/>
      <c r="AK854" s="37"/>
      <c r="AL854" s="37"/>
      <c r="AM854" s="37"/>
      <c r="AN854" s="37"/>
      <c r="AO854" s="37"/>
      <c r="AP854" s="37"/>
      <c r="AQ854" s="37"/>
      <c r="AR854" s="37"/>
      <c r="AS854" s="37"/>
      <c r="AT854" s="37"/>
      <c r="AU854" s="37"/>
      <c r="AV854" s="37"/>
      <c r="AW854" s="37"/>
      <c r="AX854" s="37"/>
      <c r="AY854" s="37"/>
      <c r="AZ854" s="37"/>
    </row>
    <row r="855" spans="1:52">
      <c r="A855" s="37"/>
      <c r="B855" s="37"/>
      <c r="C855" s="37"/>
      <c r="D855" s="37"/>
      <c r="E855" s="37"/>
      <c r="F855" s="37"/>
      <c r="G855" s="37"/>
      <c r="H855" s="37"/>
      <c r="I855" s="37"/>
      <c r="J855" s="37"/>
      <c r="K855" s="37"/>
      <c r="L855" s="37"/>
      <c r="M855" s="37"/>
      <c r="N855" s="37"/>
      <c r="O855" s="37"/>
      <c r="P855" s="37"/>
      <c r="Q855" s="37"/>
      <c r="R855" s="37"/>
      <c r="S855" s="37"/>
      <c r="T855" s="37"/>
      <c r="U855" s="37"/>
      <c r="V855" s="37"/>
      <c r="W855" s="37"/>
      <c r="X855" s="37"/>
      <c r="Y855" s="37"/>
      <c r="Z855" s="37"/>
      <c r="AA855" s="37"/>
      <c r="AB855" s="37"/>
      <c r="AC855" s="37"/>
      <c r="AD855" s="37"/>
      <c r="AE855" s="37"/>
      <c r="AF855" s="37"/>
      <c r="AG855" s="37"/>
      <c r="AH855" s="37"/>
      <c r="AI855" s="37"/>
      <c r="AJ855" s="37"/>
      <c r="AK855" s="37"/>
      <c r="AL855" s="37"/>
      <c r="AM855" s="37"/>
      <c r="AN855" s="37"/>
      <c r="AO855" s="37"/>
      <c r="AP855" s="37"/>
      <c r="AQ855" s="37"/>
      <c r="AR855" s="37"/>
      <c r="AS855" s="37"/>
      <c r="AT855" s="37"/>
      <c r="AU855" s="37"/>
      <c r="AV855" s="37"/>
      <c r="AW855" s="37"/>
      <c r="AX855" s="37"/>
      <c r="AY855" s="37"/>
      <c r="AZ855" s="37"/>
    </row>
    <row r="856" spans="1:52">
      <c r="A856" s="37"/>
      <c r="B856" s="37"/>
      <c r="C856" s="37"/>
      <c r="D856" s="37"/>
      <c r="E856" s="37"/>
      <c r="F856" s="37"/>
      <c r="G856" s="37"/>
      <c r="H856" s="37"/>
      <c r="I856" s="37"/>
      <c r="J856" s="37"/>
      <c r="K856" s="37"/>
      <c r="L856" s="37"/>
      <c r="M856" s="37"/>
      <c r="N856" s="37"/>
      <c r="O856" s="37"/>
      <c r="P856" s="37"/>
      <c r="Q856" s="37"/>
      <c r="R856" s="37"/>
      <c r="S856" s="37"/>
      <c r="T856" s="37"/>
      <c r="U856" s="37"/>
      <c r="V856" s="37"/>
      <c r="W856" s="37"/>
      <c r="X856" s="37"/>
      <c r="Y856" s="37"/>
      <c r="Z856" s="37"/>
      <c r="AA856" s="37"/>
      <c r="AB856" s="37"/>
      <c r="AC856" s="37"/>
      <c r="AD856" s="37"/>
      <c r="AE856" s="37"/>
      <c r="AF856" s="37"/>
      <c r="AG856" s="37"/>
      <c r="AH856" s="37"/>
      <c r="AI856" s="37"/>
      <c r="AJ856" s="37"/>
      <c r="AK856" s="37"/>
      <c r="AL856" s="37"/>
      <c r="AM856" s="37"/>
      <c r="AN856" s="37"/>
      <c r="AO856" s="37"/>
      <c r="AP856" s="37"/>
      <c r="AQ856" s="37"/>
      <c r="AR856" s="37"/>
      <c r="AS856" s="37"/>
      <c r="AT856" s="37"/>
      <c r="AU856" s="37"/>
      <c r="AV856" s="37"/>
      <c r="AW856" s="37"/>
      <c r="AX856" s="37"/>
      <c r="AY856" s="37"/>
      <c r="AZ856" s="37"/>
    </row>
    <row r="857" spans="1:52">
      <c r="A857" s="37"/>
      <c r="B857" s="37"/>
      <c r="C857" s="37"/>
      <c r="D857" s="37"/>
      <c r="E857" s="37"/>
      <c r="F857" s="37"/>
      <c r="G857" s="37"/>
      <c r="H857" s="37"/>
      <c r="I857" s="37"/>
      <c r="J857" s="37"/>
      <c r="K857" s="37"/>
      <c r="L857" s="37"/>
      <c r="M857" s="37"/>
      <c r="N857" s="37"/>
      <c r="O857" s="37"/>
      <c r="P857" s="37"/>
      <c r="Q857" s="37"/>
      <c r="R857" s="37"/>
      <c r="S857" s="37"/>
      <c r="T857" s="37"/>
      <c r="U857" s="37"/>
      <c r="V857" s="37"/>
      <c r="W857" s="37"/>
      <c r="X857" s="37"/>
      <c r="Y857" s="37"/>
      <c r="Z857" s="37"/>
      <c r="AA857" s="37"/>
      <c r="AB857" s="37"/>
      <c r="AC857" s="37"/>
      <c r="AD857" s="37"/>
      <c r="AE857" s="37"/>
      <c r="AF857" s="37"/>
      <c r="AG857" s="37"/>
      <c r="AH857" s="37"/>
      <c r="AI857" s="37"/>
      <c r="AJ857" s="37"/>
      <c r="AK857" s="37"/>
      <c r="AL857" s="37"/>
      <c r="AM857" s="37"/>
      <c r="AN857" s="37"/>
      <c r="AO857" s="37"/>
      <c r="AP857" s="37"/>
      <c r="AQ857" s="37"/>
      <c r="AR857" s="37"/>
      <c r="AS857" s="37"/>
      <c r="AT857" s="37"/>
      <c r="AU857" s="37"/>
      <c r="AV857" s="37"/>
      <c r="AW857" s="37"/>
      <c r="AX857" s="37"/>
      <c r="AY857" s="37"/>
      <c r="AZ857" s="37"/>
    </row>
    <row r="858" spans="1:52">
      <c r="A858" s="37"/>
      <c r="B858" s="37"/>
      <c r="C858" s="37"/>
      <c r="D858" s="37"/>
      <c r="E858" s="37"/>
      <c r="F858" s="37"/>
      <c r="G858" s="37"/>
      <c r="H858" s="37"/>
      <c r="I858" s="37"/>
      <c r="J858" s="37"/>
      <c r="K858" s="37"/>
      <c r="L858" s="37"/>
      <c r="M858" s="37"/>
      <c r="N858" s="37"/>
      <c r="O858" s="37"/>
      <c r="P858" s="37"/>
      <c r="Q858" s="37"/>
      <c r="R858" s="37"/>
      <c r="S858" s="37"/>
      <c r="T858" s="37"/>
      <c r="U858" s="37"/>
      <c r="V858" s="37"/>
      <c r="W858" s="37"/>
      <c r="X858" s="37"/>
      <c r="Y858" s="37"/>
      <c r="Z858" s="37"/>
      <c r="AA858" s="37"/>
      <c r="AB858" s="37"/>
      <c r="AC858" s="37"/>
      <c r="AD858" s="37"/>
      <c r="AE858" s="37"/>
      <c r="AF858" s="37"/>
      <c r="AG858" s="37"/>
      <c r="AH858" s="37"/>
      <c r="AI858" s="37"/>
      <c r="AJ858" s="37"/>
      <c r="AK858" s="37"/>
      <c r="AL858" s="37"/>
      <c r="AM858" s="37"/>
      <c r="AN858" s="37"/>
      <c r="AO858" s="37"/>
      <c r="AP858" s="37"/>
      <c r="AQ858" s="37"/>
      <c r="AR858" s="37"/>
      <c r="AS858" s="37"/>
      <c r="AT858" s="37"/>
      <c r="AU858" s="37"/>
      <c r="AV858" s="37"/>
      <c r="AW858" s="37"/>
      <c r="AX858" s="37"/>
      <c r="AY858" s="37"/>
      <c r="AZ858" s="37"/>
    </row>
    <row r="859" spans="1:52">
      <c r="A859" s="37"/>
      <c r="B859" s="37"/>
      <c r="C859" s="37"/>
      <c r="D859" s="37"/>
      <c r="E859" s="37"/>
      <c r="F859" s="37"/>
      <c r="G859" s="37"/>
      <c r="H859" s="37"/>
      <c r="I859" s="37"/>
      <c r="J859" s="37"/>
      <c r="K859" s="37"/>
      <c r="L859" s="37"/>
      <c r="M859" s="37"/>
      <c r="N859" s="37"/>
      <c r="O859" s="37"/>
      <c r="P859" s="37"/>
      <c r="Q859" s="37"/>
      <c r="R859" s="37"/>
      <c r="S859" s="37"/>
      <c r="T859" s="37"/>
      <c r="U859" s="37"/>
      <c r="V859" s="37"/>
      <c r="W859" s="37"/>
      <c r="X859" s="37"/>
      <c r="Y859" s="37"/>
      <c r="Z859" s="37"/>
      <c r="AA859" s="37"/>
      <c r="AB859" s="37"/>
      <c r="AC859" s="37"/>
      <c r="AD859" s="37"/>
      <c r="AE859" s="37"/>
      <c r="AF859" s="37"/>
      <c r="AG859" s="37"/>
      <c r="AH859" s="37"/>
      <c r="AI859" s="37"/>
      <c r="AJ859" s="37"/>
      <c r="AK859" s="37"/>
      <c r="AL859" s="37"/>
      <c r="AM859" s="37"/>
      <c r="AN859" s="37"/>
      <c r="AO859" s="37"/>
      <c r="AP859" s="37"/>
      <c r="AQ859" s="37"/>
      <c r="AR859" s="37"/>
      <c r="AS859" s="37"/>
      <c r="AT859" s="37"/>
      <c r="AU859" s="37"/>
      <c r="AV859" s="37"/>
      <c r="AW859" s="37"/>
      <c r="AX859" s="37"/>
      <c r="AY859" s="37"/>
      <c r="AZ859" s="37"/>
    </row>
    <row r="860" spans="1:52">
      <c r="A860" s="37"/>
      <c r="B860" s="37"/>
      <c r="C860" s="37"/>
      <c r="D860" s="37"/>
      <c r="E860" s="37"/>
      <c r="F860" s="37"/>
      <c r="G860" s="37"/>
      <c r="H860" s="37"/>
      <c r="I860" s="37"/>
      <c r="J860" s="37"/>
      <c r="K860" s="37"/>
      <c r="L860" s="37"/>
      <c r="M860" s="37"/>
      <c r="N860" s="37"/>
      <c r="O860" s="37"/>
      <c r="P860" s="37"/>
      <c r="Q860" s="37"/>
      <c r="R860" s="37"/>
      <c r="S860" s="37"/>
      <c r="T860" s="37"/>
      <c r="U860" s="37"/>
      <c r="V860" s="37"/>
      <c r="W860" s="37"/>
      <c r="X860" s="37"/>
      <c r="Y860" s="37"/>
      <c r="Z860" s="37"/>
      <c r="AA860" s="37"/>
      <c r="AB860" s="37"/>
      <c r="AC860" s="37"/>
      <c r="AD860" s="37"/>
      <c r="AE860" s="37"/>
      <c r="AF860" s="37"/>
      <c r="AG860" s="37"/>
      <c r="AH860" s="37"/>
      <c r="AI860" s="37"/>
      <c r="AJ860" s="37"/>
      <c r="AK860" s="37"/>
      <c r="AL860" s="37"/>
      <c r="AM860" s="37"/>
      <c r="AN860" s="37"/>
      <c r="AO860" s="37"/>
      <c r="AP860" s="37"/>
      <c r="AQ860" s="37"/>
      <c r="AR860" s="37"/>
      <c r="AS860" s="37"/>
      <c r="AT860" s="37"/>
      <c r="AU860" s="37"/>
      <c r="AV860" s="37"/>
      <c r="AW860" s="37"/>
      <c r="AX860" s="37"/>
      <c r="AY860" s="37"/>
      <c r="AZ860" s="37"/>
    </row>
    <row r="861" spans="1:52">
      <c r="A861" s="37"/>
      <c r="B861" s="37"/>
      <c r="C861" s="37"/>
      <c r="D861" s="37"/>
      <c r="E861" s="37"/>
      <c r="F861" s="37"/>
      <c r="G861" s="37"/>
      <c r="H861" s="37"/>
      <c r="I861" s="37"/>
      <c r="J861" s="37"/>
      <c r="K861" s="37"/>
      <c r="L861" s="37"/>
      <c r="M861" s="37"/>
      <c r="N861" s="37"/>
      <c r="O861" s="37"/>
      <c r="P861" s="37"/>
      <c r="Q861" s="37"/>
      <c r="R861" s="37"/>
      <c r="S861" s="37"/>
      <c r="T861" s="37"/>
      <c r="U861" s="37"/>
      <c r="V861" s="37"/>
      <c r="W861" s="37"/>
      <c r="X861" s="37"/>
      <c r="Y861" s="37"/>
      <c r="Z861" s="37"/>
      <c r="AA861" s="37"/>
      <c r="AB861" s="37"/>
      <c r="AC861" s="37"/>
      <c r="AD861" s="37"/>
      <c r="AE861" s="37"/>
      <c r="AF861" s="37"/>
      <c r="AG861" s="37"/>
      <c r="AH861" s="37"/>
      <c r="AI861" s="37"/>
      <c r="AJ861" s="37"/>
      <c r="AK861" s="37"/>
      <c r="AL861" s="37"/>
      <c r="AM861" s="37"/>
      <c r="AN861" s="37"/>
      <c r="AO861" s="37"/>
      <c r="AP861" s="37"/>
      <c r="AQ861" s="37"/>
      <c r="AR861" s="37"/>
      <c r="AS861" s="37"/>
      <c r="AT861" s="37"/>
      <c r="AU861" s="37"/>
      <c r="AV861" s="37"/>
      <c r="AW861" s="37"/>
      <c r="AX861" s="37"/>
      <c r="AY861" s="37"/>
      <c r="AZ861" s="37"/>
    </row>
    <row r="862" spans="1:52">
      <c r="A862" s="37"/>
      <c r="B862" s="37"/>
      <c r="C862" s="37"/>
      <c r="D862" s="37"/>
      <c r="E862" s="37"/>
      <c r="F862" s="37"/>
      <c r="G862" s="37"/>
      <c r="H862" s="37"/>
      <c r="I862" s="37"/>
      <c r="J862" s="37"/>
      <c r="K862" s="37"/>
      <c r="L862" s="37"/>
      <c r="M862" s="37"/>
      <c r="N862" s="37"/>
      <c r="O862" s="37"/>
      <c r="P862" s="37"/>
      <c r="Q862" s="37"/>
      <c r="R862" s="37"/>
      <c r="S862" s="37"/>
      <c r="T862" s="37"/>
      <c r="U862" s="37"/>
      <c r="V862" s="37"/>
      <c r="W862" s="37"/>
      <c r="X862" s="37"/>
      <c r="Y862" s="37"/>
      <c r="Z862" s="37"/>
      <c r="AA862" s="37"/>
      <c r="AB862" s="37"/>
      <c r="AC862" s="37"/>
      <c r="AD862" s="37"/>
      <c r="AE862" s="37"/>
      <c r="AF862" s="37"/>
      <c r="AG862" s="37"/>
      <c r="AH862" s="37"/>
      <c r="AI862" s="37"/>
      <c r="AJ862" s="37"/>
      <c r="AK862" s="37"/>
      <c r="AL862" s="37"/>
      <c r="AM862" s="37"/>
      <c r="AN862" s="37"/>
      <c r="AO862" s="37"/>
      <c r="AP862" s="37"/>
      <c r="AQ862" s="37"/>
      <c r="AR862" s="37"/>
      <c r="AS862" s="37"/>
      <c r="AT862" s="37"/>
      <c r="AU862" s="37"/>
      <c r="AV862" s="37"/>
      <c r="AW862" s="37"/>
      <c r="AX862" s="37"/>
      <c r="AY862" s="37"/>
      <c r="AZ862" s="37"/>
    </row>
    <row r="863" spans="1:52">
      <c r="A863" s="37"/>
      <c r="B863" s="37"/>
      <c r="C863" s="37"/>
      <c r="D863" s="37"/>
      <c r="E863" s="37"/>
      <c r="F863" s="37"/>
      <c r="G863" s="37"/>
      <c r="H863" s="37"/>
      <c r="I863" s="37"/>
      <c r="J863" s="37"/>
      <c r="K863" s="37"/>
      <c r="L863" s="37"/>
      <c r="M863" s="37"/>
      <c r="N863" s="37"/>
      <c r="O863" s="37"/>
      <c r="P863" s="37"/>
      <c r="Q863" s="37"/>
      <c r="R863" s="37"/>
      <c r="S863" s="37"/>
      <c r="T863" s="37"/>
      <c r="U863" s="37"/>
      <c r="V863" s="37"/>
      <c r="W863" s="37"/>
      <c r="X863" s="37"/>
      <c r="Y863" s="37"/>
      <c r="Z863" s="37"/>
      <c r="AA863" s="37"/>
      <c r="AB863" s="37"/>
      <c r="AC863" s="37"/>
      <c r="AD863" s="37"/>
      <c r="AE863" s="37"/>
      <c r="AF863" s="37"/>
      <c r="AG863" s="37"/>
      <c r="AH863" s="37"/>
      <c r="AI863" s="37"/>
      <c r="AJ863" s="37"/>
      <c r="AK863" s="37"/>
      <c r="AL863" s="37"/>
      <c r="AM863" s="37"/>
      <c r="AN863" s="37"/>
      <c r="AO863" s="37"/>
      <c r="AP863" s="37"/>
      <c r="AQ863" s="37"/>
      <c r="AR863" s="37"/>
      <c r="AS863" s="37"/>
      <c r="AT863" s="37"/>
      <c r="AU863" s="37"/>
      <c r="AV863" s="37"/>
      <c r="AW863" s="37"/>
      <c r="AX863" s="37"/>
      <c r="AY863" s="37"/>
      <c r="AZ863" s="37"/>
    </row>
    <row r="864" spans="1:52">
      <c r="A864" s="37"/>
      <c r="B864" s="37"/>
      <c r="C864" s="37"/>
      <c r="D864" s="37"/>
      <c r="E864" s="37"/>
      <c r="F864" s="37"/>
      <c r="G864" s="37"/>
      <c r="H864" s="37"/>
      <c r="I864" s="37"/>
      <c r="J864" s="37"/>
      <c r="K864" s="37"/>
      <c r="L864" s="37"/>
      <c r="M864" s="37"/>
      <c r="N864" s="37"/>
      <c r="O864" s="37"/>
      <c r="P864" s="37"/>
      <c r="Q864" s="37"/>
      <c r="R864" s="37"/>
      <c r="S864" s="37"/>
      <c r="T864" s="37"/>
      <c r="U864" s="37"/>
      <c r="V864" s="37"/>
      <c r="W864" s="37"/>
      <c r="X864" s="37"/>
      <c r="Y864" s="37"/>
      <c r="Z864" s="37"/>
      <c r="AA864" s="37"/>
      <c r="AB864" s="37"/>
      <c r="AC864" s="37"/>
      <c r="AD864" s="37"/>
      <c r="AE864" s="37"/>
      <c r="AF864" s="37"/>
      <c r="AG864" s="37"/>
      <c r="AH864" s="37"/>
      <c r="AI864" s="37"/>
      <c r="AJ864" s="37"/>
      <c r="AK864" s="37"/>
      <c r="AL864" s="37"/>
      <c r="AM864" s="37"/>
      <c r="AN864" s="37"/>
      <c r="AO864" s="37"/>
      <c r="AP864" s="37"/>
      <c r="AQ864" s="37"/>
      <c r="AR864" s="37"/>
      <c r="AS864" s="37"/>
      <c r="AT864" s="37"/>
      <c r="AU864" s="37"/>
      <c r="AV864" s="37"/>
      <c r="AW864" s="37"/>
      <c r="AX864" s="37"/>
      <c r="AY864" s="37"/>
      <c r="AZ864" s="37"/>
    </row>
    <row r="865" spans="1:52">
      <c r="A865" s="37"/>
      <c r="B865" s="37"/>
      <c r="C865" s="37"/>
      <c r="D865" s="37"/>
      <c r="E865" s="37"/>
      <c r="F865" s="37"/>
      <c r="G865" s="37"/>
      <c r="H865" s="37"/>
      <c r="I865" s="37"/>
      <c r="J865" s="37"/>
      <c r="K865" s="37"/>
      <c r="L865" s="37"/>
      <c r="M865" s="37"/>
      <c r="N865" s="37"/>
      <c r="O865" s="37"/>
      <c r="P865" s="37"/>
      <c r="Q865" s="37"/>
      <c r="R865" s="37"/>
      <c r="S865" s="37"/>
      <c r="T865" s="37"/>
      <c r="U865" s="37"/>
      <c r="V865" s="37"/>
      <c r="W865" s="37"/>
      <c r="X865" s="37"/>
      <c r="Y865" s="37"/>
      <c r="Z865" s="37"/>
      <c r="AA865" s="37"/>
      <c r="AB865" s="37"/>
      <c r="AC865" s="37"/>
      <c r="AD865" s="37"/>
      <c r="AE865" s="37"/>
      <c r="AF865" s="37"/>
      <c r="AG865" s="37"/>
      <c r="AH865" s="37"/>
      <c r="AI865" s="37"/>
      <c r="AJ865" s="37"/>
      <c r="AK865" s="37"/>
      <c r="AL865" s="37"/>
      <c r="AM865" s="37"/>
      <c r="AN865" s="37"/>
      <c r="AO865" s="37"/>
      <c r="AP865" s="37"/>
      <c r="AQ865" s="37"/>
      <c r="AR865" s="37"/>
      <c r="AS865" s="37"/>
      <c r="AT865" s="37"/>
      <c r="AU865" s="37"/>
      <c r="AV865" s="37"/>
      <c r="AW865" s="37"/>
      <c r="AX865" s="37"/>
      <c r="AY865" s="37"/>
      <c r="AZ865" s="37"/>
    </row>
    <row r="866" spans="1:52">
      <c r="A866" s="37"/>
      <c r="B866" s="37"/>
      <c r="C866" s="37"/>
      <c r="D866" s="37"/>
      <c r="E866" s="37"/>
      <c r="F866" s="37"/>
      <c r="G866" s="37"/>
      <c r="H866" s="37"/>
      <c r="I866" s="37"/>
      <c r="J866" s="37"/>
      <c r="K866" s="37"/>
      <c r="L866" s="37"/>
      <c r="M866" s="37"/>
      <c r="N866" s="37"/>
      <c r="O866" s="37"/>
      <c r="P866" s="37"/>
      <c r="Q866" s="37"/>
      <c r="R866" s="37"/>
      <c r="S866" s="37"/>
      <c r="T866" s="37"/>
      <c r="U866" s="37"/>
      <c r="V866" s="37"/>
      <c r="W866" s="37"/>
      <c r="X866" s="37"/>
      <c r="Y866" s="37"/>
      <c r="Z866" s="37"/>
      <c r="AA866" s="37"/>
      <c r="AB866" s="37"/>
      <c r="AC866" s="37"/>
      <c r="AD866" s="37"/>
      <c r="AE866" s="37"/>
      <c r="AF866" s="37"/>
      <c r="AG866" s="37"/>
      <c r="AH866" s="37"/>
      <c r="AI866" s="37"/>
      <c r="AJ866" s="37"/>
      <c r="AK866" s="37"/>
      <c r="AL866" s="37"/>
      <c r="AM866" s="37"/>
      <c r="AN866" s="37"/>
      <c r="AO866" s="37"/>
      <c r="AP866" s="37"/>
      <c r="AQ866" s="37"/>
      <c r="AR866" s="37"/>
      <c r="AS866" s="37"/>
      <c r="AT866" s="37"/>
      <c r="AU866" s="37"/>
      <c r="AV866" s="37"/>
      <c r="AW866" s="37"/>
      <c r="AX866" s="37"/>
      <c r="AY866" s="37"/>
      <c r="AZ866" s="37"/>
    </row>
    <row r="867" spans="1:52">
      <c r="A867" s="37"/>
      <c r="B867" s="37"/>
      <c r="C867" s="37"/>
      <c r="D867" s="37"/>
      <c r="E867" s="37"/>
      <c r="F867" s="37"/>
      <c r="G867" s="37"/>
      <c r="H867" s="37"/>
      <c r="I867" s="37"/>
      <c r="J867" s="37"/>
      <c r="K867" s="37"/>
      <c r="L867" s="37"/>
      <c r="M867" s="37"/>
      <c r="N867" s="37"/>
      <c r="O867" s="37"/>
      <c r="P867" s="37"/>
      <c r="Q867" s="37"/>
      <c r="R867" s="37"/>
      <c r="S867" s="37"/>
      <c r="T867" s="37"/>
      <c r="U867" s="37"/>
      <c r="V867" s="37"/>
      <c r="W867" s="37"/>
      <c r="X867" s="37"/>
      <c r="Y867" s="37"/>
      <c r="Z867" s="37"/>
      <c r="AA867" s="37"/>
      <c r="AB867" s="37"/>
      <c r="AC867" s="37"/>
      <c r="AD867" s="37"/>
      <c r="AE867" s="37"/>
      <c r="AF867" s="37"/>
      <c r="AG867" s="37"/>
      <c r="AH867" s="37"/>
      <c r="AI867" s="37"/>
      <c r="AJ867" s="37"/>
      <c r="AK867" s="37"/>
      <c r="AL867" s="37"/>
      <c r="AM867" s="37"/>
      <c r="AN867" s="37"/>
      <c r="AO867" s="37"/>
      <c r="AP867" s="37"/>
      <c r="AQ867" s="37"/>
      <c r="AR867" s="37"/>
      <c r="AS867" s="37"/>
      <c r="AT867" s="37"/>
      <c r="AU867" s="37"/>
      <c r="AV867" s="37"/>
      <c r="AW867" s="37"/>
      <c r="AX867" s="37"/>
      <c r="AY867" s="37"/>
      <c r="AZ867" s="37"/>
    </row>
    <row r="868" spans="1:52">
      <c r="A868" s="37"/>
      <c r="B868" s="37"/>
      <c r="C868" s="37"/>
      <c r="D868" s="37"/>
      <c r="E868" s="37"/>
      <c r="F868" s="37"/>
      <c r="G868" s="37"/>
      <c r="H868" s="37"/>
      <c r="I868" s="37"/>
      <c r="J868" s="37"/>
      <c r="K868" s="37"/>
      <c r="L868" s="37"/>
      <c r="M868" s="37"/>
      <c r="N868" s="37"/>
      <c r="O868" s="37"/>
      <c r="P868" s="37"/>
      <c r="Q868" s="37"/>
      <c r="R868" s="37"/>
      <c r="S868" s="37"/>
      <c r="T868" s="37"/>
      <c r="U868" s="37"/>
      <c r="V868" s="37"/>
      <c r="W868" s="37"/>
      <c r="X868" s="37"/>
      <c r="Y868" s="37"/>
      <c r="Z868" s="37"/>
      <c r="AA868" s="37"/>
      <c r="AB868" s="37"/>
      <c r="AC868" s="37"/>
      <c r="AD868" s="37"/>
      <c r="AE868" s="37"/>
      <c r="AF868" s="37"/>
      <c r="AG868" s="37"/>
      <c r="AH868" s="37"/>
      <c r="AI868" s="37"/>
      <c r="AJ868" s="37"/>
      <c r="AK868" s="37"/>
      <c r="AL868" s="37"/>
      <c r="AM868" s="37"/>
      <c r="AN868" s="37"/>
      <c r="AO868" s="37"/>
      <c r="AP868" s="37"/>
      <c r="AQ868" s="37"/>
      <c r="AR868" s="37"/>
      <c r="AS868" s="37"/>
      <c r="AT868" s="37"/>
      <c r="AU868" s="37"/>
      <c r="AV868" s="37"/>
      <c r="AW868" s="37"/>
      <c r="AX868" s="37"/>
      <c r="AY868" s="37"/>
      <c r="AZ868" s="37"/>
    </row>
    <row r="869" spans="1:52">
      <c r="A869" s="37"/>
      <c r="B869" s="37"/>
      <c r="C869" s="37"/>
      <c r="D869" s="37"/>
      <c r="E869" s="37"/>
      <c r="F869" s="37"/>
      <c r="G869" s="37"/>
      <c r="H869" s="37"/>
      <c r="I869" s="37"/>
      <c r="J869" s="37"/>
      <c r="K869" s="37"/>
      <c r="L869" s="37"/>
      <c r="M869" s="37"/>
      <c r="N869" s="37"/>
      <c r="O869" s="37"/>
      <c r="P869" s="37"/>
      <c r="Q869" s="37"/>
      <c r="R869" s="37"/>
      <c r="S869" s="37"/>
      <c r="T869" s="37"/>
      <c r="U869" s="37"/>
      <c r="V869" s="37"/>
      <c r="W869" s="37"/>
      <c r="X869" s="37"/>
      <c r="Y869" s="37"/>
      <c r="Z869" s="37"/>
      <c r="AA869" s="37"/>
      <c r="AB869" s="37"/>
      <c r="AC869" s="37"/>
      <c r="AD869" s="37"/>
      <c r="AE869" s="37"/>
      <c r="AF869" s="37"/>
      <c r="AG869" s="37"/>
      <c r="AH869" s="37"/>
      <c r="AI869" s="37"/>
      <c r="AJ869" s="37"/>
      <c r="AK869" s="37"/>
      <c r="AL869" s="37"/>
      <c r="AM869" s="37"/>
      <c r="AN869" s="37"/>
      <c r="AO869" s="37"/>
      <c r="AP869" s="37"/>
      <c r="AQ869" s="37"/>
      <c r="AR869" s="37"/>
      <c r="AS869" s="37"/>
      <c r="AT869" s="37"/>
      <c r="AU869" s="37"/>
      <c r="AV869" s="37"/>
      <c r="AW869" s="37"/>
      <c r="AX869" s="37"/>
      <c r="AY869" s="37"/>
      <c r="AZ869" s="37"/>
    </row>
    <row r="870" spans="1:52">
      <c r="A870" s="37"/>
      <c r="B870" s="37"/>
      <c r="C870" s="37"/>
      <c r="D870" s="37"/>
      <c r="E870" s="37"/>
      <c r="F870" s="37"/>
      <c r="G870" s="37"/>
      <c r="H870" s="37"/>
      <c r="I870" s="37"/>
      <c r="J870" s="37"/>
      <c r="K870" s="37"/>
      <c r="L870" s="37"/>
      <c r="M870" s="37"/>
      <c r="N870" s="37"/>
      <c r="O870" s="37"/>
      <c r="P870" s="37"/>
      <c r="Q870" s="37"/>
      <c r="R870" s="37"/>
      <c r="S870" s="37"/>
      <c r="T870" s="37"/>
      <c r="U870" s="37"/>
      <c r="V870" s="37"/>
      <c r="W870" s="37"/>
      <c r="X870" s="37"/>
      <c r="Y870" s="37"/>
      <c r="Z870" s="37"/>
      <c r="AA870" s="37"/>
      <c r="AB870" s="37"/>
      <c r="AC870" s="37"/>
      <c r="AD870" s="37"/>
      <c r="AE870" s="37"/>
      <c r="AF870" s="37"/>
      <c r="AG870" s="37"/>
      <c r="AH870" s="37"/>
      <c r="AI870" s="37"/>
      <c r="AJ870" s="37"/>
      <c r="AK870" s="37"/>
      <c r="AL870" s="37"/>
      <c r="AM870" s="37"/>
      <c r="AN870" s="37"/>
      <c r="AO870" s="37"/>
      <c r="AP870" s="37"/>
      <c r="AQ870" s="37"/>
      <c r="AR870" s="37"/>
      <c r="AS870" s="37"/>
      <c r="AT870" s="37"/>
      <c r="AU870" s="37"/>
      <c r="AV870" s="37"/>
      <c r="AW870" s="37"/>
      <c r="AX870" s="37"/>
      <c r="AY870" s="37"/>
      <c r="AZ870" s="37"/>
    </row>
    <row r="871" spans="1:52">
      <c r="A871" s="37"/>
      <c r="B871" s="37"/>
      <c r="C871" s="37"/>
      <c r="D871" s="37"/>
      <c r="E871" s="37"/>
      <c r="F871" s="37"/>
      <c r="G871" s="37"/>
      <c r="H871" s="37"/>
      <c r="I871" s="37"/>
      <c r="J871" s="37"/>
      <c r="K871" s="37"/>
      <c r="L871" s="37"/>
      <c r="M871" s="37"/>
      <c r="N871" s="37"/>
      <c r="O871" s="37"/>
      <c r="P871" s="37"/>
      <c r="Q871" s="37"/>
      <c r="R871" s="37"/>
      <c r="S871" s="37"/>
      <c r="T871" s="37"/>
      <c r="U871" s="37"/>
      <c r="V871" s="37"/>
      <c r="W871" s="37"/>
      <c r="X871" s="37"/>
      <c r="Y871" s="37"/>
      <c r="Z871" s="37"/>
      <c r="AA871" s="37"/>
      <c r="AB871" s="37"/>
      <c r="AC871" s="37"/>
      <c r="AD871" s="37"/>
      <c r="AE871" s="37"/>
      <c r="AF871" s="37"/>
      <c r="AG871" s="37"/>
      <c r="AH871" s="37"/>
      <c r="AI871" s="37"/>
      <c r="AJ871" s="37"/>
      <c r="AK871" s="37"/>
      <c r="AL871" s="37"/>
      <c r="AM871" s="37"/>
      <c r="AN871" s="37"/>
      <c r="AO871" s="37"/>
      <c r="AP871" s="37"/>
      <c r="AQ871" s="37"/>
      <c r="AR871" s="37"/>
      <c r="AS871" s="37"/>
      <c r="AT871" s="37"/>
      <c r="AU871" s="37"/>
      <c r="AV871" s="37"/>
      <c r="AW871" s="37"/>
      <c r="AX871" s="37"/>
      <c r="AY871" s="37"/>
      <c r="AZ871" s="37"/>
    </row>
    <row r="872" spans="1:52">
      <c r="A872" s="37"/>
      <c r="B872" s="37"/>
      <c r="C872" s="37"/>
      <c r="D872" s="37"/>
      <c r="E872" s="37"/>
      <c r="F872" s="37"/>
      <c r="G872" s="37"/>
      <c r="H872" s="37"/>
      <c r="I872" s="37"/>
      <c r="J872" s="37"/>
      <c r="K872" s="37"/>
      <c r="L872" s="37"/>
      <c r="M872" s="37"/>
      <c r="N872" s="37"/>
      <c r="O872" s="37"/>
      <c r="P872" s="37"/>
      <c r="Q872" s="37"/>
      <c r="R872" s="37"/>
      <c r="S872" s="37"/>
      <c r="T872" s="37"/>
      <c r="U872" s="37"/>
      <c r="V872" s="37"/>
      <c r="W872" s="37"/>
      <c r="X872" s="37"/>
      <c r="Y872" s="37"/>
      <c r="Z872" s="37"/>
      <c r="AA872" s="37"/>
      <c r="AB872" s="37"/>
      <c r="AC872" s="37"/>
      <c r="AD872" s="37"/>
      <c r="AE872" s="37"/>
      <c r="AF872" s="37"/>
      <c r="AG872" s="37"/>
      <c r="AH872" s="37"/>
      <c r="AI872" s="37"/>
      <c r="AJ872" s="37"/>
      <c r="AK872" s="37"/>
      <c r="AL872" s="37"/>
      <c r="AM872" s="37"/>
      <c r="AN872" s="37"/>
      <c r="AO872" s="37"/>
      <c r="AP872" s="37"/>
      <c r="AQ872" s="37"/>
      <c r="AR872" s="37"/>
      <c r="AS872" s="37"/>
      <c r="AT872" s="37"/>
      <c r="AU872" s="37"/>
      <c r="AV872" s="37"/>
      <c r="AW872" s="37"/>
      <c r="AX872" s="37"/>
      <c r="AY872" s="37"/>
      <c r="AZ872" s="37"/>
    </row>
    <row r="873" spans="1:52">
      <c r="A873" s="37"/>
      <c r="B873" s="37"/>
      <c r="C873" s="37"/>
      <c r="D873" s="37"/>
      <c r="E873" s="37"/>
      <c r="F873" s="37"/>
      <c r="G873" s="37"/>
      <c r="H873" s="37"/>
      <c r="I873" s="37"/>
      <c r="J873" s="37"/>
      <c r="K873" s="37"/>
      <c r="L873" s="37"/>
      <c r="M873" s="37"/>
      <c r="N873" s="37"/>
      <c r="O873" s="37"/>
      <c r="P873" s="37"/>
      <c r="Q873" s="37"/>
      <c r="R873" s="37"/>
      <c r="S873" s="37"/>
      <c r="T873" s="37"/>
      <c r="U873" s="37"/>
      <c r="V873" s="37"/>
      <c r="W873" s="37"/>
      <c r="X873" s="37"/>
      <c r="Y873" s="37"/>
      <c r="Z873" s="37"/>
      <c r="AA873" s="37"/>
      <c r="AB873" s="37"/>
      <c r="AC873" s="37"/>
      <c r="AD873" s="37"/>
      <c r="AE873" s="37"/>
      <c r="AF873" s="37"/>
      <c r="AG873" s="37"/>
      <c r="AH873" s="37"/>
      <c r="AI873" s="37"/>
      <c r="AJ873" s="37"/>
      <c r="AK873" s="37"/>
      <c r="AL873" s="37"/>
      <c r="AM873" s="37"/>
      <c r="AN873" s="37"/>
      <c r="AO873" s="37"/>
      <c r="AP873" s="37"/>
      <c r="AQ873" s="37"/>
      <c r="AR873" s="37"/>
      <c r="AS873" s="37"/>
      <c r="AT873" s="37"/>
      <c r="AU873" s="37"/>
      <c r="AV873" s="37"/>
      <c r="AW873" s="37"/>
      <c r="AX873" s="37"/>
      <c r="AY873" s="37"/>
      <c r="AZ873" s="37"/>
    </row>
    <row r="874" spans="1:52">
      <c r="A874" s="37"/>
      <c r="B874" s="37"/>
      <c r="C874" s="37"/>
      <c r="D874" s="37"/>
      <c r="E874" s="37"/>
      <c r="F874" s="37"/>
      <c r="G874" s="37"/>
      <c r="H874" s="37"/>
      <c r="I874" s="37"/>
      <c r="J874" s="37"/>
      <c r="K874" s="37"/>
      <c r="L874" s="37"/>
      <c r="M874" s="37"/>
      <c r="N874" s="37"/>
      <c r="O874" s="37"/>
      <c r="P874" s="37"/>
      <c r="Q874" s="37"/>
      <c r="R874" s="37"/>
      <c r="S874" s="37"/>
      <c r="T874" s="37"/>
      <c r="U874" s="37"/>
      <c r="V874" s="37"/>
      <c r="W874" s="37"/>
      <c r="X874" s="37"/>
      <c r="Y874" s="37"/>
      <c r="Z874" s="37"/>
      <c r="AA874" s="37"/>
      <c r="AB874" s="37"/>
      <c r="AC874" s="37"/>
      <c r="AD874" s="37"/>
      <c r="AE874" s="37"/>
      <c r="AF874" s="37"/>
      <c r="AG874" s="37"/>
      <c r="AH874" s="37"/>
      <c r="AI874" s="37"/>
      <c r="AJ874" s="37"/>
      <c r="AK874" s="37"/>
      <c r="AL874" s="37"/>
      <c r="AM874" s="37"/>
      <c r="AN874" s="37"/>
      <c r="AO874" s="37"/>
      <c r="AP874" s="37"/>
      <c r="AQ874" s="37"/>
      <c r="AR874" s="37"/>
      <c r="AS874" s="37"/>
      <c r="AT874" s="37"/>
      <c r="AU874" s="37"/>
      <c r="AV874" s="37"/>
      <c r="AW874" s="37"/>
      <c r="AX874" s="37"/>
      <c r="AY874" s="37"/>
      <c r="AZ874" s="37"/>
    </row>
    <row r="875" spans="1:52">
      <c r="A875" s="37"/>
      <c r="B875" s="37"/>
      <c r="C875" s="37"/>
      <c r="D875" s="37"/>
      <c r="E875" s="37"/>
      <c r="F875" s="37"/>
      <c r="G875" s="37"/>
      <c r="H875" s="37"/>
      <c r="I875" s="37"/>
      <c r="J875" s="37"/>
      <c r="K875" s="37"/>
      <c r="L875" s="37"/>
      <c r="M875" s="37"/>
      <c r="N875" s="37"/>
      <c r="O875" s="37"/>
      <c r="P875" s="37"/>
      <c r="Q875" s="37"/>
      <c r="R875" s="37"/>
      <c r="S875" s="37"/>
      <c r="T875" s="37"/>
      <c r="U875" s="37"/>
      <c r="V875" s="37"/>
      <c r="W875" s="37"/>
      <c r="X875" s="37"/>
      <c r="Y875" s="37"/>
      <c r="Z875" s="37"/>
      <c r="AA875" s="37"/>
      <c r="AB875" s="37"/>
      <c r="AC875" s="37"/>
      <c r="AD875" s="37"/>
      <c r="AE875" s="37"/>
      <c r="AF875" s="37"/>
      <c r="AG875" s="37"/>
      <c r="AH875" s="37"/>
      <c r="AI875" s="37"/>
      <c r="AJ875" s="37"/>
      <c r="AK875" s="37"/>
      <c r="AL875" s="37"/>
      <c r="AM875" s="37"/>
      <c r="AN875" s="37"/>
      <c r="AO875" s="37"/>
      <c r="AP875" s="37"/>
      <c r="AQ875" s="37"/>
      <c r="AR875" s="37"/>
      <c r="AS875" s="37"/>
      <c r="AT875" s="37"/>
      <c r="AU875" s="37"/>
      <c r="AV875" s="37"/>
      <c r="AW875" s="37"/>
      <c r="AX875" s="37"/>
      <c r="AY875" s="37"/>
      <c r="AZ875" s="37"/>
    </row>
    <row r="876" spans="1:52">
      <c r="A876" s="37"/>
      <c r="B876" s="37"/>
      <c r="C876" s="37"/>
      <c r="D876" s="37"/>
      <c r="E876" s="37"/>
      <c r="F876" s="37"/>
      <c r="G876" s="37"/>
      <c r="H876" s="37"/>
      <c r="I876" s="37"/>
      <c r="J876" s="37"/>
      <c r="K876" s="37"/>
      <c r="L876" s="37"/>
      <c r="M876" s="37"/>
      <c r="N876" s="37"/>
      <c r="O876" s="37"/>
      <c r="P876" s="37"/>
      <c r="Q876" s="37"/>
      <c r="R876" s="37"/>
      <c r="S876" s="37"/>
      <c r="T876" s="37"/>
      <c r="U876" s="37"/>
      <c r="V876" s="37"/>
      <c r="W876" s="37"/>
      <c r="X876" s="37"/>
      <c r="Y876" s="37"/>
      <c r="Z876" s="37"/>
      <c r="AA876" s="37"/>
      <c r="AB876" s="37"/>
      <c r="AC876" s="37"/>
      <c r="AD876" s="37"/>
      <c r="AE876" s="37"/>
      <c r="AF876" s="37"/>
      <c r="AG876" s="37"/>
      <c r="AH876" s="37"/>
      <c r="AI876" s="37"/>
      <c r="AJ876" s="37"/>
      <c r="AK876" s="37"/>
      <c r="AL876" s="37"/>
      <c r="AM876" s="37"/>
      <c r="AN876" s="37"/>
      <c r="AO876" s="37"/>
      <c r="AP876" s="37"/>
      <c r="AQ876" s="37"/>
      <c r="AR876" s="37"/>
      <c r="AS876" s="37"/>
      <c r="AT876" s="37"/>
      <c r="AU876" s="37"/>
      <c r="AV876" s="37"/>
      <c r="AW876" s="37"/>
      <c r="AX876" s="37"/>
      <c r="AY876" s="37"/>
      <c r="AZ876" s="37"/>
    </row>
    <row r="877" spans="1:52">
      <c r="A877" s="37"/>
      <c r="B877" s="37"/>
      <c r="C877" s="37"/>
      <c r="D877" s="37"/>
      <c r="E877" s="37"/>
      <c r="F877" s="37"/>
      <c r="G877" s="37"/>
      <c r="H877" s="37"/>
      <c r="I877" s="37"/>
      <c r="J877" s="37"/>
      <c r="K877" s="37"/>
      <c r="L877" s="37"/>
      <c r="M877" s="37"/>
      <c r="N877" s="37"/>
      <c r="O877" s="37"/>
      <c r="P877" s="37"/>
      <c r="Q877" s="37"/>
      <c r="R877" s="37"/>
      <c r="S877" s="37"/>
      <c r="T877" s="37"/>
      <c r="U877" s="37"/>
      <c r="V877" s="37"/>
      <c r="W877" s="37"/>
      <c r="X877" s="37"/>
      <c r="Y877" s="37"/>
      <c r="Z877" s="37"/>
      <c r="AA877" s="37"/>
      <c r="AB877" s="37"/>
      <c r="AC877" s="37"/>
      <c r="AD877" s="37"/>
      <c r="AE877" s="37"/>
      <c r="AF877" s="37"/>
      <c r="AG877" s="37"/>
      <c r="AH877" s="37"/>
      <c r="AI877" s="37"/>
      <c r="AJ877" s="37"/>
      <c r="AK877" s="37"/>
      <c r="AL877" s="37"/>
      <c r="AM877" s="37"/>
      <c r="AN877" s="37"/>
      <c r="AO877" s="37"/>
      <c r="AP877" s="37"/>
      <c r="AQ877" s="37"/>
      <c r="AR877" s="37"/>
      <c r="AS877" s="37"/>
      <c r="AT877" s="37"/>
      <c r="AU877" s="37"/>
      <c r="AV877" s="37"/>
      <c r="AW877" s="37"/>
      <c r="AX877" s="37"/>
      <c r="AY877" s="37"/>
      <c r="AZ877" s="37"/>
    </row>
    <row r="878" spans="1:52">
      <c r="A878" s="37"/>
      <c r="B878" s="37"/>
      <c r="C878" s="37"/>
      <c r="D878" s="37"/>
      <c r="E878" s="37"/>
      <c r="F878" s="37"/>
      <c r="G878" s="37"/>
      <c r="H878" s="37"/>
      <c r="I878" s="37"/>
      <c r="J878" s="37"/>
      <c r="K878" s="37"/>
      <c r="L878" s="37"/>
      <c r="M878" s="37"/>
      <c r="N878" s="37"/>
      <c r="O878" s="37"/>
      <c r="P878" s="37"/>
      <c r="Q878" s="37"/>
      <c r="R878" s="37"/>
      <c r="S878" s="37"/>
      <c r="T878" s="37"/>
      <c r="U878" s="37"/>
      <c r="V878" s="37"/>
      <c r="W878" s="37"/>
      <c r="X878" s="37"/>
      <c r="Y878" s="37"/>
      <c r="Z878" s="37"/>
      <c r="AA878" s="37"/>
      <c r="AB878" s="37"/>
      <c r="AC878" s="37"/>
      <c r="AD878" s="37"/>
      <c r="AE878" s="37"/>
      <c r="AF878" s="37"/>
      <c r="AG878" s="37"/>
      <c r="AH878" s="37"/>
      <c r="AI878" s="37"/>
      <c r="AJ878" s="37"/>
      <c r="AK878" s="37"/>
      <c r="AL878" s="37"/>
      <c r="AM878" s="37"/>
      <c r="AN878" s="37"/>
      <c r="AO878" s="37"/>
      <c r="AP878" s="37"/>
      <c r="AQ878" s="37"/>
      <c r="AR878" s="37"/>
      <c r="AS878" s="37"/>
      <c r="AT878" s="37"/>
      <c r="AU878" s="37"/>
      <c r="AV878" s="37"/>
      <c r="AW878" s="37"/>
      <c r="AX878" s="37"/>
      <c r="AY878" s="37"/>
      <c r="AZ878" s="37"/>
    </row>
    <row r="879" spans="1:52">
      <c r="A879" s="37"/>
      <c r="B879" s="37"/>
      <c r="C879" s="37"/>
      <c r="D879" s="37"/>
      <c r="E879" s="37"/>
      <c r="F879" s="37"/>
      <c r="G879" s="37"/>
      <c r="H879" s="37"/>
      <c r="I879" s="37"/>
      <c r="J879" s="37"/>
      <c r="K879" s="37"/>
      <c r="L879" s="37"/>
      <c r="M879" s="37"/>
      <c r="N879" s="37"/>
      <c r="O879" s="37"/>
      <c r="P879" s="37"/>
      <c r="Q879" s="37"/>
      <c r="R879" s="37"/>
      <c r="S879" s="37"/>
      <c r="T879" s="37"/>
      <c r="U879" s="37"/>
      <c r="V879" s="37"/>
      <c r="W879" s="37"/>
      <c r="X879" s="37"/>
      <c r="Y879" s="37"/>
      <c r="Z879" s="37"/>
      <c r="AA879" s="37"/>
      <c r="AB879" s="37"/>
      <c r="AC879" s="37"/>
      <c r="AD879" s="37"/>
      <c r="AE879" s="37"/>
      <c r="AF879" s="37"/>
      <c r="AG879" s="37"/>
      <c r="AH879" s="37"/>
      <c r="AI879" s="37"/>
      <c r="AJ879" s="37"/>
      <c r="AK879" s="37"/>
      <c r="AL879" s="37"/>
      <c r="AM879" s="37"/>
      <c r="AN879" s="37"/>
      <c r="AO879" s="37"/>
      <c r="AP879" s="37"/>
      <c r="AQ879" s="37"/>
      <c r="AR879" s="37"/>
      <c r="AS879" s="37"/>
      <c r="AT879" s="37"/>
      <c r="AU879" s="37"/>
      <c r="AV879" s="37"/>
      <c r="AW879" s="37"/>
      <c r="AX879" s="37"/>
      <c r="AY879" s="37"/>
      <c r="AZ879" s="37"/>
    </row>
    <row r="880" spans="1:52">
      <c r="A880" s="37"/>
      <c r="B880" s="37"/>
      <c r="C880" s="37"/>
      <c r="D880" s="37"/>
      <c r="E880" s="37"/>
      <c r="F880" s="37"/>
      <c r="G880" s="37"/>
      <c r="H880" s="37"/>
      <c r="I880" s="37"/>
      <c r="J880" s="37"/>
      <c r="K880" s="37"/>
      <c r="L880" s="37"/>
      <c r="M880" s="37"/>
      <c r="N880" s="37"/>
      <c r="O880" s="37"/>
      <c r="P880" s="37"/>
      <c r="Q880" s="37"/>
      <c r="R880" s="37"/>
      <c r="S880" s="37"/>
      <c r="T880" s="37"/>
      <c r="U880" s="37"/>
      <c r="V880" s="37"/>
      <c r="W880" s="37"/>
      <c r="X880" s="37"/>
      <c r="Y880" s="37"/>
      <c r="Z880" s="37"/>
      <c r="AA880" s="37"/>
      <c r="AB880" s="37"/>
      <c r="AC880" s="37"/>
      <c r="AD880" s="37"/>
      <c r="AE880" s="37"/>
      <c r="AF880" s="37"/>
      <c r="AG880" s="37"/>
      <c r="AH880" s="37"/>
      <c r="AI880" s="37"/>
      <c r="AJ880" s="37"/>
      <c r="AK880" s="37"/>
      <c r="AL880" s="37"/>
      <c r="AM880" s="37"/>
      <c r="AN880" s="37"/>
      <c r="AO880" s="37"/>
      <c r="AP880" s="37"/>
      <c r="AQ880" s="37"/>
      <c r="AR880" s="37"/>
      <c r="AS880" s="37"/>
      <c r="AT880" s="37"/>
      <c r="AU880" s="37"/>
      <c r="AV880" s="37"/>
      <c r="AW880" s="37"/>
      <c r="AX880" s="37"/>
      <c r="AY880" s="37"/>
      <c r="AZ880" s="37"/>
    </row>
    <row r="881" spans="1:52">
      <c r="A881" s="37"/>
      <c r="B881" s="37"/>
      <c r="C881" s="37"/>
      <c r="D881" s="37"/>
      <c r="E881" s="37"/>
      <c r="F881" s="37"/>
      <c r="G881" s="37"/>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37"/>
      <c r="AG881" s="37"/>
      <c r="AH881" s="37"/>
      <c r="AI881" s="37"/>
      <c r="AJ881" s="37"/>
      <c r="AK881" s="37"/>
      <c r="AL881" s="37"/>
      <c r="AM881" s="37"/>
      <c r="AN881" s="37"/>
      <c r="AO881" s="37"/>
      <c r="AP881" s="37"/>
      <c r="AQ881" s="37"/>
      <c r="AR881" s="37"/>
      <c r="AS881" s="37"/>
      <c r="AT881" s="37"/>
      <c r="AU881" s="37"/>
      <c r="AV881" s="37"/>
      <c r="AW881" s="37"/>
      <c r="AX881" s="37"/>
      <c r="AY881" s="37"/>
      <c r="AZ881" s="37"/>
    </row>
    <row r="882" spans="1:52">
      <c r="A882" s="37"/>
      <c r="B882" s="37"/>
      <c r="C882" s="37"/>
      <c r="D882" s="37"/>
      <c r="E882" s="37"/>
      <c r="F882" s="37"/>
      <c r="G882" s="37"/>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37"/>
      <c r="AG882" s="37"/>
      <c r="AH882" s="37"/>
      <c r="AI882" s="37"/>
      <c r="AJ882" s="37"/>
      <c r="AK882" s="37"/>
      <c r="AL882" s="37"/>
      <c r="AM882" s="37"/>
      <c r="AN882" s="37"/>
      <c r="AO882" s="37"/>
      <c r="AP882" s="37"/>
      <c r="AQ882" s="37"/>
      <c r="AR882" s="37"/>
      <c r="AS882" s="37"/>
      <c r="AT882" s="37"/>
      <c r="AU882" s="37"/>
      <c r="AV882" s="37"/>
      <c r="AW882" s="37"/>
      <c r="AX882" s="37"/>
      <c r="AY882" s="37"/>
      <c r="AZ882" s="37"/>
    </row>
    <row r="883" spans="1:52">
      <c r="A883" s="37"/>
      <c r="B883" s="37"/>
      <c r="C883" s="37"/>
      <c r="D883" s="37"/>
      <c r="E883" s="37"/>
      <c r="F883" s="37"/>
      <c r="G883" s="37"/>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37"/>
      <c r="AG883" s="37"/>
      <c r="AH883" s="37"/>
      <c r="AI883" s="37"/>
      <c r="AJ883" s="37"/>
      <c r="AK883" s="37"/>
      <c r="AL883" s="37"/>
      <c r="AM883" s="37"/>
      <c r="AN883" s="37"/>
      <c r="AO883" s="37"/>
      <c r="AP883" s="37"/>
      <c r="AQ883" s="37"/>
      <c r="AR883" s="37"/>
      <c r="AS883" s="37"/>
      <c r="AT883" s="37"/>
      <c r="AU883" s="37"/>
      <c r="AV883" s="37"/>
      <c r="AW883" s="37"/>
      <c r="AX883" s="37"/>
      <c r="AY883" s="37"/>
      <c r="AZ883" s="37"/>
    </row>
    <row r="884" spans="1:52">
      <c r="A884" s="37"/>
      <c r="B884" s="37"/>
      <c r="C884" s="37"/>
      <c r="D884" s="37"/>
      <c r="E884" s="37"/>
      <c r="F884" s="37"/>
      <c r="G884" s="37"/>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37"/>
      <c r="AG884" s="37"/>
      <c r="AH884" s="37"/>
      <c r="AI884" s="37"/>
      <c r="AJ884" s="37"/>
      <c r="AK884" s="37"/>
      <c r="AL884" s="37"/>
      <c r="AM884" s="37"/>
      <c r="AN884" s="37"/>
      <c r="AO884" s="37"/>
      <c r="AP884" s="37"/>
      <c r="AQ884" s="37"/>
      <c r="AR884" s="37"/>
      <c r="AS884" s="37"/>
      <c r="AT884" s="37"/>
      <c r="AU884" s="37"/>
      <c r="AV884" s="37"/>
      <c r="AW884" s="37"/>
      <c r="AX884" s="37"/>
      <c r="AY884" s="37"/>
      <c r="AZ884" s="37"/>
    </row>
    <row r="885" spans="1:52">
      <c r="A885" s="37"/>
      <c r="B885" s="37"/>
      <c r="C885" s="37"/>
      <c r="D885" s="37"/>
      <c r="E885" s="37"/>
      <c r="F885" s="37"/>
      <c r="G885" s="37"/>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37"/>
      <c r="AG885" s="37"/>
      <c r="AH885" s="37"/>
      <c r="AI885" s="37"/>
      <c r="AJ885" s="37"/>
      <c r="AK885" s="37"/>
      <c r="AL885" s="37"/>
      <c r="AM885" s="37"/>
      <c r="AN885" s="37"/>
      <c r="AO885" s="37"/>
      <c r="AP885" s="37"/>
      <c r="AQ885" s="37"/>
      <c r="AR885" s="37"/>
      <c r="AS885" s="37"/>
      <c r="AT885" s="37"/>
      <c r="AU885" s="37"/>
      <c r="AV885" s="37"/>
      <c r="AW885" s="37"/>
      <c r="AX885" s="37"/>
      <c r="AY885" s="37"/>
      <c r="AZ885" s="37"/>
    </row>
    <row r="886" spans="1:52">
      <c r="A886" s="37"/>
      <c r="B886" s="37"/>
      <c r="C886" s="37"/>
      <c r="D886" s="37"/>
      <c r="E886" s="37"/>
      <c r="F886" s="37"/>
      <c r="G886" s="37"/>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37"/>
      <c r="AG886" s="37"/>
      <c r="AH886" s="37"/>
      <c r="AI886" s="37"/>
      <c r="AJ886" s="37"/>
      <c r="AK886" s="37"/>
      <c r="AL886" s="37"/>
      <c r="AM886" s="37"/>
      <c r="AN886" s="37"/>
      <c r="AO886" s="37"/>
      <c r="AP886" s="37"/>
      <c r="AQ886" s="37"/>
      <c r="AR886" s="37"/>
      <c r="AS886" s="37"/>
      <c r="AT886" s="37"/>
      <c r="AU886" s="37"/>
      <c r="AV886" s="37"/>
      <c r="AW886" s="37"/>
      <c r="AX886" s="37"/>
      <c r="AY886" s="37"/>
      <c r="AZ886" s="37"/>
    </row>
    <row r="887" spans="1:52">
      <c r="A887" s="37"/>
      <c r="B887" s="37"/>
      <c r="C887" s="37"/>
      <c r="D887" s="37"/>
      <c r="E887" s="37"/>
      <c r="F887" s="37"/>
      <c r="G887" s="37"/>
      <c r="H887" s="37"/>
      <c r="I887" s="37"/>
      <c r="J887" s="37"/>
      <c r="K887" s="37"/>
      <c r="L887" s="37"/>
      <c r="M887" s="37"/>
      <c r="N887" s="37"/>
      <c r="O887" s="37"/>
      <c r="P887" s="37"/>
      <c r="Q887" s="37"/>
      <c r="R887" s="37"/>
      <c r="S887" s="37"/>
      <c r="T887" s="37"/>
      <c r="U887" s="37"/>
      <c r="V887" s="37"/>
      <c r="W887" s="37"/>
      <c r="X887" s="37"/>
      <c r="Y887" s="37"/>
      <c r="Z887" s="37"/>
      <c r="AA887" s="37"/>
      <c r="AB887" s="37"/>
      <c r="AC887" s="37"/>
      <c r="AD887" s="37"/>
      <c r="AE887" s="37"/>
      <c r="AF887" s="37"/>
      <c r="AG887" s="37"/>
      <c r="AH887" s="37"/>
      <c r="AI887" s="37"/>
      <c r="AJ887" s="37"/>
      <c r="AK887" s="37"/>
      <c r="AL887" s="37"/>
      <c r="AM887" s="37"/>
      <c r="AN887" s="37"/>
      <c r="AO887" s="37"/>
      <c r="AP887" s="37"/>
      <c r="AQ887" s="37"/>
      <c r="AR887" s="37"/>
      <c r="AS887" s="37"/>
      <c r="AT887" s="37"/>
      <c r="AU887" s="37"/>
      <c r="AV887" s="37"/>
      <c r="AW887" s="37"/>
      <c r="AX887" s="37"/>
      <c r="AY887" s="37"/>
      <c r="AZ887" s="37"/>
    </row>
    <row r="888" spans="1:52">
      <c r="A888" s="37"/>
      <c r="B888" s="37"/>
      <c r="C888" s="37"/>
      <c r="D888" s="37"/>
      <c r="E888" s="37"/>
      <c r="F888" s="37"/>
      <c r="G888" s="37"/>
      <c r="H888" s="37"/>
      <c r="I888" s="37"/>
      <c r="J888" s="37"/>
      <c r="K888" s="37"/>
      <c r="L888" s="37"/>
      <c r="M888" s="37"/>
      <c r="N888" s="37"/>
      <c r="O888" s="37"/>
      <c r="P888" s="37"/>
      <c r="Q888" s="37"/>
      <c r="R888" s="37"/>
      <c r="S888" s="37"/>
      <c r="T888" s="37"/>
      <c r="U888" s="37"/>
      <c r="V888" s="37"/>
      <c r="W888" s="37"/>
      <c r="X888" s="37"/>
      <c r="Y888" s="37"/>
      <c r="Z888" s="37"/>
      <c r="AA888" s="37"/>
      <c r="AB888" s="37"/>
      <c r="AC888" s="37"/>
      <c r="AD888" s="37"/>
      <c r="AE888" s="37"/>
      <c r="AF888" s="37"/>
      <c r="AG888" s="37"/>
      <c r="AH888" s="37"/>
      <c r="AI888" s="37"/>
      <c r="AJ888" s="37"/>
      <c r="AK888" s="37"/>
      <c r="AL888" s="37"/>
      <c r="AM888" s="37"/>
      <c r="AN888" s="37"/>
      <c r="AO888" s="37"/>
      <c r="AP888" s="37"/>
      <c r="AQ888" s="37"/>
      <c r="AR888" s="37"/>
      <c r="AS888" s="37"/>
      <c r="AT888" s="37"/>
      <c r="AU888" s="37"/>
      <c r="AV888" s="37"/>
      <c r="AW888" s="37"/>
      <c r="AX888" s="37"/>
      <c r="AY888" s="37"/>
      <c r="AZ888" s="37"/>
    </row>
    <row r="889" spans="1:52">
      <c r="A889" s="37"/>
      <c r="B889" s="37"/>
      <c r="C889" s="37"/>
      <c r="D889" s="37"/>
      <c r="E889" s="37"/>
      <c r="F889" s="37"/>
      <c r="G889" s="37"/>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37"/>
      <c r="AG889" s="37"/>
      <c r="AH889" s="37"/>
      <c r="AI889" s="37"/>
      <c r="AJ889" s="37"/>
      <c r="AK889" s="37"/>
      <c r="AL889" s="37"/>
      <c r="AM889" s="37"/>
      <c r="AN889" s="37"/>
      <c r="AO889" s="37"/>
      <c r="AP889" s="37"/>
      <c r="AQ889" s="37"/>
      <c r="AR889" s="37"/>
      <c r="AS889" s="37"/>
      <c r="AT889" s="37"/>
      <c r="AU889" s="37"/>
      <c r="AV889" s="37"/>
      <c r="AW889" s="37"/>
      <c r="AX889" s="37"/>
      <c r="AY889" s="37"/>
      <c r="AZ889" s="37"/>
    </row>
    <row r="890" spans="1:52">
      <c r="A890" s="37"/>
      <c r="B890" s="37"/>
      <c r="C890" s="37"/>
      <c r="D890" s="37"/>
      <c r="E890" s="37"/>
      <c r="F890" s="37"/>
      <c r="G890" s="37"/>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37"/>
      <c r="AG890" s="37"/>
      <c r="AH890" s="37"/>
      <c r="AI890" s="37"/>
      <c r="AJ890" s="37"/>
      <c r="AK890" s="37"/>
      <c r="AL890" s="37"/>
      <c r="AM890" s="37"/>
      <c r="AN890" s="37"/>
      <c r="AO890" s="37"/>
      <c r="AP890" s="37"/>
      <c r="AQ890" s="37"/>
      <c r="AR890" s="37"/>
      <c r="AS890" s="37"/>
      <c r="AT890" s="37"/>
      <c r="AU890" s="37"/>
      <c r="AV890" s="37"/>
      <c r="AW890" s="37"/>
      <c r="AX890" s="37"/>
      <c r="AY890" s="37"/>
      <c r="AZ890" s="37"/>
    </row>
    <row r="891" spans="1:52">
      <c r="A891" s="37"/>
      <c r="B891" s="37"/>
      <c r="C891" s="37"/>
      <c r="D891" s="37"/>
      <c r="E891" s="37"/>
      <c r="F891" s="37"/>
      <c r="G891" s="37"/>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37"/>
      <c r="AG891" s="37"/>
      <c r="AH891" s="37"/>
      <c r="AI891" s="37"/>
      <c r="AJ891" s="37"/>
      <c r="AK891" s="37"/>
      <c r="AL891" s="37"/>
      <c r="AM891" s="37"/>
      <c r="AN891" s="37"/>
      <c r="AO891" s="37"/>
      <c r="AP891" s="37"/>
      <c r="AQ891" s="37"/>
      <c r="AR891" s="37"/>
      <c r="AS891" s="37"/>
      <c r="AT891" s="37"/>
      <c r="AU891" s="37"/>
      <c r="AV891" s="37"/>
      <c r="AW891" s="37"/>
      <c r="AX891" s="37"/>
      <c r="AY891" s="37"/>
      <c r="AZ891" s="37"/>
    </row>
    <row r="892" spans="1:52">
      <c r="A892" s="37"/>
      <c r="B892" s="37"/>
      <c r="C892" s="37"/>
      <c r="D892" s="37"/>
      <c r="E892" s="37"/>
      <c r="F892" s="37"/>
      <c r="G892" s="37"/>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37"/>
      <c r="AG892" s="37"/>
      <c r="AH892" s="37"/>
      <c r="AI892" s="37"/>
      <c r="AJ892" s="37"/>
      <c r="AK892" s="37"/>
      <c r="AL892" s="37"/>
      <c r="AM892" s="37"/>
      <c r="AN892" s="37"/>
      <c r="AO892" s="37"/>
      <c r="AP892" s="37"/>
      <c r="AQ892" s="37"/>
      <c r="AR892" s="37"/>
      <c r="AS892" s="37"/>
      <c r="AT892" s="37"/>
      <c r="AU892" s="37"/>
      <c r="AV892" s="37"/>
      <c r="AW892" s="37"/>
      <c r="AX892" s="37"/>
      <c r="AY892" s="37"/>
      <c r="AZ892" s="37"/>
    </row>
    <row r="893" spans="1:52">
      <c r="A893" s="37"/>
      <c r="B893" s="37"/>
      <c r="C893" s="37"/>
      <c r="D893" s="37"/>
      <c r="E893" s="37"/>
      <c r="F893" s="37"/>
      <c r="G893" s="37"/>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37"/>
      <c r="AG893" s="37"/>
      <c r="AH893" s="37"/>
      <c r="AI893" s="37"/>
      <c r="AJ893" s="37"/>
      <c r="AK893" s="37"/>
      <c r="AL893" s="37"/>
      <c r="AM893" s="37"/>
      <c r="AN893" s="37"/>
      <c r="AO893" s="37"/>
      <c r="AP893" s="37"/>
      <c r="AQ893" s="37"/>
      <c r="AR893" s="37"/>
      <c r="AS893" s="37"/>
      <c r="AT893" s="37"/>
      <c r="AU893" s="37"/>
      <c r="AV893" s="37"/>
      <c r="AW893" s="37"/>
      <c r="AX893" s="37"/>
      <c r="AY893" s="37"/>
      <c r="AZ893" s="37"/>
    </row>
    <row r="894" spans="1:52">
      <c r="A894" s="37"/>
      <c r="B894" s="37"/>
      <c r="C894" s="37"/>
      <c r="D894" s="37"/>
      <c r="E894" s="37"/>
      <c r="F894" s="37"/>
      <c r="G894" s="37"/>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37"/>
      <c r="AG894" s="37"/>
      <c r="AH894" s="37"/>
      <c r="AI894" s="37"/>
      <c r="AJ894" s="37"/>
      <c r="AK894" s="37"/>
      <c r="AL894" s="37"/>
      <c r="AM894" s="37"/>
      <c r="AN894" s="37"/>
      <c r="AO894" s="37"/>
      <c r="AP894" s="37"/>
      <c r="AQ894" s="37"/>
      <c r="AR894" s="37"/>
      <c r="AS894" s="37"/>
      <c r="AT894" s="37"/>
      <c r="AU894" s="37"/>
      <c r="AV894" s="37"/>
      <c r="AW894" s="37"/>
      <c r="AX894" s="37"/>
      <c r="AY894" s="37"/>
      <c r="AZ894" s="37"/>
    </row>
    <row r="895" spans="1:52">
      <c r="A895" s="37"/>
      <c r="B895" s="37"/>
      <c r="C895" s="37"/>
      <c r="D895" s="37"/>
      <c r="E895" s="37"/>
      <c r="F895" s="37"/>
      <c r="G895" s="37"/>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37"/>
      <c r="AG895" s="37"/>
      <c r="AH895" s="37"/>
      <c r="AI895" s="37"/>
      <c r="AJ895" s="37"/>
      <c r="AK895" s="37"/>
      <c r="AL895" s="37"/>
      <c r="AM895" s="37"/>
      <c r="AN895" s="37"/>
      <c r="AO895" s="37"/>
      <c r="AP895" s="37"/>
      <c r="AQ895" s="37"/>
      <c r="AR895" s="37"/>
      <c r="AS895" s="37"/>
      <c r="AT895" s="37"/>
      <c r="AU895" s="37"/>
      <c r="AV895" s="37"/>
      <c r="AW895" s="37"/>
      <c r="AX895" s="37"/>
      <c r="AY895" s="37"/>
      <c r="AZ895" s="37"/>
    </row>
    <row r="896" spans="1:52">
      <c r="A896" s="37"/>
      <c r="B896" s="37"/>
      <c r="C896" s="37"/>
      <c r="D896" s="37"/>
      <c r="E896" s="37"/>
      <c r="F896" s="37"/>
      <c r="G896" s="37"/>
      <c r="H896" s="37"/>
      <c r="I896" s="37"/>
      <c r="J896" s="37"/>
      <c r="K896" s="37"/>
      <c r="L896" s="37"/>
      <c r="M896" s="37"/>
      <c r="N896" s="37"/>
      <c r="O896" s="37"/>
      <c r="P896" s="37"/>
      <c r="Q896" s="37"/>
      <c r="R896" s="37"/>
      <c r="S896" s="37"/>
      <c r="T896" s="37"/>
      <c r="U896" s="37"/>
      <c r="V896" s="37"/>
      <c r="W896" s="37"/>
      <c r="X896" s="37"/>
      <c r="Y896" s="37"/>
      <c r="Z896" s="37"/>
      <c r="AA896" s="37"/>
      <c r="AB896" s="37"/>
      <c r="AC896" s="37"/>
      <c r="AD896" s="37"/>
      <c r="AE896" s="37"/>
      <c r="AF896" s="37"/>
      <c r="AG896" s="37"/>
      <c r="AH896" s="37"/>
      <c r="AI896" s="37"/>
      <c r="AJ896" s="37"/>
      <c r="AK896" s="37"/>
      <c r="AL896" s="37"/>
      <c r="AM896" s="37"/>
      <c r="AN896" s="37"/>
      <c r="AO896" s="37"/>
      <c r="AP896" s="37"/>
      <c r="AQ896" s="37"/>
      <c r="AR896" s="37"/>
      <c r="AS896" s="37"/>
      <c r="AT896" s="37"/>
      <c r="AU896" s="37"/>
      <c r="AV896" s="37"/>
      <c r="AW896" s="37"/>
      <c r="AX896" s="37"/>
      <c r="AY896" s="37"/>
      <c r="AZ896" s="37"/>
    </row>
    <row r="897" spans="1:52">
      <c r="A897" s="37"/>
      <c r="B897" s="37"/>
      <c r="C897" s="37"/>
      <c r="D897" s="37"/>
      <c r="E897" s="37"/>
      <c r="F897" s="37"/>
      <c r="G897" s="37"/>
      <c r="H897" s="37"/>
      <c r="I897" s="37"/>
      <c r="J897" s="37"/>
      <c r="K897" s="37"/>
      <c r="L897" s="37"/>
      <c r="M897" s="37"/>
      <c r="N897" s="37"/>
      <c r="O897" s="37"/>
      <c r="P897" s="37"/>
      <c r="Q897" s="37"/>
      <c r="R897" s="37"/>
      <c r="S897" s="37"/>
      <c r="T897" s="37"/>
      <c r="U897" s="37"/>
      <c r="V897" s="37"/>
      <c r="W897" s="37"/>
      <c r="X897" s="37"/>
      <c r="Y897" s="37"/>
      <c r="Z897" s="37"/>
      <c r="AA897" s="37"/>
      <c r="AB897" s="37"/>
      <c r="AC897" s="37"/>
      <c r="AD897" s="37"/>
      <c r="AE897" s="37"/>
      <c r="AF897" s="37"/>
      <c r="AG897" s="37"/>
      <c r="AH897" s="37"/>
      <c r="AI897" s="37"/>
      <c r="AJ897" s="37"/>
      <c r="AK897" s="37"/>
      <c r="AL897" s="37"/>
      <c r="AM897" s="37"/>
      <c r="AN897" s="37"/>
      <c r="AO897" s="37"/>
      <c r="AP897" s="37"/>
      <c r="AQ897" s="37"/>
      <c r="AR897" s="37"/>
      <c r="AS897" s="37"/>
      <c r="AT897" s="37"/>
      <c r="AU897" s="37"/>
      <c r="AV897" s="37"/>
      <c r="AW897" s="37"/>
      <c r="AX897" s="37"/>
      <c r="AY897" s="37"/>
      <c r="AZ897" s="37"/>
    </row>
    <row r="898" spans="1:52">
      <c r="A898" s="37"/>
      <c r="B898" s="37"/>
      <c r="C898" s="37"/>
      <c r="D898" s="37"/>
      <c r="E898" s="37"/>
      <c r="F898" s="37"/>
      <c r="G898" s="37"/>
      <c r="H898" s="37"/>
      <c r="I898" s="37"/>
      <c r="J898" s="37"/>
      <c r="K898" s="37"/>
      <c r="L898" s="37"/>
      <c r="M898" s="37"/>
      <c r="N898" s="37"/>
      <c r="O898" s="37"/>
      <c r="P898" s="37"/>
      <c r="Q898" s="37"/>
      <c r="R898" s="37"/>
      <c r="S898" s="37"/>
      <c r="T898" s="37"/>
      <c r="U898" s="37"/>
      <c r="V898" s="37"/>
      <c r="W898" s="37"/>
      <c r="X898" s="37"/>
      <c r="Y898" s="37"/>
      <c r="Z898" s="37"/>
      <c r="AA898" s="37"/>
      <c r="AB898" s="37"/>
      <c r="AC898" s="37"/>
      <c r="AD898" s="37"/>
      <c r="AE898" s="37"/>
      <c r="AF898" s="37"/>
      <c r="AG898" s="37"/>
      <c r="AH898" s="37"/>
      <c r="AI898" s="37"/>
      <c r="AJ898" s="37"/>
      <c r="AK898" s="37"/>
      <c r="AL898" s="37"/>
      <c r="AM898" s="37"/>
      <c r="AN898" s="37"/>
      <c r="AO898" s="37"/>
      <c r="AP898" s="37"/>
      <c r="AQ898" s="37"/>
      <c r="AR898" s="37"/>
      <c r="AS898" s="37"/>
      <c r="AT898" s="37"/>
      <c r="AU898" s="37"/>
      <c r="AV898" s="37"/>
      <c r="AW898" s="37"/>
      <c r="AX898" s="37"/>
      <c r="AY898" s="37"/>
      <c r="AZ898" s="37"/>
    </row>
    <row r="899" spans="1:52">
      <c r="A899" s="37"/>
      <c r="B899" s="37"/>
      <c r="C899" s="37"/>
      <c r="D899" s="37"/>
      <c r="E899" s="37"/>
      <c r="F899" s="37"/>
      <c r="G899" s="37"/>
      <c r="H899" s="37"/>
      <c r="I899" s="37"/>
      <c r="J899" s="37"/>
      <c r="K899" s="37"/>
      <c r="L899" s="37"/>
      <c r="M899" s="37"/>
      <c r="N899" s="37"/>
      <c r="O899" s="37"/>
      <c r="P899" s="37"/>
      <c r="Q899" s="37"/>
      <c r="R899" s="37"/>
      <c r="S899" s="37"/>
      <c r="T899" s="37"/>
      <c r="U899" s="37"/>
      <c r="V899" s="37"/>
      <c r="W899" s="37"/>
      <c r="X899" s="37"/>
      <c r="Y899" s="37"/>
      <c r="Z899" s="37"/>
      <c r="AA899" s="37"/>
      <c r="AB899" s="37"/>
      <c r="AC899" s="37"/>
      <c r="AD899" s="37"/>
      <c r="AE899" s="37"/>
      <c r="AF899" s="37"/>
      <c r="AG899" s="37"/>
      <c r="AH899" s="37"/>
      <c r="AI899" s="37"/>
      <c r="AJ899" s="37"/>
      <c r="AK899" s="37"/>
      <c r="AL899" s="37"/>
      <c r="AM899" s="37"/>
      <c r="AN899" s="37"/>
      <c r="AO899" s="37"/>
      <c r="AP899" s="37"/>
      <c r="AQ899" s="37"/>
      <c r="AR899" s="37"/>
      <c r="AS899" s="37"/>
      <c r="AT899" s="37"/>
      <c r="AU899" s="37"/>
      <c r="AV899" s="37"/>
      <c r="AW899" s="37"/>
      <c r="AX899" s="37"/>
      <c r="AY899" s="37"/>
      <c r="AZ899" s="37"/>
    </row>
    <row r="900" spans="1:52">
      <c r="A900" s="37"/>
      <c r="B900" s="37"/>
      <c r="C900" s="37"/>
      <c r="D900" s="37"/>
      <c r="E900" s="37"/>
      <c r="F900" s="37"/>
      <c r="G900" s="37"/>
      <c r="H900" s="37"/>
      <c r="I900" s="37"/>
      <c r="J900" s="37"/>
      <c r="K900" s="37"/>
      <c r="L900" s="37"/>
      <c r="M900" s="37"/>
      <c r="N900" s="37"/>
      <c r="O900" s="37"/>
      <c r="P900" s="37"/>
      <c r="Q900" s="37"/>
      <c r="R900" s="37"/>
      <c r="S900" s="37"/>
      <c r="T900" s="37"/>
      <c r="U900" s="37"/>
      <c r="V900" s="37"/>
      <c r="W900" s="37"/>
      <c r="X900" s="37"/>
      <c r="Y900" s="37"/>
      <c r="Z900" s="37"/>
      <c r="AA900" s="37"/>
      <c r="AB900" s="37"/>
      <c r="AC900" s="37"/>
      <c r="AD900" s="37"/>
      <c r="AE900" s="37"/>
      <c r="AF900" s="37"/>
      <c r="AG900" s="37"/>
      <c r="AH900" s="37"/>
      <c r="AI900" s="37"/>
      <c r="AJ900" s="37"/>
      <c r="AK900" s="37"/>
      <c r="AL900" s="37"/>
      <c r="AM900" s="37"/>
      <c r="AN900" s="37"/>
      <c r="AO900" s="37"/>
      <c r="AP900" s="37"/>
      <c r="AQ900" s="37"/>
      <c r="AR900" s="37"/>
      <c r="AS900" s="37"/>
      <c r="AT900" s="37"/>
      <c r="AU900" s="37"/>
      <c r="AV900" s="37"/>
      <c r="AW900" s="37"/>
      <c r="AX900" s="37"/>
      <c r="AY900" s="37"/>
      <c r="AZ900" s="37"/>
    </row>
    <row r="901" spans="1:52">
      <c r="A901" s="37"/>
      <c r="B901" s="37"/>
      <c r="C901" s="37"/>
      <c r="D901" s="37"/>
      <c r="E901" s="37"/>
      <c r="F901" s="37"/>
      <c r="G901" s="37"/>
      <c r="H901" s="37"/>
      <c r="I901" s="37"/>
      <c r="J901" s="37"/>
      <c r="K901" s="37"/>
      <c r="L901" s="37"/>
      <c r="M901" s="37"/>
      <c r="N901" s="37"/>
      <c r="O901" s="37"/>
      <c r="P901" s="37"/>
      <c r="Q901" s="37"/>
      <c r="R901" s="37"/>
      <c r="S901" s="37"/>
      <c r="T901" s="37"/>
      <c r="U901" s="37"/>
      <c r="V901" s="37"/>
      <c r="W901" s="37"/>
      <c r="X901" s="37"/>
      <c r="Y901" s="37"/>
      <c r="Z901" s="37"/>
      <c r="AA901" s="37"/>
      <c r="AB901" s="37"/>
      <c r="AC901" s="37"/>
      <c r="AD901" s="37"/>
      <c r="AE901" s="37"/>
      <c r="AF901" s="37"/>
      <c r="AG901" s="37"/>
      <c r="AH901" s="37"/>
      <c r="AI901" s="37"/>
      <c r="AJ901" s="37"/>
      <c r="AK901" s="37"/>
      <c r="AL901" s="37"/>
      <c r="AM901" s="37"/>
      <c r="AN901" s="37"/>
      <c r="AO901" s="37"/>
      <c r="AP901" s="37"/>
      <c r="AQ901" s="37"/>
      <c r="AR901" s="37"/>
      <c r="AS901" s="37"/>
      <c r="AT901" s="37"/>
      <c r="AU901" s="37"/>
      <c r="AV901" s="37"/>
      <c r="AW901" s="37"/>
      <c r="AX901" s="37"/>
      <c r="AY901" s="37"/>
      <c r="AZ901" s="37"/>
    </row>
    <row r="902" spans="1:52">
      <c r="A902" s="37"/>
      <c r="B902" s="37"/>
      <c r="C902" s="37"/>
      <c r="D902" s="37"/>
      <c r="E902" s="37"/>
      <c r="F902" s="37"/>
      <c r="G902" s="37"/>
      <c r="H902" s="37"/>
      <c r="I902" s="37"/>
      <c r="J902" s="37"/>
      <c r="K902" s="37"/>
      <c r="L902" s="37"/>
      <c r="M902" s="37"/>
      <c r="N902" s="37"/>
      <c r="O902" s="37"/>
      <c r="P902" s="37"/>
      <c r="Q902" s="37"/>
      <c r="R902" s="37"/>
      <c r="S902" s="37"/>
      <c r="T902" s="37"/>
      <c r="U902" s="37"/>
      <c r="V902" s="37"/>
      <c r="W902" s="37"/>
      <c r="X902" s="37"/>
      <c r="Y902" s="37"/>
      <c r="Z902" s="37"/>
      <c r="AA902" s="37"/>
      <c r="AB902" s="37"/>
      <c r="AC902" s="37"/>
      <c r="AD902" s="37"/>
      <c r="AE902" s="37"/>
      <c r="AF902" s="37"/>
      <c r="AG902" s="37"/>
      <c r="AH902" s="37"/>
      <c r="AI902" s="37"/>
      <c r="AJ902" s="37"/>
      <c r="AK902" s="37"/>
      <c r="AL902" s="37"/>
      <c r="AM902" s="37"/>
      <c r="AN902" s="37"/>
      <c r="AO902" s="37"/>
      <c r="AP902" s="37"/>
      <c r="AQ902" s="37"/>
      <c r="AR902" s="37"/>
      <c r="AS902" s="37"/>
      <c r="AT902" s="37"/>
      <c r="AU902" s="37"/>
      <c r="AV902" s="37"/>
      <c r="AW902" s="37"/>
      <c r="AX902" s="37"/>
      <c r="AY902" s="37"/>
      <c r="AZ902" s="37"/>
    </row>
    <row r="903" spans="1:52">
      <c r="A903" s="37"/>
      <c r="B903" s="37"/>
      <c r="C903" s="37"/>
      <c r="D903" s="37"/>
      <c r="E903" s="37"/>
      <c r="F903" s="37"/>
      <c r="G903" s="37"/>
      <c r="H903" s="37"/>
      <c r="I903" s="37"/>
      <c r="J903" s="37"/>
      <c r="K903" s="37"/>
      <c r="L903" s="37"/>
      <c r="M903" s="37"/>
      <c r="N903" s="37"/>
      <c r="O903" s="37"/>
      <c r="P903" s="37"/>
      <c r="Q903" s="37"/>
      <c r="R903" s="37"/>
      <c r="S903" s="37"/>
      <c r="T903" s="37"/>
      <c r="U903" s="37"/>
      <c r="V903" s="37"/>
      <c r="W903" s="37"/>
      <c r="X903" s="37"/>
      <c r="Y903" s="37"/>
      <c r="Z903" s="37"/>
      <c r="AA903" s="37"/>
      <c r="AB903" s="37"/>
      <c r="AC903" s="37"/>
      <c r="AD903" s="37"/>
      <c r="AE903" s="37"/>
      <c r="AF903" s="37"/>
      <c r="AG903" s="37"/>
      <c r="AH903" s="37"/>
      <c r="AI903" s="37"/>
      <c r="AJ903" s="37"/>
      <c r="AK903" s="37"/>
      <c r="AL903" s="37"/>
      <c r="AM903" s="37"/>
      <c r="AN903" s="37"/>
      <c r="AO903" s="37"/>
      <c r="AP903" s="37"/>
      <c r="AQ903" s="37"/>
      <c r="AR903" s="37"/>
      <c r="AS903" s="37"/>
      <c r="AT903" s="37"/>
      <c r="AU903" s="37"/>
      <c r="AV903" s="37"/>
      <c r="AW903" s="37"/>
      <c r="AX903" s="37"/>
      <c r="AY903" s="37"/>
      <c r="AZ903" s="37"/>
    </row>
    <row r="904" spans="1:52">
      <c r="A904" s="37"/>
      <c r="B904" s="37"/>
      <c r="C904" s="37"/>
      <c r="D904" s="37"/>
      <c r="E904" s="37"/>
      <c r="F904" s="37"/>
      <c r="G904" s="37"/>
      <c r="H904" s="37"/>
      <c r="I904" s="37"/>
      <c r="J904" s="37"/>
      <c r="K904" s="37"/>
      <c r="L904" s="37"/>
      <c r="M904" s="37"/>
      <c r="N904" s="37"/>
      <c r="O904" s="37"/>
      <c r="P904" s="37"/>
      <c r="Q904" s="37"/>
      <c r="R904" s="37"/>
      <c r="S904" s="37"/>
      <c r="T904" s="37"/>
      <c r="U904" s="37"/>
      <c r="V904" s="37"/>
      <c r="W904" s="37"/>
      <c r="X904" s="37"/>
      <c r="Y904" s="37"/>
      <c r="Z904" s="37"/>
      <c r="AA904" s="37"/>
      <c r="AB904" s="37"/>
      <c r="AC904" s="37"/>
      <c r="AD904" s="37"/>
      <c r="AE904" s="37"/>
      <c r="AF904" s="37"/>
      <c r="AG904" s="37"/>
      <c r="AH904" s="37"/>
      <c r="AI904" s="37"/>
      <c r="AJ904" s="37"/>
      <c r="AK904" s="37"/>
      <c r="AL904" s="37"/>
      <c r="AM904" s="37"/>
      <c r="AN904" s="37"/>
      <c r="AO904" s="37"/>
      <c r="AP904" s="37"/>
      <c r="AQ904" s="37"/>
      <c r="AR904" s="37"/>
      <c r="AS904" s="37"/>
      <c r="AT904" s="37"/>
      <c r="AU904" s="37"/>
      <c r="AV904" s="37"/>
      <c r="AW904" s="37"/>
      <c r="AX904" s="37"/>
      <c r="AY904" s="37"/>
      <c r="AZ904" s="37"/>
    </row>
    <row r="905" spans="1:52">
      <c r="A905" s="37"/>
      <c r="B905" s="37"/>
      <c r="C905" s="37"/>
      <c r="D905" s="37"/>
      <c r="E905" s="37"/>
      <c r="F905" s="37"/>
      <c r="G905" s="37"/>
      <c r="H905" s="37"/>
      <c r="I905" s="37"/>
      <c r="J905" s="37"/>
      <c r="K905" s="37"/>
      <c r="L905" s="37"/>
      <c r="M905" s="37"/>
      <c r="N905" s="37"/>
      <c r="O905" s="37"/>
      <c r="P905" s="37"/>
      <c r="Q905" s="37"/>
      <c r="R905" s="37"/>
      <c r="S905" s="37"/>
      <c r="T905" s="37"/>
      <c r="U905" s="37"/>
      <c r="V905" s="37"/>
      <c r="W905" s="37"/>
      <c r="X905" s="37"/>
      <c r="Y905" s="37"/>
      <c r="Z905" s="37"/>
      <c r="AA905" s="37"/>
      <c r="AB905" s="37"/>
      <c r="AC905" s="37"/>
      <c r="AD905" s="37"/>
      <c r="AE905" s="37"/>
      <c r="AF905" s="37"/>
      <c r="AG905" s="37"/>
      <c r="AH905" s="37"/>
      <c r="AI905" s="37"/>
      <c r="AJ905" s="37"/>
      <c r="AK905" s="37"/>
      <c r="AL905" s="37"/>
      <c r="AM905" s="37"/>
      <c r="AN905" s="37"/>
      <c r="AO905" s="37"/>
      <c r="AP905" s="37"/>
      <c r="AQ905" s="37"/>
      <c r="AR905" s="37"/>
      <c r="AS905" s="37"/>
      <c r="AT905" s="37"/>
      <c r="AU905" s="37"/>
      <c r="AV905" s="37"/>
      <c r="AW905" s="37"/>
      <c r="AX905" s="37"/>
      <c r="AY905" s="37"/>
      <c r="AZ905" s="37"/>
    </row>
    <row r="906" spans="1:52">
      <c r="A906" s="37"/>
      <c r="B906" s="37"/>
      <c r="C906" s="37"/>
      <c r="D906" s="37"/>
      <c r="E906" s="37"/>
      <c r="F906" s="37"/>
      <c r="G906" s="37"/>
      <c r="H906" s="37"/>
      <c r="I906" s="37"/>
      <c r="J906" s="37"/>
      <c r="K906" s="37"/>
      <c r="L906" s="37"/>
      <c r="M906" s="37"/>
      <c r="N906" s="37"/>
      <c r="O906" s="37"/>
      <c r="P906" s="37"/>
      <c r="Q906" s="37"/>
      <c r="R906" s="37"/>
      <c r="S906" s="37"/>
      <c r="T906" s="37"/>
      <c r="U906" s="37"/>
      <c r="V906" s="37"/>
      <c r="W906" s="37"/>
      <c r="X906" s="37"/>
      <c r="Y906" s="37"/>
      <c r="Z906" s="37"/>
      <c r="AA906" s="37"/>
      <c r="AB906" s="37"/>
      <c r="AC906" s="37"/>
      <c r="AD906" s="37"/>
      <c r="AE906" s="37"/>
      <c r="AF906" s="37"/>
      <c r="AG906" s="37"/>
      <c r="AH906" s="37"/>
      <c r="AI906" s="37"/>
      <c r="AJ906" s="37"/>
      <c r="AK906" s="37"/>
      <c r="AL906" s="37"/>
      <c r="AM906" s="37"/>
      <c r="AN906" s="37"/>
      <c r="AO906" s="37"/>
      <c r="AP906" s="37"/>
      <c r="AQ906" s="37"/>
      <c r="AR906" s="37"/>
      <c r="AS906" s="37"/>
      <c r="AT906" s="37"/>
      <c r="AU906" s="37"/>
      <c r="AV906" s="37"/>
      <c r="AW906" s="37"/>
      <c r="AX906" s="37"/>
      <c r="AY906" s="37"/>
      <c r="AZ906" s="37"/>
    </row>
    <row r="907" spans="1:52">
      <c r="A907" s="37"/>
      <c r="B907" s="37"/>
      <c r="C907" s="37"/>
      <c r="D907" s="37"/>
      <c r="E907" s="37"/>
      <c r="F907" s="37"/>
      <c r="G907" s="37"/>
      <c r="H907" s="37"/>
      <c r="I907" s="37"/>
      <c r="J907" s="37"/>
      <c r="K907" s="37"/>
      <c r="L907" s="37"/>
      <c r="M907" s="37"/>
      <c r="N907" s="37"/>
      <c r="O907" s="37"/>
      <c r="P907" s="37"/>
      <c r="Q907" s="37"/>
      <c r="R907" s="37"/>
      <c r="S907" s="37"/>
      <c r="T907" s="37"/>
      <c r="U907" s="37"/>
      <c r="V907" s="37"/>
      <c r="W907" s="37"/>
      <c r="X907" s="37"/>
      <c r="Y907" s="37"/>
      <c r="Z907" s="37"/>
      <c r="AA907" s="37"/>
      <c r="AB907" s="37"/>
      <c r="AC907" s="37"/>
      <c r="AD907" s="37"/>
      <c r="AE907" s="37"/>
      <c r="AF907" s="37"/>
      <c r="AG907" s="37"/>
      <c r="AH907" s="37"/>
      <c r="AI907" s="37"/>
      <c r="AJ907" s="37"/>
      <c r="AK907" s="37"/>
      <c r="AL907" s="37"/>
      <c r="AM907" s="37"/>
      <c r="AN907" s="37"/>
      <c r="AO907" s="37"/>
      <c r="AP907" s="37"/>
      <c r="AQ907" s="37"/>
      <c r="AR907" s="37"/>
      <c r="AS907" s="37"/>
      <c r="AT907" s="37"/>
      <c r="AU907" s="37"/>
      <c r="AV907" s="37"/>
      <c r="AW907" s="37"/>
      <c r="AX907" s="37"/>
      <c r="AY907" s="37"/>
      <c r="AZ907" s="37"/>
    </row>
    <row r="908" spans="1:52">
      <c r="A908" s="37"/>
      <c r="B908" s="37"/>
      <c r="C908" s="37"/>
      <c r="D908" s="37"/>
      <c r="E908" s="37"/>
      <c r="F908" s="37"/>
      <c r="G908" s="37"/>
      <c r="H908" s="37"/>
      <c r="I908" s="37"/>
      <c r="J908" s="37"/>
      <c r="K908" s="37"/>
      <c r="L908" s="37"/>
      <c r="M908" s="37"/>
      <c r="N908" s="37"/>
      <c r="O908" s="37"/>
      <c r="P908" s="37"/>
      <c r="Q908" s="37"/>
      <c r="R908" s="37"/>
      <c r="S908" s="37"/>
      <c r="T908" s="37"/>
      <c r="U908" s="37"/>
      <c r="V908" s="37"/>
      <c r="W908" s="37"/>
      <c r="X908" s="37"/>
      <c r="Y908" s="37"/>
      <c r="Z908" s="37"/>
      <c r="AA908" s="37"/>
      <c r="AB908" s="37"/>
      <c r="AC908" s="37"/>
      <c r="AD908" s="37"/>
      <c r="AE908" s="37"/>
      <c r="AF908" s="37"/>
      <c r="AG908" s="37"/>
      <c r="AH908" s="37"/>
      <c r="AI908" s="37"/>
      <c r="AJ908" s="37"/>
      <c r="AK908" s="37"/>
      <c r="AL908" s="37"/>
      <c r="AM908" s="37"/>
      <c r="AN908" s="37"/>
      <c r="AO908" s="37"/>
      <c r="AP908" s="37"/>
      <c r="AQ908" s="37"/>
      <c r="AR908" s="37"/>
      <c r="AS908" s="37"/>
      <c r="AT908" s="37"/>
      <c r="AU908" s="37"/>
      <c r="AV908" s="37"/>
      <c r="AW908" s="37"/>
      <c r="AX908" s="37"/>
      <c r="AY908" s="37"/>
      <c r="AZ908" s="37"/>
    </row>
    <row r="909" spans="1:52">
      <c r="A909" s="37"/>
      <c r="B909" s="37"/>
      <c r="C909" s="37"/>
      <c r="D909" s="37"/>
      <c r="E909" s="37"/>
      <c r="F909" s="37"/>
      <c r="G909" s="37"/>
      <c r="H909" s="37"/>
      <c r="I909" s="37"/>
      <c r="J909" s="37"/>
      <c r="K909" s="37"/>
      <c r="L909" s="37"/>
      <c r="M909" s="37"/>
      <c r="N909" s="37"/>
      <c r="O909" s="37"/>
      <c r="P909" s="37"/>
      <c r="Q909" s="37"/>
      <c r="R909" s="37"/>
      <c r="S909" s="37"/>
      <c r="T909" s="37"/>
      <c r="U909" s="37"/>
      <c r="V909" s="37"/>
      <c r="W909" s="37"/>
      <c r="X909" s="37"/>
      <c r="Y909" s="37"/>
      <c r="Z909" s="37"/>
      <c r="AA909" s="37"/>
      <c r="AB909" s="37"/>
      <c r="AC909" s="37"/>
      <c r="AD909" s="37"/>
      <c r="AE909" s="37"/>
      <c r="AF909" s="37"/>
      <c r="AG909" s="37"/>
      <c r="AH909" s="37"/>
      <c r="AI909" s="37"/>
      <c r="AJ909" s="37"/>
      <c r="AK909" s="37"/>
      <c r="AL909" s="37"/>
      <c r="AM909" s="37"/>
      <c r="AN909" s="37"/>
      <c r="AO909" s="37"/>
      <c r="AP909" s="37"/>
      <c r="AQ909" s="37"/>
      <c r="AR909" s="37"/>
      <c r="AS909" s="37"/>
      <c r="AT909" s="37"/>
      <c r="AU909" s="37"/>
      <c r="AV909" s="37"/>
      <c r="AW909" s="37"/>
      <c r="AX909" s="37"/>
      <c r="AY909" s="37"/>
      <c r="AZ909" s="37"/>
    </row>
    <row r="910" spans="1:52">
      <c r="A910" s="37"/>
      <c r="B910" s="37"/>
      <c r="C910" s="37"/>
      <c r="D910" s="37"/>
      <c r="E910" s="37"/>
      <c r="F910" s="37"/>
      <c r="G910" s="37"/>
      <c r="H910" s="37"/>
      <c r="I910" s="37"/>
      <c r="J910" s="37"/>
      <c r="K910" s="37"/>
      <c r="L910" s="37"/>
      <c r="M910" s="37"/>
      <c r="N910" s="37"/>
      <c r="O910" s="37"/>
      <c r="P910" s="37"/>
      <c r="Q910" s="37"/>
      <c r="R910" s="37"/>
      <c r="S910" s="37"/>
      <c r="T910" s="37"/>
      <c r="U910" s="37"/>
      <c r="V910" s="37"/>
      <c r="W910" s="37"/>
      <c r="X910" s="37"/>
      <c r="Y910" s="37"/>
      <c r="Z910" s="37"/>
      <c r="AA910" s="37"/>
      <c r="AB910" s="37"/>
      <c r="AC910" s="37"/>
      <c r="AD910" s="37"/>
      <c r="AE910" s="37"/>
      <c r="AF910" s="37"/>
      <c r="AG910" s="37"/>
      <c r="AH910" s="37"/>
      <c r="AI910" s="37"/>
      <c r="AJ910" s="37"/>
      <c r="AK910" s="37"/>
      <c r="AL910" s="37"/>
      <c r="AM910" s="37"/>
      <c r="AN910" s="37"/>
      <c r="AO910" s="37"/>
      <c r="AP910" s="37"/>
      <c r="AQ910" s="37"/>
      <c r="AR910" s="37"/>
      <c r="AS910" s="37"/>
      <c r="AT910" s="37"/>
      <c r="AU910" s="37"/>
      <c r="AV910" s="37"/>
      <c r="AW910" s="37"/>
      <c r="AX910" s="37"/>
      <c r="AY910" s="37"/>
      <c r="AZ910" s="37"/>
    </row>
    <row r="911" spans="1:52">
      <c r="A911" s="37"/>
      <c r="B911" s="37"/>
      <c r="C911" s="37"/>
      <c r="D911" s="37"/>
      <c r="E911" s="37"/>
      <c r="F911" s="37"/>
      <c r="G911" s="37"/>
      <c r="H911" s="37"/>
      <c r="I911" s="37"/>
      <c r="J911" s="37"/>
      <c r="K911" s="37"/>
      <c r="L911" s="37"/>
      <c r="M911" s="37"/>
      <c r="N911" s="37"/>
      <c r="O911" s="37"/>
      <c r="P911" s="37"/>
      <c r="Q911" s="37"/>
      <c r="R911" s="37"/>
      <c r="S911" s="37"/>
      <c r="T911" s="37"/>
      <c r="U911" s="37"/>
      <c r="V911" s="37"/>
      <c r="W911" s="37"/>
      <c r="X911" s="37"/>
      <c r="Y911" s="37"/>
      <c r="Z911" s="37"/>
      <c r="AA911" s="37"/>
      <c r="AB911" s="37"/>
      <c r="AC911" s="37"/>
      <c r="AD911" s="37"/>
      <c r="AE911" s="37"/>
      <c r="AF911" s="37"/>
      <c r="AG911" s="37"/>
      <c r="AH911" s="37"/>
      <c r="AI911" s="37"/>
      <c r="AJ911" s="37"/>
      <c r="AK911" s="37"/>
      <c r="AL911" s="37"/>
      <c r="AM911" s="37"/>
      <c r="AN911" s="37"/>
      <c r="AO911" s="37"/>
      <c r="AP911" s="37"/>
      <c r="AQ911" s="37"/>
      <c r="AR911" s="37"/>
      <c r="AS911" s="37"/>
      <c r="AT911" s="37"/>
      <c r="AU911" s="37"/>
      <c r="AV911" s="37"/>
      <c r="AW911" s="37"/>
      <c r="AX911" s="37"/>
      <c r="AY911" s="37"/>
      <c r="AZ911" s="37"/>
    </row>
    <row r="912" spans="1:52">
      <c r="A912" s="37"/>
      <c r="B912" s="37"/>
      <c r="C912" s="37"/>
      <c r="D912" s="37"/>
      <c r="E912" s="37"/>
      <c r="F912" s="37"/>
      <c r="G912" s="37"/>
      <c r="H912" s="37"/>
      <c r="I912" s="37"/>
      <c r="J912" s="37"/>
      <c r="K912" s="37"/>
      <c r="L912" s="37"/>
      <c r="M912" s="37"/>
      <c r="N912" s="37"/>
      <c r="O912" s="37"/>
      <c r="P912" s="37"/>
      <c r="Q912" s="37"/>
      <c r="R912" s="37"/>
      <c r="S912" s="37"/>
      <c r="T912" s="37"/>
      <c r="U912" s="37"/>
      <c r="V912" s="37"/>
      <c r="W912" s="37"/>
      <c r="X912" s="37"/>
      <c r="Y912" s="37"/>
      <c r="Z912" s="37"/>
      <c r="AA912" s="37"/>
      <c r="AB912" s="37"/>
      <c r="AC912" s="37"/>
      <c r="AD912" s="37"/>
      <c r="AE912" s="37"/>
      <c r="AF912" s="37"/>
      <c r="AG912" s="37"/>
      <c r="AH912" s="37"/>
      <c r="AI912" s="37"/>
      <c r="AJ912" s="37"/>
      <c r="AK912" s="37"/>
      <c r="AL912" s="37"/>
      <c r="AM912" s="37"/>
      <c r="AN912" s="37"/>
      <c r="AO912" s="37"/>
      <c r="AP912" s="37"/>
      <c r="AQ912" s="37"/>
      <c r="AR912" s="37"/>
      <c r="AS912" s="37"/>
      <c r="AT912" s="37"/>
      <c r="AU912" s="37"/>
      <c r="AV912" s="37"/>
      <c r="AW912" s="37"/>
      <c r="AX912" s="37"/>
      <c r="AY912" s="37"/>
      <c r="AZ912" s="37"/>
    </row>
    <row r="913" spans="1:52">
      <c r="A913" s="37"/>
      <c r="B913" s="37"/>
      <c r="C913" s="37"/>
      <c r="D913" s="37"/>
      <c r="E913" s="37"/>
      <c r="F913" s="37"/>
      <c r="G913" s="37"/>
      <c r="H913" s="37"/>
      <c r="I913" s="37"/>
      <c r="J913" s="37"/>
      <c r="K913" s="37"/>
      <c r="L913" s="37"/>
      <c r="M913" s="37"/>
      <c r="N913" s="37"/>
      <c r="O913" s="37"/>
      <c r="P913" s="37"/>
      <c r="Q913" s="37"/>
      <c r="R913" s="37"/>
      <c r="S913" s="37"/>
      <c r="T913" s="37"/>
      <c r="U913" s="37"/>
      <c r="V913" s="37"/>
      <c r="W913" s="37"/>
      <c r="X913" s="37"/>
      <c r="Y913" s="37"/>
      <c r="Z913" s="37"/>
      <c r="AA913" s="37"/>
      <c r="AB913" s="37"/>
      <c r="AC913" s="37"/>
      <c r="AD913" s="37"/>
      <c r="AE913" s="37"/>
      <c r="AF913" s="37"/>
      <c r="AG913" s="37"/>
      <c r="AH913" s="37"/>
      <c r="AI913" s="37"/>
      <c r="AJ913" s="37"/>
      <c r="AK913" s="37"/>
      <c r="AL913" s="37"/>
      <c r="AM913" s="37"/>
      <c r="AN913" s="37"/>
      <c r="AO913" s="37"/>
      <c r="AP913" s="37"/>
      <c r="AQ913" s="37"/>
      <c r="AR913" s="37"/>
      <c r="AS913" s="37"/>
      <c r="AT913" s="37"/>
      <c r="AU913" s="37"/>
      <c r="AV913" s="37"/>
      <c r="AW913" s="37"/>
      <c r="AX913" s="37"/>
      <c r="AY913" s="37"/>
      <c r="AZ913" s="37"/>
    </row>
    <row r="914" spans="1:52">
      <c r="A914" s="37"/>
      <c r="B914" s="37"/>
      <c r="C914" s="37"/>
      <c r="D914" s="37"/>
      <c r="E914" s="37"/>
      <c r="F914" s="37"/>
      <c r="G914" s="37"/>
      <c r="H914" s="37"/>
      <c r="I914" s="37"/>
      <c r="J914" s="37"/>
      <c r="K914" s="37"/>
      <c r="L914" s="37"/>
      <c r="M914" s="37"/>
      <c r="N914" s="37"/>
      <c r="O914" s="37"/>
      <c r="P914" s="37"/>
      <c r="Q914" s="37"/>
      <c r="R914" s="37"/>
      <c r="S914" s="37"/>
      <c r="T914" s="37"/>
      <c r="U914" s="37"/>
      <c r="V914" s="37"/>
      <c r="W914" s="37"/>
      <c r="X914" s="37"/>
      <c r="Y914" s="37"/>
      <c r="Z914" s="37"/>
      <c r="AA914" s="37"/>
      <c r="AB914" s="37"/>
      <c r="AC914" s="37"/>
      <c r="AD914" s="37"/>
      <c r="AE914" s="37"/>
      <c r="AF914" s="37"/>
      <c r="AG914" s="37"/>
      <c r="AH914" s="37"/>
      <c r="AI914" s="37"/>
      <c r="AJ914" s="37"/>
      <c r="AK914" s="37"/>
      <c r="AL914" s="37"/>
      <c r="AM914" s="37"/>
      <c r="AN914" s="37"/>
      <c r="AO914" s="37"/>
      <c r="AP914" s="37"/>
      <c r="AQ914" s="37"/>
      <c r="AR914" s="37"/>
      <c r="AS914" s="37"/>
      <c r="AT914" s="37"/>
      <c r="AU914" s="37"/>
      <c r="AV914" s="37"/>
      <c r="AW914" s="37"/>
      <c r="AX914" s="37"/>
      <c r="AY914" s="37"/>
      <c r="AZ914" s="37"/>
    </row>
    <row r="915" spans="1:52">
      <c r="A915" s="37"/>
      <c r="B915" s="37"/>
      <c r="C915" s="37"/>
      <c r="D915" s="37"/>
      <c r="E915" s="37"/>
      <c r="F915" s="37"/>
      <c r="G915" s="37"/>
      <c r="H915" s="37"/>
      <c r="I915" s="37"/>
      <c r="J915" s="37"/>
      <c r="K915" s="37"/>
      <c r="L915" s="37"/>
      <c r="M915" s="37"/>
      <c r="N915" s="37"/>
      <c r="O915" s="37"/>
      <c r="P915" s="37"/>
      <c r="Q915" s="37"/>
      <c r="R915" s="37"/>
      <c r="S915" s="37"/>
      <c r="T915" s="37"/>
      <c r="U915" s="37"/>
      <c r="V915" s="37"/>
      <c r="W915" s="37"/>
      <c r="X915" s="37"/>
      <c r="Y915" s="37"/>
      <c r="Z915" s="37"/>
      <c r="AA915" s="37"/>
      <c r="AB915" s="37"/>
      <c r="AC915" s="37"/>
      <c r="AD915" s="37"/>
      <c r="AE915" s="37"/>
      <c r="AF915" s="37"/>
      <c r="AG915" s="37"/>
      <c r="AH915" s="37"/>
      <c r="AI915" s="37"/>
      <c r="AJ915" s="37"/>
      <c r="AK915" s="37"/>
      <c r="AL915" s="37"/>
      <c r="AM915" s="37"/>
      <c r="AN915" s="37"/>
      <c r="AO915" s="37"/>
      <c r="AP915" s="37"/>
      <c r="AQ915" s="37"/>
      <c r="AR915" s="37"/>
      <c r="AS915" s="37"/>
      <c r="AT915" s="37"/>
      <c r="AU915" s="37"/>
      <c r="AV915" s="37"/>
      <c r="AW915" s="37"/>
      <c r="AX915" s="37"/>
      <c r="AY915" s="37"/>
      <c r="AZ915" s="37"/>
    </row>
    <row r="916" spans="1:52">
      <c r="A916" s="37"/>
      <c r="B916" s="37"/>
      <c r="C916" s="37"/>
      <c r="D916" s="37"/>
      <c r="E916" s="37"/>
      <c r="F916" s="37"/>
      <c r="G916" s="37"/>
      <c r="H916" s="37"/>
      <c r="I916" s="37"/>
      <c r="J916" s="37"/>
      <c r="K916" s="37"/>
      <c r="L916" s="37"/>
      <c r="M916" s="37"/>
      <c r="N916" s="37"/>
      <c r="O916" s="37"/>
      <c r="P916" s="37"/>
      <c r="Q916" s="37"/>
      <c r="R916" s="37"/>
      <c r="S916" s="37"/>
      <c r="T916" s="37"/>
      <c r="U916" s="37"/>
      <c r="V916" s="37"/>
      <c r="W916" s="37"/>
      <c r="X916" s="37"/>
      <c r="Y916" s="37"/>
      <c r="Z916" s="37"/>
      <c r="AA916" s="37"/>
      <c r="AB916" s="37"/>
      <c r="AC916" s="37"/>
      <c r="AD916" s="37"/>
      <c r="AE916" s="37"/>
      <c r="AF916" s="37"/>
      <c r="AG916" s="37"/>
      <c r="AH916" s="37"/>
      <c r="AI916" s="37"/>
      <c r="AJ916" s="37"/>
      <c r="AK916" s="37"/>
      <c r="AL916" s="37"/>
      <c r="AM916" s="37"/>
      <c r="AN916" s="37"/>
      <c r="AO916" s="37"/>
      <c r="AP916" s="37"/>
      <c r="AQ916" s="37"/>
      <c r="AR916" s="37"/>
      <c r="AS916" s="37"/>
      <c r="AT916" s="37"/>
      <c r="AU916" s="37"/>
      <c r="AV916" s="37"/>
      <c r="AW916" s="37"/>
      <c r="AX916" s="37"/>
      <c r="AY916" s="37"/>
      <c r="AZ916" s="37"/>
    </row>
    <row r="917" spans="1:52">
      <c r="A917" s="37"/>
      <c r="B917" s="37"/>
      <c r="C917" s="37"/>
      <c r="D917" s="37"/>
      <c r="E917" s="37"/>
      <c r="F917" s="37"/>
      <c r="G917" s="37"/>
      <c r="H917" s="37"/>
      <c r="I917" s="37"/>
      <c r="J917" s="37"/>
      <c r="K917" s="37"/>
      <c r="L917" s="37"/>
      <c r="M917" s="37"/>
      <c r="N917" s="37"/>
      <c r="O917" s="37"/>
      <c r="P917" s="37"/>
      <c r="Q917" s="37"/>
      <c r="R917" s="37"/>
      <c r="S917" s="37"/>
      <c r="T917" s="37"/>
      <c r="U917" s="37"/>
      <c r="V917" s="37"/>
      <c r="W917" s="37"/>
      <c r="X917" s="37"/>
      <c r="Y917" s="37"/>
      <c r="Z917" s="37"/>
      <c r="AA917" s="37"/>
      <c r="AB917" s="37"/>
      <c r="AC917" s="37"/>
      <c r="AD917" s="37"/>
      <c r="AE917" s="37"/>
      <c r="AF917" s="37"/>
      <c r="AG917" s="37"/>
      <c r="AH917" s="37"/>
      <c r="AI917" s="37"/>
      <c r="AJ917" s="37"/>
      <c r="AK917" s="37"/>
      <c r="AL917" s="37"/>
      <c r="AM917" s="37"/>
      <c r="AN917" s="37"/>
      <c r="AO917" s="37"/>
      <c r="AP917" s="37"/>
      <c r="AQ917" s="37"/>
      <c r="AR917" s="37"/>
      <c r="AS917" s="37"/>
      <c r="AT917" s="37"/>
      <c r="AU917" s="37"/>
      <c r="AV917" s="37"/>
      <c r="AW917" s="37"/>
      <c r="AX917" s="37"/>
      <c r="AY917" s="37"/>
      <c r="AZ917" s="37"/>
    </row>
    <row r="918" spans="1:52">
      <c r="A918" s="37"/>
      <c r="B918" s="37"/>
      <c r="C918" s="37"/>
      <c r="D918" s="37"/>
      <c r="E918" s="37"/>
      <c r="F918" s="37"/>
      <c r="G918" s="37"/>
      <c r="H918" s="37"/>
      <c r="I918" s="37"/>
      <c r="J918" s="37"/>
      <c r="K918" s="37"/>
      <c r="L918" s="37"/>
      <c r="M918" s="37"/>
      <c r="N918" s="37"/>
      <c r="O918" s="37"/>
      <c r="P918" s="37"/>
      <c r="Q918" s="37"/>
      <c r="R918" s="37"/>
      <c r="S918" s="37"/>
      <c r="T918" s="37"/>
      <c r="U918" s="37"/>
      <c r="V918" s="37"/>
      <c r="W918" s="37"/>
      <c r="X918" s="37"/>
      <c r="Y918" s="37"/>
      <c r="Z918" s="37"/>
      <c r="AA918" s="37"/>
      <c r="AB918" s="37"/>
      <c r="AC918" s="37"/>
      <c r="AD918" s="37"/>
      <c r="AE918" s="37"/>
      <c r="AF918" s="37"/>
      <c r="AG918" s="37"/>
      <c r="AH918" s="37"/>
      <c r="AI918" s="37"/>
      <c r="AJ918" s="37"/>
      <c r="AK918" s="37"/>
      <c r="AL918" s="37"/>
      <c r="AM918" s="37"/>
      <c r="AN918" s="37"/>
      <c r="AO918" s="37"/>
      <c r="AP918" s="37"/>
      <c r="AQ918" s="37"/>
      <c r="AR918" s="37"/>
      <c r="AS918" s="37"/>
      <c r="AT918" s="37"/>
      <c r="AU918" s="37"/>
      <c r="AV918" s="37"/>
      <c r="AW918" s="37"/>
      <c r="AX918" s="37"/>
      <c r="AY918" s="37"/>
      <c r="AZ918" s="37"/>
    </row>
    <row r="919" spans="1:52">
      <c r="A919" s="37"/>
      <c r="B919" s="37"/>
      <c r="C919" s="37"/>
      <c r="D919" s="37"/>
      <c r="E919" s="37"/>
      <c r="F919" s="37"/>
      <c r="G919" s="37"/>
      <c r="H919" s="37"/>
      <c r="I919" s="37"/>
      <c r="J919" s="37"/>
      <c r="K919" s="37"/>
      <c r="L919" s="37"/>
      <c r="M919" s="37"/>
      <c r="N919" s="37"/>
      <c r="O919" s="37"/>
      <c r="P919" s="37"/>
      <c r="Q919" s="37"/>
      <c r="R919" s="37"/>
      <c r="S919" s="37"/>
      <c r="T919" s="37"/>
      <c r="U919" s="37"/>
      <c r="V919" s="37"/>
      <c r="W919" s="37"/>
      <c r="X919" s="37"/>
      <c r="Y919" s="37"/>
      <c r="Z919" s="37"/>
      <c r="AA919" s="37"/>
      <c r="AB919" s="37"/>
      <c r="AC919" s="37"/>
      <c r="AD919" s="37"/>
      <c r="AE919" s="37"/>
      <c r="AF919" s="37"/>
      <c r="AG919" s="37"/>
      <c r="AH919" s="37"/>
      <c r="AI919" s="37"/>
      <c r="AJ919" s="37"/>
      <c r="AK919" s="37"/>
      <c r="AL919" s="37"/>
      <c r="AM919" s="37"/>
      <c r="AN919" s="37"/>
      <c r="AO919" s="37"/>
      <c r="AP919" s="37"/>
      <c r="AQ919" s="37"/>
      <c r="AR919" s="37"/>
      <c r="AS919" s="37"/>
      <c r="AT919" s="37"/>
      <c r="AU919" s="37"/>
      <c r="AV919" s="37"/>
      <c r="AW919" s="37"/>
      <c r="AX919" s="37"/>
      <c r="AY919" s="37"/>
      <c r="AZ919" s="37"/>
    </row>
    <row r="920" spans="1:52">
      <c r="A920" s="37"/>
      <c r="B920" s="37"/>
      <c r="C920" s="37"/>
      <c r="D920" s="37"/>
      <c r="E920" s="37"/>
      <c r="F920" s="37"/>
      <c r="G920" s="37"/>
      <c r="H920" s="37"/>
      <c r="I920" s="37"/>
      <c r="J920" s="37"/>
      <c r="K920" s="37"/>
      <c r="L920" s="37"/>
      <c r="M920" s="37"/>
      <c r="N920" s="37"/>
      <c r="O920" s="37"/>
      <c r="P920" s="37"/>
      <c r="Q920" s="37"/>
      <c r="R920" s="37"/>
      <c r="S920" s="37"/>
      <c r="T920" s="37"/>
      <c r="U920" s="37"/>
      <c r="V920" s="37"/>
      <c r="W920" s="37"/>
      <c r="X920" s="37"/>
      <c r="Y920" s="37"/>
      <c r="Z920" s="37"/>
      <c r="AA920" s="37"/>
      <c r="AB920" s="37"/>
      <c r="AC920" s="37"/>
      <c r="AD920" s="37"/>
      <c r="AE920" s="37"/>
      <c r="AF920" s="37"/>
      <c r="AG920" s="37"/>
      <c r="AH920" s="37"/>
      <c r="AI920" s="37"/>
      <c r="AJ920" s="37"/>
      <c r="AK920" s="37"/>
      <c r="AL920" s="37"/>
      <c r="AM920" s="37"/>
      <c r="AN920" s="37"/>
      <c r="AO920" s="37"/>
      <c r="AP920" s="37"/>
      <c r="AQ920" s="37"/>
      <c r="AR920" s="37"/>
      <c r="AS920" s="37"/>
      <c r="AT920" s="37"/>
      <c r="AU920" s="37"/>
      <c r="AV920" s="37"/>
      <c r="AW920" s="37"/>
      <c r="AX920" s="37"/>
      <c r="AY920" s="37"/>
      <c r="AZ920" s="37"/>
    </row>
    <row r="921" spans="1:52">
      <c r="A921" s="37"/>
      <c r="B921" s="37"/>
      <c r="C921" s="37"/>
      <c r="D921" s="37"/>
      <c r="E921" s="37"/>
      <c r="F921" s="37"/>
      <c r="G921" s="37"/>
      <c r="H921" s="37"/>
      <c r="I921" s="37"/>
      <c r="J921" s="37"/>
      <c r="K921" s="37"/>
      <c r="L921" s="37"/>
      <c r="M921" s="37"/>
      <c r="N921" s="37"/>
      <c r="O921" s="37"/>
      <c r="P921" s="37"/>
      <c r="Q921" s="37"/>
      <c r="R921" s="37"/>
      <c r="S921" s="37"/>
      <c r="T921" s="37"/>
      <c r="U921" s="37"/>
      <c r="V921" s="37"/>
      <c r="W921" s="37"/>
      <c r="X921" s="37"/>
      <c r="Y921" s="37"/>
      <c r="Z921" s="37"/>
      <c r="AA921" s="37"/>
      <c r="AB921" s="37"/>
      <c r="AC921" s="37"/>
      <c r="AD921" s="37"/>
      <c r="AE921" s="37"/>
      <c r="AF921" s="37"/>
      <c r="AG921" s="37"/>
      <c r="AH921" s="37"/>
      <c r="AI921" s="37"/>
      <c r="AJ921" s="37"/>
      <c r="AK921" s="37"/>
      <c r="AL921" s="37"/>
      <c r="AM921" s="37"/>
      <c r="AN921" s="37"/>
      <c r="AO921" s="37"/>
      <c r="AP921" s="37"/>
      <c r="AQ921" s="37"/>
      <c r="AR921" s="37"/>
      <c r="AS921" s="37"/>
      <c r="AT921" s="37"/>
      <c r="AU921" s="37"/>
      <c r="AV921" s="37"/>
      <c r="AW921" s="37"/>
      <c r="AX921" s="37"/>
      <c r="AY921" s="37"/>
      <c r="AZ921" s="37"/>
    </row>
    <row r="922" spans="1:52">
      <c r="A922" s="37"/>
      <c r="B922" s="37"/>
      <c r="C922" s="37"/>
      <c r="D922" s="37"/>
      <c r="E922" s="37"/>
      <c r="F922" s="37"/>
      <c r="G922" s="37"/>
      <c r="H922" s="37"/>
      <c r="I922" s="37"/>
      <c r="J922" s="37"/>
      <c r="K922" s="37"/>
      <c r="L922" s="37"/>
      <c r="M922" s="37"/>
      <c r="N922" s="37"/>
      <c r="O922" s="37"/>
      <c r="P922" s="37"/>
      <c r="Q922" s="37"/>
      <c r="R922" s="37"/>
      <c r="S922" s="37"/>
      <c r="T922" s="37"/>
      <c r="U922" s="37"/>
      <c r="V922" s="37"/>
      <c r="W922" s="37"/>
      <c r="X922" s="37"/>
      <c r="Y922" s="37"/>
      <c r="Z922" s="37"/>
      <c r="AA922" s="37"/>
      <c r="AB922" s="37"/>
      <c r="AC922" s="37"/>
      <c r="AD922" s="37"/>
      <c r="AE922" s="37"/>
      <c r="AF922" s="37"/>
      <c r="AG922" s="37"/>
      <c r="AH922" s="37"/>
      <c r="AI922" s="37"/>
      <c r="AJ922" s="37"/>
      <c r="AK922" s="37"/>
      <c r="AL922" s="37"/>
      <c r="AM922" s="37"/>
      <c r="AN922" s="37"/>
      <c r="AO922" s="37"/>
      <c r="AP922" s="37"/>
      <c r="AQ922" s="37"/>
      <c r="AR922" s="37"/>
      <c r="AS922" s="37"/>
      <c r="AT922" s="37"/>
      <c r="AU922" s="37"/>
      <c r="AV922" s="37"/>
      <c r="AW922" s="37"/>
      <c r="AX922" s="37"/>
      <c r="AY922" s="37"/>
      <c r="AZ922" s="37"/>
    </row>
    <row r="923" spans="1:52">
      <c r="A923" s="37"/>
      <c r="B923" s="37"/>
      <c r="C923" s="37"/>
      <c r="D923" s="37"/>
      <c r="E923" s="37"/>
      <c r="F923" s="37"/>
      <c r="G923" s="37"/>
      <c r="H923" s="37"/>
      <c r="I923" s="37"/>
      <c r="J923" s="37"/>
      <c r="K923" s="37"/>
      <c r="L923" s="37"/>
      <c r="M923" s="37"/>
      <c r="N923" s="37"/>
      <c r="O923" s="37"/>
      <c r="P923" s="37"/>
      <c r="Q923" s="37"/>
      <c r="R923" s="37"/>
      <c r="S923" s="37"/>
      <c r="T923" s="37"/>
      <c r="U923" s="37"/>
      <c r="V923" s="37"/>
      <c r="W923" s="37"/>
      <c r="X923" s="37"/>
      <c r="Y923" s="37"/>
      <c r="Z923" s="37"/>
      <c r="AA923" s="37"/>
      <c r="AB923" s="37"/>
      <c r="AC923" s="37"/>
      <c r="AD923" s="37"/>
      <c r="AE923" s="37"/>
      <c r="AF923" s="37"/>
      <c r="AG923" s="37"/>
      <c r="AH923" s="37"/>
      <c r="AI923" s="37"/>
      <c r="AJ923" s="37"/>
      <c r="AK923" s="37"/>
      <c r="AL923" s="37"/>
      <c r="AM923" s="37"/>
      <c r="AN923" s="37"/>
      <c r="AO923" s="37"/>
      <c r="AP923" s="37"/>
      <c r="AQ923" s="37"/>
      <c r="AR923" s="37"/>
      <c r="AS923" s="37"/>
      <c r="AT923" s="37"/>
      <c r="AU923" s="37"/>
      <c r="AV923" s="37"/>
      <c r="AW923" s="37"/>
      <c r="AX923" s="37"/>
      <c r="AY923" s="37"/>
      <c r="AZ923" s="37"/>
    </row>
    <row r="924" spans="1:52">
      <c r="A924" s="37"/>
      <c r="B924" s="37"/>
      <c r="C924" s="37"/>
      <c r="D924" s="37"/>
      <c r="E924" s="37"/>
      <c r="F924" s="37"/>
      <c r="G924" s="37"/>
      <c r="H924" s="37"/>
      <c r="I924" s="37"/>
      <c r="J924" s="37"/>
      <c r="K924" s="37"/>
      <c r="L924" s="37"/>
      <c r="M924" s="37"/>
      <c r="N924" s="37"/>
      <c r="O924" s="37"/>
      <c r="P924" s="37"/>
      <c r="Q924" s="37"/>
      <c r="R924" s="37"/>
      <c r="S924" s="37"/>
      <c r="T924" s="37"/>
      <c r="U924" s="37"/>
      <c r="V924" s="37"/>
      <c r="W924" s="37"/>
      <c r="X924" s="37"/>
      <c r="Y924" s="37"/>
      <c r="Z924" s="37"/>
      <c r="AA924" s="37"/>
      <c r="AB924" s="37"/>
      <c r="AC924" s="37"/>
      <c r="AD924" s="37"/>
      <c r="AE924" s="37"/>
      <c r="AF924" s="37"/>
      <c r="AG924" s="37"/>
      <c r="AH924" s="37"/>
      <c r="AI924" s="37"/>
      <c r="AJ924" s="37"/>
      <c r="AK924" s="37"/>
      <c r="AL924" s="37"/>
      <c r="AM924" s="37"/>
      <c r="AN924" s="37"/>
      <c r="AO924" s="37"/>
      <c r="AP924" s="37"/>
      <c r="AQ924" s="37"/>
      <c r="AR924" s="37"/>
      <c r="AS924" s="37"/>
      <c r="AT924" s="37"/>
      <c r="AU924" s="37"/>
      <c r="AV924" s="37"/>
      <c r="AW924" s="37"/>
      <c r="AX924" s="37"/>
      <c r="AY924" s="37"/>
      <c r="AZ924" s="37"/>
    </row>
    <row r="925" spans="1:52">
      <c r="A925" s="37"/>
      <c r="B925" s="37"/>
      <c r="C925" s="37"/>
      <c r="D925" s="37"/>
      <c r="E925" s="37"/>
      <c r="F925" s="37"/>
      <c r="G925" s="37"/>
      <c r="H925" s="37"/>
      <c r="I925" s="37"/>
      <c r="J925" s="37"/>
      <c r="K925" s="37"/>
      <c r="L925" s="37"/>
      <c r="M925" s="37"/>
      <c r="N925" s="37"/>
      <c r="O925" s="37"/>
      <c r="P925" s="37"/>
      <c r="Q925" s="37"/>
      <c r="R925" s="37"/>
      <c r="S925" s="37"/>
      <c r="T925" s="37"/>
      <c r="U925" s="37"/>
      <c r="V925" s="37"/>
      <c r="W925" s="37"/>
      <c r="X925" s="37"/>
      <c r="Y925" s="37"/>
      <c r="Z925" s="37"/>
      <c r="AA925" s="37"/>
      <c r="AB925" s="37"/>
      <c r="AC925" s="37"/>
      <c r="AD925" s="37"/>
      <c r="AE925" s="37"/>
      <c r="AF925" s="37"/>
      <c r="AG925" s="37"/>
      <c r="AH925" s="37"/>
      <c r="AI925" s="37"/>
      <c r="AJ925" s="37"/>
      <c r="AK925" s="37"/>
      <c r="AL925" s="37"/>
      <c r="AM925" s="37"/>
      <c r="AN925" s="37"/>
      <c r="AO925" s="37"/>
      <c r="AP925" s="37"/>
      <c r="AQ925" s="37"/>
      <c r="AR925" s="37"/>
      <c r="AS925" s="37"/>
      <c r="AT925" s="37"/>
      <c r="AU925" s="37"/>
      <c r="AV925" s="37"/>
      <c r="AW925" s="37"/>
      <c r="AX925" s="37"/>
      <c r="AY925" s="37"/>
      <c r="AZ925" s="37"/>
    </row>
    <row r="926" spans="1:52">
      <c r="A926" s="37"/>
      <c r="B926" s="37"/>
      <c r="C926" s="37"/>
      <c r="D926" s="37"/>
      <c r="E926" s="37"/>
      <c r="F926" s="37"/>
      <c r="G926" s="37"/>
      <c r="H926" s="37"/>
      <c r="I926" s="37"/>
      <c r="J926" s="37"/>
      <c r="K926" s="37"/>
      <c r="L926" s="37"/>
      <c r="M926" s="37"/>
      <c r="N926" s="37"/>
      <c r="O926" s="37"/>
      <c r="P926" s="37"/>
      <c r="Q926" s="37"/>
      <c r="R926" s="37"/>
      <c r="S926" s="37"/>
      <c r="T926" s="37"/>
      <c r="U926" s="37"/>
      <c r="V926" s="37"/>
      <c r="W926" s="37"/>
      <c r="X926" s="37"/>
      <c r="Y926" s="37"/>
      <c r="Z926" s="37"/>
      <c r="AA926" s="37"/>
      <c r="AB926" s="37"/>
      <c r="AC926" s="37"/>
      <c r="AD926" s="37"/>
      <c r="AE926" s="37"/>
      <c r="AF926" s="37"/>
      <c r="AG926" s="37"/>
      <c r="AH926" s="37"/>
      <c r="AI926" s="37"/>
      <c r="AJ926" s="37"/>
      <c r="AK926" s="37"/>
      <c r="AL926" s="37"/>
      <c r="AM926" s="37"/>
      <c r="AN926" s="37"/>
      <c r="AO926" s="37"/>
      <c r="AP926" s="37"/>
      <c r="AQ926" s="37"/>
      <c r="AR926" s="37"/>
      <c r="AS926" s="37"/>
      <c r="AT926" s="37"/>
      <c r="AU926" s="37"/>
      <c r="AV926" s="37"/>
      <c r="AW926" s="37"/>
      <c r="AX926" s="37"/>
      <c r="AY926" s="37"/>
      <c r="AZ926" s="37"/>
    </row>
    <row r="927" spans="1:52">
      <c r="A927" s="37"/>
      <c r="B927" s="37"/>
      <c r="C927" s="37"/>
      <c r="D927" s="37"/>
      <c r="E927" s="37"/>
      <c r="F927" s="37"/>
      <c r="G927" s="37"/>
      <c r="H927" s="37"/>
      <c r="I927" s="37"/>
      <c r="J927" s="37"/>
      <c r="K927" s="37"/>
      <c r="L927" s="37"/>
      <c r="M927" s="37"/>
      <c r="N927" s="37"/>
      <c r="O927" s="37"/>
      <c r="P927" s="37"/>
      <c r="Q927" s="37"/>
      <c r="R927" s="37"/>
      <c r="S927" s="37"/>
      <c r="T927" s="37"/>
      <c r="U927" s="37"/>
      <c r="V927" s="37"/>
      <c r="W927" s="37"/>
      <c r="X927" s="37"/>
      <c r="Y927" s="37"/>
      <c r="Z927" s="37"/>
      <c r="AA927" s="37"/>
      <c r="AB927" s="37"/>
      <c r="AC927" s="37"/>
      <c r="AD927" s="37"/>
      <c r="AE927" s="37"/>
      <c r="AF927" s="37"/>
      <c r="AG927" s="37"/>
      <c r="AH927" s="37"/>
      <c r="AI927" s="37"/>
      <c r="AJ927" s="37"/>
      <c r="AK927" s="37"/>
      <c r="AL927" s="37"/>
      <c r="AM927" s="37"/>
      <c r="AN927" s="37"/>
      <c r="AO927" s="37"/>
      <c r="AP927" s="37"/>
      <c r="AQ927" s="37"/>
      <c r="AR927" s="37"/>
      <c r="AS927" s="37"/>
      <c r="AT927" s="37"/>
      <c r="AU927" s="37"/>
      <c r="AV927" s="37"/>
      <c r="AW927" s="37"/>
      <c r="AX927" s="37"/>
      <c r="AY927" s="37"/>
      <c r="AZ927" s="37"/>
    </row>
    <row r="928" spans="1:52">
      <c r="A928" s="37"/>
      <c r="B928" s="37"/>
      <c r="C928" s="37"/>
      <c r="D928" s="37"/>
      <c r="E928" s="37"/>
      <c r="F928" s="37"/>
      <c r="G928" s="37"/>
      <c r="H928" s="37"/>
      <c r="I928" s="37"/>
      <c r="J928" s="37"/>
      <c r="K928" s="37"/>
      <c r="L928" s="37"/>
      <c r="M928" s="37"/>
      <c r="N928" s="37"/>
      <c r="O928" s="37"/>
      <c r="P928" s="37"/>
      <c r="Q928" s="37"/>
      <c r="R928" s="37"/>
      <c r="S928" s="37"/>
      <c r="T928" s="37"/>
      <c r="U928" s="37"/>
      <c r="V928" s="37"/>
      <c r="W928" s="37"/>
      <c r="X928" s="37"/>
      <c r="Y928" s="37"/>
      <c r="Z928" s="37"/>
      <c r="AA928" s="37"/>
      <c r="AB928" s="37"/>
      <c r="AC928" s="37"/>
      <c r="AD928" s="37"/>
      <c r="AE928" s="37"/>
      <c r="AF928" s="37"/>
      <c r="AG928" s="37"/>
      <c r="AH928" s="37"/>
      <c r="AI928" s="37"/>
      <c r="AJ928" s="37"/>
      <c r="AK928" s="37"/>
      <c r="AL928" s="37"/>
      <c r="AM928" s="37"/>
      <c r="AN928" s="37"/>
      <c r="AO928" s="37"/>
      <c r="AP928" s="37"/>
      <c r="AQ928" s="37"/>
      <c r="AR928" s="37"/>
      <c r="AS928" s="37"/>
      <c r="AT928" s="37"/>
      <c r="AU928" s="37"/>
      <c r="AV928" s="37"/>
      <c r="AW928" s="37"/>
      <c r="AX928" s="37"/>
      <c r="AY928" s="37"/>
      <c r="AZ928" s="37"/>
    </row>
    <row r="929" spans="1:52">
      <c r="A929" s="37"/>
      <c r="B929" s="37"/>
      <c r="C929" s="37"/>
      <c r="D929" s="37"/>
      <c r="E929" s="37"/>
      <c r="F929" s="37"/>
      <c r="G929" s="37"/>
      <c r="H929" s="37"/>
      <c r="I929" s="37"/>
      <c r="J929" s="37"/>
      <c r="K929" s="37"/>
      <c r="L929" s="37"/>
      <c r="M929" s="37"/>
      <c r="N929" s="37"/>
      <c r="O929" s="37"/>
      <c r="P929" s="37"/>
      <c r="Q929" s="37"/>
      <c r="R929" s="37"/>
      <c r="S929" s="37"/>
      <c r="T929" s="37"/>
      <c r="U929" s="37"/>
      <c r="V929" s="37"/>
      <c r="W929" s="37"/>
      <c r="X929" s="37"/>
      <c r="Y929" s="37"/>
      <c r="Z929" s="37"/>
      <c r="AA929" s="37"/>
      <c r="AB929" s="37"/>
      <c r="AC929" s="37"/>
      <c r="AD929" s="37"/>
      <c r="AE929" s="37"/>
      <c r="AF929" s="37"/>
      <c r="AG929" s="37"/>
      <c r="AH929" s="37"/>
      <c r="AI929" s="37"/>
      <c r="AJ929" s="37"/>
      <c r="AK929" s="37"/>
      <c r="AL929" s="37"/>
      <c r="AM929" s="37"/>
      <c r="AN929" s="37"/>
      <c r="AO929" s="37"/>
      <c r="AP929" s="37"/>
      <c r="AQ929" s="37"/>
      <c r="AR929" s="37"/>
      <c r="AS929" s="37"/>
      <c r="AT929" s="37"/>
      <c r="AU929" s="37"/>
      <c r="AV929" s="37"/>
      <c r="AW929" s="37"/>
      <c r="AX929" s="37"/>
      <c r="AY929" s="37"/>
      <c r="AZ929" s="37"/>
    </row>
    <row r="930" spans="1:52">
      <c r="A930" s="37"/>
      <c r="B930" s="37"/>
      <c r="C930" s="37"/>
      <c r="D930" s="37"/>
      <c r="E930" s="37"/>
      <c r="F930" s="37"/>
      <c r="G930" s="37"/>
      <c r="H930" s="37"/>
      <c r="I930" s="37"/>
      <c r="J930" s="37"/>
      <c r="K930" s="37"/>
      <c r="L930" s="37"/>
      <c r="M930" s="37"/>
      <c r="N930" s="37"/>
      <c r="O930" s="37"/>
      <c r="P930" s="37"/>
      <c r="Q930" s="37"/>
      <c r="R930" s="37"/>
      <c r="S930" s="37"/>
      <c r="T930" s="37"/>
      <c r="U930" s="37"/>
      <c r="V930" s="37"/>
      <c r="W930" s="37"/>
      <c r="X930" s="37"/>
      <c r="Y930" s="37"/>
      <c r="Z930" s="37"/>
      <c r="AA930" s="37"/>
      <c r="AB930" s="37"/>
      <c r="AC930" s="37"/>
      <c r="AD930" s="37"/>
      <c r="AE930" s="37"/>
      <c r="AF930" s="37"/>
      <c r="AG930" s="37"/>
      <c r="AH930" s="37"/>
      <c r="AI930" s="37"/>
      <c r="AJ930" s="37"/>
      <c r="AK930" s="37"/>
      <c r="AL930" s="37"/>
      <c r="AM930" s="37"/>
      <c r="AN930" s="37"/>
      <c r="AO930" s="37"/>
      <c r="AP930" s="37"/>
      <c r="AQ930" s="37"/>
      <c r="AR930" s="37"/>
      <c r="AS930" s="37"/>
      <c r="AT930" s="37"/>
      <c r="AU930" s="37"/>
      <c r="AV930" s="37"/>
      <c r="AW930" s="37"/>
      <c r="AX930" s="37"/>
      <c r="AY930" s="37"/>
      <c r="AZ930" s="37"/>
    </row>
    <row r="931" spans="1:52">
      <c r="A931" s="37"/>
      <c r="B931" s="37"/>
      <c r="C931" s="37"/>
      <c r="D931" s="37"/>
      <c r="E931" s="37"/>
      <c r="F931" s="37"/>
      <c r="G931" s="37"/>
      <c r="H931" s="37"/>
      <c r="I931" s="37"/>
      <c r="J931" s="37"/>
      <c r="K931" s="37"/>
      <c r="L931" s="37"/>
      <c r="M931" s="37"/>
      <c r="N931" s="37"/>
      <c r="O931" s="37"/>
      <c r="P931" s="37"/>
      <c r="Q931" s="37"/>
      <c r="R931" s="37"/>
      <c r="S931" s="37"/>
      <c r="T931" s="37"/>
      <c r="U931" s="37"/>
      <c r="V931" s="37"/>
      <c r="W931" s="37"/>
      <c r="X931" s="37"/>
      <c r="Y931" s="37"/>
      <c r="Z931" s="37"/>
      <c r="AA931" s="37"/>
      <c r="AB931" s="37"/>
      <c r="AC931" s="37"/>
      <c r="AD931" s="37"/>
      <c r="AE931" s="37"/>
      <c r="AF931" s="37"/>
      <c r="AG931" s="37"/>
      <c r="AH931" s="37"/>
      <c r="AI931" s="37"/>
      <c r="AJ931" s="37"/>
      <c r="AK931" s="37"/>
      <c r="AL931" s="37"/>
      <c r="AM931" s="37"/>
      <c r="AN931" s="37"/>
      <c r="AO931" s="37"/>
      <c r="AP931" s="37"/>
      <c r="AQ931" s="37"/>
      <c r="AR931" s="37"/>
      <c r="AS931" s="37"/>
      <c r="AT931" s="37"/>
      <c r="AU931" s="37"/>
      <c r="AV931" s="37"/>
      <c r="AW931" s="37"/>
      <c r="AX931" s="37"/>
      <c r="AY931" s="37"/>
      <c r="AZ931" s="37"/>
    </row>
    <row r="932" spans="1:52">
      <c r="A932" s="37"/>
      <c r="B932" s="37"/>
      <c r="C932" s="37"/>
      <c r="D932" s="37"/>
      <c r="E932" s="37"/>
      <c r="F932" s="37"/>
      <c r="G932" s="37"/>
      <c r="H932" s="37"/>
      <c r="I932" s="37"/>
      <c r="J932" s="37"/>
      <c r="K932" s="37"/>
      <c r="L932" s="37"/>
      <c r="M932" s="37"/>
      <c r="N932" s="37"/>
      <c r="O932" s="37"/>
      <c r="P932" s="37"/>
      <c r="Q932" s="37"/>
      <c r="R932" s="37"/>
      <c r="S932" s="37"/>
      <c r="T932" s="37"/>
      <c r="U932" s="37"/>
      <c r="V932" s="37"/>
      <c r="W932" s="37"/>
      <c r="X932" s="37"/>
      <c r="Y932" s="37"/>
      <c r="Z932" s="37"/>
      <c r="AA932" s="37"/>
      <c r="AB932" s="37"/>
      <c r="AC932" s="37"/>
      <c r="AD932" s="37"/>
      <c r="AE932" s="37"/>
      <c r="AF932" s="37"/>
      <c r="AG932" s="37"/>
      <c r="AH932" s="37"/>
      <c r="AI932" s="37"/>
      <c r="AJ932" s="37"/>
      <c r="AK932" s="37"/>
      <c r="AL932" s="37"/>
      <c r="AM932" s="37"/>
      <c r="AN932" s="37"/>
      <c r="AO932" s="37"/>
      <c r="AP932" s="37"/>
      <c r="AQ932" s="37"/>
      <c r="AR932" s="37"/>
      <c r="AS932" s="37"/>
      <c r="AT932" s="37"/>
      <c r="AU932" s="37"/>
      <c r="AV932" s="37"/>
      <c r="AW932" s="37"/>
      <c r="AX932" s="37"/>
      <c r="AY932" s="37"/>
      <c r="AZ932" s="37"/>
    </row>
    <row r="933" spans="1:52">
      <c r="A933" s="37"/>
      <c r="B933" s="37"/>
      <c r="C933" s="37"/>
      <c r="D933" s="37"/>
      <c r="E933" s="37"/>
      <c r="F933" s="37"/>
      <c r="G933" s="37"/>
      <c r="H933" s="37"/>
      <c r="I933" s="37"/>
      <c r="J933" s="37"/>
      <c r="K933" s="37"/>
      <c r="L933" s="37"/>
      <c r="M933" s="37"/>
      <c r="N933" s="37"/>
      <c r="O933" s="37"/>
      <c r="P933" s="37"/>
      <c r="Q933" s="37"/>
      <c r="R933" s="37"/>
      <c r="S933" s="37"/>
      <c r="T933" s="37"/>
      <c r="U933" s="37"/>
      <c r="V933" s="37"/>
      <c r="W933" s="37"/>
      <c r="X933" s="37"/>
      <c r="Y933" s="37"/>
      <c r="Z933" s="37"/>
      <c r="AA933" s="37"/>
      <c r="AB933" s="37"/>
      <c r="AC933" s="37"/>
      <c r="AD933" s="37"/>
      <c r="AE933" s="37"/>
      <c r="AF933" s="37"/>
      <c r="AG933" s="37"/>
      <c r="AH933" s="37"/>
      <c r="AI933" s="37"/>
      <c r="AJ933" s="37"/>
      <c r="AK933" s="37"/>
      <c r="AL933" s="37"/>
      <c r="AM933" s="37"/>
      <c r="AN933" s="37"/>
      <c r="AO933" s="37"/>
      <c r="AP933" s="37"/>
      <c r="AQ933" s="37"/>
      <c r="AR933" s="37"/>
      <c r="AS933" s="37"/>
      <c r="AT933" s="37"/>
      <c r="AU933" s="37"/>
      <c r="AV933" s="37"/>
      <c r="AW933" s="37"/>
      <c r="AX933" s="37"/>
      <c r="AY933" s="37"/>
      <c r="AZ933" s="37"/>
    </row>
    <row r="934" spans="1:52">
      <c r="A934" s="37"/>
      <c r="B934" s="37"/>
      <c r="C934" s="37"/>
      <c r="D934" s="37"/>
      <c r="E934" s="37"/>
      <c r="F934" s="37"/>
      <c r="G934" s="37"/>
      <c r="H934" s="37"/>
      <c r="I934" s="37"/>
      <c r="J934" s="37"/>
      <c r="K934" s="37"/>
      <c r="L934" s="37"/>
      <c r="M934" s="37"/>
      <c r="N934" s="37"/>
      <c r="O934" s="37"/>
      <c r="P934" s="37"/>
      <c r="Q934" s="37"/>
      <c r="R934" s="37"/>
      <c r="S934" s="37"/>
      <c r="T934" s="37"/>
      <c r="U934" s="37"/>
      <c r="V934" s="37"/>
      <c r="W934" s="37"/>
      <c r="X934" s="37"/>
      <c r="Y934" s="37"/>
      <c r="Z934" s="37"/>
      <c r="AA934" s="37"/>
      <c r="AB934" s="37"/>
      <c r="AC934" s="37"/>
      <c r="AD934" s="37"/>
      <c r="AE934" s="37"/>
      <c r="AF934" s="37"/>
      <c r="AG934" s="37"/>
      <c r="AH934" s="37"/>
      <c r="AI934" s="37"/>
      <c r="AJ934" s="37"/>
      <c r="AK934" s="37"/>
      <c r="AL934" s="37"/>
      <c r="AM934" s="37"/>
      <c r="AN934" s="37"/>
      <c r="AO934" s="37"/>
      <c r="AP934" s="37"/>
      <c r="AQ934" s="37"/>
      <c r="AR934" s="37"/>
      <c r="AS934" s="37"/>
      <c r="AT934" s="37"/>
      <c r="AU934" s="37"/>
      <c r="AV934" s="37"/>
      <c r="AW934" s="37"/>
      <c r="AX934" s="37"/>
      <c r="AY934" s="37"/>
      <c r="AZ934" s="37"/>
    </row>
    <row r="935" spans="1:52">
      <c r="A935" s="37"/>
      <c r="B935" s="37"/>
      <c r="C935" s="37"/>
      <c r="D935" s="37"/>
      <c r="E935" s="37"/>
      <c r="F935" s="37"/>
      <c r="G935" s="37"/>
      <c r="H935" s="37"/>
      <c r="I935" s="37"/>
      <c r="J935" s="37"/>
      <c r="K935" s="37"/>
      <c r="L935" s="37"/>
      <c r="M935" s="37"/>
      <c r="N935" s="37"/>
      <c r="O935" s="37"/>
      <c r="P935" s="37"/>
      <c r="Q935" s="37"/>
      <c r="R935" s="37"/>
      <c r="S935" s="37"/>
      <c r="T935" s="37"/>
      <c r="U935" s="37"/>
      <c r="V935" s="37"/>
      <c r="W935" s="37"/>
      <c r="X935" s="37"/>
      <c r="Y935" s="37"/>
      <c r="Z935" s="37"/>
      <c r="AA935" s="37"/>
      <c r="AB935" s="37"/>
      <c r="AC935" s="37"/>
      <c r="AD935" s="37"/>
      <c r="AE935" s="37"/>
      <c r="AF935" s="37"/>
      <c r="AG935" s="37"/>
      <c r="AH935" s="37"/>
      <c r="AI935" s="37"/>
      <c r="AJ935" s="37"/>
      <c r="AK935" s="37"/>
      <c r="AL935" s="37"/>
      <c r="AM935" s="37"/>
      <c r="AN935" s="37"/>
      <c r="AO935" s="37"/>
      <c r="AP935" s="37"/>
      <c r="AQ935" s="37"/>
      <c r="AR935" s="37"/>
      <c r="AS935" s="37"/>
      <c r="AT935" s="37"/>
      <c r="AU935" s="37"/>
      <c r="AV935" s="37"/>
      <c r="AW935" s="37"/>
      <c r="AX935" s="37"/>
      <c r="AY935" s="37"/>
      <c r="AZ935" s="37"/>
    </row>
    <row r="936" spans="1:52">
      <c r="A936" s="37"/>
      <c r="B936" s="37"/>
      <c r="C936" s="37"/>
      <c r="D936" s="37"/>
      <c r="E936" s="37"/>
      <c r="F936" s="37"/>
      <c r="G936" s="37"/>
      <c r="H936" s="37"/>
      <c r="I936" s="37"/>
      <c r="J936" s="37"/>
      <c r="K936" s="37"/>
      <c r="L936" s="37"/>
      <c r="M936" s="37"/>
      <c r="N936" s="37"/>
      <c r="O936" s="37"/>
      <c r="P936" s="37"/>
      <c r="Q936" s="37"/>
      <c r="R936" s="37"/>
      <c r="S936" s="37"/>
      <c r="T936" s="37"/>
      <c r="U936" s="37"/>
      <c r="V936" s="37"/>
      <c r="W936" s="37"/>
      <c r="X936" s="37"/>
      <c r="Y936" s="37"/>
      <c r="Z936" s="37"/>
      <c r="AA936" s="37"/>
      <c r="AB936" s="37"/>
      <c r="AC936" s="37"/>
      <c r="AD936" s="37"/>
      <c r="AE936" s="37"/>
      <c r="AF936" s="37"/>
      <c r="AG936" s="37"/>
      <c r="AH936" s="37"/>
      <c r="AI936" s="37"/>
      <c r="AJ936" s="37"/>
      <c r="AK936" s="37"/>
      <c r="AL936" s="37"/>
      <c r="AM936" s="37"/>
      <c r="AN936" s="37"/>
      <c r="AO936" s="37"/>
      <c r="AP936" s="37"/>
      <c r="AQ936" s="37"/>
      <c r="AR936" s="37"/>
      <c r="AS936" s="37"/>
      <c r="AT936" s="37"/>
      <c r="AU936" s="37"/>
      <c r="AV936" s="37"/>
      <c r="AW936" s="37"/>
      <c r="AX936" s="37"/>
      <c r="AY936" s="37"/>
      <c r="AZ936" s="37"/>
    </row>
    <row r="937" spans="1:52">
      <c r="A937" s="37"/>
      <c r="B937" s="37"/>
      <c r="C937" s="37"/>
      <c r="D937" s="37"/>
      <c r="E937" s="37"/>
      <c r="F937" s="37"/>
      <c r="G937" s="37"/>
      <c r="H937" s="37"/>
      <c r="I937" s="37"/>
      <c r="J937" s="37"/>
      <c r="K937" s="37"/>
      <c r="L937" s="37"/>
      <c r="M937" s="37"/>
      <c r="N937" s="37"/>
      <c r="O937" s="37"/>
      <c r="P937" s="37"/>
      <c r="Q937" s="37"/>
      <c r="R937" s="37"/>
      <c r="S937" s="37"/>
      <c r="T937" s="37"/>
      <c r="U937" s="37"/>
      <c r="V937" s="37"/>
      <c r="W937" s="37"/>
      <c r="X937" s="37"/>
      <c r="Y937" s="37"/>
      <c r="Z937" s="37"/>
      <c r="AA937" s="37"/>
      <c r="AB937" s="37"/>
      <c r="AC937" s="37"/>
      <c r="AD937" s="37"/>
      <c r="AE937" s="37"/>
      <c r="AF937" s="37"/>
      <c r="AG937" s="37"/>
      <c r="AH937" s="37"/>
      <c r="AI937" s="37"/>
      <c r="AJ937" s="37"/>
      <c r="AK937" s="37"/>
      <c r="AL937" s="37"/>
      <c r="AM937" s="37"/>
      <c r="AN937" s="37"/>
      <c r="AO937" s="37"/>
      <c r="AP937" s="37"/>
      <c r="AQ937" s="37"/>
      <c r="AR937" s="37"/>
      <c r="AS937" s="37"/>
      <c r="AT937" s="37"/>
      <c r="AU937" s="37"/>
      <c r="AV937" s="37"/>
      <c r="AW937" s="37"/>
      <c r="AX937" s="37"/>
      <c r="AY937" s="37"/>
      <c r="AZ937" s="37"/>
    </row>
    <row r="938" spans="1:52">
      <c r="A938" s="37"/>
      <c r="B938" s="37"/>
      <c r="C938" s="37"/>
      <c r="D938" s="37"/>
      <c r="E938" s="37"/>
      <c r="F938" s="37"/>
      <c r="G938" s="37"/>
      <c r="H938" s="37"/>
      <c r="I938" s="37"/>
      <c r="J938" s="37"/>
      <c r="K938" s="37"/>
      <c r="L938" s="37"/>
      <c r="M938" s="37"/>
      <c r="N938" s="37"/>
      <c r="O938" s="37"/>
      <c r="P938" s="37"/>
      <c r="Q938" s="37"/>
      <c r="R938" s="37"/>
      <c r="S938" s="37"/>
      <c r="T938" s="37"/>
      <c r="U938" s="37"/>
      <c r="V938" s="37"/>
      <c r="W938" s="37"/>
      <c r="X938" s="37"/>
      <c r="Y938" s="37"/>
      <c r="Z938" s="37"/>
      <c r="AA938" s="37"/>
      <c r="AB938" s="37"/>
      <c r="AC938" s="37"/>
      <c r="AD938" s="37"/>
      <c r="AE938" s="37"/>
      <c r="AF938" s="37"/>
      <c r="AG938" s="37"/>
      <c r="AH938" s="37"/>
      <c r="AI938" s="37"/>
      <c r="AJ938" s="37"/>
      <c r="AK938" s="37"/>
      <c r="AL938" s="37"/>
      <c r="AM938" s="37"/>
      <c r="AN938" s="37"/>
      <c r="AO938" s="37"/>
      <c r="AP938" s="37"/>
      <c r="AQ938" s="37"/>
      <c r="AR938" s="37"/>
      <c r="AS938" s="37"/>
      <c r="AT938" s="37"/>
      <c r="AU938" s="37"/>
      <c r="AV938" s="37"/>
      <c r="AW938" s="37"/>
      <c r="AX938" s="37"/>
      <c r="AY938" s="37"/>
      <c r="AZ938" s="37"/>
    </row>
    <row r="939" spans="1:52">
      <c r="A939" s="37"/>
      <c r="B939" s="37"/>
      <c r="C939" s="37"/>
      <c r="D939" s="37"/>
      <c r="E939" s="37"/>
      <c r="F939" s="37"/>
      <c r="G939" s="37"/>
      <c r="H939" s="37"/>
      <c r="I939" s="37"/>
      <c r="J939" s="37"/>
      <c r="K939" s="37"/>
      <c r="L939" s="37"/>
      <c r="M939" s="37"/>
      <c r="N939" s="37"/>
      <c r="O939" s="37"/>
      <c r="P939" s="37"/>
      <c r="Q939" s="37"/>
      <c r="R939" s="37"/>
      <c r="S939" s="37"/>
      <c r="T939" s="37"/>
      <c r="U939" s="37"/>
      <c r="V939" s="37"/>
      <c r="W939" s="37"/>
      <c r="X939" s="37"/>
      <c r="Y939" s="37"/>
      <c r="Z939" s="37"/>
      <c r="AA939" s="37"/>
      <c r="AB939" s="37"/>
      <c r="AC939" s="37"/>
      <c r="AD939" s="37"/>
      <c r="AE939" s="37"/>
      <c r="AF939" s="37"/>
      <c r="AG939" s="37"/>
      <c r="AH939" s="37"/>
      <c r="AI939" s="37"/>
      <c r="AJ939" s="37"/>
      <c r="AK939" s="37"/>
      <c r="AL939" s="37"/>
      <c r="AM939" s="37"/>
      <c r="AN939" s="37"/>
      <c r="AO939" s="37"/>
      <c r="AP939" s="37"/>
      <c r="AQ939" s="37"/>
      <c r="AR939" s="37"/>
      <c r="AS939" s="37"/>
      <c r="AT939" s="37"/>
      <c r="AU939" s="37"/>
      <c r="AV939" s="37"/>
      <c r="AW939" s="37"/>
      <c r="AX939" s="37"/>
      <c r="AY939" s="37"/>
      <c r="AZ939" s="37"/>
    </row>
    <row r="940" spans="1:52">
      <c r="A940" s="37"/>
      <c r="B940" s="37"/>
      <c r="C940" s="37"/>
      <c r="D940" s="37"/>
      <c r="E940" s="37"/>
      <c r="F940" s="37"/>
      <c r="G940" s="37"/>
      <c r="H940" s="37"/>
      <c r="I940" s="37"/>
      <c r="J940" s="37"/>
      <c r="K940" s="37"/>
      <c r="L940" s="37"/>
      <c r="M940" s="37"/>
      <c r="N940" s="37"/>
      <c r="O940" s="37"/>
      <c r="P940" s="37"/>
      <c r="Q940" s="37"/>
      <c r="R940" s="37"/>
      <c r="S940" s="37"/>
      <c r="T940" s="37"/>
      <c r="U940" s="37"/>
      <c r="V940" s="37"/>
      <c r="W940" s="37"/>
      <c r="X940" s="37"/>
      <c r="Y940" s="37"/>
      <c r="Z940" s="37"/>
      <c r="AA940" s="37"/>
      <c r="AB940" s="37"/>
      <c r="AC940" s="37"/>
      <c r="AD940" s="37"/>
      <c r="AE940" s="37"/>
      <c r="AF940" s="37"/>
      <c r="AG940" s="37"/>
      <c r="AH940" s="37"/>
      <c r="AI940" s="37"/>
      <c r="AJ940" s="37"/>
      <c r="AK940" s="37"/>
      <c r="AL940" s="37"/>
      <c r="AM940" s="37"/>
      <c r="AN940" s="37"/>
      <c r="AO940" s="37"/>
      <c r="AP940" s="37"/>
      <c r="AQ940" s="37"/>
      <c r="AR940" s="37"/>
      <c r="AS940" s="37"/>
      <c r="AT940" s="37"/>
      <c r="AU940" s="37"/>
      <c r="AV940" s="37"/>
      <c r="AW940" s="37"/>
      <c r="AX940" s="37"/>
      <c r="AY940" s="37"/>
      <c r="AZ940" s="37"/>
    </row>
    <row r="941" spans="1:52">
      <c r="A941" s="37"/>
      <c r="B941" s="37"/>
      <c r="C941" s="37"/>
      <c r="D941" s="37"/>
      <c r="E941" s="37"/>
      <c r="F941" s="37"/>
      <c r="G941" s="37"/>
      <c r="H941" s="37"/>
      <c r="I941" s="37"/>
      <c r="J941" s="37"/>
      <c r="K941" s="37"/>
      <c r="L941" s="37"/>
      <c r="M941" s="37"/>
      <c r="N941" s="37"/>
      <c r="O941" s="37"/>
      <c r="P941" s="37"/>
      <c r="Q941" s="37"/>
      <c r="R941" s="37"/>
      <c r="S941" s="37"/>
      <c r="T941" s="37"/>
      <c r="U941" s="37"/>
      <c r="V941" s="37"/>
      <c r="W941" s="37"/>
      <c r="X941" s="37"/>
      <c r="Y941" s="37"/>
      <c r="Z941" s="37"/>
      <c r="AA941" s="37"/>
      <c r="AB941" s="37"/>
      <c r="AC941" s="37"/>
      <c r="AD941" s="37"/>
      <c r="AE941" s="37"/>
      <c r="AF941" s="37"/>
      <c r="AG941" s="37"/>
      <c r="AH941" s="37"/>
      <c r="AI941" s="37"/>
      <c r="AJ941" s="37"/>
      <c r="AK941" s="37"/>
      <c r="AL941" s="37"/>
      <c r="AM941" s="37"/>
      <c r="AN941" s="37"/>
      <c r="AO941" s="37"/>
      <c r="AP941" s="37"/>
      <c r="AQ941" s="37"/>
      <c r="AR941" s="37"/>
      <c r="AS941" s="37"/>
      <c r="AT941" s="37"/>
      <c r="AU941" s="37"/>
      <c r="AV941" s="37"/>
      <c r="AW941" s="37"/>
      <c r="AX941" s="37"/>
      <c r="AY941" s="37"/>
      <c r="AZ941" s="37"/>
    </row>
    <row r="942" spans="1:52">
      <c r="A942" s="37"/>
      <c r="B942" s="37"/>
      <c r="C942" s="37"/>
      <c r="D942" s="37"/>
      <c r="E942" s="37"/>
      <c r="F942" s="37"/>
      <c r="G942" s="37"/>
      <c r="H942" s="37"/>
      <c r="I942" s="37"/>
      <c r="J942" s="37"/>
      <c r="K942" s="37"/>
      <c r="L942" s="37"/>
      <c r="M942" s="37"/>
      <c r="N942" s="37"/>
      <c r="O942" s="37"/>
      <c r="P942" s="37"/>
      <c r="Q942" s="37"/>
      <c r="R942" s="37"/>
      <c r="S942" s="37"/>
      <c r="T942" s="37"/>
      <c r="U942" s="37"/>
      <c r="V942" s="37"/>
      <c r="W942" s="37"/>
      <c r="X942" s="37"/>
      <c r="Y942" s="37"/>
      <c r="Z942" s="37"/>
      <c r="AA942" s="37"/>
      <c r="AB942" s="37"/>
      <c r="AC942" s="37"/>
      <c r="AD942" s="37"/>
      <c r="AE942" s="37"/>
      <c r="AF942" s="37"/>
      <c r="AG942" s="37"/>
      <c r="AH942" s="37"/>
      <c r="AI942" s="37"/>
      <c r="AJ942" s="37"/>
      <c r="AK942" s="37"/>
      <c r="AL942" s="37"/>
      <c r="AM942" s="37"/>
      <c r="AN942" s="37"/>
      <c r="AO942" s="37"/>
      <c r="AP942" s="37"/>
      <c r="AQ942" s="37"/>
      <c r="AR942" s="37"/>
      <c r="AS942" s="37"/>
      <c r="AT942" s="37"/>
      <c r="AU942" s="37"/>
      <c r="AV942" s="37"/>
      <c r="AW942" s="37"/>
      <c r="AX942" s="37"/>
      <c r="AY942" s="37"/>
      <c r="AZ942" s="37"/>
    </row>
    <row r="943" spans="1:52">
      <c r="A943" s="37"/>
      <c r="B943" s="37"/>
      <c r="C943" s="37"/>
      <c r="D943" s="37"/>
      <c r="E943" s="37"/>
      <c r="F943" s="37"/>
      <c r="G943" s="37"/>
      <c r="H943" s="37"/>
      <c r="I943" s="37"/>
      <c r="J943" s="37"/>
      <c r="K943" s="37"/>
      <c r="L943" s="37"/>
      <c r="M943" s="37"/>
      <c r="N943" s="37"/>
      <c r="O943" s="37"/>
      <c r="P943" s="37"/>
      <c r="Q943" s="37"/>
      <c r="R943" s="37"/>
      <c r="S943" s="37"/>
      <c r="T943" s="37"/>
      <c r="U943" s="37"/>
      <c r="V943" s="37"/>
      <c r="W943" s="37"/>
      <c r="X943" s="37"/>
      <c r="Y943" s="37"/>
      <c r="Z943" s="37"/>
      <c r="AA943" s="37"/>
      <c r="AB943" s="37"/>
      <c r="AC943" s="37"/>
      <c r="AD943" s="37"/>
      <c r="AE943" s="37"/>
      <c r="AF943" s="37"/>
      <c r="AG943" s="37"/>
      <c r="AH943" s="37"/>
      <c r="AI943" s="37"/>
      <c r="AJ943" s="37"/>
      <c r="AK943" s="37"/>
      <c r="AL943" s="37"/>
      <c r="AM943" s="37"/>
      <c r="AN943" s="37"/>
      <c r="AO943" s="37"/>
      <c r="AP943" s="37"/>
      <c r="AQ943" s="37"/>
      <c r="AR943" s="37"/>
      <c r="AS943" s="37"/>
      <c r="AT943" s="37"/>
      <c r="AU943" s="37"/>
      <c r="AV943" s="37"/>
      <c r="AW943" s="37"/>
      <c r="AX943" s="37"/>
      <c r="AY943" s="37"/>
      <c r="AZ943" s="37"/>
    </row>
    <row r="944" spans="1:52">
      <c r="A944" s="37"/>
      <c r="B944" s="37"/>
      <c r="C944" s="37"/>
      <c r="D944" s="37"/>
      <c r="E944" s="37"/>
      <c r="F944" s="37"/>
      <c r="G944" s="37"/>
      <c r="H944" s="37"/>
      <c r="I944" s="37"/>
      <c r="J944" s="37"/>
      <c r="K944" s="37"/>
      <c r="L944" s="37"/>
      <c r="M944" s="37"/>
      <c r="N944" s="37"/>
      <c r="O944" s="37"/>
      <c r="P944" s="37"/>
      <c r="Q944" s="37"/>
      <c r="R944" s="37"/>
      <c r="S944" s="37"/>
      <c r="T944" s="37"/>
      <c r="U944" s="37"/>
      <c r="V944" s="37"/>
      <c r="W944" s="37"/>
      <c r="X944" s="37"/>
      <c r="Y944" s="37"/>
      <c r="Z944" s="37"/>
      <c r="AA944" s="37"/>
      <c r="AB944" s="37"/>
      <c r="AC944" s="37"/>
      <c r="AD944" s="37"/>
      <c r="AE944" s="37"/>
      <c r="AF944" s="37"/>
      <c r="AG944" s="37"/>
      <c r="AH944" s="37"/>
      <c r="AI944" s="37"/>
      <c r="AJ944" s="37"/>
      <c r="AK944" s="37"/>
      <c r="AL944" s="37"/>
      <c r="AM944" s="37"/>
      <c r="AN944" s="37"/>
      <c r="AO944" s="37"/>
      <c r="AP944" s="37"/>
      <c r="AQ944" s="37"/>
      <c r="AR944" s="37"/>
      <c r="AS944" s="37"/>
      <c r="AT944" s="37"/>
      <c r="AU944" s="37"/>
      <c r="AV944" s="37"/>
      <c r="AW944" s="37"/>
      <c r="AX944" s="37"/>
      <c r="AY944" s="37"/>
      <c r="AZ944" s="37"/>
    </row>
    <row r="945" spans="1:52">
      <c r="A945" s="37"/>
      <c r="B945" s="37"/>
      <c r="C945" s="37"/>
      <c r="D945" s="37"/>
      <c r="E945" s="37"/>
      <c r="F945" s="37"/>
      <c r="G945" s="37"/>
      <c r="H945" s="37"/>
      <c r="I945" s="37"/>
      <c r="J945" s="37"/>
      <c r="K945" s="37"/>
      <c r="L945" s="37"/>
      <c r="M945" s="37"/>
      <c r="N945" s="37"/>
      <c r="O945" s="37"/>
      <c r="P945" s="37"/>
      <c r="Q945" s="37"/>
      <c r="R945" s="37"/>
      <c r="S945" s="37"/>
      <c r="T945" s="37"/>
      <c r="U945" s="37"/>
      <c r="V945" s="37"/>
      <c r="W945" s="37"/>
      <c r="X945" s="37"/>
      <c r="Y945" s="37"/>
      <c r="Z945" s="37"/>
      <c r="AA945" s="37"/>
      <c r="AB945" s="37"/>
      <c r="AC945" s="37"/>
      <c r="AD945" s="37"/>
      <c r="AE945" s="37"/>
      <c r="AF945" s="37"/>
      <c r="AG945" s="37"/>
      <c r="AH945" s="37"/>
      <c r="AI945" s="37"/>
      <c r="AJ945" s="37"/>
      <c r="AK945" s="37"/>
      <c r="AL945" s="37"/>
      <c r="AM945" s="37"/>
      <c r="AN945" s="37"/>
      <c r="AO945" s="37"/>
      <c r="AP945" s="37"/>
      <c r="AQ945" s="37"/>
      <c r="AR945" s="37"/>
      <c r="AS945" s="37"/>
      <c r="AT945" s="37"/>
      <c r="AU945" s="37"/>
      <c r="AV945" s="37"/>
      <c r="AW945" s="37"/>
      <c r="AX945" s="37"/>
      <c r="AY945" s="37"/>
      <c r="AZ945" s="37"/>
    </row>
    <row r="946" spans="1:52">
      <c r="A946" s="37"/>
      <c r="B946" s="37"/>
      <c r="C946" s="37"/>
      <c r="D946" s="37"/>
      <c r="E946" s="37"/>
      <c r="F946" s="37"/>
      <c r="G946" s="37"/>
      <c r="H946" s="37"/>
      <c r="I946" s="37"/>
      <c r="J946" s="37"/>
      <c r="K946" s="37"/>
      <c r="L946" s="37"/>
      <c r="M946" s="37"/>
      <c r="N946" s="37"/>
      <c r="O946" s="37"/>
      <c r="P946" s="37"/>
      <c r="Q946" s="37"/>
      <c r="R946" s="37"/>
      <c r="S946" s="37"/>
      <c r="T946" s="37"/>
      <c r="U946" s="37"/>
      <c r="V946" s="37"/>
      <c r="W946" s="37"/>
      <c r="X946" s="37"/>
      <c r="Y946" s="37"/>
      <c r="Z946" s="37"/>
      <c r="AA946" s="37"/>
      <c r="AB946" s="37"/>
      <c r="AC946" s="37"/>
      <c r="AD946" s="37"/>
      <c r="AE946" s="37"/>
      <c r="AF946" s="37"/>
      <c r="AG946" s="37"/>
      <c r="AH946" s="37"/>
      <c r="AI946" s="37"/>
      <c r="AJ946" s="37"/>
      <c r="AK946" s="37"/>
      <c r="AL946" s="37"/>
      <c r="AM946" s="37"/>
      <c r="AN946" s="37"/>
      <c r="AO946" s="37"/>
      <c r="AP946" s="37"/>
      <c r="AQ946" s="37"/>
      <c r="AR946" s="37"/>
      <c r="AS946" s="37"/>
      <c r="AT946" s="37"/>
      <c r="AU946" s="37"/>
      <c r="AV946" s="37"/>
      <c r="AW946" s="37"/>
      <c r="AX946" s="37"/>
      <c r="AY946" s="37"/>
      <c r="AZ946" s="37"/>
    </row>
    <row r="947" spans="1:52">
      <c r="A947" s="37"/>
      <c r="B947" s="37"/>
      <c r="C947" s="37"/>
      <c r="D947" s="37"/>
      <c r="E947" s="37"/>
      <c r="F947" s="37"/>
      <c r="G947" s="37"/>
      <c r="H947" s="37"/>
      <c r="I947" s="37"/>
      <c r="J947" s="37"/>
      <c r="K947" s="37"/>
      <c r="L947" s="37"/>
      <c r="M947" s="37"/>
      <c r="N947" s="37"/>
      <c r="O947" s="37"/>
      <c r="P947" s="37"/>
      <c r="Q947" s="37"/>
      <c r="R947" s="37"/>
      <c r="S947" s="37"/>
      <c r="T947" s="37"/>
      <c r="U947" s="37"/>
      <c r="V947" s="37"/>
      <c r="W947" s="37"/>
      <c r="X947" s="37"/>
      <c r="Y947" s="37"/>
      <c r="Z947" s="37"/>
      <c r="AA947" s="37"/>
      <c r="AB947" s="37"/>
      <c r="AC947" s="37"/>
      <c r="AD947" s="37"/>
      <c r="AE947" s="37"/>
      <c r="AF947" s="37"/>
      <c r="AG947" s="37"/>
      <c r="AH947" s="37"/>
      <c r="AI947" s="37"/>
      <c r="AJ947" s="37"/>
      <c r="AK947" s="37"/>
      <c r="AL947" s="37"/>
      <c r="AM947" s="37"/>
      <c r="AN947" s="37"/>
      <c r="AO947" s="37"/>
      <c r="AP947" s="37"/>
      <c r="AQ947" s="37"/>
      <c r="AR947" s="37"/>
      <c r="AS947" s="37"/>
      <c r="AT947" s="37"/>
      <c r="AU947" s="37"/>
      <c r="AV947" s="37"/>
      <c r="AW947" s="37"/>
      <c r="AX947" s="37"/>
      <c r="AY947" s="37"/>
      <c r="AZ947" s="37"/>
    </row>
    <row r="948" spans="1:52">
      <c r="A948" s="37"/>
      <c r="B948" s="37"/>
      <c r="C948" s="37"/>
      <c r="D948" s="37"/>
      <c r="E948" s="37"/>
      <c r="F948" s="37"/>
      <c r="G948" s="37"/>
      <c r="H948" s="37"/>
      <c r="I948" s="37"/>
      <c r="J948" s="37"/>
      <c r="K948" s="37"/>
      <c r="L948" s="37"/>
      <c r="M948" s="37"/>
      <c r="N948" s="37"/>
      <c r="O948" s="37"/>
      <c r="P948" s="37"/>
      <c r="Q948" s="37"/>
      <c r="R948" s="37"/>
      <c r="S948" s="37"/>
      <c r="T948" s="37"/>
      <c r="U948" s="37"/>
      <c r="V948" s="37"/>
      <c r="W948" s="37"/>
      <c r="X948" s="37"/>
      <c r="Y948" s="37"/>
      <c r="Z948" s="37"/>
      <c r="AA948" s="37"/>
      <c r="AB948" s="37"/>
      <c r="AC948" s="37"/>
      <c r="AD948" s="37"/>
      <c r="AE948" s="37"/>
      <c r="AF948" s="37"/>
      <c r="AG948" s="37"/>
      <c r="AH948" s="37"/>
      <c r="AI948" s="37"/>
      <c r="AJ948" s="37"/>
      <c r="AK948" s="37"/>
      <c r="AL948" s="37"/>
      <c r="AM948" s="37"/>
      <c r="AN948" s="37"/>
      <c r="AO948" s="37"/>
      <c r="AP948" s="37"/>
      <c r="AQ948" s="37"/>
      <c r="AR948" s="37"/>
      <c r="AS948" s="37"/>
      <c r="AT948" s="37"/>
      <c r="AU948" s="37"/>
      <c r="AV948" s="37"/>
      <c r="AW948" s="37"/>
      <c r="AX948" s="37"/>
      <c r="AY948" s="37"/>
      <c r="AZ948" s="37"/>
    </row>
    <row r="949" spans="1:52">
      <c r="A949" s="37"/>
      <c r="B949" s="37"/>
      <c r="C949" s="37"/>
      <c r="D949" s="37"/>
      <c r="E949" s="37"/>
      <c r="F949" s="37"/>
      <c r="G949" s="37"/>
      <c r="H949" s="37"/>
      <c r="I949" s="37"/>
      <c r="J949" s="37"/>
      <c r="K949" s="37"/>
      <c r="L949" s="37"/>
      <c r="M949" s="37"/>
      <c r="N949" s="37"/>
      <c r="O949" s="37"/>
      <c r="P949" s="37"/>
      <c r="Q949" s="37"/>
      <c r="R949" s="37"/>
      <c r="S949" s="37"/>
      <c r="T949" s="37"/>
      <c r="U949" s="37"/>
      <c r="V949" s="37"/>
      <c r="W949" s="37"/>
      <c r="X949" s="37"/>
      <c r="Y949" s="37"/>
      <c r="Z949" s="37"/>
      <c r="AA949" s="37"/>
      <c r="AB949" s="37"/>
      <c r="AC949" s="37"/>
      <c r="AD949" s="37"/>
      <c r="AE949" s="37"/>
      <c r="AF949" s="37"/>
      <c r="AG949" s="37"/>
      <c r="AH949" s="37"/>
      <c r="AI949" s="37"/>
      <c r="AJ949" s="37"/>
      <c r="AK949" s="37"/>
      <c r="AL949" s="37"/>
      <c r="AM949" s="37"/>
      <c r="AN949" s="37"/>
      <c r="AO949" s="37"/>
      <c r="AP949" s="37"/>
      <c r="AQ949" s="37"/>
      <c r="AR949" s="37"/>
      <c r="AS949" s="37"/>
      <c r="AT949" s="37"/>
      <c r="AU949" s="37"/>
      <c r="AV949" s="37"/>
      <c r="AW949" s="37"/>
      <c r="AX949" s="37"/>
      <c r="AY949" s="37"/>
      <c r="AZ949" s="37"/>
    </row>
    <row r="950" spans="1:52">
      <c r="A950" s="37"/>
      <c r="B950" s="37"/>
      <c r="C950" s="37"/>
      <c r="D950" s="37"/>
      <c r="E950" s="37"/>
      <c r="F950" s="37"/>
      <c r="G950" s="37"/>
      <c r="H950" s="37"/>
      <c r="I950" s="37"/>
      <c r="J950" s="37"/>
      <c r="K950" s="37"/>
      <c r="L950" s="37"/>
      <c r="M950" s="37"/>
      <c r="N950" s="37"/>
      <c r="O950" s="37"/>
      <c r="P950" s="37"/>
      <c r="Q950" s="37"/>
      <c r="R950" s="37"/>
      <c r="S950" s="37"/>
      <c r="T950" s="37"/>
      <c r="U950" s="37"/>
      <c r="V950" s="37"/>
      <c r="W950" s="37"/>
      <c r="X950" s="37"/>
      <c r="Y950" s="37"/>
      <c r="Z950" s="37"/>
      <c r="AA950" s="37"/>
      <c r="AB950" s="37"/>
      <c r="AC950" s="37"/>
      <c r="AD950" s="37"/>
      <c r="AE950" s="37"/>
      <c r="AF950" s="37"/>
      <c r="AG950" s="37"/>
      <c r="AH950" s="37"/>
      <c r="AI950" s="37"/>
      <c r="AJ950" s="37"/>
      <c r="AK950" s="37"/>
      <c r="AL950" s="37"/>
      <c r="AM950" s="37"/>
      <c r="AN950" s="37"/>
      <c r="AO950" s="37"/>
      <c r="AP950" s="37"/>
      <c r="AQ950" s="37"/>
      <c r="AR950" s="37"/>
      <c r="AS950" s="37"/>
      <c r="AT950" s="37"/>
      <c r="AU950" s="37"/>
      <c r="AV950" s="37"/>
      <c r="AW950" s="37"/>
      <c r="AX950" s="37"/>
      <c r="AY950" s="37"/>
      <c r="AZ950" s="37"/>
    </row>
    <row r="951" spans="1:52">
      <c r="A951" s="37"/>
      <c r="B951" s="37"/>
      <c r="C951" s="37"/>
      <c r="D951" s="37"/>
      <c r="E951" s="37"/>
      <c r="F951" s="37"/>
      <c r="G951" s="37"/>
      <c r="H951" s="37"/>
      <c r="I951" s="37"/>
      <c r="J951" s="37"/>
      <c r="K951" s="37"/>
      <c r="L951" s="37"/>
      <c r="M951" s="37"/>
      <c r="N951" s="37"/>
      <c r="O951" s="37"/>
      <c r="P951" s="37"/>
      <c r="Q951" s="37"/>
      <c r="R951" s="37"/>
      <c r="S951" s="37"/>
      <c r="T951" s="37"/>
      <c r="U951" s="37"/>
      <c r="V951" s="37"/>
      <c r="W951" s="37"/>
      <c r="X951" s="37"/>
      <c r="Y951" s="37"/>
      <c r="Z951" s="37"/>
      <c r="AA951" s="37"/>
      <c r="AB951" s="37"/>
      <c r="AC951" s="37"/>
      <c r="AD951" s="37"/>
      <c r="AE951" s="37"/>
      <c r="AF951" s="37"/>
      <c r="AG951" s="37"/>
      <c r="AH951" s="37"/>
      <c r="AI951" s="37"/>
      <c r="AJ951" s="37"/>
      <c r="AK951" s="37"/>
      <c r="AL951" s="37"/>
      <c r="AM951" s="37"/>
      <c r="AN951" s="37"/>
      <c r="AO951" s="37"/>
      <c r="AP951" s="37"/>
      <c r="AQ951" s="37"/>
      <c r="AR951" s="37"/>
      <c r="AS951" s="37"/>
      <c r="AT951" s="37"/>
      <c r="AU951" s="37"/>
      <c r="AV951" s="37"/>
      <c r="AW951" s="37"/>
      <c r="AX951" s="37"/>
      <c r="AY951" s="37"/>
      <c r="AZ951" s="37"/>
    </row>
    <row r="952" spans="1:52">
      <c r="A952" s="37"/>
      <c r="B952" s="37"/>
      <c r="C952" s="37"/>
      <c r="D952" s="37"/>
      <c r="E952" s="37"/>
      <c r="F952" s="37"/>
      <c r="G952" s="37"/>
      <c r="H952" s="37"/>
      <c r="I952" s="37"/>
      <c r="J952" s="37"/>
      <c r="K952" s="37"/>
      <c r="L952" s="37"/>
      <c r="M952" s="37"/>
      <c r="N952" s="37"/>
      <c r="O952" s="37"/>
      <c r="P952" s="37"/>
      <c r="Q952" s="37"/>
      <c r="R952" s="37"/>
      <c r="S952" s="37"/>
      <c r="T952" s="37"/>
      <c r="U952" s="37"/>
      <c r="V952" s="37"/>
      <c r="W952" s="37"/>
      <c r="X952" s="37"/>
      <c r="Y952" s="37"/>
      <c r="Z952" s="37"/>
      <c r="AA952" s="37"/>
      <c r="AB952" s="37"/>
      <c r="AC952" s="37"/>
      <c r="AD952" s="37"/>
      <c r="AE952" s="37"/>
      <c r="AF952" s="37"/>
      <c r="AG952" s="37"/>
      <c r="AH952" s="37"/>
      <c r="AI952" s="37"/>
      <c r="AJ952" s="37"/>
      <c r="AK952" s="37"/>
      <c r="AL952" s="37"/>
      <c r="AM952" s="37"/>
      <c r="AN952" s="37"/>
      <c r="AO952" s="37"/>
      <c r="AP952" s="37"/>
      <c r="AQ952" s="37"/>
      <c r="AR952" s="37"/>
      <c r="AS952" s="37"/>
      <c r="AT952" s="37"/>
      <c r="AU952" s="37"/>
      <c r="AV952" s="37"/>
      <c r="AW952" s="37"/>
      <c r="AX952" s="37"/>
      <c r="AY952" s="37"/>
      <c r="AZ952" s="37"/>
    </row>
    <row r="953" spans="1:52">
      <c r="A953" s="37"/>
      <c r="B953" s="37"/>
      <c r="C953" s="37"/>
      <c r="D953" s="37"/>
      <c r="E953" s="37"/>
      <c r="F953" s="37"/>
      <c r="G953" s="37"/>
      <c r="H953" s="37"/>
      <c r="I953" s="37"/>
      <c r="J953" s="37"/>
      <c r="K953" s="37"/>
      <c r="L953" s="37"/>
      <c r="M953" s="37"/>
      <c r="N953" s="37"/>
      <c r="O953" s="37"/>
      <c r="P953" s="37"/>
      <c r="Q953" s="37"/>
      <c r="R953" s="37"/>
      <c r="S953" s="37"/>
      <c r="T953" s="37"/>
      <c r="U953" s="37"/>
      <c r="V953" s="37"/>
      <c r="W953" s="37"/>
      <c r="X953" s="37"/>
      <c r="Y953" s="37"/>
      <c r="Z953" s="37"/>
      <c r="AA953" s="37"/>
      <c r="AB953" s="37"/>
      <c r="AC953" s="37"/>
      <c r="AD953" s="37"/>
      <c r="AE953" s="37"/>
      <c r="AF953" s="37"/>
      <c r="AG953" s="37"/>
      <c r="AH953" s="37"/>
      <c r="AI953" s="37"/>
      <c r="AJ953" s="37"/>
      <c r="AK953" s="37"/>
      <c r="AL953" s="37"/>
      <c r="AM953" s="37"/>
      <c r="AN953" s="37"/>
      <c r="AO953" s="37"/>
      <c r="AP953" s="37"/>
      <c r="AQ953" s="37"/>
      <c r="AR953" s="37"/>
      <c r="AS953" s="37"/>
      <c r="AT953" s="37"/>
      <c r="AU953" s="37"/>
      <c r="AV953" s="37"/>
      <c r="AW953" s="37"/>
      <c r="AX953" s="37"/>
      <c r="AY953" s="37"/>
      <c r="AZ953" s="37"/>
    </row>
    <row r="954" spans="1:52">
      <c r="A954" s="37"/>
      <c r="B954" s="37"/>
      <c r="C954" s="37"/>
      <c r="D954" s="37"/>
      <c r="E954" s="37"/>
      <c r="F954" s="37"/>
      <c r="G954" s="37"/>
      <c r="H954" s="37"/>
      <c r="I954" s="37"/>
      <c r="J954" s="37"/>
      <c r="K954" s="37"/>
      <c r="L954" s="37"/>
      <c r="M954" s="37"/>
      <c r="N954" s="37"/>
      <c r="O954" s="37"/>
      <c r="P954" s="37"/>
      <c r="Q954" s="37"/>
      <c r="R954" s="37"/>
      <c r="S954" s="37"/>
      <c r="T954" s="37"/>
      <c r="U954" s="37"/>
      <c r="V954" s="37"/>
      <c r="W954" s="37"/>
      <c r="X954" s="37"/>
      <c r="Y954" s="37"/>
      <c r="Z954" s="37"/>
      <c r="AA954" s="37"/>
      <c r="AB954" s="37"/>
      <c r="AC954" s="37"/>
      <c r="AD954" s="37"/>
      <c r="AE954" s="37"/>
      <c r="AF954" s="37"/>
      <c r="AG954" s="37"/>
      <c r="AH954" s="37"/>
      <c r="AI954" s="37"/>
      <c r="AJ954" s="37"/>
      <c r="AK954" s="37"/>
      <c r="AL954" s="37"/>
      <c r="AM954" s="37"/>
      <c r="AN954" s="37"/>
      <c r="AO954" s="37"/>
      <c r="AP954" s="37"/>
      <c r="AQ954" s="37"/>
      <c r="AR954" s="37"/>
      <c r="AS954" s="37"/>
      <c r="AT954" s="37"/>
      <c r="AU954" s="37"/>
      <c r="AV954" s="37"/>
      <c r="AW954" s="37"/>
      <c r="AX954" s="37"/>
      <c r="AY954" s="37"/>
      <c r="AZ954" s="37"/>
    </row>
    <row r="955" spans="1:52">
      <c r="A955" s="37"/>
      <c r="B955" s="37"/>
      <c r="C955" s="37"/>
      <c r="D955" s="37"/>
      <c r="E955" s="37"/>
      <c r="F955" s="37"/>
      <c r="G955" s="37"/>
      <c r="H955" s="37"/>
      <c r="I955" s="37"/>
      <c r="J955" s="37"/>
      <c r="K955" s="37"/>
      <c r="L955" s="37"/>
      <c r="M955" s="37"/>
      <c r="N955" s="37"/>
      <c r="O955" s="37"/>
      <c r="P955" s="37"/>
      <c r="Q955" s="37"/>
      <c r="R955" s="37"/>
      <c r="S955" s="37"/>
      <c r="T955" s="37"/>
      <c r="U955" s="37"/>
      <c r="V955" s="37"/>
      <c r="W955" s="37"/>
      <c r="X955" s="37"/>
      <c r="Y955" s="37"/>
      <c r="Z955" s="37"/>
      <c r="AA955" s="37"/>
      <c r="AB955" s="37"/>
      <c r="AC955" s="37"/>
      <c r="AD955" s="37"/>
      <c r="AE955" s="37"/>
      <c r="AF955" s="37"/>
      <c r="AG955" s="37"/>
      <c r="AH955" s="37"/>
      <c r="AI955" s="37"/>
      <c r="AJ955" s="37"/>
      <c r="AK955" s="37"/>
      <c r="AL955" s="37"/>
      <c r="AM955" s="37"/>
      <c r="AN955" s="37"/>
      <c r="AO955" s="37"/>
      <c r="AP955" s="37"/>
      <c r="AQ955" s="37"/>
      <c r="AR955" s="37"/>
      <c r="AS955" s="37"/>
      <c r="AT955" s="37"/>
      <c r="AU955" s="37"/>
      <c r="AV955" s="37"/>
      <c r="AW955" s="37"/>
      <c r="AX955" s="37"/>
      <c r="AY955" s="37"/>
      <c r="AZ955" s="37"/>
    </row>
    <row r="956" spans="1:52">
      <c r="A956" s="37"/>
      <c r="B956" s="37"/>
      <c r="C956" s="37"/>
      <c r="D956" s="37"/>
      <c r="E956" s="37"/>
      <c r="F956" s="37"/>
      <c r="G956" s="37"/>
      <c r="H956" s="37"/>
      <c r="I956" s="37"/>
      <c r="J956" s="37"/>
      <c r="K956" s="37"/>
      <c r="L956" s="37"/>
      <c r="M956" s="37"/>
      <c r="N956" s="37"/>
      <c r="O956" s="37"/>
      <c r="P956" s="37"/>
      <c r="Q956" s="37"/>
      <c r="R956" s="37"/>
      <c r="S956" s="37"/>
      <c r="T956" s="37"/>
      <c r="U956" s="37"/>
      <c r="V956" s="37"/>
      <c r="W956" s="37"/>
      <c r="X956" s="37"/>
      <c r="Y956" s="37"/>
      <c r="Z956" s="37"/>
      <c r="AA956" s="37"/>
      <c r="AB956" s="37"/>
      <c r="AC956" s="37"/>
      <c r="AD956" s="37"/>
      <c r="AE956" s="37"/>
      <c r="AF956" s="37"/>
      <c r="AG956" s="37"/>
      <c r="AH956" s="37"/>
      <c r="AI956" s="37"/>
      <c r="AJ956" s="37"/>
      <c r="AK956" s="37"/>
      <c r="AL956" s="37"/>
      <c r="AM956" s="37"/>
      <c r="AN956" s="37"/>
      <c r="AO956" s="37"/>
      <c r="AP956" s="37"/>
      <c r="AQ956" s="37"/>
      <c r="AR956" s="37"/>
      <c r="AS956" s="37"/>
      <c r="AT956" s="37"/>
      <c r="AU956" s="37"/>
      <c r="AV956" s="37"/>
      <c r="AW956" s="37"/>
      <c r="AX956" s="37"/>
      <c r="AY956" s="37"/>
      <c r="AZ956" s="37"/>
    </row>
    <row r="957" spans="1:52">
      <c r="A957" s="37"/>
      <c r="B957" s="37"/>
      <c r="C957" s="37"/>
      <c r="D957" s="37"/>
      <c r="E957" s="37"/>
      <c r="F957" s="37"/>
      <c r="G957" s="37"/>
      <c r="H957" s="37"/>
      <c r="I957" s="37"/>
      <c r="J957" s="37"/>
      <c r="K957" s="37"/>
      <c r="L957" s="37"/>
      <c r="M957" s="37"/>
      <c r="N957" s="37"/>
      <c r="O957" s="37"/>
      <c r="P957" s="37"/>
      <c r="Q957" s="37"/>
      <c r="R957" s="37"/>
      <c r="S957" s="37"/>
      <c r="T957" s="37"/>
      <c r="U957" s="37"/>
      <c r="V957" s="37"/>
      <c r="W957" s="37"/>
      <c r="X957" s="37"/>
      <c r="Y957" s="37"/>
      <c r="Z957" s="37"/>
      <c r="AA957" s="37"/>
      <c r="AB957" s="37"/>
      <c r="AC957" s="37"/>
      <c r="AD957" s="37"/>
      <c r="AE957" s="37"/>
      <c r="AF957" s="37"/>
      <c r="AG957" s="37"/>
      <c r="AH957" s="37"/>
      <c r="AI957" s="37"/>
      <c r="AJ957" s="37"/>
      <c r="AK957" s="37"/>
      <c r="AL957" s="37"/>
      <c r="AM957" s="37"/>
      <c r="AN957" s="37"/>
      <c r="AO957" s="37"/>
      <c r="AP957" s="37"/>
      <c r="AQ957" s="37"/>
      <c r="AR957" s="37"/>
      <c r="AS957" s="37"/>
      <c r="AT957" s="37"/>
      <c r="AU957" s="37"/>
      <c r="AV957" s="37"/>
      <c r="AW957" s="37"/>
      <c r="AX957" s="37"/>
      <c r="AY957" s="37"/>
      <c r="AZ957" s="37"/>
    </row>
    <row r="958" spans="1:52">
      <c r="A958" s="37"/>
      <c r="B958" s="37"/>
      <c r="C958" s="37"/>
      <c r="D958" s="37"/>
      <c r="E958" s="37"/>
      <c r="F958" s="37"/>
      <c r="G958" s="37"/>
      <c r="H958" s="37"/>
      <c r="I958" s="37"/>
      <c r="J958" s="37"/>
      <c r="K958" s="37"/>
      <c r="L958" s="37"/>
      <c r="M958" s="37"/>
      <c r="N958" s="37"/>
      <c r="O958" s="37"/>
      <c r="P958" s="37"/>
      <c r="Q958" s="37"/>
      <c r="R958" s="37"/>
      <c r="S958" s="37"/>
      <c r="T958" s="37"/>
      <c r="U958" s="37"/>
      <c r="V958" s="37"/>
      <c r="W958" s="37"/>
      <c r="X958" s="37"/>
      <c r="Y958" s="37"/>
      <c r="Z958" s="37"/>
      <c r="AA958" s="37"/>
      <c r="AB958" s="37"/>
      <c r="AC958" s="37"/>
      <c r="AD958" s="37"/>
      <c r="AE958" s="37"/>
      <c r="AF958" s="37"/>
      <c r="AG958" s="37"/>
      <c r="AH958" s="37"/>
      <c r="AI958" s="37"/>
      <c r="AJ958" s="37"/>
      <c r="AK958" s="37"/>
      <c r="AL958" s="37"/>
      <c r="AM958" s="37"/>
      <c r="AN958" s="37"/>
      <c r="AO958" s="37"/>
      <c r="AP958" s="37"/>
      <c r="AQ958" s="37"/>
      <c r="AR958" s="37"/>
      <c r="AS958" s="37"/>
      <c r="AT958" s="37"/>
      <c r="AU958" s="37"/>
      <c r="AV958" s="37"/>
      <c r="AW958" s="37"/>
      <c r="AX958" s="37"/>
      <c r="AY958" s="37"/>
      <c r="AZ958" s="37"/>
    </row>
    <row r="959" spans="1:52">
      <c r="A959" s="37"/>
      <c r="B959" s="37"/>
      <c r="C959" s="37"/>
      <c r="D959" s="37"/>
      <c r="E959" s="37"/>
      <c r="F959" s="37"/>
      <c r="G959" s="37"/>
      <c r="H959" s="37"/>
      <c r="I959" s="37"/>
      <c r="J959" s="37"/>
      <c r="K959" s="37"/>
      <c r="L959" s="37"/>
      <c r="M959" s="37"/>
      <c r="N959" s="37"/>
      <c r="O959" s="37"/>
      <c r="P959" s="37"/>
      <c r="Q959" s="37"/>
      <c r="R959" s="37"/>
      <c r="S959" s="37"/>
      <c r="T959" s="37"/>
      <c r="U959" s="37"/>
      <c r="V959" s="37"/>
      <c r="W959" s="37"/>
      <c r="X959" s="37"/>
      <c r="Y959" s="37"/>
      <c r="Z959" s="37"/>
      <c r="AA959" s="37"/>
      <c r="AB959" s="37"/>
      <c r="AC959" s="37"/>
      <c r="AD959" s="37"/>
      <c r="AE959" s="37"/>
      <c r="AF959" s="37"/>
      <c r="AG959" s="37"/>
      <c r="AH959" s="37"/>
      <c r="AI959" s="37"/>
      <c r="AJ959" s="37"/>
      <c r="AK959" s="37"/>
      <c r="AL959" s="37"/>
      <c r="AM959" s="37"/>
      <c r="AN959" s="37"/>
      <c r="AO959" s="37"/>
      <c r="AP959" s="37"/>
      <c r="AQ959" s="37"/>
      <c r="AR959" s="37"/>
      <c r="AS959" s="37"/>
      <c r="AT959" s="37"/>
      <c r="AU959" s="37"/>
      <c r="AV959" s="37"/>
      <c r="AW959" s="37"/>
      <c r="AX959" s="37"/>
      <c r="AY959" s="37"/>
      <c r="AZ959" s="37"/>
    </row>
    <row r="960" spans="1:52">
      <c r="A960" s="37"/>
      <c r="B960" s="37"/>
      <c r="C960" s="37"/>
      <c r="D960" s="37"/>
      <c r="E960" s="37"/>
      <c r="F960" s="37"/>
      <c r="G960" s="37"/>
      <c r="H960" s="37"/>
      <c r="I960" s="37"/>
      <c r="J960" s="37"/>
      <c r="K960" s="37"/>
      <c r="L960" s="37"/>
      <c r="M960" s="37"/>
      <c r="N960" s="37"/>
      <c r="O960" s="37"/>
      <c r="P960" s="37"/>
      <c r="Q960" s="37"/>
      <c r="R960" s="37"/>
      <c r="S960" s="37"/>
      <c r="T960" s="37"/>
      <c r="U960" s="37"/>
      <c r="V960" s="37"/>
      <c r="W960" s="37"/>
      <c r="X960" s="37"/>
      <c r="Y960" s="37"/>
      <c r="Z960" s="37"/>
      <c r="AA960" s="37"/>
      <c r="AB960" s="37"/>
      <c r="AC960" s="37"/>
      <c r="AD960" s="37"/>
      <c r="AE960" s="37"/>
      <c r="AF960" s="37"/>
      <c r="AG960" s="37"/>
      <c r="AH960" s="37"/>
      <c r="AI960" s="37"/>
      <c r="AJ960" s="37"/>
      <c r="AK960" s="37"/>
      <c r="AL960" s="37"/>
      <c r="AM960" s="37"/>
      <c r="AN960" s="37"/>
      <c r="AO960" s="37"/>
      <c r="AP960" s="37"/>
      <c r="AQ960" s="37"/>
      <c r="AR960" s="37"/>
      <c r="AS960" s="37"/>
      <c r="AT960" s="37"/>
      <c r="AU960" s="37"/>
      <c r="AV960" s="37"/>
      <c r="AW960" s="37"/>
      <c r="AX960" s="37"/>
      <c r="AY960" s="37"/>
      <c r="AZ960" s="37"/>
    </row>
    <row r="961" spans="1:52">
      <c r="A961" s="37"/>
      <c r="B961" s="37"/>
      <c r="C961" s="37"/>
      <c r="D961" s="37"/>
      <c r="E961" s="37"/>
      <c r="F961" s="37"/>
      <c r="G961" s="37"/>
      <c r="H961" s="37"/>
      <c r="I961" s="37"/>
      <c r="J961" s="37"/>
      <c r="K961" s="37"/>
      <c r="L961" s="37"/>
      <c r="M961" s="37"/>
      <c r="N961" s="37"/>
      <c r="O961" s="37"/>
      <c r="P961" s="37"/>
      <c r="Q961" s="37"/>
      <c r="R961" s="37"/>
      <c r="S961" s="37"/>
      <c r="T961" s="37"/>
      <c r="U961" s="37"/>
      <c r="V961" s="37"/>
      <c r="W961" s="37"/>
      <c r="X961" s="37"/>
      <c r="Y961" s="37"/>
      <c r="Z961" s="37"/>
      <c r="AA961" s="37"/>
      <c r="AB961" s="37"/>
      <c r="AC961" s="37"/>
      <c r="AD961" s="37"/>
      <c r="AE961" s="37"/>
      <c r="AF961" s="37"/>
      <c r="AG961" s="37"/>
      <c r="AH961" s="37"/>
      <c r="AI961" s="37"/>
      <c r="AJ961" s="37"/>
      <c r="AK961" s="37"/>
      <c r="AL961" s="37"/>
      <c r="AM961" s="37"/>
      <c r="AN961" s="37"/>
      <c r="AO961" s="37"/>
      <c r="AP961" s="37"/>
      <c r="AQ961" s="37"/>
      <c r="AR961" s="37"/>
      <c r="AS961" s="37"/>
      <c r="AT961" s="37"/>
      <c r="AU961" s="37"/>
      <c r="AV961" s="37"/>
      <c r="AW961" s="37"/>
      <c r="AX961" s="37"/>
      <c r="AY961" s="37"/>
      <c r="AZ961" s="37"/>
    </row>
    <row r="962" spans="1:52">
      <c r="A962" s="37"/>
      <c r="B962" s="37"/>
      <c r="C962" s="37"/>
      <c r="D962" s="37"/>
      <c r="E962" s="37"/>
      <c r="F962" s="37"/>
      <c r="G962" s="37"/>
      <c r="H962" s="37"/>
      <c r="I962" s="37"/>
      <c r="J962" s="37"/>
      <c r="K962" s="37"/>
      <c r="L962" s="37"/>
      <c r="M962" s="37"/>
      <c r="N962" s="37"/>
      <c r="O962" s="37"/>
      <c r="P962" s="37"/>
      <c r="Q962" s="37"/>
      <c r="R962" s="37"/>
      <c r="S962" s="37"/>
      <c r="T962" s="37"/>
      <c r="U962" s="37"/>
      <c r="V962" s="37"/>
      <c r="W962" s="37"/>
      <c r="X962" s="37"/>
      <c r="Y962" s="37"/>
      <c r="Z962" s="37"/>
      <c r="AA962" s="37"/>
      <c r="AB962" s="37"/>
      <c r="AC962" s="37"/>
      <c r="AD962" s="37"/>
      <c r="AE962" s="37"/>
      <c r="AF962" s="37"/>
      <c r="AG962" s="37"/>
      <c r="AH962" s="37"/>
      <c r="AI962" s="37"/>
      <c r="AJ962" s="37"/>
      <c r="AK962" s="37"/>
      <c r="AL962" s="37"/>
      <c r="AM962" s="37"/>
      <c r="AN962" s="37"/>
      <c r="AO962" s="37"/>
      <c r="AP962" s="37"/>
      <c r="AQ962" s="37"/>
      <c r="AR962" s="37"/>
      <c r="AS962" s="37"/>
      <c r="AT962" s="37"/>
      <c r="AU962" s="37"/>
      <c r="AV962" s="37"/>
      <c r="AW962" s="37"/>
      <c r="AX962" s="37"/>
      <c r="AY962" s="37"/>
      <c r="AZ962" s="37"/>
    </row>
    <row r="963" spans="1:52">
      <c r="A963" s="37"/>
      <c r="B963" s="37"/>
      <c r="C963" s="37"/>
      <c r="D963" s="37"/>
      <c r="E963" s="37"/>
      <c r="F963" s="37"/>
      <c r="G963" s="37"/>
      <c r="H963" s="37"/>
      <c r="I963" s="37"/>
      <c r="J963" s="37"/>
      <c r="K963" s="37"/>
      <c r="L963" s="37"/>
      <c r="M963" s="37"/>
      <c r="N963" s="37"/>
      <c r="O963" s="37"/>
      <c r="P963" s="37"/>
      <c r="Q963" s="37"/>
      <c r="R963" s="37"/>
      <c r="S963" s="37"/>
      <c r="T963" s="37"/>
      <c r="U963" s="37"/>
      <c r="V963" s="37"/>
      <c r="W963" s="37"/>
      <c r="X963" s="37"/>
      <c r="Y963" s="37"/>
      <c r="Z963" s="37"/>
      <c r="AA963" s="37"/>
      <c r="AB963" s="37"/>
      <c r="AC963" s="37"/>
      <c r="AD963" s="37"/>
      <c r="AE963" s="37"/>
      <c r="AF963" s="37"/>
      <c r="AG963" s="37"/>
      <c r="AH963" s="37"/>
      <c r="AI963" s="37"/>
      <c r="AJ963" s="37"/>
      <c r="AK963" s="37"/>
      <c r="AL963" s="37"/>
      <c r="AM963" s="37"/>
      <c r="AN963" s="37"/>
      <c r="AO963" s="37"/>
      <c r="AP963" s="37"/>
      <c r="AQ963" s="37"/>
      <c r="AR963" s="37"/>
      <c r="AS963" s="37"/>
      <c r="AT963" s="37"/>
      <c r="AU963" s="37"/>
      <c r="AV963" s="37"/>
      <c r="AW963" s="37"/>
      <c r="AX963" s="37"/>
      <c r="AY963" s="37"/>
      <c r="AZ963" s="37"/>
    </row>
    <row r="964" spans="1:52">
      <c r="A964" s="37"/>
      <c r="B964" s="37"/>
      <c r="C964" s="37"/>
      <c r="D964" s="37"/>
      <c r="E964" s="37"/>
      <c r="F964" s="37"/>
      <c r="G964" s="37"/>
      <c r="H964" s="37"/>
      <c r="I964" s="37"/>
      <c r="J964" s="37"/>
      <c r="K964" s="37"/>
      <c r="L964" s="37"/>
      <c r="M964" s="37"/>
      <c r="N964" s="37"/>
      <c r="O964" s="37"/>
      <c r="P964" s="37"/>
      <c r="Q964" s="37"/>
      <c r="R964" s="37"/>
      <c r="S964" s="37"/>
      <c r="T964" s="37"/>
      <c r="U964" s="37"/>
      <c r="V964" s="37"/>
      <c r="W964" s="37"/>
      <c r="X964" s="37"/>
      <c r="Y964" s="37"/>
      <c r="Z964" s="37"/>
      <c r="AA964" s="37"/>
      <c r="AB964" s="37"/>
      <c r="AC964" s="37"/>
      <c r="AD964" s="37"/>
      <c r="AE964" s="37"/>
      <c r="AF964" s="37"/>
      <c r="AG964" s="37"/>
      <c r="AH964" s="37"/>
      <c r="AI964" s="37"/>
      <c r="AJ964" s="37"/>
      <c r="AK964" s="37"/>
      <c r="AL964" s="37"/>
      <c r="AM964" s="37"/>
      <c r="AN964" s="37"/>
      <c r="AO964" s="37"/>
      <c r="AP964" s="37"/>
      <c r="AQ964" s="37"/>
      <c r="AR964" s="37"/>
      <c r="AS964" s="37"/>
      <c r="AT964" s="37"/>
      <c r="AU964" s="37"/>
      <c r="AV964" s="37"/>
      <c r="AW964" s="37"/>
      <c r="AX964" s="37"/>
      <c r="AY964" s="37"/>
      <c r="AZ964" s="37"/>
    </row>
    <row r="965" spans="1:52">
      <c r="A965" s="37"/>
      <c r="B965" s="37"/>
      <c r="C965" s="37"/>
      <c r="D965" s="37"/>
      <c r="E965" s="37"/>
      <c r="F965" s="37"/>
      <c r="G965" s="37"/>
      <c r="H965" s="37"/>
      <c r="I965" s="37"/>
      <c r="J965" s="37"/>
      <c r="K965" s="37"/>
      <c r="L965" s="37"/>
      <c r="M965" s="37"/>
      <c r="N965" s="37"/>
      <c r="O965" s="37"/>
      <c r="P965" s="37"/>
      <c r="Q965" s="37"/>
      <c r="R965" s="37"/>
      <c r="S965" s="37"/>
      <c r="T965" s="37"/>
      <c r="U965" s="37"/>
      <c r="V965" s="37"/>
      <c r="W965" s="37"/>
      <c r="X965" s="37"/>
      <c r="Y965" s="37"/>
      <c r="Z965" s="37"/>
      <c r="AA965" s="37"/>
      <c r="AB965" s="37"/>
      <c r="AC965" s="37"/>
      <c r="AD965" s="37"/>
      <c r="AE965" s="37"/>
      <c r="AF965" s="37"/>
      <c r="AG965" s="37"/>
      <c r="AH965" s="37"/>
      <c r="AI965" s="37"/>
      <c r="AJ965" s="37"/>
      <c r="AK965" s="37"/>
      <c r="AL965" s="37"/>
      <c r="AM965" s="37"/>
      <c r="AN965" s="37"/>
      <c r="AO965" s="37"/>
      <c r="AP965" s="37"/>
      <c r="AQ965" s="37"/>
      <c r="AR965" s="37"/>
      <c r="AS965" s="37"/>
      <c r="AT965" s="37"/>
      <c r="AU965" s="37"/>
      <c r="AV965" s="37"/>
      <c r="AW965" s="37"/>
      <c r="AX965" s="37"/>
      <c r="AY965" s="37"/>
      <c r="AZ965" s="37"/>
    </row>
    <row r="966" spans="1:52">
      <c r="A966" s="37"/>
      <c r="B966" s="37"/>
      <c r="C966" s="37"/>
      <c r="D966" s="37"/>
      <c r="E966" s="37"/>
      <c r="F966" s="37"/>
      <c r="G966" s="37"/>
      <c r="H966" s="37"/>
      <c r="I966" s="37"/>
      <c r="J966" s="37"/>
      <c r="K966" s="37"/>
      <c r="L966" s="37"/>
      <c r="M966" s="37"/>
      <c r="N966" s="37"/>
      <c r="O966" s="37"/>
      <c r="P966" s="37"/>
      <c r="Q966" s="37"/>
      <c r="R966" s="37"/>
      <c r="S966" s="37"/>
      <c r="T966" s="37"/>
      <c r="U966" s="37"/>
      <c r="V966" s="37"/>
      <c r="W966" s="37"/>
      <c r="X966" s="37"/>
      <c r="Y966" s="37"/>
      <c r="Z966" s="37"/>
      <c r="AA966" s="37"/>
      <c r="AB966" s="37"/>
      <c r="AC966" s="37"/>
      <c r="AD966" s="37"/>
      <c r="AE966" s="37"/>
      <c r="AF966" s="37"/>
      <c r="AG966" s="37"/>
      <c r="AH966" s="37"/>
      <c r="AI966" s="37"/>
      <c r="AJ966" s="37"/>
      <c r="AK966" s="37"/>
      <c r="AL966" s="37"/>
      <c r="AM966" s="37"/>
      <c r="AN966" s="37"/>
      <c r="AO966" s="37"/>
      <c r="AP966" s="37"/>
      <c r="AQ966" s="37"/>
      <c r="AR966" s="37"/>
      <c r="AS966" s="37"/>
      <c r="AT966" s="37"/>
      <c r="AU966" s="37"/>
      <c r="AV966" s="37"/>
      <c r="AW966" s="37"/>
      <c r="AX966" s="37"/>
      <c r="AY966" s="37"/>
      <c r="AZ966" s="37"/>
    </row>
    <row r="967" spans="1:52">
      <c r="A967" s="37"/>
      <c r="B967" s="37"/>
      <c r="C967" s="37"/>
      <c r="D967" s="37"/>
      <c r="E967" s="37"/>
      <c r="F967" s="37"/>
      <c r="G967" s="37"/>
      <c r="H967" s="37"/>
      <c r="I967" s="37"/>
      <c r="J967" s="37"/>
      <c r="K967" s="37"/>
      <c r="L967" s="37"/>
      <c r="M967" s="37"/>
      <c r="N967" s="37"/>
      <c r="O967" s="37"/>
      <c r="P967" s="37"/>
      <c r="Q967" s="37"/>
      <c r="R967" s="37"/>
      <c r="S967" s="37"/>
      <c r="T967" s="37"/>
      <c r="U967" s="37"/>
      <c r="V967" s="37"/>
      <c r="W967" s="37"/>
      <c r="X967" s="37"/>
      <c r="Y967" s="37"/>
      <c r="Z967" s="37"/>
      <c r="AA967" s="37"/>
      <c r="AB967" s="37"/>
      <c r="AC967" s="37"/>
      <c r="AD967" s="37"/>
      <c r="AE967" s="37"/>
      <c r="AF967" s="37"/>
      <c r="AG967" s="37"/>
      <c r="AH967" s="37"/>
      <c r="AI967" s="37"/>
      <c r="AJ967" s="37"/>
      <c r="AK967" s="37"/>
      <c r="AL967" s="37"/>
      <c r="AM967" s="37"/>
      <c r="AN967" s="37"/>
      <c r="AO967" s="37"/>
      <c r="AP967" s="37"/>
      <c r="AQ967" s="37"/>
      <c r="AR967" s="37"/>
      <c r="AS967" s="37"/>
      <c r="AT967" s="37"/>
      <c r="AU967" s="37"/>
      <c r="AV967" s="37"/>
      <c r="AW967" s="37"/>
      <c r="AX967" s="37"/>
      <c r="AY967" s="37"/>
      <c r="AZ967" s="37"/>
    </row>
    <row r="968" spans="1:52">
      <c r="A968" s="37"/>
      <c r="B968" s="37"/>
      <c r="C968" s="37"/>
      <c r="D968" s="37"/>
      <c r="E968" s="37"/>
      <c r="F968" s="37"/>
      <c r="G968" s="37"/>
      <c r="H968" s="37"/>
      <c r="I968" s="37"/>
      <c r="J968" s="37"/>
      <c r="K968" s="37"/>
      <c r="L968" s="37"/>
      <c r="M968" s="37"/>
      <c r="N968" s="37"/>
      <c r="O968" s="37"/>
      <c r="P968" s="37"/>
      <c r="Q968" s="37"/>
      <c r="R968" s="37"/>
      <c r="S968" s="37"/>
      <c r="T968" s="37"/>
      <c r="U968" s="37"/>
      <c r="V968" s="37"/>
      <c r="W968" s="37"/>
      <c r="X968" s="37"/>
      <c r="Y968" s="37"/>
      <c r="Z968" s="37"/>
      <c r="AA968" s="37"/>
      <c r="AB968" s="37"/>
      <c r="AC968" s="37"/>
      <c r="AD968" s="37"/>
      <c r="AE968" s="37"/>
      <c r="AF968" s="37"/>
      <c r="AG968" s="37"/>
      <c r="AH968" s="37"/>
      <c r="AI968" s="37"/>
      <c r="AJ968" s="37"/>
      <c r="AK968" s="37"/>
      <c r="AL968" s="37"/>
      <c r="AM968" s="37"/>
      <c r="AN968" s="37"/>
      <c r="AO968" s="37"/>
      <c r="AP968" s="37"/>
      <c r="AQ968" s="37"/>
      <c r="AR968" s="37"/>
      <c r="AS968" s="37"/>
      <c r="AT968" s="37"/>
      <c r="AU968" s="37"/>
      <c r="AV968" s="37"/>
      <c r="AW968" s="37"/>
      <c r="AX968" s="37"/>
      <c r="AY968" s="37"/>
      <c r="AZ968" s="37"/>
    </row>
    <row r="969" spans="1:52">
      <c r="A969" s="37"/>
      <c r="B969" s="37"/>
      <c r="C969" s="37"/>
      <c r="D969" s="37"/>
      <c r="E969" s="37"/>
      <c r="F969" s="37"/>
      <c r="G969" s="37"/>
      <c r="H969" s="37"/>
      <c r="I969" s="37"/>
      <c r="J969" s="37"/>
      <c r="K969" s="37"/>
      <c r="L969" s="37"/>
      <c r="M969" s="37"/>
      <c r="N969" s="37"/>
      <c r="O969" s="37"/>
      <c r="P969" s="37"/>
      <c r="Q969" s="37"/>
      <c r="R969" s="37"/>
      <c r="S969" s="37"/>
      <c r="T969" s="37"/>
      <c r="U969" s="37"/>
      <c r="V969" s="37"/>
      <c r="W969" s="37"/>
      <c r="X969" s="37"/>
      <c r="Y969" s="37"/>
      <c r="Z969" s="37"/>
      <c r="AA969" s="37"/>
      <c r="AB969" s="37"/>
      <c r="AC969" s="37"/>
      <c r="AD969" s="37"/>
      <c r="AE969" s="37"/>
      <c r="AF969" s="37"/>
      <c r="AG969" s="37"/>
      <c r="AH969" s="37"/>
      <c r="AI969" s="37"/>
      <c r="AJ969" s="37"/>
      <c r="AK969" s="37"/>
      <c r="AL969" s="37"/>
      <c r="AM969" s="37"/>
      <c r="AN969" s="37"/>
      <c r="AO969" s="37"/>
      <c r="AP969" s="37"/>
      <c r="AQ969" s="37"/>
      <c r="AR969" s="37"/>
      <c r="AS969" s="37"/>
      <c r="AT969" s="37"/>
      <c r="AU969" s="37"/>
      <c r="AV969" s="37"/>
      <c r="AW969" s="37"/>
      <c r="AX969" s="37"/>
      <c r="AY969" s="37"/>
      <c r="AZ969" s="37"/>
    </row>
    <row r="970" spans="1:52">
      <c r="A970" s="37"/>
      <c r="B970" s="37"/>
      <c r="C970" s="37"/>
      <c r="D970" s="37"/>
      <c r="E970" s="37"/>
      <c r="F970" s="37"/>
      <c r="G970" s="37"/>
      <c r="H970" s="37"/>
      <c r="I970" s="37"/>
      <c r="J970" s="37"/>
      <c r="K970" s="37"/>
      <c r="L970" s="37"/>
      <c r="M970" s="37"/>
      <c r="N970" s="37"/>
      <c r="O970" s="37"/>
      <c r="P970" s="37"/>
      <c r="Q970" s="37"/>
      <c r="R970" s="37"/>
      <c r="S970" s="37"/>
      <c r="T970" s="37"/>
      <c r="U970" s="37"/>
      <c r="V970" s="37"/>
      <c r="W970" s="37"/>
      <c r="X970" s="37"/>
      <c r="Y970" s="37"/>
      <c r="Z970" s="37"/>
      <c r="AA970" s="37"/>
      <c r="AB970" s="37"/>
      <c r="AC970" s="37"/>
      <c r="AD970" s="37"/>
      <c r="AE970" s="37"/>
      <c r="AF970" s="37"/>
      <c r="AG970" s="37"/>
      <c r="AH970" s="37"/>
      <c r="AI970" s="37"/>
      <c r="AJ970" s="37"/>
      <c r="AK970" s="37"/>
      <c r="AL970" s="37"/>
      <c r="AM970" s="37"/>
      <c r="AN970" s="37"/>
      <c r="AO970" s="37"/>
      <c r="AP970" s="37"/>
      <c r="AQ970" s="37"/>
      <c r="AR970" s="37"/>
      <c r="AS970" s="37"/>
      <c r="AT970" s="37"/>
      <c r="AU970" s="37"/>
      <c r="AV970" s="37"/>
      <c r="AW970" s="37"/>
      <c r="AX970" s="37"/>
      <c r="AY970" s="37"/>
      <c r="AZ970" s="37"/>
    </row>
    <row r="971" spans="1:52">
      <c r="A971" s="37"/>
      <c r="B971" s="37"/>
      <c r="C971" s="37"/>
      <c r="D971" s="37"/>
      <c r="E971" s="37"/>
      <c r="F971" s="37"/>
      <c r="G971" s="37"/>
      <c r="H971" s="37"/>
      <c r="I971" s="37"/>
      <c r="J971" s="37"/>
      <c r="K971" s="37"/>
      <c r="L971" s="37"/>
      <c r="M971" s="37"/>
      <c r="N971" s="37"/>
      <c r="O971" s="37"/>
      <c r="P971" s="37"/>
      <c r="Q971" s="37"/>
      <c r="R971" s="37"/>
      <c r="S971" s="37"/>
      <c r="T971" s="37"/>
      <c r="U971" s="37"/>
      <c r="V971" s="37"/>
      <c r="W971" s="37"/>
      <c r="X971" s="37"/>
      <c r="Y971" s="37"/>
      <c r="Z971" s="37"/>
      <c r="AA971" s="37"/>
      <c r="AB971" s="37"/>
      <c r="AC971" s="37"/>
      <c r="AD971" s="37"/>
      <c r="AE971" s="37"/>
      <c r="AF971" s="37"/>
      <c r="AG971" s="37"/>
      <c r="AH971" s="37"/>
      <c r="AI971" s="37"/>
      <c r="AJ971" s="37"/>
      <c r="AK971" s="37"/>
      <c r="AL971" s="37"/>
      <c r="AM971" s="37"/>
      <c r="AN971" s="37"/>
      <c r="AO971" s="37"/>
      <c r="AP971" s="37"/>
      <c r="AQ971" s="37"/>
      <c r="AR971" s="37"/>
      <c r="AS971" s="37"/>
      <c r="AT971" s="37"/>
      <c r="AU971" s="37"/>
      <c r="AV971" s="37"/>
      <c r="AW971" s="37"/>
      <c r="AX971" s="37"/>
      <c r="AY971" s="37"/>
      <c r="AZ971" s="37"/>
    </row>
    <row r="972" spans="1:52">
      <c r="A972" s="37"/>
      <c r="B972" s="37"/>
      <c r="C972" s="37"/>
      <c r="D972" s="37"/>
      <c r="E972" s="37"/>
      <c r="F972" s="37"/>
      <c r="G972" s="37"/>
      <c r="H972" s="37"/>
      <c r="I972" s="37"/>
      <c r="J972" s="37"/>
      <c r="K972" s="37"/>
      <c r="L972" s="37"/>
      <c r="M972" s="37"/>
      <c r="N972" s="37"/>
      <c r="O972" s="37"/>
      <c r="P972" s="37"/>
      <c r="Q972" s="37"/>
      <c r="R972" s="37"/>
      <c r="S972" s="37"/>
      <c r="T972" s="37"/>
      <c r="U972" s="37"/>
      <c r="V972" s="37"/>
      <c r="W972" s="37"/>
      <c r="X972" s="37"/>
      <c r="Y972" s="37"/>
      <c r="Z972" s="37"/>
      <c r="AA972" s="37"/>
      <c r="AB972" s="37"/>
      <c r="AC972" s="37"/>
      <c r="AD972" s="37"/>
      <c r="AE972" s="37"/>
      <c r="AF972" s="37"/>
      <c r="AG972" s="37"/>
      <c r="AH972" s="37"/>
      <c r="AI972" s="37"/>
      <c r="AJ972" s="37"/>
      <c r="AK972" s="37"/>
      <c r="AL972" s="37"/>
      <c r="AM972" s="37"/>
      <c r="AN972" s="37"/>
      <c r="AO972" s="37"/>
      <c r="AP972" s="37"/>
      <c r="AQ972" s="37"/>
      <c r="AR972" s="37"/>
      <c r="AS972" s="37"/>
      <c r="AT972" s="37"/>
      <c r="AU972" s="37"/>
      <c r="AV972" s="37"/>
      <c r="AW972" s="37"/>
      <c r="AX972" s="37"/>
      <c r="AY972" s="37"/>
      <c r="AZ972" s="37"/>
    </row>
    <row r="973" spans="1:52">
      <c r="A973" s="37"/>
      <c r="B973" s="37"/>
      <c r="C973" s="37"/>
      <c r="D973" s="37"/>
      <c r="E973" s="37"/>
      <c r="F973" s="37"/>
      <c r="G973" s="37"/>
      <c r="H973" s="37"/>
      <c r="I973" s="37"/>
      <c r="J973" s="37"/>
      <c r="K973" s="37"/>
      <c r="L973" s="37"/>
      <c r="M973" s="37"/>
      <c r="N973" s="37"/>
      <c r="O973" s="37"/>
      <c r="P973" s="37"/>
      <c r="Q973" s="37"/>
      <c r="R973" s="37"/>
      <c r="S973" s="37"/>
      <c r="T973" s="37"/>
      <c r="U973" s="37"/>
      <c r="V973" s="37"/>
      <c r="W973" s="37"/>
      <c r="X973" s="37"/>
      <c r="Y973" s="37"/>
      <c r="Z973" s="37"/>
      <c r="AA973" s="37"/>
      <c r="AB973" s="37"/>
      <c r="AC973" s="37"/>
      <c r="AD973" s="37"/>
      <c r="AE973" s="37"/>
      <c r="AF973" s="37"/>
      <c r="AG973" s="37"/>
      <c r="AH973" s="37"/>
      <c r="AI973" s="37"/>
      <c r="AJ973" s="37"/>
      <c r="AK973" s="37"/>
      <c r="AL973" s="37"/>
      <c r="AM973" s="37"/>
      <c r="AN973" s="37"/>
      <c r="AO973" s="37"/>
      <c r="AP973" s="37"/>
      <c r="AQ973" s="37"/>
      <c r="AR973" s="37"/>
      <c r="AS973" s="37"/>
      <c r="AT973" s="37"/>
      <c r="AU973" s="37"/>
      <c r="AV973" s="37"/>
      <c r="AW973" s="37"/>
      <c r="AX973" s="37"/>
      <c r="AY973" s="37"/>
      <c r="AZ973" s="37"/>
    </row>
    <row r="974" spans="1:52">
      <c r="A974" s="37"/>
      <c r="B974" s="37"/>
      <c r="C974" s="37"/>
      <c r="D974" s="37"/>
      <c r="E974" s="37"/>
      <c r="F974" s="37"/>
      <c r="G974" s="37"/>
      <c r="H974" s="37"/>
      <c r="I974" s="37"/>
      <c r="J974" s="37"/>
      <c r="K974" s="37"/>
      <c r="L974" s="37"/>
      <c r="M974" s="37"/>
      <c r="N974" s="37"/>
      <c r="O974" s="37"/>
      <c r="P974" s="37"/>
      <c r="Q974" s="37"/>
      <c r="R974" s="37"/>
      <c r="S974" s="37"/>
      <c r="T974" s="37"/>
      <c r="U974" s="37"/>
      <c r="V974" s="37"/>
      <c r="W974" s="37"/>
      <c r="X974" s="37"/>
      <c r="Y974" s="37"/>
      <c r="Z974" s="37"/>
      <c r="AA974" s="37"/>
      <c r="AB974" s="37"/>
      <c r="AC974" s="37"/>
      <c r="AD974" s="37"/>
      <c r="AE974" s="37"/>
      <c r="AF974" s="37"/>
      <c r="AG974" s="37"/>
      <c r="AH974" s="37"/>
      <c r="AI974" s="37"/>
      <c r="AJ974" s="37"/>
      <c r="AK974" s="37"/>
      <c r="AL974" s="37"/>
      <c r="AM974" s="37"/>
      <c r="AN974" s="37"/>
      <c r="AO974" s="37"/>
      <c r="AP974" s="37"/>
      <c r="AQ974" s="37"/>
      <c r="AR974" s="37"/>
      <c r="AS974" s="37"/>
      <c r="AT974" s="37"/>
      <c r="AU974" s="37"/>
      <c r="AV974" s="37"/>
      <c r="AW974" s="37"/>
      <c r="AX974" s="37"/>
      <c r="AY974" s="37"/>
      <c r="AZ974" s="37"/>
    </row>
    <row r="975" spans="1:52">
      <c r="A975" s="37"/>
      <c r="B975" s="37"/>
      <c r="C975" s="37"/>
      <c r="D975" s="37"/>
      <c r="E975" s="37"/>
      <c r="F975" s="37"/>
      <c r="G975" s="37"/>
      <c r="H975" s="37"/>
      <c r="I975" s="37"/>
      <c r="J975" s="37"/>
      <c r="K975" s="37"/>
      <c r="L975" s="37"/>
      <c r="M975" s="37"/>
      <c r="N975" s="37"/>
      <c r="O975" s="37"/>
      <c r="P975" s="37"/>
      <c r="Q975" s="37"/>
      <c r="R975" s="37"/>
      <c r="S975" s="37"/>
      <c r="T975" s="37"/>
      <c r="U975" s="37"/>
      <c r="V975" s="37"/>
      <c r="W975" s="37"/>
      <c r="X975" s="37"/>
      <c r="Y975" s="37"/>
      <c r="Z975" s="37"/>
      <c r="AA975" s="37"/>
      <c r="AB975" s="37"/>
      <c r="AC975" s="37"/>
      <c r="AD975" s="37"/>
      <c r="AE975" s="37"/>
      <c r="AF975" s="37"/>
      <c r="AG975" s="37"/>
      <c r="AH975" s="37"/>
      <c r="AI975" s="37"/>
      <c r="AJ975" s="37"/>
      <c r="AK975" s="37"/>
      <c r="AL975" s="37"/>
      <c r="AM975" s="37"/>
      <c r="AN975" s="37"/>
      <c r="AO975" s="37"/>
      <c r="AP975" s="37"/>
      <c r="AQ975" s="37"/>
      <c r="AR975" s="37"/>
      <c r="AS975" s="37"/>
      <c r="AT975" s="37"/>
      <c r="AU975" s="37"/>
      <c r="AV975" s="37"/>
      <c r="AW975" s="37"/>
      <c r="AX975" s="37"/>
      <c r="AY975" s="37"/>
      <c r="AZ975" s="37"/>
    </row>
    <row r="976" spans="1:52">
      <c r="A976" s="37"/>
      <c r="B976" s="37"/>
      <c r="C976" s="37"/>
      <c r="D976" s="37"/>
      <c r="E976" s="37"/>
      <c r="F976" s="37"/>
      <c r="G976" s="37"/>
      <c r="H976" s="37"/>
      <c r="I976" s="37"/>
      <c r="J976" s="37"/>
      <c r="K976" s="37"/>
      <c r="L976" s="37"/>
      <c r="M976" s="37"/>
      <c r="N976" s="37"/>
      <c r="O976" s="37"/>
      <c r="P976" s="37"/>
      <c r="Q976" s="37"/>
      <c r="R976" s="37"/>
      <c r="S976" s="37"/>
      <c r="T976" s="37"/>
      <c r="U976" s="37"/>
      <c r="V976" s="37"/>
      <c r="W976" s="37"/>
      <c r="X976" s="37"/>
      <c r="Y976" s="37"/>
      <c r="Z976" s="37"/>
      <c r="AA976" s="37"/>
      <c r="AB976" s="37"/>
      <c r="AC976" s="37"/>
      <c r="AD976" s="37"/>
      <c r="AE976" s="37"/>
      <c r="AF976" s="37"/>
      <c r="AG976" s="37"/>
      <c r="AH976" s="37"/>
      <c r="AI976" s="37"/>
      <c r="AJ976" s="37"/>
      <c r="AK976" s="37"/>
      <c r="AL976" s="37"/>
      <c r="AM976" s="37"/>
      <c r="AN976" s="37"/>
      <c r="AO976" s="37"/>
      <c r="AP976" s="37"/>
      <c r="AQ976" s="37"/>
      <c r="AR976" s="37"/>
      <c r="AS976" s="37"/>
      <c r="AT976" s="37"/>
      <c r="AU976" s="37"/>
      <c r="AV976" s="37"/>
      <c r="AW976" s="37"/>
      <c r="AX976" s="37"/>
      <c r="AY976" s="37"/>
      <c r="AZ976" s="37"/>
    </row>
    <row r="977" spans="1:52">
      <c r="A977" s="37"/>
      <c r="B977" s="37"/>
      <c r="C977" s="37"/>
      <c r="D977" s="37"/>
      <c r="E977" s="37"/>
      <c r="F977" s="37"/>
      <c r="G977" s="37"/>
      <c r="H977" s="37"/>
      <c r="I977" s="37"/>
      <c r="J977" s="37"/>
      <c r="K977" s="37"/>
      <c r="L977" s="37"/>
      <c r="M977" s="37"/>
      <c r="N977" s="37"/>
      <c r="O977" s="37"/>
      <c r="P977" s="37"/>
      <c r="Q977" s="37"/>
      <c r="R977" s="37"/>
      <c r="S977" s="37"/>
      <c r="T977" s="37"/>
      <c r="U977" s="37"/>
      <c r="V977" s="37"/>
      <c r="W977" s="37"/>
      <c r="X977" s="37"/>
      <c r="Y977" s="37"/>
      <c r="Z977" s="37"/>
      <c r="AA977" s="37"/>
      <c r="AB977" s="37"/>
      <c r="AC977" s="37"/>
      <c r="AD977" s="37"/>
      <c r="AE977" s="37"/>
      <c r="AF977" s="37"/>
      <c r="AG977" s="37"/>
      <c r="AH977" s="37"/>
      <c r="AI977" s="37"/>
      <c r="AJ977" s="37"/>
      <c r="AK977" s="37"/>
      <c r="AL977" s="37"/>
      <c r="AM977" s="37"/>
      <c r="AN977" s="37"/>
      <c r="AO977" s="37"/>
      <c r="AP977" s="37"/>
      <c r="AQ977" s="37"/>
      <c r="AR977" s="37"/>
      <c r="AS977" s="37"/>
      <c r="AT977" s="37"/>
      <c r="AU977" s="37"/>
      <c r="AV977" s="37"/>
      <c r="AW977" s="37"/>
      <c r="AX977" s="37"/>
      <c r="AY977" s="37"/>
      <c r="AZ977" s="37"/>
    </row>
    <row r="978" spans="1:52">
      <c r="A978" s="37"/>
      <c r="B978" s="37"/>
      <c r="C978" s="37"/>
      <c r="D978" s="37"/>
      <c r="E978" s="37"/>
      <c r="F978" s="37"/>
      <c r="G978" s="37"/>
      <c r="H978" s="37"/>
      <c r="I978" s="37"/>
      <c r="J978" s="37"/>
      <c r="K978" s="37"/>
      <c r="L978" s="37"/>
      <c r="M978" s="37"/>
      <c r="N978" s="37"/>
      <c r="O978" s="37"/>
      <c r="P978" s="37"/>
      <c r="Q978" s="37"/>
      <c r="R978" s="37"/>
      <c r="S978" s="37"/>
      <c r="T978" s="37"/>
      <c r="U978" s="37"/>
      <c r="V978" s="37"/>
      <c r="W978" s="37"/>
      <c r="X978" s="37"/>
      <c r="Y978" s="37"/>
      <c r="Z978" s="37"/>
      <c r="AA978" s="37"/>
      <c r="AB978" s="37"/>
      <c r="AC978" s="37"/>
      <c r="AD978" s="37"/>
      <c r="AE978" s="37"/>
      <c r="AF978" s="37"/>
      <c r="AG978" s="37"/>
      <c r="AH978" s="37"/>
      <c r="AI978" s="37"/>
      <c r="AJ978" s="37"/>
      <c r="AK978" s="37"/>
      <c r="AL978" s="37"/>
      <c r="AM978" s="37"/>
      <c r="AN978" s="37"/>
      <c r="AO978" s="37"/>
      <c r="AP978" s="37"/>
      <c r="AQ978" s="37"/>
      <c r="AR978" s="37"/>
      <c r="AS978" s="37"/>
      <c r="AT978" s="37"/>
      <c r="AU978" s="37"/>
      <c r="AV978" s="37"/>
      <c r="AW978" s="37"/>
      <c r="AX978" s="37"/>
      <c r="AY978" s="37"/>
      <c r="AZ978" s="37"/>
    </row>
    <row r="979" spans="1:52">
      <c r="A979" s="37"/>
      <c r="B979" s="37"/>
      <c r="C979" s="37"/>
      <c r="D979" s="37"/>
      <c r="E979" s="37"/>
      <c r="F979" s="37"/>
      <c r="G979" s="37"/>
      <c r="H979" s="37"/>
      <c r="I979" s="37"/>
      <c r="J979" s="37"/>
      <c r="K979" s="37"/>
      <c r="L979" s="37"/>
      <c r="M979" s="37"/>
      <c r="N979" s="37"/>
      <c r="O979" s="37"/>
      <c r="P979" s="37"/>
      <c r="Q979" s="37"/>
      <c r="R979" s="37"/>
      <c r="S979" s="37"/>
      <c r="T979" s="37"/>
      <c r="U979" s="37"/>
      <c r="V979" s="37"/>
      <c r="W979" s="37"/>
      <c r="X979" s="37"/>
      <c r="Y979" s="37"/>
      <c r="Z979" s="37"/>
      <c r="AA979" s="37"/>
      <c r="AB979" s="37"/>
      <c r="AC979" s="37"/>
      <c r="AD979" s="37"/>
      <c r="AE979" s="37"/>
      <c r="AF979" s="37"/>
      <c r="AG979" s="37"/>
      <c r="AH979" s="37"/>
      <c r="AI979" s="37"/>
      <c r="AJ979" s="37"/>
      <c r="AK979" s="37"/>
      <c r="AL979" s="37"/>
      <c r="AM979" s="37"/>
      <c r="AN979" s="37"/>
      <c r="AO979" s="37"/>
      <c r="AP979" s="37"/>
      <c r="AQ979" s="37"/>
      <c r="AR979" s="37"/>
      <c r="AS979" s="37"/>
      <c r="AT979" s="37"/>
      <c r="AU979" s="37"/>
      <c r="AV979" s="37"/>
      <c r="AW979" s="37"/>
      <c r="AX979" s="37"/>
      <c r="AY979" s="37"/>
      <c r="AZ979" s="37"/>
    </row>
    <row r="980" spans="1:52">
      <c r="A980" s="37"/>
      <c r="B980" s="37"/>
      <c r="C980" s="37"/>
      <c r="D980" s="37"/>
      <c r="E980" s="37"/>
      <c r="F980" s="37"/>
      <c r="G980" s="37"/>
      <c r="H980" s="37"/>
      <c r="I980" s="37"/>
      <c r="J980" s="37"/>
      <c r="K980" s="37"/>
      <c r="L980" s="37"/>
      <c r="M980" s="37"/>
      <c r="N980" s="37"/>
      <c r="O980" s="37"/>
      <c r="P980" s="37"/>
      <c r="Q980" s="37"/>
      <c r="R980" s="37"/>
      <c r="S980" s="37"/>
      <c r="T980" s="37"/>
      <c r="U980" s="37"/>
      <c r="V980" s="37"/>
      <c r="W980" s="37"/>
      <c r="X980" s="37"/>
      <c r="Y980" s="37"/>
      <c r="Z980" s="37"/>
      <c r="AA980" s="37"/>
      <c r="AB980" s="37"/>
      <c r="AC980" s="37"/>
      <c r="AD980" s="37"/>
      <c r="AE980" s="37"/>
      <c r="AF980" s="37"/>
      <c r="AG980" s="37"/>
      <c r="AH980" s="37"/>
      <c r="AI980" s="37"/>
      <c r="AJ980" s="37"/>
      <c r="AK980" s="37"/>
      <c r="AL980" s="37"/>
      <c r="AM980" s="37"/>
      <c r="AN980" s="37"/>
      <c r="AO980" s="37"/>
      <c r="AP980" s="37"/>
      <c r="AQ980" s="37"/>
      <c r="AR980" s="37"/>
      <c r="AS980" s="37"/>
      <c r="AT980" s="37"/>
      <c r="AU980" s="37"/>
      <c r="AV980" s="37"/>
      <c r="AW980" s="37"/>
      <c r="AX980" s="37"/>
      <c r="AY980" s="37"/>
      <c r="AZ980" s="37"/>
    </row>
    <row r="981" spans="1:52">
      <c r="A981" s="37"/>
      <c r="B981" s="37"/>
      <c r="C981" s="37"/>
      <c r="D981" s="37"/>
      <c r="E981" s="37"/>
      <c r="F981" s="37"/>
      <c r="G981" s="37"/>
      <c r="H981" s="37"/>
      <c r="I981" s="37"/>
      <c r="J981" s="37"/>
      <c r="K981" s="37"/>
      <c r="L981" s="37"/>
      <c r="M981" s="37"/>
      <c r="N981" s="37"/>
      <c r="O981" s="37"/>
      <c r="P981" s="37"/>
      <c r="Q981" s="37"/>
      <c r="R981" s="37"/>
      <c r="S981" s="37"/>
      <c r="T981" s="37"/>
      <c r="U981" s="37"/>
      <c r="V981" s="37"/>
      <c r="W981" s="37"/>
      <c r="X981" s="37"/>
      <c r="Y981" s="37"/>
      <c r="Z981" s="37"/>
      <c r="AA981" s="37"/>
      <c r="AB981" s="37"/>
      <c r="AC981" s="37"/>
      <c r="AD981" s="37"/>
      <c r="AE981" s="37"/>
      <c r="AF981" s="37"/>
      <c r="AG981" s="37"/>
      <c r="AH981" s="37"/>
      <c r="AI981" s="37"/>
      <c r="AJ981" s="37"/>
      <c r="AK981" s="37"/>
      <c r="AL981" s="37"/>
      <c r="AM981" s="37"/>
      <c r="AN981" s="37"/>
      <c r="AO981" s="37"/>
      <c r="AP981" s="37"/>
      <c r="AQ981" s="37"/>
      <c r="AR981" s="37"/>
      <c r="AS981" s="37"/>
      <c r="AT981" s="37"/>
      <c r="AU981" s="37"/>
      <c r="AV981" s="37"/>
      <c r="AW981" s="37"/>
      <c r="AX981" s="37"/>
      <c r="AY981" s="37"/>
      <c r="AZ981" s="37"/>
    </row>
    <row r="982" spans="1:52">
      <c r="A982" s="37"/>
      <c r="B982" s="37"/>
      <c r="C982" s="37"/>
      <c r="D982" s="37"/>
      <c r="E982" s="37"/>
      <c r="F982" s="37"/>
      <c r="G982" s="37"/>
      <c r="H982" s="37"/>
      <c r="I982" s="37"/>
      <c r="J982" s="37"/>
      <c r="K982" s="37"/>
      <c r="L982" s="37"/>
      <c r="M982" s="37"/>
      <c r="N982" s="37"/>
      <c r="O982" s="37"/>
      <c r="P982" s="37"/>
      <c r="Q982" s="37"/>
      <c r="R982" s="37"/>
      <c r="S982" s="37"/>
      <c r="T982" s="37"/>
      <c r="U982" s="37"/>
      <c r="V982" s="37"/>
      <c r="W982" s="37"/>
      <c r="X982" s="37"/>
      <c r="Y982" s="37"/>
      <c r="Z982" s="37"/>
      <c r="AA982" s="37"/>
      <c r="AB982" s="37"/>
      <c r="AC982" s="37"/>
      <c r="AD982" s="37"/>
      <c r="AE982" s="37"/>
      <c r="AF982" s="37"/>
      <c r="AG982" s="37"/>
      <c r="AH982" s="37"/>
      <c r="AI982" s="37"/>
      <c r="AJ982" s="37"/>
      <c r="AK982" s="37"/>
      <c r="AL982" s="37"/>
      <c r="AM982" s="37"/>
      <c r="AN982" s="37"/>
      <c r="AO982" s="37"/>
      <c r="AP982" s="37"/>
      <c r="AQ982" s="37"/>
      <c r="AR982" s="37"/>
      <c r="AS982" s="37"/>
      <c r="AT982" s="37"/>
      <c r="AU982" s="37"/>
      <c r="AV982" s="37"/>
      <c r="AW982" s="37"/>
      <c r="AX982" s="37"/>
      <c r="AY982" s="37"/>
      <c r="AZ982" s="37"/>
    </row>
    <row r="983" spans="1:52">
      <c r="A983" s="37"/>
      <c r="B983" s="37"/>
      <c r="C983" s="37"/>
      <c r="D983" s="37"/>
      <c r="E983" s="37"/>
      <c r="F983" s="37"/>
      <c r="G983" s="37"/>
      <c r="H983" s="37"/>
      <c r="I983" s="37"/>
      <c r="J983" s="37"/>
      <c r="K983" s="37"/>
      <c r="L983" s="37"/>
      <c r="M983" s="37"/>
      <c r="N983" s="37"/>
      <c r="O983" s="37"/>
      <c r="P983" s="37"/>
      <c r="Q983" s="37"/>
      <c r="R983" s="37"/>
      <c r="S983" s="37"/>
      <c r="T983" s="37"/>
      <c r="U983" s="37"/>
      <c r="V983" s="37"/>
      <c r="W983" s="37"/>
      <c r="X983" s="37"/>
      <c r="Y983" s="37"/>
      <c r="Z983" s="37"/>
      <c r="AA983" s="37"/>
      <c r="AB983" s="37"/>
      <c r="AC983" s="37"/>
      <c r="AD983" s="37"/>
      <c r="AE983" s="37"/>
      <c r="AF983" s="37"/>
      <c r="AG983" s="37"/>
      <c r="AH983" s="37"/>
      <c r="AI983" s="37"/>
      <c r="AJ983" s="37"/>
      <c r="AK983" s="37"/>
      <c r="AL983" s="37"/>
      <c r="AM983" s="37"/>
      <c r="AN983" s="37"/>
      <c r="AO983" s="37"/>
      <c r="AP983" s="37"/>
      <c r="AQ983" s="37"/>
      <c r="AR983" s="37"/>
      <c r="AS983" s="37"/>
      <c r="AT983" s="37"/>
      <c r="AU983" s="37"/>
      <c r="AV983" s="37"/>
      <c r="AW983" s="37"/>
      <c r="AX983" s="37"/>
      <c r="AY983" s="37"/>
      <c r="AZ983" s="37"/>
    </row>
    <row r="984" spans="1:52">
      <c r="A984" s="37"/>
      <c r="B984" s="37"/>
      <c r="C984" s="37"/>
      <c r="D984" s="37"/>
      <c r="E984" s="37"/>
      <c r="F984" s="37"/>
      <c r="G984" s="37"/>
      <c r="H984" s="37"/>
      <c r="I984" s="37"/>
      <c r="J984" s="37"/>
      <c r="K984" s="37"/>
      <c r="L984" s="37"/>
      <c r="M984" s="37"/>
      <c r="N984" s="37"/>
      <c r="O984" s="37"/>
      <c r="P984" s="37"/>
      <c r="Q984" s="37"/>
      <c r="R984" s="37"/>
      <c r="S984" s="37"/>
      <c r="T984" s="37"/>
      <c r="U984" s="37"/>
      <c r="V984" s="37"/>
      <c r="W984" s="37"/>
      <c r="X984" s="37"/>
      <c r="Y984" s="37"/>
      <c r="Z984" s="37"/>
      <c r="AA984" s="37"/>
      <c r="AB984" s="37"/>
      <c r="AC984" s="37"/>
      <c r="AD984" s="37"/>
      <c r="AE984" s="37"/>
      <c r="AF984" s="37"/>
      <c r="AG984" s="37"/>
      <c r="AH984" s="37"/>
      <c r="AI984" s="37"/>
      <c r="AJ984" s="37"/>
      <c r="AK984" s="37"/>
      <c r="AL984" s="37"/>
      <c r="AM984" s="37"/>
      <c r="AN984" s="37"/>
      <c r="AO984" s="37"/>
      <c r="AP984" s="37"/>
      <c r="AQ984" s="37"/>
      <c r="AR984" s="37"/>
      <c r="AS984" s="37"/>
      <c r="AT984" s="37"/>
      <c r="AU984" s="37"/>
      <c r="AV984" s="37"/>
      <c r="AW984" s="37"/>
      <c r="AX984" s="37"/>
      <c r="AY984" s="37"/>
      <c r="AZ984" s="37"/>
    </row>
    <row r="985" spans="1:52">
      <c r="A985" s="37"/>
      <c r="B985" s="37"/>
      <c r="C985" s="37"/>
      <c r="D985" s="37"/>
      <c r="E985" s="37"/>
      <c r="F985" s="37"/>
      <c r="G985" s="37"/>
      <c r="H985" s="37"/>
      <c r="I985" s="37"/>
      <c r="J985" s="37"/>
      <c r="K985" s="37"/>
      <c r="L985" s="37"/>
      <c r="M985" s="37"/>
      <c r="N985" s="37"/>
      <c r="O985" s="37"/>
      <c r="P985" s="37"/>
      <c r="Q985" s="37"/>
      <c r="R985" s="37"/>
      <c r="S985" s="37"/>
      <c r="T985" s="37"/>
      <c r="U985" s="37"/>
      <c r="V985" s="37"/>
      <c r="W985" s="37"/>
      <c r="X985" s="37"/>
      <c r="Y985" s="37"/>
      <c r="Z985" s="37"/>
      <c r="AA985" s="37"/>
      <c r="AB985" s="37"/>
      <c r="AC985" s="37"/>
      <c r="AD985" s="37"/>
      <c r="AE985" s="37"/>
      <c r="AF985" s="37"/>
      <c r="AG985" s="37"/>
      <c r="AH985" s="37"/>
      <c r="AI985" s="37"/>
      <c r="AJ985" s="37"/>
      <c r="AK985" s="37"/>
      <c r="AL985" s="37"/>
      <c r="AM985" s="37"/>
      <c r="AN985" s="37"/>
      <c r="AO985" s="37"/>
      <c r="AP985" s="37"/>
      <c r="AQ985" s="37"/>
      <c r="AR985" s="37"/>
      <c r="AS985" s="37"/>
      <c r="AT985" s="37"/>
      <c r="AU985" s="37"/>
      <c r="AV985" s="37"/>
      <c r="AW985" s="37"/>
      <c r="AX985" s="37"/>
      <c r="AY985" s="37"/>
      <c r="AZ985" s="37"/>
    </row>
    <row r="986" spans="1:52">
      <c r="A986" s="37"/>
      <c r="B986" s="37"/>
      <c r="C986" s="37"/>
      <c r="D986" s="37"/>
      <c r="E986" s="37"/>
      <c r="F986" s="37"/>
      <c r="G986" s="37"/>
      <c r="H986" s="37"/>
      <c r="I986" s="37"/>
      <c r="J986" s="37"/>
      <c r="K986" s="37"/>
      <c r="L986" s="37"/>
      <c r="M986" s="37"/>
      <c r="N986" s="37"/>
      <c r="O986" s="37"/>
      <c r="P986" s="37"/>
      <c r="Q986" s="37"/>
      <c r="R986" s="37"/>
      <c r="S986" s="37"/>
      <c r="T986" s="37"/>
      <c r="U986" s="37"/>
      <c r="V986" s="37"/>
      <c r="W986" s="37"/>
      <c r="X986" s="37"/>
      <c r="Y986" s="37"/>
      <c r="Z986" s="37"/>
      <c r="AA986" s="37"/>
      <c r="AB986" s="37"/>
      <c r="AC986" s="37"/>
      <c r="AD986" s="37"/>
      <c r="AE986" s="37"/>
      <c r="AF986" s="37"/>
      <c r="AG986" s="37"/>
      <c r="AH986" s="37"/>
      <c r="AI986" s="37"/>
      <c r="AJ986" s="37"/>
      <c r="AK986" s="37"/>
      <c r="AL986" s="37"/>
      <c r="AM986" s="37"/>
      <c r="AN986" s="37"/>
      <c r="AO986" s="37"/>
      <c r="AP986" s="37"/>
      <c r="AQ986" s="37"/>
      <c r="AR986" s="37"/>
      <c r="AS986" s="37"/>
      <c r="AT986" s="37"/>
      <c r="AU986" s="37"/>
      <c r="AV986" s="37"/>
      <c r="AW986" s="37"/>
      <c r="AX986" s="37"/>
      <c r="AY986" s="37"/>
      <c r="AZ986" s="37"/>
    </row>
    <row r="987" spans="1:52">
      <c r="A987" s="37"/>
      <c r="B987" s="37"/>
      <c r="C987" s="37"/>
      <c r="D987" s="37"/>
      <c r="E987" s="37"/>
      <c r="F987" s="37"/>
      <c r="G987" s="37"/>
      <c r="H987" s="37"/>
      <c r="I987" s="37"/>
      <c r="J987" s="37"/>
      <c r="K987" s="37"/>
      <c r="L987" s="37"/>
      <c r="M987" s="37"/>
      <c r="N987" s="37"/>
      <c r="O987" s="37"/>
      <c r="P987" s="37"/>
      <c r="Q987" s="37"/>
      <c r="R987" s="37"/>
      <c r="S987" s="37"/>
      <c r="T987" s="37"/>
      <c r="U987" s="37"/>
      <c r="V987" s="37"/>
      <c r="W987" s="37"/>
      <c r="X987" s="37"/>
      <c r="Y987" s="37"/>
      <c r="Z987" s="37"/>
      <c r="AA987" s="37"/>
      <c r="AB987" s="37"/>
      <c r="AC987" s="37"/>
      <c r="AD987" s="37"/>
      <c r="AE987" s="37"/>
      <c r="AF987" s="37"/>
      <c r="AG987" s="37"/>
      <c r="AH987" s="37"/>
      <c r="AI987" s="37"/>
      <c r="AJ987" s="37"/>
      <c r="AK987" s="37"/>
      <c r="AL987" s="37"/>
      <c r="AM987" s="37"/>
      <c r="AN987" s="37"/>
      <c r="AO987" s="37"/>
      <c r="AP987" s="37"/>
      <c r="AQ987" s="37"/>
      <c r="AR987" s="37"/>
      <c r="AS987" s="37"/>
      <c r="AT987" s="37"/>
      <c r="AU987" s="37"/>
      <c r="AV987" s="37"/>
      <c r="AW987" s="37"/>
      <c r="AX987" s="37"/>
      <c r="AY987" s="37"/>
      <c r="AZ987" s="37"/>
    </row>
    <row r="988" spans="1:52">
      <c r="A988" s="37"/>
      <c r="B988" s="37"/>
      <c r="C988" s="37"/>
      <c r="D988" s="37"/>
      <c r="E988" s="37"/>
      <c r="F988" s="37"/>
      <c r="G988" s="37"/>
      <c r="H988" s="37"/>
      <c r="I988" s="37"/>
      <c r="J988" s="37"/>
      <c r="K988" s="37"/>
      <c r="L988" s="37"/>
      <c r="M988" s="37"/>
      <c r="N988" s="37"/>
      <c r="O988" s="37"/>
      <c r="P988" s="37"/>
      <c r="Q988" s="37"/>
      <c r="R988" s="37"/>
      <c r="S988" s="37"/>
      <c r="T988" s="37"/>
      <c r="U988" s="37"/>
      <c r="V988" s="37"/>
      <c r="W988" s="37"/>
      <c r="X988" s="37"/>
      <c r="Y988" s="37"/>
      <c r="Z988" s="37"/>
      <c r="AA988" s="37"/>
      <c r="AB988" s="37"/>
      <c r="AC988" s="37"/>
      <c r="AD988" s="37"/>
      <c r="AE988" s="37"/>
      <c r="AF988" s="37"/>
      <c r="AG988" s="37"/>
      <c r="AH988" s="37"/>
      <c r="AI988" s="37"/>
      <c r="AJ988" s="37"/>
      <c r="AK988" s="37"/>
      <c r="AL988" s="37"/>
      <c r="AM988" s="37"/>
      <c r="AN988" s="37"/>
      <c r="AO988" s="37"/>
      <c r="AP988" s="37"/>
      <c r="AQ988" s="37"/>
      <c r="AR988" s="37"/>
      <c r="AS988" s="37"/>
      <c r="AT988" s="37"/>
      <c r="AU988" s="37"/>
      <c r="AV988" s="37"/>
      <c r="AW988" s="37"/>
      <c r="AX988" s="37"/>
      <c r="AY988" s="37"/>
      <c r="AZ988" s="37"/>
    </row>
    <row r="989" spans="1:52">
      <c r="A989" s="37"/>
      <c r="B989" s="37"/>
      <c r="C989" s="37"/>
      <c r="D989" s="37"/>
      <c r="E989" s="37"/>
      <c r="F989" s="37"/>
      <c r="G989" s="37"/>
      <c r="H989" s="37"/>
      <c r="I989" s="37"/>
      <c r="J989" s="37"/>
      <c r="K989" s="37"/>
      <c r="L989" s="37"/>
      <c r="M989" s="37"/>
      <c r="N989" s="37"/>
      <c r="O989" s="37"/>
      <c r="P989" s="37"/>
      <c r="Q989" s="37"/>
      <c r="R989" s="37"/>
      <c r="S989" s="37"/>
      <c r="T989" s="37"/>
      <c r="U989" s="37"/>
      <c r="V989" s="37"/>
      <c r="W989" s="37"/>
      <c r="X989" s="37"/>
      <c r="Y989" s="37"/>
      <c r="Z989" s="37"/>
      <c r="AA989" s="37"/>
      <c r="AB989" s="37"/>
      <c r="AC989" s="37"/>
      <c r="AD989" s="37"/>
      <c r="AE989" s="37"/>
      <c r="AF989" s="37"/>
      <c r="AG989" s="37"/>
      <c r="AH989" s="37"/>
      <c r="AI989" s="37"/>
      <c r="AJ989" s="37"/>
      <c r="AK989" s="37"/>
      <c r="AL989" s="37"/>
      <c r="AM989" s="37"/>
      <c r="AN989" s="37"/>
      <c r="AO989" s="37"/>
      <c r="AP989" s="37"/>
      <c r="AQ989" s="37"/>
      <c r="AR989" s="37"/>
      <c r="AS989" s="37"/>
      <c r="AT989" s="37"/>
      <c r="AU989" s="37"/>
      <c r="AV989" s="37"/>
      <c r="AW989" s="37"/>
      <c r="AX989" s="37"/>
      <c r="AY989" s="37"/>
      <c r="AZ989" s="37"/>
    </row>
    <row r="990" spans="1:52">
      <c r="A990" s="37"/>
      <c r="B990" s="37"/>
      <c r="C990" s="37"/>
      <c r="D990" s="37"/>
      <c r="E990" s="37"/>
      <c r="F990" s="37"/>
      <c r="G990" s="37"/>
      <c r="H990" s="37"/>
      <c r="I990" s="37"/>
      <c r="J990" s="37"/>
      <c r="K990" s="37"/>
      <c r="L990" s="37"/>
      <c r="M990" s="37"/>
      <c r="N990" s="37"/>
      <c r="O990" s="37"/>
      <c r="P990" s="37"/>
      <c r="Q990" s="37"/>
      <c r="R990" s="37"/>
      <c r="S990" s="37"/>
      <c r="T990" s="37"/>
      <c r="U990" s="37"/>
      <c r="V990" s="37"/>
      <c r="W990" s="37"/>
      <c r="X990" s="37"/>
      <c r="Y990" s="37"/>
      <c r="Z990" s="37"/>
      <c r="AA990" s="37"/>
      <c r="AB990" s="37"/>
      <c r="AC990" s="37"/>
      <c r="AD990" s="37"/>
      <c r="AE990" s="37"/>
      <c r="AF990" s="37"/>
      <c r="AG990" s="37"/>
      <c r="AH990" s="37"/>
      <c r="AI990" s="37"/>
      <c r="AJ990" s="37"/>
      <c r="AK990" s="37"/>
      <c r="AL990" s="37"/>
      <c r="AM990" s="37"/>
      <c r="AN990" s="37"/>
      <c r="AO990" s="37"/>
      <c r="AP990" s="37"/>
      <c r="AQ990" s="37"/>
      <c r="AR990" s="37"/>
      <c r="AS990" s="37"/>
      <c r="AT990" s="37"/>
      <c r="AU990" s="37"/>
      <c r="AV990" s="37"/>
      <c r="AW990" s="37"/>
      <c r="AX990" s="37"/>
      <c r="AY990" s="37"/>
      <c r="AZ990" s="37"/>
    </row>
    <row r="991" spans="1:52">
      <c r="A991" s="37"/>
      <c r="B991" s="37"/>
      <c r="C991" s="37"/>
      <c r="D991" s="37"/>
      <c r="E991" s="37"/>
      <c r="F991" s="37"/>
      <c r="G991" s="37"/>
      <c r="H991" s="37"/>
      <c r="I991" s="37"/>
      <c r="J991" s="37"/>
      <c r="K991" s="37"/>
      <c r="L991" s="37"/>
      <c r="M991" s="37"/>
      <c r="N991" s="37"/>
      <c r="O991" s="37"/>
      <c r="P991" s="37"/>
      <c r="Q991" s="37"/>
      <c r="R991" s="37"/>
      <c r="S991" s="37"/>
      <c r="T991" s="37"/>
      <c r="U991" s="37"/>
      <c r="V991" s="37"/>
      <c r="W991" s="37"/>
      <c r="X991" s="37"/>
      <c r="Y991" s="37"/>
      <c r="Z991" s="37"/>
      <c r="AA991" s="37"/>
      <c r="AB991" s="37"/>
      <c r="AC991" s="37"/>
      <c r="AD991" s="37"/>
      <c r="AE991" s="37"/>
      <c r="AF991" s="37"/>
      <c r="AG991" s="37"/>
      <c r="AH991" s="37"/>
      <c r="AI991" s="37"/>
      <c r="AJ991" s="37"/>
      <c r="AK991" s="37"/>
      <c r="AL991" s="37"/>
      <c r="AM991" s="37"/>
      <c r="AN991" s="37"/>
      <c r="AO991" s="37"/>
      <c r="AP991" s="37"/>
      <c r="AQ991" s="37"/>
      <c r="AR991" s="37"/>
      <c r="AS991" s="37"/>
      <c r="AT991" s="37"/>
      <c r="AU991" s="37"/>
      <c r="AV991" s="37"/>
      <c r="AW991" s="37"/>
      <c r="AX991" s="37"/>
      <c r="AY991" s="37"/>
      <c r="AZ991" s="37"/>
    </row>
    <row r="992" spans="1:52">
      <c r="A992" s="37"/>
      <c r="B992" s="37"/>
      <c r="C992" s="37"/>
      <c r="D992" s="37"/>
      <c r="E992" s="37"/>
      <c r="F992" s="37"/>
      <c r="G992" s="37"/>
      <c r="H992" s="37"/>
      <c r="I992" s="37"/>
      <c r="J992" s="37"/>
      <c r="K992" s="37"/>
      <c r="L992" s="37"/>
      <c r="M992" s="37"/>
      <c r="N992" s="37"/>
      <c r="O992" s="37"/>
      <c r="P992" s="37"/>
      <c r="Q992" s="37"/>
      <c r="R992" s="37"/>
      <c r="S992" s="37"/>
      <c r="T992" s="37"/>
      <c r="U992" s="37"/>
      <c r="V992" s="37"/>
      <c r="W992" s="37"/>
      <c r="X992" s="37"/>
      <c r="Y992" s="37"/>
      <c r="Z992" s="37"/>
      <c r="AA992" s="37"/>
      <c r="AB992" s="37"/>
      <c r="AC992" s="37"/>
      <c r="AD992" s="37"/>
      <c r="AE992" s="37"/>
      <c r="AF992" s="37"/>
      <c r="AG992" s="37"/>
      <c r="AH992" s="37"/>
      <c r="AI992" s="37"/>
      <c r="AJ992" s="37"/>
      <c r="AK992" s="37"/>
      <c r="AL992" s="37"/>
      <c r="AM992" s="37"/>
      <c r="AN992" s="37"/>
      <c r="AO992" s="37"/>
      <c r="AP992" s="37"/>
      <c r="AQ992" s="37"/>
      <c r="AR992" s="37"/>
      <c r="AS992" s="37"/>
      <c r="AT992" s="37"/>
      <c r="AU992" s="37"/>
      <c r="AV992" s="37"/>
      <c r="AW992" s="37"/>
      <c r="AX992" s="37"/>
      <c r="AY992" s="37"/>
      <c r="AZ992" s="37"/>
    </row>
    <row r="993" spans="1:52">
      <c r="A993" s="37"/>
      <c r="B993" s="37"/>
      <c r="C993" s="37"/>
      <c r="D993" s="37"/>
      <c r="E993" s="37"/>
      <c r="F993" s="37"/>
      <c r="G993" s="37"/>
      <c r="H993" s="37"/>
      <c r="I993" s="37"/>
      <c r="J993" s="37"/>
      <c r="K993" s="37"/>
      <c r="L993" s="37"/>
      <c r="M993" s="37"/>
      <c r="N993" s="37"/>
      <c r="O993" s="37"/>
      <c r="P993" s="37"/>
      <c r="Q993" s="37"/>
      <c r="R993" s="37"/>
      <c r="S993" s="37"/>
      <c r="T993" s="37"/>
      <c r="U993" s="37"/>
      <c r="V993" s="37"/>
      <c r="W993" s="37"/>
      <c r="X993" s="37"/>
      <c r="Y993" s="37"/>
      <c r="Z993" s="37"/>
      <c r="AA993" s="37"/>
      <c r="AB993" s="37"/>
      <c r="AC993" s="37"/>
      <c r="AD993" s="37"/>
      <c r="AE993" s="37"/>
      <c r="AF993" s="37"/>
      <c r="AG993" s="37"/>
      <c r="AH993" s="37"/>
      <c r="AI993" s="37"/>
      <c r="AJ993" s="37"/>
      <c r="AK993" s="37"/>
      <c r="AL993" s="37"/>
      <c r="AM993" s="37"/>
      <c r="AN993" s="37"/>
      <c r="AO993" s="37"/>
      <c r="AP993" s="37"/>
      <c r="AQ993" s="37"/>
      <c r="AR993" s="37"/>
      <c r="AS993" s="37"/>
      <c r="AT993" s="37"/>
      <c r="AU993" s="37"/>
      <c r="AV993" s="37"/>
      <c r="AW993" s="37"/>
      <c r="AX993" s="37"/>
      <c r="AY993" s="37"/>
      <c r="AZ993" s="37"/>
    </row>
    <row r="994" spans="1:52">
      <c r="A994" s="37"/>
      <c r="B994" s="37"/>
      <c r="C994" s="37"/>
      <c r="D994" s="37"/>
      <c r="E994" s="37"/>
      <c r="F994" s="37"/>
      <c r="G994" s="37"/>
      <c r="H994" s="37"/>
      <c r="I994" s="37"/>
      <c r="J994" s="37"/>
      <c r="K994" s="37"/>
      <c r="L994" s="37"/>
      <c r="M994" s="37"/>
      <c r="N994" s="37"/>
      <c r="O994" s="37"/>
      <c r="P994" s="37"/>
      <c r="Q994" s="37"/>
      <c r="R994" s="37"/>
      <c r="S994" s="37"/>
      <c r="T994" s="37"/>
      <c r="U994" s="37"/>
      <c r="V994" s="37"/>
      <c r="W994" s="37"/>
      <c r="X994" s="37"/>
      <c r="Y994" s="37"/>
      <c r="Z994" s="37"/>
      <c r="AA994" s="37"/>
      <c r="AB994" s="37"/>
      <c r="AC994" s="37"/>
      <c r="AD994" s="37"/>
      <c r="AE994" s="37"/>
      <c r="AF994" s="37"/>
      <c r="AG994" s="37"/>
      <c r="AH994" s="37"/>
      <c r="AI994" s="37"/>
      <c r="AJ994" s="37"/>
      <c r="AK994" s="37"/>
      <c r="AL994" s="37"/>
      <c r="AM994" s="37"/>
      <c r="AN994" s="37"/>
      <c r="AO994" s="37"/>
      <c r="AP994" s="37"/>
      <c r="AQ994" s="37"/>
      <c r="AR994" s="37"/>
      <c r="AS994" s="37"/>
      <c r="AT994" s="37"/>
      <c r="AU994" s="37"/>
      <c r="AV994" s="37"/>
      <c r="AW994" s="37"/>
      <c r="AX994" s="37"/>
      <c r="AY994" s="37"/>
      <c r="AZ994" s="37"/>
    </row>
    <row r="995" spans="1:52">
      <c r="A995" s="37"/>
      <c r="B995" s="37"/>
      <c r="C995" s="37"/>
      <c r="D995" s="37"/>
      <c r="E995" s="37"/>
      <c r="F995" s="37"/>
      <c r="G995" s="37"/>
      <c r="H995" s="37"/>
      <c r="I995" s="37"/>
      <c r="J995" s="37"/>
      <c r="K995" s="37"/>
      <c r="L995" s="37"/>
      <c r="M995" s="37"/>
      <c r="N995" s="37"/>
      <c r="O995" s="37"/>
      <c r="P995" s="37"/>
      <c r="Q995" s="37"/>
      <c r="R995" s="37"/>
      <c r="S995" s="37"/>
      <c r="T995" s="37"/>
      <c r="U995" s="37"/>
      <c r="V995" s="37"/>
      <c r="W995" s="37"/>
      <c r="X995" s="37"/>
      <c r="Y995" s="37"/>
      <c r="Z995" s="37"/>
      <c r="AA995" s="37"/>
      <c r="AB995" s="37"/>
      <c r="AC995" s="37"/>
      <c r="AD995" s="37"/>
      <c r="AE995" s="37"/>
      <c r="AF995" s="37"/>
      <c r="AG995" s="37"/>
      <c r="AH995" s="37"/>
      <c r="AI995" s="37"/>
      <c r="AJ995" s="37"/>
      <c r="AK995" s="37"/>
      <c r="AL995" s="37"/>
      <c r="AM995" s="37"/>
      <c r="AN995" s="37"/>
      <c r="AO995" s="37"/>
      <c r="AP995" s="37"/>
      <c r="AQ995" s="37"/>
      <c r="AR995" s="37"/>
      <c r="AS995" s="37"/>
      <c r="AT995" s="37"/>
      <c r="AU995" s="37"/>
      <c r="AV995" s="37"/>
      <c r="AW995" s="37"/>
      <c r="AX995" s="37"/>
      <c r="AY995" s="37"/>
      <c r="AZ995" s="37"/>
    </row>
    <row r="996" spans="1:52">
      <c r="A996" s="37"/>
      <c r="B996" s="37"/>
      <c r="C996" s="37"/>
      <c r="D996" s="37"/>
      <c r="E996" s="37"/>
      <c r="F996" s="37"/>
      <c r="G996" s="37"/>
      <c r="H996" s="37"/>
      <c r="I996" s="37"/>
      <c r="J996" s="37"/>
      <c r="K996" s="37"/>
      <c r="L996" s="37"/>
      <c r="M996" s="37"/>
      <c r="N996" s="37"/>
      <c r="O996" s="37"/>
      <c r="P996" s="37"/>
      <c r="Q996" s="37"/>
      <c r="R996" s="37"/>
      <c r="S996" s="37"/>
      <c r="T996" s="37"/>
      <c r="U996" s="37"/>
      <c r="V996" s="37"/>
      <c r="W996" s="37"/>
      <c r="X996" s="37"/>
      <c r="Y996" s="37"/>
      <c r="Z996" s="37"/>
      <c r="AA996" s="37"/>
      <c r="AB996" s="37"/>
      <c r="AC996" s="37"/>
      <c r="AD996" s="37"/>
      <c r="AE996" s="37"/>
      <c r="AF996" s="37"/>
      <c r="AG996" s="37"/>
      <c r="AH996" s="37"/>
      <c r="AI996" s="37"/>
      <c r="AJ996" s="37"/>
      <c r="AK996" s="37"/>
      <c r="AL996" s="37"/>
      <c r="AM996" s="37"/>
      <c r="AN996" s="37"/>
      <c r="AO996" s="37"/>
      <c r="AP996" s="37"/>
      <c r="AQ996" s="37"/>
      <c r="AR996" s="37"/>
      <c r="AS996" s="37"/>
      <c r="AT996" s="37"/>
      <c r="AU996" s="37"/>
      <c r="AV996" s="37"/>
      <c r="AW996" s="37"/>
      <c r="AX996" s="37"/>
      <c r="AY996" s="37"/>
      <c r="AZ996" s="37"/>
    </row>
    <row r="997" spans="1:52">
      <c r="A997" s="37"/>
      <c r="B997" s="37"/>
      <c r="C997" s="37"/>
      <c r="D997" s="37"/>
      <c r="E997" s="37"/>
      <c r="F997" s="37"/>
      <c r="G997" s="37"/>
      <c r="H997" s="37"/>
      <c r="I997" s="37"/>
      <c r="J997" s="37"/>
      <c r="K997" s="37"/>
      <c r="L997" s="37"/>
      <c r="M997" s="37"/>
      <c r="N997" s="37"/>
      <c r="O997" s="37"/>
      <c r="P997" s="37"/>
      <c r="Q997" s="37"/>
      <c r="R997" s="37"/>
      <c r="S997" s="37"/>
      <c r="T997" s="37"/>
      <c r="U997" s="37"/>
      <c r="V997" s="37"/>
      <c r="W997" s="37"/>
      <c r="X997" s="37"/>
      <c r="Y997" s="37"/>
      <c r="Z997" s="37"/>
      <c r="AA997" s="37"/>
      <c r="AB997" s="37"/>
      <c r="AC997" s="37"/>
      <c r="AD997" s="37"/>
      <c r="AE997" s="37"/>
      <c r="AF997" s="37"/>
      <c r="AG997" s="37"/>
      <c r="AH997" s="37"/>
      <c r="AI997" s="37"/>
      <c r="AJ997" s="37"/>
      <c r="AK997" s="37"/>
      <c r="AL997" s="37"/>
      <c r="AM997" s="37"/>
      <c r="AN997" s="37"/>
      <c r="AO997" s="37"/>
      <c r="AP997" s="37"/>
      <c r="AQ997" s="37"/>
      <c r="AR997" s="37"/>
      <c r="AS997" s="37"/>
      <c r="AT997" s="37"/>
      <c r="AU997" s="37"/>
      <c r="AV997" s="37"/>
      <c r="AW997" s="37"/>
      <c r="AX997" s="37"/>
      <c r="AY997" s="37"/>
      <c r="AZ997" s="37"/>
    </row>
    <row r="998" spans="1:52">
      <c r="A998" s="37"/>
      <c r="B998" s="37"/>
      <c r="C998" s="37"/>
      <c r="D998" s="37"/>
      <c r="E998" s="37"/>
      <c r="F998" s="37"/>
      <c r="G998" s="37"/>
      <c r="H998" s="37"/>
      <c r="I998" s="37"/>
      <c r="J998" s="37"/>
      <c r="K998" s="37"/>
      <c r="L998" s="37"/>
      <c r="M998" s="37"/>
      <c r="N998" s="37"/>
      <c r="O998" s="37"/>
      <c r="P998" s="37"/>
      <c r="Q998" s="37"/>
      <c r="R998" s="37"/>
      <c r="S998" s="37"/>
      <c r="T998" s="37"/>
      <c r="U998" s="37"/>
      <c r="V998" s="37"/>
      <c r="W998" s="37"/>
      <c r="X998" s="37"/>
      <c r="Y998" s="37"/>
      <c r="Z998" s="37"/>
      <c r="AA998" s="37"/>
      <c r="AB998" s="37"/>
      <c r="AC998" s="37"/>
      <c r="AD998" s="37"/>
      <c r="AE998" s="37"/>
      <c r="AF998" s="37"/>
      <c r="AG998" s="37"/>
      <c r="AH998" s="37"/>
      <c r="AI998" s="37"/>
      <c r="AJ998" s="37"/>
      <c r="AK998" s="37"/>
      <c r="AL998" s="37"/>
      <c r="AM998" s="37"/>
      <c r="AN998" s="37"/>
      <c r="AO998" s="37"/>
      <c r="AP998" s="37"/>
      <c r="AQ998" s="37"/>
      <c r="AR998" s="37"/>
      <c r="AS998" s="37"/>
      <c r="AT998" s="37"/>
      <c r="AU998" s="37"/>
      <c r="AV998" s="37"/>
      <c r="AW998" s="37"/>
      <c r="AX998" s="37"/>
      <c r="AY998" s="37"/>
      <c r="AZ998" s="37"/>
    </row>
    <row r="999" spans="1:52">
      <c r="A999" s="37"/>
      <c r="B999" s="37"/>
      <c r="C999" s="37"/>
      <c r="D999" s="37"/>
      <c r="E999" s="37"/>
      <c r="F999" s="37"/>
      <c r="G999" s="37"/>
      <c r="H999" s="37"/>
      <c r="I999" s="37"/>
      <c r="J999" s="37"/>
      <c r="K999" s="37"/>
      <c r="L999" s="37"/>
      <c r="M999" s="37"/>
      <c r="N999" s="37"/>
      <c r="O999" s="37"/>
      <c r="P999" s="37"/>
      <c r="Q999" s="37"/>
      <c r="R999" s="37"/>
      <c r="S999" s="37"/>
      <c r="T999" s="37"/>
      <c r="U999" s="37"/>
      <c r="V999" s="37"/>
      <c r="W999" s="37"/>
      <c r="X999" s="37"/>
      <c r="Y999" s="37"/>
      <c r="Z999" s="37"/>
      <c r="AA999" s="37"/>
      <c r="AB999" s="37"/>
      <c r="AC999" s="37"/>
      <c r="AD999" s="37"/>
      <c r="AE999" s="37"/>
      <c r="AF999" s="37"/>
      <c r="AG999" s="37"/>
      <c r="AH999" s="37"/>
      <c r="AI999" s="37"/>
      <c r="AJ999" s="37"/>
      <c r="AK999" s="37"/>
      <c r="AL999" s="37"/>
      <c r="AM999" s="37"/>
      <c r="AN999" s="37"/>
      <c r="AO999" s="37"/>
      <c r="AP999" s="37"/>
      <c r="AQ999" s="37"/>
      <c r="AR999" s="37"/>
      <c r="AS999" s="37"/>
      <c r="AT999" s="37"/>
      <c r="AU999" s="37"/>
      <c r="AV999" s="37"/>
      <c r="AW999" s="37"/>
      <c r="AX999" s="37"/>
      <c r="AY999" s="37"/>
      <c r="AZ999" s="37"/>
    </row>
    <row r="1000" spans="1:52">
      <c r="A1000" s="37"/>
      <c r="B1000" s="37"/>
      <c r="C1000" s="37"/>
      <c r="D1000" s="37"/>
      <c r="E1000" s="37"/>
      <c r="F1000" s="37"/>
      <c r="G1000" s="37"/>
      <c r="H1000" s="37"/>
      <c r="I1000" s="37"/>
      <c r="J1000" s="37"/>
      <c r="K1000" s="37"/>
      <c r="L1000" s="37"/>
      <c r="M1000" s="37"/>
      <c r="N1000" s="37"/>
      <c r="O1000" s="37"/>
      <c r="P1000" s="37"/>
      <c r="Q1000" s="37"/>
      <c r="R1000" s="37"/>
      <c r="S1000" s="37"/>
      <c r="T1000" s="37"/>
      <c r="U1000" s="37"/>
      <c r="V1000" s="37"/>
      <c r="W1000" s="37"/>
      <c r="X1000" s="37"/>
      <c r="Y1000" s="37"/>
      <c r="Z1000" s="37"/>
      <c r="AA1000" s="37"/>
      <c r="AB1000" s="37"/>
      <c r="AC1000" s="37"/>
      <c r="AD1000" s="37"/>
      <c r="AE1000" s="37"/>
      <c r="AF1000" s="37"/>
      <c r="AG1000" s="37"/>
      <c r="AH1000" s="37"/>
      <c r="AI1000" s="37"/>
      <c r="AJ1000" s="37"/>
      <c r="AK1000" s="37"/>
      <c r="AL1000" s="37"/>
      <c r="AM1000" s="37"/>
      <c r="AN1000" s="37"/>
      <c r="AO1000" s="37"/>
      <c r="AP1000" s="37"/>
      <c r="AQ1000" s="37"/>
      <c r="AR1000" s="37"/>
      <c r="AS1000" s="37"/>
      <c r="AT1000" s="37"/>
      <c r="AU1000" s="37"/>
      <c r="AV1000" s="37"/>
      <c r="AW1000" s="37"/>
      <c r="AX1000" s="37"/>
      <c r="AY1000" s="37"/>
      <c r="AZ1000" s="37"/>
    </row>
    <row r="1001" spans="1:52">
      <c r="A1001" s="37"/>
      <c r="B1001" s="37"/>
      <c r="C1001" s="37"/>
      <c r="D1001" s="37"/>
      <c r="E1001" s="37"/>
      <c r="F1001" s="37"/>
      <c r="G1001" s="37"/>
      <c r="H1001" s="37"/>
      <c r="I1001" s="37"/>
      <c r="J1001" s="37"/>
      <c r="K1001" s="37"/>
      <c r="L1001" s="37"/>
      <c r="M1001" s="37"/>
      <c r="N1001" s="37"/>
      <c r="O1001" s="37"/>
      <c r="P1001" s="37"/>
      <c r="Q1001" s="37"/>
      <c r="R1001" s="37"/>
      <c r="S1001" s="37"/>
      <c r="T1001" s="37"/>
      <c r="U1001" s="37"/>
      <c r="V1001" s="37"/>
      <c r="W1001" s="37"/>
      <c r="X1001" s="37"/>
      <c r="Y1001" s="37"/>
      <c r="Z1001" s="37"/>
      <c r="AA1001" s="37"/>
      <c r="AB1001" s="37"/>
      <c r="AC1001" s="37"/>
      <c r="AD1001" s="37"/>
      <c r="AE1001" s="37"/>
      <c r="AF1001" s="37"/>
      <c r="AG1001" s="37"/>
      <c r="AH1001" s="37"/>
      <c r="AI1001" s="37"/>
      <c r="AJ1001" s="37"/>
      <c r="AK1001" s="37"/>
      <c r="AL1001" s="37"/>
      <c r="AM1001" s="37"/>
      <c r="AN1001" s="37"/>
      <c r="AO1001" s="37"/>
      <c r="AP1001" s="37"/>
      <c r="AQ1001" s="37"/>
      <c r="AR1001" s="37"/>
      <c r="AS1001" s="37"/>
      <c r="AT1001" s="37"/>
      <c r="AU1001" s="37"/>
      <c r="AV1001" s="37"/>
      <c r="AW1001" s="37"/>
      <c r="AX1001" s="37"/>
      <c r="AY1001" s="37"/>
      <c r="AZ1001" s="37"/>
    </row>
    <row r="1002" spans="1:52">
      <c r="A1002" s="37"/>
      <c r="B1002" s="37"/>
      <c r="C1002" s="37"/>
      <c r="D1002" s="37"/>
      <c r="E1002" s="37"/>
      <c r="F1002" s="37"/>
      <c r="G1002" s="37"/>
      <c r="H1002" s="37"/>
      <c r="I1002" s="37"/>
      <c r="J1002" s="37"/>
      <c r="K1002" s="37"/>
      <c r="L1002" s="37"/>
      <c r="M1002" s="37"/>
      <c r="N1002" s="37"/>
      <c r="O1002" s="37"/>
      <c r="P1002" s="37"/>
      <c r="Q1002" s="37"/>
      <c r="R1002" s="37"/>
      <c r="S1002" s="37"/>
      <c r="T1002" s="37"/>
      <c r="U1002" s="37"/>
      <c r="V1002" s="37"/>
      <c r="W1002" s="37"/>
      <c r="X1002" s="37"/>
      <c r="Y1002" s="37"/>
      <c r="Z1002" s="37"/>
      <c r="AA1002" s="37"/>
      <c r="AB1002" s="37"/>
      <c r="AC1002" s="37"/>
      <c r="AD1002" s="37"/>
      <c r="AE1002" s="37"/>
      <c r="AF1002" s="37"/>
      <c r="AG1002" s="37"/>
      <c r="AH1002" s="37"/>
      <c r="AI1002" s="37"/>
      <c r="AJ1002" s="37"/>
      <c r="AK1002" s="37"/>
      <c r="AL1002" s="37"/>
      <c r="AM1002" s="37"/>
      <c r="AN1002" s="37"/>
      <c r="AO1002" s="37"/>
      <c r="AP1002" s="37"/>
      <c r="AQ1002" s="37"/>
      <c r="AR1002" s="37"/>
      <c r="AS1002" s="37"/>
      <c r="AT1002" s="37"/>
      <c r="AU1002" s="37"/>
      <c r="AV1002" s="37"/>
      <c r="AW1002" s="37"/>
      <c r="AX1002" s="37"/>
      <c r="AY1002" s="37"/>
      <c r="AZ1002" s="37"/>
    </row>
    <row r="1003" spans="1:52">
      <c r="A1003" s="37"/>
      <c r="B1003" s="37"/>
      <c r="C1003" s="37"/>
      <c r="D1003" s="37"/>
      <c r="E1003" s="37"/>
      <c r="F1003" s="37"/>
      <c r="G1003" s="37"/>
      <c r="H1003" s="37"/>
      <c r="I1003" s="37"/>
      <c r="J1003" s="37"/>
      <c r="K1003" s="37"/>
      <c r="L1003" s="37"/>
      <c r="M1003" s="37"/>
      <c r="N1003" s="37"/>
      <c r="O1003" s="37"/>
      <c r="P1003" s="37"/>
      <c r="Q1003" s="37"/>
      <c r="R1003" s="37"/>
      <c r="S1003" s="37"/>
      <c r="T1003" s="37"/>
      <c r="U1003" s="37"/>
      <c r="V1003" s="37"/>
      <c r="W1003" s="37"/>
      <c r="X1003" s="37"/>
      <c r="Y1003" s="37"/>
      <c r="Z1003" s="37"/>
      <c r="AA1003" s="37"/>
      <c r="AB1003" s="37"/>
      <c r="AC1003" s="37"/>
      <c r="AD1003" s="37"/>
      <c r="AE1003" s="37"/>
      <c r="AF1003" s="37"/>
      <c r="AG1003" s="37"/>
      <c r="AH1003" s="37"/>
      <c r="AI1003" s="37"/>
      <c r="AJ1003" s="37"/>
      <c r="AK1003" s="37"/>
      <c r="AL1003" s="37"/>
      <c r="AM1003" s="37"/>
      <c r="AN1003" s="37"/>
      <c r="AO1003" s="37"/>
      <c r="AP1003" s="37"/>
      <c r="AQ1003" s="37"/>
      <c r="AR1003" s="37"/>
      <c r="AS1003" s="37"/>
      <c r="AT1003" s="37"/>
      <c r="AU1003" s="37"/>
      <c r="AV1003" s="37"/>
      <c r="AW1003" s="37"/>
      <c r="AX1003" s="37"/>
      <c r="AY1003" s="37"/>
      <c r="AZ1003" s="37"/>
    </row>
    <row r="1004" spans="1:52">
      <c r="A1004" s="37"/>
      <c r="B1004" s="37"/>
      <c r="C1004" s="37"/>
      <c r="D1004" s="37"/>
      <c r="E1004" s="37"/>
      <c r="F1004" s="37"/>
      <c r="G1004" s="37"/>
      <c r="H1004" s="37"/>
      <c r="I1004" s="37"/>
      <c r="J1004" s="37"/>
      <c r="K1004" s="37"/>
      <c r="L1004" s="37"/>
      <c r="M1004" s="37"/>
      <c r="N1004" s="37"/>
      <c r="O1004" s="37"/>
      <c r="P1004" s="37"/>
      <c r="Q1004" s="37"/>
      <c r="R1004" s="37"/>
      <c r="S1004" s="37"/>
      <c r="T1004" s="37"/>
      <c r="U1004" s="37"/>
      <c r="V1004" s="37"/>
      <c r="W1004" s="37"/>
      <c r="X1004" s="37"/>
      <c r="Y1004" s="37"/>
      <c r="Z1004" s="37"/>
      <c r="AA1004" s="37"/>
      <c r="AB1004" s="37"/>
      <c r="AC1004" s="37"/>
      <c r="AD1004" s="37"/>
      <c r="AE1004" s="37"/>
      <c r="AF1004" s="37"/>
      <c r="AG1004" s="37"/>
      <c r="AH1004" s="37"/>
      <c r="AI1004" s="37"/>
      <c r="AJ1004" s="37"/>
      <c r="AK1004" s="37"/>
      <c r="AL1004" s="37"/>
      <c r="AM1004" s="37"/>
      <c r="AN1004" s="37"/>
      <c r="AO1004" s="37"/>
      <c r="AP1004" s="37"/>
      <c r="AQ1004" s="37"/>
      <c r="AR1004" s="37"/>
      <c r="AS1004" s="37"/>
      <c r="AT1004" s="37"/>
      <c r="AU1004" s="37"/>
      <c r="AV1004" s="37"/>
      <c r="AW1004" s="37"/>
      <c r="AX1004" s="37"/>
      <c r="AY1004" s="37"/>
      <c r="AZ1004" s="37"/>
    </row>
    <row r="1005" spans="1:52">
      <c r="A1005" s="37"/>
      <c r="B1005" s="37"/>
      <c r="C1005" s="37"/>
      <c r="D1005" s="37"/>
      <c r="E1005" s="37"/>
      <c r="F1005" s="37"/>
      <c r="G1005" s="37"/>
      <c r="H1005" s="37"/>
      <c r="I1005" s="37"/>
      <c r="J1005" s="37"/>
      <c r="K1005" s="37"/>
      <c r="L1005" s="37"/>
      <c r="M1005" s="37"/>
      <c r="N1005" s="37"/>
      <c r="O1005" s="37"/>
      <c r="P1005" s="37"/>
      <c r="Q1005" s="37"/>
      <c r="R1005" s="37"/>
      <c r="S1005" s="37"/>
      <c r="T1005" s="37"/>
      <c r="U1005" s="37"/>
      <c r="V1005" s="37"/>
      <c r="W1005" s="37"/>
      <c r="X1005" s="37"/>
      <c r="Y1005" s="37"/>
      <c r="Z1005" s="37"/>
      <c r="AA1005" s="37"/>
      <c r="AB1005" s="37"/>
      <c r="AC1005" s="37"/>
      <c r="AD1005" s="37"/>
      <c r="AE1005" s="37"/>
      <c r="AF1005" s="37"/>
      <c r="AG1005" s="37"/>
      <c r="AH1005" s="37"/>
      <c r="AI1005" s="37"/>
      <c r="AJ1005" s="37"/>
      <c r="AK1005" s="37"/>
      <c r="AL1005" s="37"/>
      <c r="AM1005" s="37"/>
      <c r="AN1005" s="37"/>
      <c r="AO1005" s="37"/>
      <c r="AP1005" s="37"/>
      <c r="AQ1005" s="37"/>
      <c r="AR1005" s="37"/>
      <c r="AS1005" s="37"/>
      <c r="AT1005" s="37"/>
      <c r="AU1005" s="37"/>
      <c r="AV1005" s="37"/>
      <c r="AW1005" s="37"/>
      <c r="AX1005" s="37"/>
      <c r="AY1005" s="37"/>
      <c r="AZ1005" s="37"/>
    </row>
    <row r="1006" spans="1:52">
      <c r="A1006" s="37"/>
      <c r="B1006" s="37"/>
      <c r="C1006" s="37"/>
      <c r="D1006" s="37"/>
      <c r="E1006" s="37"/>
      <c r="F1006" s="37"/>
      <c r="G1006" s="37"/>
      <c r="H1006" s="37"/>
      <c r="I1006" s="37"/>
      <c r="J1006" s="37"/>
      <c r="K1006" s="37"/>
      <c r="L1006" s="37"/>
      <c r="M1006" s="37"/>
      <c r="N1006" s="37"/>
      <c r="O1006" s="37"/>
      <c r="P1006" s="37"/>
      <c r="Q1006" s="37"/>
      <c r="R1006" s="37"/>
      <c r="S1006" s="37"/>
      <c r="T1006" s="37"/>
      <c r="U1006" s="37"/>
      <c r="V1006" s="37"/>
      <c r="W1006" s="37"/>
      <c r="X1006" s="37"/>
      <c r="Y1006" s="37"/>
      <c r="Z1006" s="37"/>
      <c r="AA1006" s="37"/>
      <c r="AB1006" s="37"/>
      <c r="AC1006" s="37"/>
      <c r="AD1006" s="37"/>
      <c r="AE1006" s="37"/>
      <c r="AF1006" s="37"/>
      <c r="AG1006" s="37"/>
      <c r="AH1006" s="37"/>
      <c r="AI1006" s="37"/>
      <c r="AJ1006" s="37"/>
      <c r="AK1006" s="37"/>
      <c r="AL1006" s="37"/>
      <c r="AM1006" s="37"/>
      <c r="AN1006" s="37"/>
      <c r="AO1006" s="37"/>
      <c r="AP1006" s="37"/>
      <c r="AQ1006" s="37"/>
      <c r="AR1006" s="37"/>
      <c r="AS1006" s="37"/>
      <c r="AT1006" s="37"/>
      <c r="AU1006" s="37"/>
      <c r="AV1006" s="37"/>
      <c r="AW1006" s="37"/>
      <c r="AX1006" s="37"/>
      <c r="AY1006" s="37"/>
      <c r="AZ1006" s="37"/>
    </row>
    <row r="1007" spans="1:52">
      <c r="A1007" s="37"/>
      <c r="B1007" s="37"/>
      <c r="C1007" s="37"/>
      <c r="D1007" s="37"/>
      <c r="E1007" s="37"/>
      <c r="F1007" s="37"/>
      <c r="G1007" s="37"/>
      <c r="H1007" s="37"/>
      <c r="I1007" s="37"/>
      <c r="J1007" s="37"/>
      <c r="K1007" s="37"/>
      <c r="L1007" s="37"/>
      <c r="M1007" s="37"/>
      <c r="N1007" s="37"/>
      <c r="O1007" s="37"/>
      <c r="P1007" s="37"/>
      <c r="Q1007" s="37"/>
      <c r="R1007" s="37"/>
      <c r="S1007" s="37"/>
      <c r="T1007" s="37"/>
      <c r="U1007" s="37"/>
      <c r="V1007" s="37"/>
      <c r="W1007" s="37"/>
      <c r="X1007" s="37"/>
      <c r="Y1007" s="37"/>
      <c r="Z1007" s="37"/>
      <c r="AA1007" s="37"/>
      <c r="AB1007" s="37"/>
      <c r="AC1007" s="37"/>
      <c r="AD1007" s="37"/>
      <c r="AE1007" s="37"/>
      <c r="AF1007" s="37"/>
      <c r="AG1007" s="37"/>
      <c r="AH1007" s="37"/>
      <c r="AI1007" s="37"/>
      <c r="AJ1007" s="37"/>
      <c r="AK1007" s="37"/>
      <c r="AL1007" s="37"/>
      <c r="AM1007" s="37"/>
      <c r="AN1007" s="37"/>
      <c r="AO1007" s="37"/>
      <c r="AP1007" s="37"/>
      <c r="AQ1007" s="37"/>
      <c r="AR1007" s="37"/>
      <c r="AS1007" s="37"/>
      <c r="AT1007" s="37"/>
      <c r="AU1007" s="37"/>
      <c r="AV1007" s="37"/>
      <c r="AW1007" s="37"/>
      <c r="AX1007" s="37"/>
      <c r="AY1007" s="37"/>
      <c r="AZ1007" s="37"/>
    </row>
    <row r="1008" spans="1:52">
      <c r="A1008" s="37"/>
      <c r="B1008" s="37"/>
      <c r="C1008" s="37"/>
      <c r="D1008" s="37"/>
      <c r="E1008" s="37"/>
      <c r="F1008" s="37"/>
      <c r="G1008" s="37"/>
      <c r="H1008" s="37"/>
      <c r="I1008" s="37"/>
      <c r="J1008" s="37"/>
      <c r="K1008" s="37"/>
      <c r="L1008" s="37"/>
      <c r="M1008" s="37"/>
      <c r="N1008" s="37"/>
      <c r="O1008" s="37"/>
      <c r="P1008" s="37"/>
      <c r="Q1008" s="37"/>
      <c r="R1008" s="37"/>
      <c r="S1008" s="37"/>
      <c r="T1008" s="37"/>
      <c r="U1008" s="37"/>
      <c r="V1008" s="37"/>
      <c r="W1008" s="37"/>
      <c r="X1008" s="37"/>
      <c r="Y1008" s="37"/>
      <c r="Z1008" s="37"/>
      <c r="AA1008" s="37"/>
      <c r="AB1008" s="37"/>
      <c r="AC1008" s="37"/>
      <c r="AD1008" s="37"/>
      <c r="AE1008" s="37"/>
      <c r="AF1008" s="37"/>
      <c r="AG1008" s="37"/>
      <c r="AH1008" s="37"/>
      <c r="AI1008" s="37"/>
      <c r="AJ1008" s="37"/>
      <c r="AK1008" s="37"/>
      <c r="AL1008" s="37"/>
      <c r="AM1008" s="37"/>
      <c r="AN1008" s="37"/>
      <c r="AO1008" s="37"/>
      <c r="AP1008" s="37"/>
      <c r="AQ1008" s="37"/>
      <c r="AR1008" s="37"/>
      <c r="AS1008" s="37"/>
      <c r="AT1008" s="37"/>
      <c r="AU1008" s="37"/>
      <c r="AV1008" s="37"/>
      <c r="AW1008" s="37"/>
      <c r="AX1008" s="37"/>
      <c r="AY1008" s="37"/>
      <c r="AZ1008" s="37"/>
    </row>
    <row r="1009" spans="1:52">
      <c r="A1009" s="37"/>
      <c r="B1009" s="37"/>
      <c r="C1009" s="37"/>
      <c r="D1009" s="37"/>
      <c r="E1009" s="37"/>
      <c r="F1009" s="37"/>
      <c r="G1009" s="37"/>
      <c r="H1009" s="37"/>
      <c r="I1009" s="37"/>
      <c r="J1009" s="37"/>
      <c r="K1009" s="37"/>
      <c r="L1009" s="37"/>
      <c r="M1009" s="37"/>
      <c r="N1009" s="37"/>
      <c r="O1009" s="37"/>
      <c r="P1009" s="37"/>
      <c r="Q1009" s="37"/>
      <c r="R1009" s="37"/>
      <c r="S1009" s="37"/>
      <c r="T1009" s="37"/>
      <c r="U1009" s="37"/>
      <c r="V1009" s="37"/>
      <c r="W1009" s="37"/>
      <c r="X1009" s="37"/>
      <c r="Y1009" s="37"/>
      <c r="Z1009" s="37"/>
      <c r="AA1009" s="37"/>
      <c r="AB1009" s="37"/>
      <c r="AC1009" s="37"/>
      <c r="AD1009" s="37"/>
      <c r="AE1009" s="37"/>
      <c r="AF1009" s="37"/>
      <c r="AG1009" s="37"/>
      <c r="AH1009" s="37"/>
      <c r="AI1009" s="37"/>
      <c r="AJ1009" s="37"/>
      <c r="AK1009" s="37"/>
      <c r="AL1009" s="37"/>
      <c r="AM1009" s="37"/>
      <c r="AN1009" s="37"/>
      <c r="AO1009" s="37"/>
      <c r="AP1009" s="37"/>
      <c r="AQ1009" s="37"/>
      <c r="AR1009" s="37"/>
      <c r="AS1009" s="37"/>
      <c r="AT1009" s="37"/>
      <c r="AU1009" s="37"/>
      <c r="AV1009" s="37"/>
      <c r="AW1009" s="37"/>
      <c r="AX1009" s="37"/>
      <c r="AY1009" s="37"/>
      <c r="AZ1009" s="37"/>
    </row>
    <row r="1010" spans="1:52">
      <c r="A1010" s="37"/>
      <c r="B1010" s="37"/>
      <c r="C1010" s="37"/>
      <c r="D1010" s="37"/>
      <c r="E1010" s="37"/>
      <c r="F1010" s="37"/>
      <c r="G1010" s="37"/>
      <c r="H1010" s="37"/>
      <c r="I1010" s="37"/>
      <c r="J1010" s="37"/>
      <c r="K1010" s="37"/>
      <c r="L1010" s="37"/>
      <c r="M1010" s="37"/>
      <c r="N1010" s="37"/>
      <c r="O1010" s="37"/>
      <c r="P1010" s="37"/>
      <c r="Q1010" s="37"/>
      <c r="R1010" s="37"/>
      <c r="S1010" s="37"/>
      <c r="T1010" s="37"/>
      <c r="U1010" s="37"/>
      <c r="V1010" s="37"/>
      <c r="W1010" s="37"/>
      <c r="X1010" s="37"/>
      <c r="Y1010" s="37"/>
      <c r="Z1010" s="37"/>
      <c r="AA1010" s="37"/>
      <c r="AB1010" s="37"/>
      <c r="AC1010" s="37"/>
      <c r="AD1010" s="37"/>
      <c r="AE1010" s="37"/>
      <c r="AF1010" s="37"/>
      <c r="AG1010" s="37"/>
      <c r="AH1010" s="37"/>
      <c r="AI1010" s="37"/>
      <c r="AJ1010" s="37"/>
      <c r="AK1010" s="37"/>
      <c r="AL1010" s="37"/>
      <c r="AM1010" s="37"/>
      <c r="AN1010" s="37"/>
      <c r="AO1010" s="37"/>
      <c r="AP1010" s="37"/>
      <c r="AQ1010" s="37"/>
      <c r="AR1010" s="37"/>
      <c r="AS1010" s="37"/>
      <c r="AT1010" s="37"/>
      <c r="AU1010" s="37"/>
      <c r="AV1010" s="37"/>
      <c r="AW1010" s="37"/>
      <c r="AX1010" s="37"/>
      <c r="AY1010" s="37"/>
      <c r="AZ1010" s="37"/>
    </row>
    <row r="1011" spans="1:52">
      <c r="A1011" s="37"/>
      <c r="B1011" s="37"/>
      <c r="C1011" s="37"/>
      <c r="D1011" s="37"/>
      <c r="E1011" s="37"/>
      <c r="F1011" s="37"/>
      <c r="G1011" s="37"/>
      <c r="H1011" s="37"/>
      <c r="I1011" s="37"/>
      <c r="J1011" s="37"/>
      <c r="K1011" s="37"/>
      <c r="L1011" s="37"/>
      <c r="M1011" s="37"/>
      <c r="N1011" s="37"/>
      <c r="O1011" s="37"/>
      <c r="P1011" s="37"/>
      <c r="Q1011" s="37"/>
      <c r="R1011" s="37"/>
      <c r="S1011" s="37"/>
      <c r="T1011" s="37"/>
      <c r="U1011" s="37"/>
      <c r="V1011" s="37"/>
      <c r="W1011" s="37"/>
      <c r="X1011" s="37"/>
      <c r="Y1011" s="37"/>
      <c r="Z1011" s="37"/>
      <c r="AA1011" s="37"/>
      <c r="AB1011" s="37"/>
      <c r="AC1011" s="37"/>
      <c r="AD1011" s="37"/>
      <c r="AE1011" s="37"/>
      <c r="AF1011" s="37"/>
      <c r="AG1011" s="37"/>
      <c r="AH1011" s="37"/>
      <c r="AI1011" s="37"/>
      <c r="AJ1011" s="37"/>
      <c r="AK1011" s="37"/>
      <c r="AL1011" s="37"/>
      <c r="AM1011" s="37"/>
      <c r="AN1011" s="37"/>
      <c r="AO1011" s="37"/>
      <c r="AP1011" s="37"/>
      <c r="AQ1011" s="37"/>
      <c r="AR1011" s="37"/>
      <c r="AS1011" s="37"/>
      <c r="AT1011" s="37"/>
      <c r="AU1011" s="37"/>
      <c r="AV1011" s="37"/>
      <c r="AW1011" s="37"/>
      <c r="AX1011" s="37"/>
      <c r="AY1011" s="37"/>
      <c r="AZ1011" s="37"/>
    </row>
    <row r="1012" spans="1:52">
      <c r="A1012" s="37"/>
      <c r="B1012" s="37"/>
      <c r="C1012" s="37"/>
      <c r="D1012" s="37"/>
      <c r="E1012" s="37"/>
      <c r="F1012" s="37"/>
      <c r="G1012" s="37"/>
      <c r="H1012" s="37"/>
      <c r="I1012" s="37"/>
      <c r="J1012" s="37"/>
      <c r="K1012" s="37"/>
      <c r="L1012" s="37"/>
      <c r="M1012" s="37"/>
      <c r="N1012" s="37"/>
      <c r="O1012" s="37"/>
      <c r="P1012" s="37"/>
      <c r="Q1012" s="37"/>
      <c r="R1012" s="37"/>
      <c r="S1012" s="37"/>
      <c r="T1012" s="37"/>
      <c r="U1012" s="37"/>
      <c r="V1012" s="37"/>
      <c r="W1012" s="37"/>
      <c r="X1012" s="37"/>
      <c r="Y1012" s="37"/>
      <c r="Z1012" s="37"/>
      <c r="AA1012" s="37"/>
      <c r="AB1012" s="37"/>
      <c r="AC1012" s="37"/>
      <c r="AD1012" s="37"/>
      <c r="AE1012" s="37"/>
      <c r="AF1012" s="37"/>
      <c r="AG1012" s="37"/>
      <c r="AH1012" s="37"/>
      <c r="AI1012" s="37"/>
      <c r="AJ1012" s="37"/>
      <c r="AK1012" s="37"/>
      <c r="AL1012" s="37"/>
      <c r="AM1012" s="37"/>
      <c r="AN1012" s="37"/>
      <c r="AO1012" s="37"/>
      <c r="AP1012" s="37"/>
      <c r="AQ1012" s="37"/>
      <c r="AR1012" s="37"/>
      <c r="AS1012" s="37"/>
      <c r="AT1012" s="37"/>
      <c r="AU1012" s="37"/>
      <c r="AV1012" s="37"/>
      <c r="AW1012" s="37"/>
      <c r="AX1012" s="37"/>
      <c r="AY1012" s="37"/>
      <c r="AZ1012" s="37"/>
    </row>
    <row r="1013" spans="1:52">
      <c r="A1013" s="37"/>
      <c r="B1013" s="37"/>
      <c r="C1013" s="37"/>
      <c r="D1013" s="37"/>
      <c r="E1013" s="37"/>
      <c r="F1013" s="37"/>
      <c r="G1013" s="37"/>
      <c r="H1013" s="37"/>
      <c r="I1013" s="37"/>
      <c r="J1013" s="37"/>
      <c r="K1013" s="37"/>
      <c r="L1013" s="37"/>
      <c r="M1013" s="37"/>
      <c r="N1013" s="37"/>
      <c r="O1013" s="37"/>
      <c r="P1013" s="37"/>
      <c r="Q1013" s="37"/>
      <c r="R1013" s="37"/>
      <c r="S1013" s="37"/>
      <c r="T1013" s="37"/>
      <c r="U1013" s="37"/>
      <c r="V1013" s="37"/>
      <c r="W1013" s="37"/>
      <c r="X1013" s="37"/>
      <c r="Y1013" s="37"/>
      <c r="Z1013" s="37"/>
      <c r="AA1013" s="37"/>
      <c r="AB1013" s="37"/>
      <c r="AC1013" s="37"/>
      <c r="AD1013" s="37"/>
      <c r="AE1013" s="37"/>
      <c r="AF1013" s="37"/>
      <c r="AG1013" s="37"/>
      <c r="AH1013" s="37"/>
      <c r="AI1013" s="37"/>
      <c r="AJ1013" s="37"/>
      <c r="AK1013" s="37"/>
      <c r="AL1013" s="37"/>
      <c r="AM1013" s="37"/>
      <c r="AN1013" s="37"/>
      <c r="AO1013" s="37"/>
      <c r="AP1013" s="37"/>
      <c r="AQ1013" s="37"/>
      <c r="AR1013" s="37"/>
      <c r="AS1013" s="37"/>
      <c r="AT1013" s="37"/>
      <c r="AU1013" s="37"/>
      <c r="AV1013" s="37"/>
      <c r="AW1013" s="37"/>
      <c r="AX1013" s="37"/>
      <c r="AY1013" s="37"/>
      <c r="AZ1013" s="37"/>
    </row>
    <row r="1014" spans="1:52">
      <c r="A1014" s="37"/>
      <c r="B1014" s="37"/>
      <c r="C1014" s="37"/>
      <c r="D1014" s="37"/>
      <c r="E1014" s="37"/>
      <c r="F1014" s="37"/>
      <c r="G1014" s="37"/>
      <c r="H1014" s="37"/>
      <c r="I1014" s="37"/>
      <c r="J1014" s="37"/>
      <c r="K1014" s="37"/>
      <c r="L1014" s="37"/>
      <c r="M1014" s="37"/>
      <c r="N1014" s="37"/>
      <c r="O1014" s="37"/>
      <c r="P1014" s="37"/>
      <c r="Q1014" s="37"/>
      <c r="R1014" s="37"/>
      <c r="S1014" s="37"/>
      <c r="T1014" s="37"/>
      <c r="U1014" s="37"/>
      <c r="V1014" s="37"/>
      <c r="W1014" s="37"/>
      <c r="X1014" s="37"/>
      <c r="Y1014" s="37"/>
      <c r="Z1014" s="37"/>
      <c r="AA1014" s="37"/>
      <c r="AB1014" s="37"/>
      <c r="AC1014" s="37"/>
      <c r="AD1014" s="37"/>
      <c r="AE1014" s="37"/>
      <c r="AF1014" s="37"/>
      <c r="AG1014" s="37"/>
      <c r="AH1014" s="37"/>
      <c r="AI1014" s="37"/>
      <c r="AJ1014" s="37"/>
      <c r="AK1014" s="37"/>
      <c r="AL1014" s="37"/>
      <c r="AM1014" s="37"/>
      <c r="AN1014" s="37"/>
      <c r="AO1014" s="37"/>
      <c r="AP1014" s="37"/>
      <c r="AQ1014" s="37"/>
      <c r="AR1014" s="37"/>
      <c r="AS1014" s="37"/>
      <c r="AT1014" s="37"/>
      <c r="AU1014" s="37"/>
      <c r="AV1014" s="37"/>
      <c r="AW1014" s="37"/>
      <c r="AX1014" s="37"/>
      <c r="AY1014" s="37"/>
      <c r="AZ1014" s="37"/>
    </row>
    <row r="1015" spans="1:52">
      <c r="A1015" s="37"/>
      <c r="B1015" s="37"/>
      <c r="C1015" s="37"/>
      <c r="D1015" s="37"/>
      <c r="E1015" s="37"/>
      <c r="F1015" s="37"/>
      <c r="G1015" s="37"/>
      <c r="H1015" s="37"/>
      <c r="I1015" s="37"/>
      <c r="J1015" s="37"/>
      <c r="K1015" s="37"/>
      <c r="L1015" s="37"/>
      <c r="M1015" s="37"/>
      <c r="N1015" s="37"/>
      <c r="O1015" s="37"/>
      <c r="P1015" s="37"/>
      <c r="Q1015" s="37"/>
      <c r="R1015" s="37"/>
      <c r="S1015" s="37"/>
      <c r="T1015" s="37"/>
      <c r="U1015" s="37"/>
      <c r="V1015" s="37"/>
      <c r="W1015" s="37"/>
      <c r="X1015" s="37"/>
      <c r="Y1015" s="37"/>
      <c r="Z1015" s="37"/>
      <c r="AA1015" s="37"/>
      <c r="AB1015" s="37"/>
      <c r="AC1015" s="37"/>
      <c r="AD1015" s="37"/>
      <c r="AE1015" s="37"/>
      <c r="AF1015" s="37"/>
      <c r="AG1015" s="37"/>
      <c r="AH1015" s="37"/>
      <c r="AI1015" s="37"/>
      <c r="AJ1015" s="37"/>
      <c r="AK1015" s="37"/>
      <c r="AL1015" s="37"/>
      <c r="AM1015" s="37"/>
      <c r="AN1015" s="37"/>
      <c r="AO1015" s="37"/>
      <c r="AP1015" s="37"/>
      <c r="AQ1015" s="37"/>
      <c r="AR1015" s="37"/>
      <c r="AS1015" s="37"/>
      <c r="AT1015" s="37"/>
      <c r="AU1015" s="37"/>
      <c r="AV1015" s="37"/>
      <c r="AW1015" s="37"/>
      <c r="AX1015" s="37"/>
      <c r="AY1015" s="37"/>
      <c r="AZ1015" s="37"/>
    </row>
    <row r="1016" spans="1:52">
      <c r="A1016" s="37"/>
      <c r="B1016" s="37"/>
      <c r="C1016" s="37"/>
      <c r="D1016" s="37"/>
      <c r="E1016" s="37"/>
      <c r="F1016" s="37"/>
      <c r="G1016" s="37"/>
      <c r="H1016" s="37"/>
      <c r="I1016" s="37"/>
      <c r="J1016" s="37"/>
      <c r="K1016" s="37"/>
      <c r="L1016" s="37"/>
      <c r="M1016" s="37"/>
      <c r="N1016" s="37"/>
      <c r="O1016" s="37"/>
      <c r="P1016" s="37"/>
      <c r="Q1016" s="37"/>
      <c r="R1016" s="37"/>
      <c r="S1016" s="37"/>
      <c r="T1016" s="37"/>
      <c r="U1016" s="37"/>
      <c r="V1016" s="37"/>
      <c r="W1016" s="37"/>
      <c r="X1016" s="37"/>
      <c r="Y1016" s="37"/>
      <c r="Z1016" s="37"/>
      <c r="AA1016" s="37"/>
      <c r="AB1016" s="37"/>
      <c r="AC1016" s="37"/>
      <c r="AD1016" s="37"/>
      <c r="AE1016" s="37"/>
      <c r="AF1016" s="37"/>
      <c r="AG1016" s="37"/>
      <c r="AH1016" s="37"/>
      <c r="AI1016" s="37"/>
      <c r="AJ1016" s="37"/>
      <c r="AK1016" s="37"/>
      <c r="AL1016" s="37"/>
      <c r="AM1016" s="37"/>
      <c r="AN1016" s="37"/>
      <c r="AO1016" s="37"/>
      <c r="AP1016" s="37"/>
      <c r="AQ1016" s="37"/>
      <c r="AR1016" s="37"/>
      <c r="AS1016" s="37"/>
      <c r="AT1016" s="37"/>
      <c r="AU1016" s="37"/>
      <c r="AV1016" s="37"/>
      <c r="AW1016" s="37"/>
      <c r="AX1016" s="37"/>
      <c r="AY1016" s="37"/>
      <c r="AZ1016" s="37"/>
    </row>
    <row r="1017" spans="1:52">
      <c r="A1017" s="37"/>
      <c r="B1017" s="37"/>
      <c r="C1017" s="37"/>
      <c r="D1017" s="37"/>
      <c r="E1017" s="37"/>
      <c r="F1017" s="37"/>
      <c r="G1017" s="37"/>
      <c r="H1017" s="37"/>
      <c r="I1017" s="37"/>
      <c r="J1017" s="37"/>
      <c r="K1017" s="37"/>
      <c r="L1017" s="37"/>
      <c r="M1017" s="37"/>
      <c r="N1017" s="37"/>
      <c r="O1017" s="37"/>
      <c r="P1017" s="37"/>
      <c r="Q1017" s="37"/>
      <c r="R1017" s="37"/>
      <c r="S1017" s="37"/>
      <c r="T1017" s="37"/>
      <c r="U1017" s="37"/>
      <c r="V1017" s="37"/>
      <c r="W1017" s="37"/>
      <c r="X1017" s="37"/>
      <c r="Y1017" s="37"/>
      <c r="Z1017" s="37"/>
      <c r="AA1017" s="37"/>
      <c r="AB1017" s="37"/>
      <c r="AC1017" s="37"/>
      <c r="AD1017" s="37"/>
      <c r="AE1017" s="37"/>
      <c r="AF1017" s="37"/>
      <c r="AG1017" s="37"/>
      <c r="AH1017" s="37"/>
      <c r="AI1017" s="37"/>
      <c r="AJ1017" s="37"/>
      <c r="AK1017" s="37"/>
      <c r="AL1017" s="37"/>
      <c r="AM1017" s="37"/>
      <c r="AN1017" s="37"/>
      <c r="AO1017" s="37"/>
      <c r="AP1017" s="37"/>
      <c r="AQ1017" s="37"/>
      <c r="AR1017" s="37"/>
      <c r="AS1017" s="37"/>
      <c r="AT1017" s="37"/>
      <c r="AU1017" s="37"/>
      <c r="AV1017" s="37"/>
      <c r="AW1017" s="37"/>
      <c r="AX1017" s="37"/>
      <c r="AY1017" s="37"/>
      <c r="AZ1017" s="37"/>
    </row>
    <row r="1018" spans="1:52">
      <c r="A1018" s="37"/>
      <c r="B1018" s="37"/>
      <c r="C1018" s="37"/>
      <c r="D1018" s="37"/>
      <c r="E1018" s="37"/>
      <c r="F1018" s="37"/>
      <c r="G1018" s="37"/>
      <c r="H1018" s="37"/>
      <c r="I1018" s="37"/>
      <c r="J1018" s="37"/>
      <c r="K1018" s="37"/>
      <c r="L1018" s="37"/>
      <c r="M1018" s="37"/>
      <c r="N1018" s="37"/>
      <c r="O1018" s="37"/>
      <c r="P1018" s="37"/>
      <c r="Q1018" s="37"/>
      <c r="R1018" s="37"/>
      <c r="S1018" s="37"/>
      <c r="T1018" s="37"/>
      <c r="U1018" s="37"/>
      <c r="V1018" s="37"/>
      <c r="W1018" s="37"/>
      <c r="X1018" s="37"/>
      <c r="Y1018" s="37"/>
      <c r="Z1018" s="37"/>
      <c r="AA1018" s="37"/>
      <c r="AB1018" s="37"/>
      <c r="AC1018" s="37"/>
      <c r="AD1018" s="37"/>
      <c r="AE1018" s="37"/>
      <c r="AF1018" s="37"/>
      <c r="AG1018" s="37"/>
      <c r="AH1018" s="37"/>
      <c r="AI1018" s="37"/>
      <c r="AJ1018" s="37"/>
      <c r="AK1018" s="37"/>
      <c r="AL1018" s="37"/>
      <c r="AM1018" s="37"/>
      <c r="AN1018" s="37"/>
      <c r="AO1018" s="37"/>
      <c r="AP1018" s="37"/>
      <c r="AQ1018" s="37"/>
      <c r="AR1018" s="37"/>
      <c r="AS1018" s="37"/>
      <c r="AT1018" s="37"/>
      <c r="AU1018" s="37"/>
      <c r="AV1018" s="37"/>
      <c r="AW1018" s="37"/>
      <c r="AX1018" s="37"/>
      <c r="AY1018" s="37"/>
      <c r="AZ1018" s="37"/>
    </row>
    <row r="1019" spans="1:52">
      <c r="A1019" s="37"/>
      <c r="B1019" s="37"/>
      <c r="C1019" s="37"/>
      <c r="D1019" s="37"/>
      <c r="E1019" s="37"/>
      <c r="F1019" s="37"/>
      <c r="G1019" s="37"/>
      <c r="H1019" s="37"/>
      <c r="I1019" s="37"/>
      <c r="J1019" s="37"/>
      <c r="K1019" s="37"/>
      <c r="L1019" s="37"/>
      <c r="M1019" s="37"/>
      <c r="N1019" s="37"/>
      <c r="O1019" s="37"/>
      <c r="P1019" s="37"/>
      <c r="Q1019" s="37"/>
      <c r="R1019" s="37"/>
      <c r="S1019" s="37"/>
      <c r="T1019" s="37"/>
      <c r="U1019" s="37"/>
      <c r="V1019" s="37"/>
      <c r="W1019" s="37"/>
      <c r="X1019" s="37"/>
      <c r="Y1019" s="37"/>
      <c r="Z1019" s="37"/>
      <c r="AA1019" s="37"/>
      <c r="AB1019" s="37"/>
      <c r="AC1019" s="37"/>
      <c r="AD1019" s="37"/>
      <c r="AE1019" s="37"/>
      <c r="AF1019" s="37"/>
      <c r="AG1019" s="37"/>
      <c r="AH1019" s="37"/>
      <c r="AI1019" s="37"/>
      <c r="AJ1019" s="37"/>
      <c r="AK1019" s="37"/>
      <c r="AL1019" s="37"/>
      <c r="AM1019" s="37"/>
      <c r="AN1019" s="37"/>
      <c r="AO1019" s="37"/>
      <c r="AP1019" s="37"/>
      <c r="AQ1019" s="37"/>
      <c r="AR1019" s="37"/>
      <c r="AS1019" s="37"/>
      <c r="AT1019" s="37"/>
      <c r="AU1019" s="37"/>
      <c r="AV1019" s="37"/>
      <c r="AW1019" s="37"/>
      <c r="AX1019" s="37"/>
      <c r="AY1019" s="37"/>
      <c r="AZ1019" s="37"/>
    </row>
    <row r="1020" spans="1:52">
      <c r="A1020" s="37"/>
      <c r="B1020" s="37"/>
      <c r="C1020" s="37"/>
      <c r="D1020" s="37"/>
      <c r="E1020" s="37"/>
      <c r="F1020" s="37"/>
      <c r="G1020" s="37"/>
      <c r="H1020" s="37"/>
      <c r="I1020" s="37"/>
      <c r="J1020" s="37"/>
      <c r="K1020" s="37"/>
      <c r="L1020" s="37"/>
      <c r="M1020" s="37"/>
      <c r="N1020" s="37"/>
      <c r="O1020" s="37"/>
      <c r="P1020" s="37"/>
      <c r="Q1020" s="37"/>
      <c r="R1020" s="37"/>
      <c r="S1020" s="37"/>
      <c r="T1020" s="37"/>
      <c r="U1020" s="37"/>
      <c r="V1020" s="37"/>
      <c r="W1020" s="37"/>
      <c r="X1020" s="37"/>
      <c r="Y1020" s="37"/>
      <c r="Z1020" s="37"/>
      <c r="AA1020" s="37"/>
      <c r="AB1020" s="37"/>
      <c r="AC1020" s="37"/>
      <c r="AD1020" s="37"/>
      <c r="AE1020" s="37"/>
      <c r="AF1020" s="37"/>
      <c r="AG1020" s="37"/>
      <c r="AH1020" s="37"/>
      <c r="AI1020" s="37"/>
      <c r="AJ1020" s="37"/>
      <c r="AK1020" s="37"/>
      <c r="AL1020" s="37"/>
      <c r="AM1020" s="37"/>
      <c r="AN1020" s="37"/>
      <c r="AO1020" s="37"/>
      <c r="AP1020" s="37"/>
      <c r="AQ1020" s="37"/>
      <c r="AR1020" s="37"/>
      <c r="AS1020" s="37"/>
      <c r="AT1020" s="37"/>
      <c r="AU1020" s="37"/>
      <c r="AV1020" s="37"/>
      <c r="AW1020" s="37"/>
      <c r="AX1020" s="37"/>
      <c r="AY1020" s="37"/>
      <c r="AZ1020" s="37"/>
    </row>
    <row r="1021" spans="1:52">
      <c r="A1021" s="37"/>
      <c r="B1021" s="37"/>
      <c r="C1021" s="37"/>
      <c r="D1021" s="37"/>
      <c r="E1021" s="37"/>
      <c r="F1021" s="37"/>
      <c r="G1021" s="37"/>
      <c r="H1021" s="37"/>
      <c r="I1021" s="37"/>
      <c r="J1021" s="37"/>
      <c r="K1021" s="37"/>
      <c r="L1021" s="37"/>
      <c r="M1021" s="37"/>
      <c r="N1021" s="37"/>
      <c r="O1021" s="37"/>
      <c r="P1021" s="37"/>
      <c r="Q1021" s="37"/>
      <c r="R1021" s="37"/>
      <c r="S1021" s="37"/>
      <c r="T1021" s="37"/>
      <c r="U1021" s="37"/>
      <c r="V1021" s="37"/>
      <c r="W1021" s="37"/>
      <c r="X1021" s="37"/>
      <c r="Y1021" s="37"/>
      <c r="Z1021" s="37"/>
      <c r="AA1021" s="37"/>
      <c r="AB1021" s="37"/>
      <c r="AC1021" s="37"/>
      <c r="AD1021" s="37"/>
      <c r="AE1021" s="37"/>
      <c r="AF1021" s="37"/>
      <c r="AG1021" s="37"/>
      <c r="AH1021" s="37"/>
      <c r="AI1021" s="37"/>
      <c r="AJ1021" s="37"/>
      <c r="AK1021" s="37"/>
      <c r="AL1021" s="37"/>
      <c r="AM1021" s="37"/>
      <c r="AN1021" s="37"/>
      <c r="AO1021" s="37"/>
      <c r="AP1021" s="37"/>
      <c r="AQ1021" s="37"/>
      <c r="AR1021" s="37"/>
      <c r="AS1021" s="37"/>
      <c r="AT1021" s="37"/>
      <c r="AU1021" s="37"/>
      <c r="AV1021" s="37"/>
      <c r="AW1021" s="37"/>
      <c r="AX1021" s="37"/>
      <c r="AY1021" s="37"/>
      <c r="AZ1021" s="37"/>
    </row>
    <row r="1022" spans="1:52">
      <c r="A1022" s="37"/>
      <c r="B1022" s="37"/>
      <c r="C1022" s="37"/>
      <c r="D1022" s="37"/>
      <c r="E1022" s="37"/>
      <c r="F1022" s="37"/>
      <c r="G1022" s="37"/>
      <c r="H1022" s="37"/>
      <c r="I1022" s="37"/>
      <c r="J1022" s="37"/>
      <c r="K1022" s="37"/>
      <c r="L1022" s="37"/>
      <c r="M1022" s="37"/>
      <c r="N1022" s="37"/>
      <c r="O1022" s="37"/>
      <c r="P1022" s="37"/>
      <c r="Q1022" s="37"/>
      <c r="R1022" s="37"/>
      <c r="S1022" s="37"/>
      <c r="T1022" s="37"/>
      <c r="U1022" s="37"/>
      <c r="V1022" s="37"/>
      <c r="W1022" s="37"/>
      <c r="X1022" s="37"/>
      <c r="Y1022" s="37"/>
      <c r="Z1022" s="37"/>
      <c r="AA1022" s="37"/>
      <c r="AB1022" s="37"/>
      <c r="AC1022" s="37"/>
      <c r="AD1022" s="37"/>
      <c r="AE1022" s="37"/>
      <c r="AF1022" s="37"/>
      <c r="AG1022" s="37"/>
      <c r="AH1022" s="37"/>
      <c r="AI1022" s="37"/>
      <c r="AJ1022" s="37"/>
      <c r="AK1022" s="37"/>
      <c r="AL1022" s="37"/>
      <c r="AM1022" s="37"/>
      <c r="AN1022" s="37"/>
      <c r="AO1022" s="37"/>
      <c r="AP1022" s="37"/>
      <c r="AQ1022" s="37"/>
      <c r="AR1022" s="37"/>
      <c r="AS1022" s="37"/>
      <c r="AT1022" s="37"/>
      <c r="AU1022" s="37"/>
      <c r="AV1022" s="37"/>
      <c r="AW1022" s="37"/>
      <c r="AX1022" s="37"/>
      <c r="AY1022" s="37"/>
      <c r="AZ1022" s="37"/>
    </row>
    <row r="1023" spans="1:52">
      <c r="A1023" s="37"/>
      <c r="B1023" s="37"/>
      <c r="C1023" s="37"/>
      <c r="D1023" s="37"/>
      <c r="E1023" s="37"/>
      <c r="F1023" s="37"/>
      <c r="G1023" s="37"/>
      <c r="H1023" s="37"/>
      <c r="I1023" s="37"/>
      <c r="J1023" s="37"/>
      <c r="K1023" s="37"/>
      <c r="L1023" s="37"/>
      <c r="M1023" s="37"/>
      <c r="N1023" s="37"/>
      <c r="O1023" s="37"/>
      <c r="P1023" s="37"/>
      <c r="Q1023" s="37"/>
      <c r="R1023" s="37"/>
      <c r="S1023" s="37"/>
      <c r="T1023" s="37"/>
      <c r="U1023" s="37"/>
      <c r="V1023" s="37"/>
      <c r="W1023" s="37"/>
      <c r="X1023" s="37"/>
      <c r="Y1023" s="37"/>
      <c r="Z1023" s="37"/>
      <c r="AA1023" s="37"/>
      <c r="AB1023" s="37"/>
      <c r="AC1023" s="37"/>
      <c r="AD1023" s="37"/>
      <c r="AE1023" s="37"/>
      <c r="AF1023" s="37"/>
      <c r="AG1023" s="37"/>
      <c r="AH1023" s="37"/>
      <c r="AI1023" s="37"/>
      <c r="AJ1023" s="37"/>
      <c r="AK1023" s="37"/>
      <c r="AL1023" s="37"/>
      <c r="AM1023" s="37"/>
      <c r="AN1023" s="37"/>
      <c r="AO1023" s="37"/>
      <c r="AP1023" s="37"/>
      <c r="AQ1023" s="37"/>
      <c r="AR1023" s="37"/>
      <c r="AS1023" s="37"/>
      <c r="AT1023" s="37"/>
      <c r="AU1023" s="37"/>
      <c r="AV1023" s="37"/>
      <c r="AW1023" s="37"/>
      <c r="AX1023" s="37"/>
      <c r="AY1023" s="37"/>
      <c r="AZ1023" s="37"/>
    </row>
    <row r="1024" spans="1:52">
      <c r="A1024" s="37"/>
      <c r="B1024" s="37"/>
      <c r="C1024" s="37"/>
      <c r="D1024" s="37"/>
      <c r="E1024" s="37"/>
      <c r="F1024" s="37"/>
      <c r="G1024" s="37"/>
      <c r="H1024" s="37"/>
      <c r="I1024" s="37"/>
      <c r="J1024" s="37"/>
      <c r="K1024" s="37"/>
      <c r="L1024" s="37"/>
      <c r="M1024" s="37"/>
      <c r="N1024" s="37"/>
      <c r="O1024" s="37"/>
      <c r="P1024" s="37"/>
      <c r="Q1024" s="37"/>
      <c r="R1024" s="37"/>
      <c r="S1024" s="37"/>
      <c r="T1024" s="37"/>
      <c r="U1024" s="37"/>
      <c r="V1024" s="37"/>
      <c r="W1024" s="37"/>
      <c r="X1024" s="37"/>
      <c r="Y1024" s="37"/>
      <c r="Z1024" s="37"/>
      <c r="AA1024" s="37"/>
      <c r="AB1024" s="37"/>
      <c r="AC1024" s="37"/>
      <c r="AD1024" s="37"/>
      <c r="AE1024" s="37"/>
      <c r="AF1024" s="37"/>
      <c r="AG1024" s="37"/>
      <c r="AH1024" s="37"/>
      <c r="AI1024" s="37"/>
      <c r="AJ1024" s="37"/>
      <c r="AK1024" s="37"/>
      <c r="AL1024" s="37"/>
      <c r="AM1024" s="37"/>
      <c r="AN1024" s="37"/>
      <c r="AO1024" s="37"/>
      <c r="AP1024" s="37"/>
      <c r="AQ1024" s="37"/>
      <c r="AR1024" s="37"/>
      <c r="AS1024" s="37"/>
      <c r="AT1024" s="37"/>
      <c r="AU1024" s="37"/>
      <c r="AV1024" s="37"/>
      <c r="AW1024" s="37"/>
      <c r="AX1024" s="37"/>
      <c r="AY1024" s="37"/>
      <c r="AZ1024" s="37"/>
    </row>
    <row r="1025" spans="1:52">
      <c r="A1025" s="37"/>
      <c r="B1025" s="37"/>
      <c r="C1025" s="37"/>
      <c r="D1025" s="37"/>
      <c r="E1025" s="37"/>
      <c r="F1025" s="37"/>
      <c r="G1025" s="37"/>
      <c r="H1025" s="37"/>
      <c r="I1025" s="37"/>
      <c r="J1025" s="37"/>
      <c r="K1025" s="37"/>
      <c r="L1025" s="37"/>
      <c r="M1025" s="37"/>
      <c r="N1025" s="37"/>
      <c r="O1025" s="37"/>
      <c r="P1025" s="37"/>
      <c r="Q1025" s="37"/>
      <c r="R1025" s="37"/>
      <c r="S1025" s="37"/>
      <c r="T1025" s="37"/>
      <c r="U1025" s="37"/>
      <c r="V1025" s="37"/>
      <c r="W1025" s="37"/>
      <c r="X1025" s="37"/>
      <c r="Y1025" s="37"/>
      <c r="Z1025" s="37"/>
      <c r="AA1025" s="37"/>
      <c r="AB1025" s="37"/>
      <c r="AC1025" s="37"/>
      <c r="AD1025" s="37"/>
      <c r="AE1025" s="37"/>
      <c r="AF1025" s="37"/>
      <c r="AG1025" s="37"/>
      <c r="AH1025" s="37"/>
      <c r="AI1025" s="37"/>
      <c r="AJ1025" s="37"/>
      <c r="AK1025" s="37"/>
      <c r="AL1025" s="37"/>
      <c r="AM1025" s="37"/>
      <c r="AN1025" s="37"/>
      <c r="AO1025" s="37"/>
      <c r="AP1025" s="37"/>
      <c r="AQ1025" s="37"/>
      <c r="AR1025" s="37"/>
      <c r="AS1025" s="37"/>
      <c r="AT1025" s="37"/>
      <c r="AU1025" s="37"/>
      <c r="AV1025" s="37"/>
      <c r="AW1025" s="37"/>
      <c r="AX1025" s="37"/>
      <c r="AY1025" s="37"/>
      <c r="AZ1025" s="37"/>
    </row>
    <row r="1026" spans="1:52">
      <c r="A1026" s="37"/>
      <c r="B1026" s="37"/>
      <c r="C1026" s="37"/>
      <c r="D1026" s="37"/>
      <c r="E1026" s="37"/>
      <c r="F1026" s="37"/>
      <c r="G1026" s="37"/>
      <c r="H1026" s="37"/>
      <c r="I1026" s="37"/>
      <c r="J1026" s="37"/>
      <c r="K1026" s="37"/>
      <c r="L1026" s="37"/>
      <c r="M1026" s="37"/>
      <c r="N1026" s="37"/>
      <c r="O1026" s="37"/>
      <c r="P1026" s="37"/>
      <c r="Q1026" s="37"/>
      <c r="R1026" s="37"/>
      <c r="S1026" s="37"/>
      <c r="T1026" s="37"/>
      <c r="U1026" s="37"/>
      <c r="V1026" s="37"/>
      <c r="W1026" s="37"/>
      <c r="X1026" s="37"/>
      <c r="Y1026" s="37"/>
      <c r="Z1026" s="37"/>
      <c r="AA1026" s="37"/>
      <c r="AB1026" s="37"/>
      <c r="AC1026" s="37"/>
      <c r="AD1026" s="37"/>
      <c r="AE1026" s="37"/>
      <c r="AF1026" s="37"/>
      <c r="AG1026" s="37"/>
      <c r="AH1026" s="37"/>
      <c r="AI1026" s="37"/>
      <c r="AJ1026" s="37"/>
      <c r="AK1026" s="37"/>
      <c r="AL1026" s="37"/>
      <c r="AM1026" s="37"/>
      <c r="AN1026" s="37"/>
      <c r="AO1026" s="37"/>
      <c r="AP1026" s="37"/>
      <c r="AQ1026" s="37"/>
      <c r="AR1026" s="37"/>
      <c r="AS1026" s="37"/>
      <c r="AT1026" s="37"/>
      <c r="AU1026" s="37"/>
      <c r="AV1026" s="37"/>
      <c r="AW1026" s="37"/>
      <c r="AX1026" s="37"/>
      <c r="AY1026" s="37"/>
      <c r="AZ1026" s="37"/>
    </row>
    <row r="1027" spans="1:52">
      <c r="A1027" s="37"/>
      <c r="B1027" s="37"/>
      <c r="C1027" s="37"/>
      <c r="D1027" s="37"/>
      <c r="E1027" s="37"/>
      <c r="F1027" s="37"/>
      <c r="G1027" s="37"/>
      <c r="H1027" s="37"/>
      <c r="I1027" s="37"/>
      <c r="J1027" s="37"/>
      <c r="K1027" s="37"/>
      <c r="L1027" s="37"/>
      <c r="M1027" s="37"/>
      <c r="N1027" s="37"/>
      <c r="O1027" s="37"/>
      <c r="P1027" s="37"/>
      <c r="Q1027" s="37"/>
      <c r="R1027" s="37"/>
      <c r="S1027" s="37"/>
      <c r="T1027" s="37"/>
      <c r="U1027" s="37"/>
      <c r="V1027" s="37"/>
      <c r="W1027" s="37"/>
      <c r="X1027" s="37"/>
      <c r="Y1027" s="37"/>
      <c r="Z1027" s="37"/>
      <c r="AA1027" s="37"/>
      <c r="AB1027" s="37"/>
      <c r="AC1027" s="37"/>
      <c r="AD1027" s="37"/>
      <c r="AE1027" s="37"/>
      <c r="AF1027" s="37"/>
      <c r="AG1027" s="37"/>
      <c r="AH1027" s="37"/>
      <c r="AI1027" s="37"/>
      <c r="AJ1027" s="37"/>
      <c r="AK1027" s="37"/>
      <c r="AL1027" s="37"/>
      <c r="AM1027" s="37"/>
      <c r="AN1027" s="37"/>
      <c r="AO1027" s="37"/>
      <c r="AP1027" s="37"/>
      <c r="AQ1027" s="37"/>
      <c r="AR1027" s="37"/>
      <c r="AS1027" s="37"/>
      <c r="AT1027" s="37"/>
      <c r="AU1027" s="37"/>
      <c r="AV1027" s="37"/>
      <c r="AW1027" s="37"/>
      <c r="AX1027" s="37"/>
      <c r="AY1027" s="37"/>
      <c r="AZ1027" s="37"/>
    </row>
    <row r="1028" spans="1:52">
      <c r="A1028" s="37"/>
      <c r="B1028" s="37"/>
      <c r="C1028" s="37"/>
      <c r="D1028" s="37"/>
      <c r="E1028" s="37"/>
      <c r="F1028" s="37"/>
      <c r="G1028" s="37"/>
      <c r="H1028" s="37"/>
      <c r="I1028" s="37"/>
      <c r="J1028" s="37"/>
      <c r="K1028" s="37"/>
      <c r="L1028" s="37"/>
      <c r="M1028" s="37"/>
      <c r="N1028" s="37"/>
      <c r="O1028" s="37"/>
      <c r="P1028" s="37"/>
      <c r="Q1028" s="37"/>
      <c r="R1028" s="37"/>
      <c r="S1028" s="37"/>
      <c r="T1028" s="37"/>
      <c r="U1028" s="37"/>
      <c r="V1028" s="37"/>
      <c r="W1028" s="37"/>
      <c r="X1028" s="37"/>
      <c r="Y1028" s="37"/>
      <c r="Z1028" s="37"/>
      <c r="AA1028" s="37"/>
      <c r="AB1028" s="37"/>
      <c r="AC1028" s="37"/>
      <c r="AD1028" s="37"/>
      <c r="AE1028" s="37"/>
      <c r="AF1028" s="37"/>
      <c r="AG1028" s="37"/>
      <c r="AH1028" s="37"/>
      <c r="AI1028" s="37"/>
      <c r="AJ1028" s="37"/>
      <c r="AK1028" s="37"/>
      <c r="AL1028" s="37"/>
      <c r="AM1028" s="37"/>
      <c r="AN1028" s="37"/>
      <c r="AO1028" s="37"/>
      <c r="AP1028" s="37"/>
      <c r="AQ1028" s="37"/>
      <c r="AR1028" s="37"/>
      <c r="AS1028" s="37"/>
      <c r="AT1028" s="37"/>
      <c r="AU1028" s="37"/>
      <c r="AV1028" s="37"/>
      <c r="AW1028" s="37"/>
      <c r="AX1028" s="37"/>
      <c r="AY1028" s="37"/>
      <c r="AZ1028" s="37"/>
    </row>
    <row r="1029" spans="1:52">
      <c r="A1029" s="37"/>
      <c r="B1029" s="37"/>
      <c r="C1029" s="37"/>
      <c r="D1029" s="37"/>
      <c r="E1029" s="37"/>
      <c r="F1029" s="37"/>
      <c r="G1029" s="37"/>
      <c r="H1029" s="37"/>
      <c r="I1029" s="37"/>
      <c r="J1029" s="37"/>
      <c r="K1029" s="37"/>
      <c r="L1029" s="37"/>
      <c r="M1029" s="37"/>
      <c r="N1029" s="37"/>
      <c r="O1029" s="37"/>
      <c r="P1029" s="37"/>
      <c r="Q1029" s="37"/>
      <c r="R1029" s="37"/>
      <c r="S1029" s="37"/>
      <c r="T1029" s="37"/>
      <c r="U1029" s="37"/>
      <c r="V1029" s="37"/>
      <c r="W1029" s="37"/>
      <c r="X1029" s="37"/>
      <c r="Y1029" s="37"/>
      <c r="Z1029" s="37"/>
      <c r="AA1029" s="37"/>
      <c r="AB1029" s="37"/>
      <c r="AC1029" s="37"/>
      <c r="AD1029" s="37"/>
      <c r="AE1029" s="37"/>
      <c r="AF1029" s="37"/>
      <c r="AG1029" s="37"/>
      <c r="AH1029" s="37"/>
      <c r="AI1029" s="37"/>
      <c r="AJ1029" s="37"/>
      <c r="AK1029" s="37"/>
      <c r="AL1029" s="37"/>
      <c r="AM1029" s="37"/>
      <c r="AN1029" s="37"/>
      <c r="AO1029" s="37"/>
      <c r="AP1029" s="37"/>
      <c r="AQ1029" s="37"/>
      <c r="AR1029" s="37"/>
      <c r="AS1029" s="37"/>
      <c r="AT1029" s="37"/>
      <c r="AU1029" s="37"/>
      <c r="AV1029" s="37"/>
      <c r="AW1029" s="37"/>
      <c r="AX1029" s="37"/>
      <c r="AY1029" s="37"/>
      <c r="AZ1029" s="37"/>
    </row>
    <row r="1030" spans="1:52">
      <c r="A1030" s="37"/>
      <c r="B1030" s="37"/>
      <c r="C1030" s="37"/>
      <c r="D1030" s="37"/>
      <c r="E1030" s="37"/>
      <c r="F1030" s="37"/>
      <c r="G1030" s="37"/>
      <c r="H1030" s="37"/>
      <c r="I1030" s="37"/>
      <c r="J1030" s="37"/>
      <c r="K1030" s="37"/>
      <c r="L1030" s="37"/>
      <c r="M1030" s="37"/>
      <c r="N1030" s="37"/>
      <c r="O1030" s="37"/>
      <c r="P1030" s="37"/>
      <c r="Q1030" s="37"/>
      <c r="R1030" s="37"/>
      <c r="S1030" s="37"/>
      <c r="T1030" s="37"/>
      <c r="U1030" s="37"/>
      <c r="V1030" s="37"/>
      <c r="W1030" s="37"/>
      <c r="X1030" s="37"/>
      <c r="Y1030" s="37"/>
      <c r="Z1030" s="37"/>
      <c r="AA1030" s="37"/>
      <c r="AB1030" s="37"/>
      <c r="AC1030" s="37"/>
      <c r="AD1030" s="37"/>
      <c r="AE1030" s="37"/>
      <c r="AF1030" s="37"/>
      <c r="AG1030" s="37"/>
      <c r="AH1030" s="37"/>
      <c r="AI1030" s="37"/>
      <c r="AJ1030" s="37"/>
      <c r="AK1030" s="37"/>
      <c r="AL1030" s="37"/>
      <c r="AM1030" s="37"/>
      <c r="AN1030" s="37"/>
      <c r="AO1030" s="37"/>
      <c r="AP1030" s="37"/>
      <c r="AQ1030" s="37"/>
      <c r="AR1030" s="37"/>
      <c r="AS1030" s="37"/>
      <c r="AT1030" s="37"/>
      <c r="AU1030" s="37"/>
      <c r="AV1030" s="37"/>
      <c r="AW1030" s="37"/>
      <c r="AX1030" s="37"/>
      <c r="AY1030" s="37"/>
      <c r="AZ1030" s="37"/>
    </row>
    <row r="1031" spans="1:52">
      <c r="A1031" s="37"/>
      <c r="B1031" s="37"/>
      <c r="C1031" s="37"/>
      <c r="D1031" s="37"/>
      <c r="E1031" s="37"/>
      <c r="F1031" s="37"/>
      <c r="G1031" s="37"/>
      <c r="H1031" s="37"/>
      <c r="I1031" s="37"/>
      <c r="J1031" s="37"/>
      <c r="K1031" s="37"/>
      <c r="L1031" s="37"/>
      <c r="M1031" s="37"/>
      <c r="N1031" s="37"/>
      <c r="O1031" s="37"/>
      <c r="P1031" s="37"/>
      <c r="Q1031" s="37"/>
      <c r="R1031" s="37"/>
      <c r="S1031" s="37"/>
      <c r="T1031" s="37"/>
      <c r="U1031" s="37"/>
      <c r="V1031" s="37"/>
      <c r="W1031" s="37"/>
      <c r="X1031" s="37"/>
      <c r="Y1031" s="37"/>
      <c r="Z1031" s="37"/>
      <c r="AA1031" s="37"/>
      <c r="AB1031" s="37"/>
      <c r="AC1031" s="37"/>
      <c r="AD1031" s="37"/>
      <c r="AE1031" s="37"/>
      <c r="AF1031" s="37"/>
      <c r="AG1031" s="37"/>
      <c r="AH1031" s="37"/>
      <c r="AI1031" s="37"/>
      <c r="AJ1031" s="37"/>
      <c r="AK1031" s="37"/>
      <c r="AL1031" s="37"/>
      <c r="AM1031" s="37"/>
      <c r="AN1031" s="37"/>
      <c r="AO1031" s="37"/>
      <c r="AP1031" s="37"/>
      <c r="AQ1031" s="37"/>
      <c r="AR1031" s="37"/>
      <c r="AS1031" s="37"/>
      <c r="AT1031" s="37"/>
      <c r="AU1031" s="37"/>
      <c r="AV1031" s="37"/>
      <c r="AW1031" s="37"/>
      <c r="AX1031" s="37"/>
      <c r="AY1031" s="37"/>
      <c r="AZ1031" s="37"/>
    </row>
    <row r="1032" spans="1:52">
      <c r="A1032" s="37"/>
      <c r="B1032" s="37"/>
      <c r="C1032" s="37"/>
      <c r="D1032" s="37"/>
      <c r="E1032" s="37"/>
      <c r="F1032" s="37"/>
      <c r="G1032" s="37"/>
      <c r="H1032" s="37"/>
      <c r="I1032" s="37"/>
      <c r="J1032" s="37"/>
      <c r="K1032" s="37"/>
      <c r="L1032" s="37"/>
      <c r="M1032" s="37"/>
      <c r="N1032" s="37"/>
      <c r="O1032" s="37"/>
      <c r="P1032" s="37"/>
      <c r="Q1032" s="37"/>
      <c r="R1032" s="37"/>
      <c r="S1032" s="37"/>
      <c r="T1032" s="37"/>
      <c r="U1032" s="37"/>
      <c r="V1032" s="37"/>
      <c r="W1032" s="37"/>
      <c r="X1032" s="37"/>
      <c r="Y1032" s="37"/>
      <c r="Z1032" s="37"/>
      <c r="AA1032" s="37"/>
      <c r="AB1032" s="37"/>
      <c r="AC1032" s="37"/>
      <c r="AD1032" s="37"/>
      <c r="AE1032" s="37"/>
      <c r="AF1032" s="37"/>
      <c r="AG1032" s="37"/>
      <c r="AH1032" s="37"/>
      <c r="AI1032" s="37"/>
      <c r="AJ1032" s="37"/>
      <c r="AK1032" s="37"/>
      <c r="AL1032" s="37"/>
      <c r="AM1032" s="37"/>
      <c r="AN1032" s="37"/>
      <c r="AO1032" s="37"/>
      <c r="AP1032" s="37"/>
      <c r="AQ1032" s="37"/>
      <c r="AR1032" s="37"/>
      <c r="AS1032" s="37"/>
      <c r="AT1032" s="37"/>
      <c r="AU1032" s="37"/>
      <c r="AV1032" s="37"/>
      <c r="AW1032" s="37"/>
      <c r="AX1032" s="37"/>
      <c r="AY1032" s="37"/>
      <c r="AZ1032" s="37"/>
    </row>
    <row r="1033" spans="1:52">
      <c r="A1033" s="37"/>
      <c r="B1033" s="37"/>
      <c r="C1033" s="37"/>
      <c r="D1033" s="37"/>
      <c r="E1033" s="37"/>
      <c r="F1033" s="37"/>
      <c r="G1033" s="37"/>
      <c r="H1033" s="37"/>
      <c r="I1033" s="37"/>
      <c r="J1033" s="37"/>
      <c r="K1033" s="37"/>
      <c r="L1033" s="37"/>
      <c r="M1033" s="37"/>
      <c r="N1033" s="37"/>
      <c r="O1033" s="37"/>
      <c r="P1033" s="37"/>
      <c r="Q1033" s="37"/>
      <c r="R1033" s="37"/>
      <c r="S1033" s="37"/>
      <c r="T1033" s="37"/>
      <c r="U1033" s="37"/>
      <c r="V1033" s="37"/>
      <c r="W1033" s="37"/>
      <c r="X1033" s="37"/>
      <c r="Y1033" s="37"/>
      <c r="Z1033" s="37"/>
      <c r="AA1033" s="37"/>
      <c r="AB1033" s="37"/>
      <c r="AC1033" s="37"/>
      <c r="AD1033" s="37"/>
      <c r="AE1033" s="37"/>
      <c r="AF1033" s="37"/>
      <c r="AG1033" s="37"/>
      <c r="AH1033" s="37"/>
      <c r="AI1033" s="37"/>
      <c r="AJ1033" s="37"/>
      <c r="AK1033" s="37"/>
      <c r="AL1033" s="37"/>
      <c r="AM1033" s="37"/>
      <c r="AN1033" s="37"/>
      <c r="AO1033" s="37"/>
      <c r="AP1033" s="37"/>
      <c r="AQ1033" s="37"/>
      <c r="AR1033" s="37"/>
      <c r="AS1033" s="37"/>
      <c r="AT1033" s="37"/>
      <c r="AU1033" s="37"/>
      <c r="AV1033" s="37"/>
      <c r="AW1033" s="37"/>
      <c r="AX1033" s="37"/>
      <c r="AY1033" s="37"/>
      <c r="AZ1033" s="37"/>
    </row>
    <row r="1034" spans="1:52">
      <c r="A1034" s="37"/>
      <c r="B1034" s="37"/>
      <c r="C1034" s="37"/>
      <c r="D1034" s="37"/>
      <c r="E1034" s="37"/>
      <c r="F1034" s="37"/>
      <c r="G1034" s="37"/>
      <c r="H1034" s="37"/>
      <c r="I1034" s="37"/>
      <c r="J1034" s="37"/>
      <c r="K1034" s="37"/>
      <c r="L1034" s="37"/>
      <c r="M1034" s="37"/>
      <c r="N1034" s="37"/>
      <c r="O1034" s="37"/>
      <c r="P1034" s="37"/>
      <c r="Q1034" s="37"/>
      <c r="R1034" s="37"/>
      <c r="S1034" s="37"/>
      <c r="T1034" s="37"/>
      <c r="U1034" s="37"/>
      <c r="V1034" s="37"/>
      <c r="W1034" s="37"/>
      <c r="X1034" s="37"/>
      <c r="Y1034" s="37"/>
      <c r="Z1034" s="37"/>
      <c r="AA1034" s="37"/>
      <c r="AB1034" s="37"/>
      <c r="AC1034" s="37"/>
      <c r="AD1034" s="37"/>
      <c r="AE1034" s="37"/>
      <c r="AF1034" s="37"/>
      <c r="AG1034" s="37"/>
      <c r="AH1034" s="37"/>
      <c r="AI1034" s="37"/>
      <c r="AJ1034" s="37"/>
      <c r="AK1034" s="37"/>
      <c r="AL1034" s="37"/>
      <c r="AM1034" s="37"/>
      <c r="AN1034" s="37"/>
      <c r="AO1034" s="37"/>
      <c r="AP1034" s="37"/>
      <c r="AQ1034" s="37"/>
      <c r="AR1034" s="37"/>
      <c r="AS1034" s="37"/>
      <c r="AT1034" s="37"/>
      <c r="AU1034" s="37"/>
      <c r="AV1034" s="37"/>
      <c r="AW1034" s="37"/>
      <c r="AX1034" s="37"/>
      <c r="AY1034" s="37"/>
      <c r="AZ1034" s="37"/>
    </row>
    <row r="1035" spans="1:52">
      <c r="A1035" s="37"/>
      <c r="B1035" s="37"/>
      <c r="C1035" s="37"/>
      <c r="D1035" s="37"/>
      <c r="E1035" s="37"/>
      <c r="F1035" s="37"/>
      <c r="G1035" s="37"/>
      <c r="H1035" s="37"/>
      <c r="I1035" s="37"/>
      <c r="J1035" s="37"/>
      <c r="K1035" s="37"/>
      <c r="L1035" s="37"/>
      <c r="M1035" s="37"/>
      <c r="N1035" s="37"/>
      <c r="O1035" s="37"/>
      <c r="P1035" s="37"/>
      <c r="Q1035" s="37"/>
      <c r="R1035" s="37"/>
      <c r="S1035" s="37"/>
      <c r="T1035" s="37"/>
      <c r="U1035" s="37"/>
      <c r="V1035" s="37"/>
      <c r="W1035" s="37"/>
      <c r="X1035" s="37"/>
      <c r="Y1035" s="37"/>
      <c r="Z1035" s="37"/>
      <c r="AA1035" s="37"/>
      <c r="AB1035" s="37"/>
      <c r="AC1035" s="37"/>
      <c r="AD1035" s="37"/>
      <c r="AE1035" s="37"/>
      <c r="AF1035" s="37"/>
      <c r="AG1035" s="37"/>
      <c r="AH1035" s="37"/>
      <c r="AI1035" s="37"/>
      <c r="AJ1035" s="37"/>
      <c r="AK1035" s="37"/>
      <c r="AL1035" s="37"/>
      <c r="AM1035" s="37"/>
      <c r="AN1035" s="37"/>
      <c r="AO1035" s="37"/>
      <c r="AP1035" s="37"/>
      <c r="AQ1035" s="37"/>
      <c r="AR1035" s="37"/>
      <c r="AS1035" s="37"/>
      <c r="AT1035" s="37"/>
      <c r="AU1035" s="37"/>
      <c r="AV1035" s="37"/>
      <c r="AW1035" s="37"/>
      <c r="AX1035" s="37"/>
      <c r="AY1035" s="37"/>
      <c r="AZ1035" s="37"/>
    </row>
    <row r="1036" spans="1:52">
      <c r="A1036" s="37"/>
      <c r="B1036" s="37"/>
      <c r="C1036" s="37"/>
      <c r="D1036" s="37"/>
      <c r="E1036" s="37"/>
      <c r="F1036" s="37"/>
      <c r="G1036" s="37"/>
      <c r="H1036" s="37"/>
      <c r="I1036" s="37"/>
      <c r="J1036" s="37"/>
      <c r="K1036" s="37"/>
      <c r="L1036" s="37"/>
      <c r="M1036" s="37"/>
      <c r="N1036" s="37"/>
      <c r="O1036" s="37"/>
      <c r="P1036" s="37"/>
      <c r="Q1036" s="37"/>
      <c r="R1036" s="37"/>
      <c r="S1036" s="37"/>
      <c r="T1036" s="37"/>
      <c r="U1036" s="37"/>
      <c r="V1036" s="37"/>
      <c r="W1036" s="37"/>
      <c r="X1036" s="37"/>
      <c r="Y1036" s="37"/>
      <c r="Z1036" s="37"/>
      <c r="AA1036" s="37"/>
      <c r="AB1036" s="37"/>
      <c r="AC1036" s="37"/>
      <c r="AD1036" s="37"/>
      <c r="AE1036" s="37"/>
      <c r="AF1036" s="37"/>
      <c r="AG1036" s="37"/>
      <c r="AH1036" s="37"/>
      <c r="AI1036" s="37"/>
      <c r="AJ1036" s="37"/>
      <c r="AK1036" s="37"/>
      <c r="AL1036" s="37"/>
      <c r="AM1036" s="37"/>
      <c r="AN1036" s="37"/>
      <c r="AO1036" s="37"/>
      <c r="AP1036" s="37"/>
      <c r="AQ1036" s="37"/>
      <c r="AR1036" s="37"/>
      <c r="AS1036" s="37"/>
      <c r="AT1036" s="37"/>
      <c r="AU1036" s="37"/>
      <c r="AV1036" s="37"/>
      <c r="AW1036" s="37"/>
      <c r="AX1036" s="37"/>
      <c r="AY1036" s="37"/>
      <c r="AZ1036" s="37"/>
    </row>
    <row r="1037" spans="1:52">
      <c r="A1037" s="37"/>
      <c r="B1037" s="37"/>
      <c r="C1037" s="37"/>
      <c r="D1037" s="37"/>
      <c r="E1037" s="37"/>
      <c r="F1037" s="37"/>
      <c r="G1037" s="37"/>
      <c r="H1037" s="37"/>
      <c r="I1037" s="37"/>
      <c r="J1037" s="37"/>
      <c r="K1037" s="37"/>
      <c r="L1037" s="37"/>
      <c r="M1037" s="37"/>
      <c r="N1037" s="37"/>
      <c r="O1037" s="37"/>
      <c r="P1037" s="37"/>
      <c r="Q1037" s="37"/>
      <c r="R1037" s="37"/>
      <c r="S1037" s="37"/>
      <c r="T1037" s="37"/>
      <c r="U1037" s="37"/>
      <c r="V1037" s="37"/>
      <c r="W1037" s="37"/>
      <c r="X1037" s="37"/>
      <c r="Y1037" s="37"/>
      <c r="Z1037" s="37"/>
      <c r="AA1037" s="37"/>
      <c r="AB1037" s="37"/>
      <c r="AC1037" s="37"/>
      <c r="AD1037" s="37"/>
      <c r="AE1037" s="37"/>
      <c r="AF1037" s="37"/>
      <c r="AG1037" s="37"/>
      <c r="AH1037" s="37"/>
      <c r="AI1037" s="37"/>
      <c r="AJ1037" s="37"/>
      <c r="AK1037" s="37"/>
      <c r="AL1037" s="37"/>
      <c r="AM1037" s="37"/>
      <c r="AN1037" s="37"/>
      <c r="AO1037" s="37"/>
      <c r="AP1037" s="37"/>
      <c r="AQ1037" s="37"/>
      <c r="AR1037" s="37"/>
      <c r="AS1037" s="37"/>
      <c r="AT1037" s="37"/>
      <c r="AU1037" s="37"/>
      <c r="AV1037" s="37"/>
      <c r="AW1037" s="37"/>
      <c r="AX1037" s="37"/>
      <c r="AY1037" s="37"/>
      <c r="AZ1037" s="37"/>
    </row>
    <row r="1038" spans="1:52">
      <c r="A1038" s="37"/>
      <c r="B1038" s="37"/>
      <c r="C1038" s="37"/>
      <c r="D1038" s="37"/>
      <c r="E1038" s="37"/>
      <c r="F1038" s="37"/>
      <c r="G1038" s="37"/>
      <c r="H1038" s="37"/>
      <c r="I1038" s="37"/>
      <c r="J1038" s="37"/>
      <c r="K1038" s="37"/>
      <c r="L1038" s="37"/>
      <c r="M1038" s="37"/>
      <c r="N1038" s="37"/>
      <c r="O1038" s="37"/>
      <c r="P1038" s="37"/>
      <c r="Q1038" s="37"/>
      <c r="R1038" s="37"/>
      <c r="S1038" s="37"/>
      <c r="T1038" s="37"/>
      <c r="U1038" s="37"/>
      <c r="V1038" s="37"/>
      <c r="W1038" s="37"/>
      <c r="X1038" s="37"/>
      <c r="Y1038" s="37"/>
      <c r="Z1038" s="37"/>
      <c r="AA1038" s="37"/>
      <c r="AB1038" s="37"/>
      <c r="AC1038" s="37"/>
      <c r="AD1038" s="37"/>
      <c r="AE1038" s="37"/>
      <c r="AF1038" s="37"/>
      <c r="AG1038" s="37"/>
      <c r="AH1038" s="37"/>
      <c r="AI1038" s="37"/>
      <c r="AJ1038" s="37"/>
      <c r="AK1038" s="37"/>
      <c r="AL1038" s="37"/>
      <c r="AM1038" s="37"/>
      <c r="AN1038" s="37"/>
      <c r="AO1038" s="37"/>
      <c r="AP1038" s="37"/>
      <c r="AQ1038" s="37"/>
      <c r="AR1038" s="37"/>
      <c r="AS1038" s="37"/>
      <c r="AT1038" s="37"/>
      <c r="AU1038" s="37"/>
      <c r="AV1038" s="37"/>
      <c r="AW1038" s="37"/>
      <c r="AX1038" s="37"/>
      <c r="AY1038" s="37"/>
      <c r="AZ1038" s="37"/>
    </row>
    <row r="1039" spans="1:52">
      <c r="A1039" s="37"/>
      <c r="B1039" s="37"/>
      <c r="C1039" s="37"/>
      <c r="D1039" s="37"/>
      <c r="E1039" s="37"/>
      <c r="F1039" s="37"/>
      <c r="G1039" s="37"/>
      <c r="H1039" s="37"/>
      <c r="I1039" s="37"/>
      <c r="J1039" s="37"/>
      <c r="K1039" s="37"/>
      <c r="L1039" s="37"/>
      <c r="M1039" s="37"/>
      <c r="N1039" s="37"/>
      <c r="O1039" s="37"/>
      <c r="P1039" s="37"/>
      <c r="Q1039" s="37"/>
      <c r="R1039" s="37"/>
      <c r="S1039" s="37"/>
      <c r="T1039" s="37"/>
      <c r="U1039" s="37"/>
      <c r="V1039" s="37"/>
      <c r="W1039" s="37"/>
      <c r="X1039" s="37"/>
      <c r="Y1039" s="37"/>
      <c r="Z1039" s="37"/>
      <c r="AA1039" s="37"/>
      <c r="AB1039" s="37"/>
      <c r="AC1039" s="37"/>
      <c r="AD1039" s="37"/>
      <c r="AE1039" s="37"/>
      <c r="AF1039" s="37"/>
      <c r="AG1039" s="37"/>
      <c r="AH1039" s="37"/>
      <c r="AI1039" s="37"/>
      <c r="AJ1039" s="37"/>
      <c r="AK1039" s="37"/>
      <c r="AL1039" s="37"/>
      <c r="AM1039" s="37"/>
      <c r="AN1039" s="37"/>
      <c r="AO1039" s="37"/>
      <c r="AP1039" s="37"/>
      <c r="AQ1039" s="37"/>
      <c r="AR1039" s="37"/>
      <c r="AS1039" s="37"/>
      <c r="AT1039" s="37"/>
      <c r="AU1039" s="37"/>
      <c r="AV1039" s="37"/>
      <c r="AW1039" s="37"/>
      <c r="AX1039" s="37"/>
      <c r="AY1039" s="37"/>
      <c r="AZ1039" s="37"/>
    </row>
    <row r="1040" spans="1:52">
      <c r="A1040" s="37"/>
      <c r="B1040" s="37"/>
      <c r="C1040" s="37"/>
      <c r="D1040" s="37"/>
      <c r="E1040" s="37"/>
      <c r="F1040" s="37"/>
      <c r="G1040" s="37"/>
      <c r="H1040" s="37"/>
      <c r="I1040" s="37"/>
      <c r="J1040" s="37"/>
      <c r="K1040" s="37"/>
      <c r="L1040" s="37"/>
      <c r="M1040" s="37"/>
      <c r="N1040" s="37"/>
      <c r="O1040" s="37"/>
      <c r="P1040" s="37"/>
      <c r="Q1040" s="37"/>
      <c r="R1040" s="37"/>
      <c r="S1040" s="37"/>
      <c r="T1040" s="37"/>
      <c r="U1040" s="37"/>
      <c r="V1040" s="37"/>
      <c r="W1040" s="37"/>
      <c r="X1040" s="37"/>
      <c r="Y1040" s="37"/>
      <c r="Z1040" s="37"/>
      <c r="AA1040" s="37"/>
      <c r="AB1040" s="37"/>
      <c r="AC1040" s="37"/>
      <c r="AD1040" s="37"/>
      <c r="AE1040" s="37"/>
      <c r="AF1040" s="37"/>
      <c r="AG1040" s="37"/>
      <c r="AH1040" s="37"/>
      <c r="AI1040" s="37"/>
      <c r="AJ1040" s="37"/>
      <c r="AK1040" s="37"/>
      <c r="AL1040" s="37"/>
      <c r="AM1040" s="37"/>
      <c r="AN1040" s="37"/>
      <c r="AO1040" s="37"/>
      <c r="AP1040" s="37"/>
      <c r="AQ1040" s="37"/>
      <c r="AR1040" s="37"/>
      <c r="AS1040" s="37"/>
      <c r="AT1040" s="37"/>
      <c r="AU1040" s="37"/>
      <c r="AV1040" s="37"/>
      <c r="AW1040" s="37"/>
      <c r="AX1040" s="37"/>
      <c r="AY1040" s="37"/>
      <c r="AZ1040" s="37"/>
    </row>
    <row r="1041" spans="1:52">
      <c r="A1041" s="37"/>
      <c r="B1041" s="37"/>
      <c r="C1041" s="37"/>
      <c r="D1041" s="37"/>
      <c r="E1041" s="37"/>
      <c r="F1041" s="37"/>
      <c r="G1041" s="37"/>
      <c r="H1041" s="37"/>
      <c r="I1041" s="37"/>
      <c r="J1041" s="37"/>
      <c r="K1041" s="37"/>
      <c r="L1041" s="37"/>
      <c r="M1041" s="37"/>
      <c r="N1041" s="37"/>
      <c r="O1041" s="37"/>
      <c r="P1041" s="37"/>
      <c r="Q1041" s="37"/>
      <c r="R1041" s="37"/>
      <c r="S1041" s="37"/>
      <c r="T1041" s="37"/>
      <c r="U1041" s="37"/>
      <c r="V1041" s="37"/>
      <c r="W1041" s="37"/>
      <c r="X1041" s="37"/>
      <c r="Y1041" s="37"/>
      <c r="Z1041" s="37"/>
      <c r="AA1041" s="37"/>
      <c r="AB1041" s="37"/>
      <c r="AC1041" s="37"/>
      <c r="AD1041" s="37"/>
      <c r="AE1041" s="37"/>
      <c r="AF1041" s="37"/>
      <c r="AG1041" s="37"/>
      <c r="AH1041" s="37"/>
      <c r="AI1041" s="37"/>
      <c r="AJ1041" s="37"/>
      <c r="AK1041" s="37"/>
      <c r="AL1041" s="37"/>
      <c r="AM1041" s="37"/>
      <c r="AN1041" s="37"/>
      <c r="AO1041" s="37"/>
      <c r="AP1041" s="37"/>
      <c r="AQ1041" s="37"/>
      <c r="AR1041" s="37"/>
      <c r="AS1041" s="37"/>
      <c r="AT1041" s="37"/>
      <c r="AU1041" s="37"/>
      <c r="AV1041" s="37"/>
      <c r="AW1041" s="37"/>
      <c r="AX1041" s="37"/>
      <c r="AY1041" s="37"/>
      <c r="AZ1041" s="37"/>
    </row>
    <row r="1042" spans="1:52">
      <c r="A1042" s="37"/>
      <c r="B1042" s="37"/>
      <c r="C1042" s="37"/>
      <c r="D1042" s="37"/>
      <c r="E1042" s="37"/>
      <c r="F1042" s="37"/>
      <c r="G1042" s="37"/>
      <c r="H1042" s="37"/>
      <c r="I1042" s="37"/>
      <c r="J1042" s="37"/>
      <c r="K1042" s="37"/>
      <c r="L1042" s="37"/>
      <c r="M1042" s="37"/>
      <c r="N1042" s="37"/>
      <c r="O1042" s="37"/>
      <c r="P1042" s="37"/>
      <c r="Q1042" s="37"/>
      <c r="R1042" s="37"/>
      <c r="S1042" s="37"/>
      <c r="T1042" s="37"/>
      <c r="U1042" s="37"/>
      <c r="V1042" s="37"/>
      <c r="W1042" s="37"/>
      <c r="X1042" s="37"/>
      <c r="Y1042" s="37"/>
      <c r="Z1042" s="37"/>
      <c r="AA1042" s="37"/>
      <c r="AB1042" s="37"/>
      <c r="AC1042" s="37"/>
      <c r="AD1042" s="37"/>
      <c r="AE1042" s="37"/>
      <c r="AF1042" s="37"/>
      <c r="AG1042" s="37"/>
      <c r="AH1042" s="37"/>
      <c r="AI1042" s="37"/>
      <c r="AJ1042" s="37"/>
      <c r="AK1042" s="37"/>
      <c r="AL1042" s="37"/>
      <c r="AM1042" s="37"/>
      <c r="AN1042" s="37"/>
      <c r="AO1042" s="37"/>
      <c r="AP1042" s="37"/>
      <c r="AQ1042" s="37"/>
      <c r="AR1042" s="37"/>
      <c r="AS1042" s="37"/>
      <c r="AT1042" s="37"/>
      <c r="AU1042" s="37"/>
      <c r="AV1042" s="37"/>
      <c r="AW1042" s="37"/>
      <c r="AX1042" s="37"/>
      <c r="AY1042" s="37"/>
      <c r="AZ1042" s="37"/>
    </row>
    <row r="1043" spans="1:52">
      <c r="A1043" s="37"/>
      <c r="B1043" s="37"/>
      <c r="C1043" s="37"/>
      <c r="D1043" s="37"/>
      <c r="E1043" s="37"/>
      <c r="F1043" s="37"/>
      <c r="G1043" s="37"/>
      <c r="H1043" s="37"/>
      <c r="I1043" s="37"/>
      <c r="J1043" s="37"/>
      <c r="K1043" s="37"/>
      <c r="L1043" s="37"/>
      <c r="M1043" s="37"/>
      <c r="N1043" s="37"/>
      <c r="O1043" s="37"/>
      <c r="P1043" s="37"/>
      <c r="Q1043" s="37"/>
      <c r="R1043" s="37"/>
      <c r="S1043" s="37"/>
      <c r="T1043" s="37"/>
      <c r="U1043" s="37"/>
      <c r="V1043" s="37"/>
      <c r="W1043" s="37"/>
      <c r="X1043" s="37"/>
      <c r="Y1043" s="37"/>
      <c r="Z1043" s="37"/>
      <c r="AA1043" s="37"/>
      <c r="AB1043" s="37"/>
      <c r="AC1043" s="37"/>
      <c r="AD1043" s="37"/>
      <c r="AE1043" s="37"/>
      <c r="AF1043" s="37"/>
      <c r="AG1043" s="37"/>
      <c r="AH1043" s="37"/>
      <c r="AI1043" s="37"/>
      <c r="AJ1043" s="37"/>
      <c r="AK1043" s="37"/>
      <c r="AL1043" s="37"/>
      <c r="AM1043" s="37"/>
      <c r="AN1043" s="37"/>
      <c r="AO1043" s="37"/>
      <c r="AP1043" s="37"/>
      <c r="AQ1043" s="37"/>
      <c r="AR1043" s="37"/>
      <c r="AS1043" s="37"/>
      <c r="AT1043" s="37"/>
      <c r="AU1043" s="37"/>
      <c r="AV1043" s="37"/>
      <c r="AW1043" s="37"/>
      <c r="AX1043" s="37"/>
      <c r="AY1043" s="37"/>
      <c r="AZ1043" s="37"/>
    </row>
    <row r="1044" spans="1:52">
      <c r="A1044" s="37"/>
      <c r="B1044" s="37"/>
      <c r="C1044" s="37"/>
      <c r="D1044" s="37"/>
      <c r="E1044" s="37"/>
      <c r="F1044" s="37"/>
      <c r="G1044" s="37"/>
      <c r="H1044" s="37"/>
      <c r="I1044" s="37"/>
      <c r="J1044" s="37"/>
      <c r="K1044" s="37"/>
      <c r="L1044" s="37"/>
      <c r="M1044" s="37"/>
      <c r="N1044" s="37"/>
      <c r="O1044" s="37"/>
      <c r="P1044" s="37"/>
      <c r="Q1044" s="37"/>
      <c r="R1044" s="37"/>
      <c r="S1044" s="37"/>
      <c r="T1044" s="37"/>
      <c r="U1044" s="37"/>
      <c r="V1044" s="37"/>
      <c r="W1044" s="37"/>
      <c r="X1044" s="37"/>
      <c r="Y1044" s="37"/>
      <c r="Z1044" s="37"/>
      <c r="AA1044" s="37"/>
      <c r="AB1044" s="37"/>
      <c r="AC1044" s="37"/>
      <c r="AD1044" s="37"/>
      <c r="AE1044" s="37"/>
      <c r="AF1044" s="37"/>
      <c r="AG1044" s="37"/>
      <c r="AH1044" s="37"/>
      <c r="AI1044" s="37"/>
      <c r="AJ1044" s="37"/>
      <c r="AK1044" s="37"/>
      <c r="AL1044" s="37"/>
      <c r="AM1044" s="37"/>
      <c r="AN1044" s="37"/>
      <c r="AO1044" s="37"/>
      <c r="AP1044" s="37"/>
      <c r="AQ1044" s="37"/>
      <c r="AR1044" s="37"/>
      <c r="AS1044" s="37"/>
      <c r="AT1044" s="37"/>
      <c r="AU1044" s="37"/>
      <c r="AV1044" s="37"/>
      <c r="AW1044" s="37"/>
      <c r="AX1044" s="37"/>
      <c r="AY1044" s="37"/>
      <c r="AZ1044" s="37"/>
    </row>
    <row r="1045" spans="1:52">
      <c r="A1045" s="37"/>
      <c r="B1045" s="37"/>
      <c r="C1045" s="37"/>
      <c r="D1045" s="37"/>
      <c r="E1045" s="37"/>
      <c r="F1045" s="37"/>
      <c r="G1045" s="37"/>
      <c r="H1045" s="37"/>
      <c r="I1045" s="37"/>
      <c r="J1045" s="37"/>
      <c r="K1045" s="37"/>
      <c r="L1045" s="37"/>
      <c r="M1045" s="37"/>
      <c r="N1045" s="37"/>
      <c r="O1045" s="37"/>
      <c r="P1045" s="37"/>
      <c r="Q1045" s="37"/>
      <c r="R1045" s="37"/>
      <c r="S1045" s="37"/>
      <c r="T1045" s="37"/>
      <c r="U1045" s="37"/>
      <c r="V1045" s="37"/>
      <c r="W1045" s="37"/>
      <c r="X1045" s="37"/>
      <c r="Y1045" s="37"/>
      <c r="Z1045" s="37"/>
      <c r="AA1045" s="37"/>
      <c r="AB1045" s="37"/>
      <c r="AC1045" s="37"/>
      <c r="AD1045" s="37"/>
      <c r="AE1045" s="37"/>
      <c r="AF1045" s="37"/>
      <c r="AG1045" s="37"/>
      <c r="AH1045" s="37"/>
      <c r="AI1045" s="37"/>
      <c r="AJ1045" s="37"/>
      <c r="AK1045" s="37"/>
      <c r="AL1045" s="37"/>
      <c r="AM1045" s="37"/>
      <c r="AN1045" s="37"/>
      <c r="AO1045" s="37"/>
      <c r="AP1045" s="37"/>
      <c r="AQ1045" s="37"/>
      <c r="AR1045" s="37"/>
      <c r="AS1045" s="37"/>
      <c r="AT1045" s="37"/>
      <c r="AU1045" s="37"/>
      <c r="AV1045" s="37"/>
      <c r="AW1045" s="37"/>
      <c r="AX1045" s="37"/>
      <c r="AY1045" s="37"/>
      <c r="AZ1045" s="37"/>
    </row>
    <row r="1046" spans="1:52">
      <c r="A1046" s="37"/>
      <c r="B1046" s="37"/>
      <c r="C1046" s="37"/>
      <c r="D1046" s="37"/>
      <c r="E1046" s="37"/>
      <c r="F1046" s="37"/>
      <c r="G1046" s="37"/>
      <c r="H1046" s="37"/>
      <c r="I1046" s="37"/>
      <c r="J1046" s="37"/>
      <c r="K1046" s="37"/>
      <c r="L1046" s="37"/>
      <c r="M1046" s="37"/>
      <c r="N1046" s="37"/>
      <c r="O1046" s="37"/>
      <c r="P1046" s="37"/>
      <c r="Q1046" s="37"/>
      <c r="R1046" s="37"/>
      <c r="S1046" s="37"/>
      <c r="T1046" s="37"/>
      <c r="U1046" s="37"/>
      <c r="V1046" s="37"/>
      <c r="W1046" s="37"/>
      <c r="X1046" s="37"/>
      <c r="Y1046" s="37"/>
      <c r="Z1046" s="37"/>
      <c r="AA1046" s="37"/>
      <c r="AB1046" s="37"/>
      <c r="AC1046" s="37"/>
      <c r="AD1046" s="37"/>
      <c r="AE1046" s="37"/>
      <c r="AF1046" s="37"/>
      <c r="AG1046" s="37"/>
      <c r="AH1046" s="37"/>
      <c r="AI1046" s="37"/>
      <c r="AJ1046" s="37"/>
      <c r="AK1046" s="37"/>
      <c r="AL1046" s="37"/>
      <c r="AM1046" s="37"/>
      <c r="AN1046" s="37"/>
      <c r="AO1046" s="37"/>
      <c r="AP1046" s="37"/>
      <c r="AQ1046" s="37"/>
      <c r="AR1046" s="37"/>
      <c r="AS1046" s="37"/>
      <c r="AT1046" s="37"/>
      <c r="AU1046" s="37"/>
      <c r="AV1046" s="37"/>
      <c r="AW1046" s="37"/>
      <c r="AX1046" s="37"/>
      <c r="AY1046" s="37"/>
      <c r="AZ1046" s="37"/>
    </row>
    <row r="1047" spans="1:52">
      <c r="A1047" s="37"/>
      <c r="B1047" s="37"/>
      <c r="C1047" s="37"/>
      <c r="D1047" s="37"/>
      <c r="E1047" s="37"/>
      <c r="F1047" s="37"/>
      <c r="G1047" s="37"/>
      <c r="H1047" s="37"/>
      <c r="I1047" s="37"/>
      <c r="J1047" s="37"/>
      <c r="K1047" s="37"/>
      <c r="L1047" s="37"/>
      <c r="M1047" s="37"/>
      <c r="N1047" s="37"/>
      <c r="O1047" s="37"/>
      <c r="P1047" s="37"/>
      <c r="Q1047" s="37"/>
      <c r="R1047" s="37"/>
      <c r="S1047" s="37"/>
      <c r="T1047" s="37"/>
      <c r="U1047" s="37"/>
      <c r="V1047" s="37"/>
      <c r="W1047" s="37"/>
      <c r="X1047" s="37"/>
      <c r="Y1047" s="37"/>
      <c r="Z1047" s="37"/>
      <c r="AA1047" s="37"/>
      <c r="AB1047" s="37"/>
      <c r="AC1047" s="37"/>
      <c r="AD1047" s="37"/>
      <c r="AE1047" s="37"/>
      <c r="AF1047" s="37"/>
      <c r="AG1047" s="37"/>
      <c r="AH1047" s="37"/>
      <c r="AI1047" s="37"/>
      <c r="AJ1047" s="37"/>
      <c r="AK1047" s="37"/>
      <c r="AL1047" s="37"/>
      <c r="AM1047" s="37"/>
      <c r="AN1047" s="37"/>
      <c r="AO1047" s="37"/>
      <c r="AP1047" s="37"/>
      <c r="AQ1047" s="37"/>
      <c r="AR1047" s="37"/>
      <c r="AS1047" s="37"/>
      <c r="AT1047" s="37"/>
      <c r="AU1047" s="37"/>
      <c r="AV1047" s="37"/>
      <c r="AW1047" s="37"/>
      <c r="AX1047" s="37"/>
      <c r="AY1047" s="37"/>
      <c r="AZ1047" s="37"/>
    </row>
    <row r="1048" spans="1:52">
      <c r="A1048" s="37"/>
      <c r="B1048" s="37"/>
      <c r="C1048" s="37"/>
      <c r="D1048" s="37"/>
      <c r="E1048" s="37"/>
      <c r="F1048" s="37"/>
      <c r="G1048" s="37"/>
      <c r="H1048" s="37"/>
      <c r="I1048" s="37"/>
      <c r="J1048" s="37"/>
      <c r="K1048" s="37"/>
      <c r="L1048" s="37"/>
      <c r="M1048" s="37"/>
      <c r="N1048" s="37"/>
      <c r="O1048" s="37"/>
      <c r="P1048" s="37"/>
      <c r="Q1048" s="37"/>
      <c r="R1048" s="37"/>
      <c r="S1048" s="37"/>
      <c r="T1048" s="37"/>
      <c r="U1048" s="37"/>
      <c r="V1048" s="37"/>
      <c r="W1048" s="37"/>
      <c r="X1048" s="37"/>
      <c r="Y1048" s="37"/>
      <c r="Z1048" s="37"/>
      <c r="AA1048" s="37"/>
      <c r="AB1048" s="37"/>
      <c r="AC1048" s="37"/>
      <c r="AD1048" s="37"/>
      <c r="AE1048" s="37"/>
      <c r="AF1048" s="37"/>
      <c r="AG1048" s="37"/>
      <c r="AH1048" s="37"/>
      <c r="AI1048" s="37"/>
      <c r="AJ1048" s="37"/>
      <c r="AK1048" s="37"/>
      <c r="AL1048" s="37"/>
      <c r="AM1048" s="37"/>
      <c r="AN1048" s="37"/>
      <c r="AO1048" s="37"/>
      <c r="AP1048" s="37"/>
      <c r="AQ1048" s="37"/>
      <c r="AR1048" s="37"/>
      <c r="AS1048" s="37"/>
      <c r="AT1048" s="37"/>
      <c r="AU1048" s="37"/>
      <c r="AV1048" s="37"/>
      <c r="AW1048" s="37"/>
      <c r="AX1048" s="37"/>
      <c r="AY1048" s="37"/>
      <c r="AZ1048" s="37"/>
    </row>
    <row r="1049" spans="1:52">
      <c r="A1049" s="37"/>
      <c r="B1049" s="37"/>
      <c r="C1049" s="37"/>
      <c r="D1049" s="37"/>
      <c r="E1049" s="37"/>
      <c r="F1049" s="37"/>
      <c r="G1049" s="37"/>
      <c r="H1049" s="37"/>
      <c r="I1049" s="37"/>
      <c r="J1049" s="37"/>
      <c r="K1049" s="37"/>
      <c r="L1049" s="37"/>
      <c r="M1049" s="37"/>
      <c r="N1049" s="37"/>
      <c r="O1049" s="37"/>
      <c r="P1049" s="37"/>
      <c r="Q1049" s="37"/>
      <c r="R1049" s="37"/>
      <c r="S1049" s="37"/>
      <c r="T1049" s="37"/>
      <c r="U1049" s="37"/>
      <c r="V1049" s="37"/>
      <c r="W1049" s="37"/>
      <c r="X1049" s="37"/>
      <c r="Y1049" s="37"/>
      <c r="Z1049" s="37"/>
      <c r="AA1049" s="37"/>
      <c r="AB1049" s="37"/>
      <c r="AC1049" s="37"/>
      <c r="AD1049" s="37"/>
      <c r="AE1049" s="37"/>
      <c r="AF1049" s="37"/>
      <c r="AG1049" s="37"/>
      <c r="AH1049" s="37"/>
      <c r="AI1049" s="37"/>
      <c r="AJ1049" s="37"/>
      <c r="AK1049" s="37"/>
      <c r="AL1049" s="37"/>
      <c r="AM1049" s="37"/>
      <c r="AN1049" s="37"/>
      <c r="AO1049" s="37"/>
      <c r="AP1049" s="37"/>
      <c r="AQ1049" s="37"/>
      <c r="AR1049" s="37"/>
      <c r="AS1049" s="37"/>
      <c r="AT1049" s="37"/>
      <c r="AU1049" s="37"/>
      <c r="AV1049" s="37"/>
      <c r="AW1049" s="37"/>
      <c r="AX1049" s="37"/>
      <c r="AY1049" s="37"/>
      <c r="AZ1049" s="37"/>
    </row>
    <row r="1050" spans="1:52">
      <c r="A1050" s="37"/>
      <c r="B1050" s="37"/>
      <c r="C1050" s="37"/>
      <c r="D1050" s="37"/>
      <c r="E1050" s="37"/>
      <c r="F1050" s="37"/>
      <c r="G1050" s="37"/>
      <c r="H1050" s="37"/>
      <c r="I1050" s="37"/>
      <c r="J1050" s="37"/>
      <c r="K1050" s="37"/>
      <c r="L1050" s="37"/>
      <c r="M1050" s="37"/>
      <c r="N1050" s="37"/>
      <c r="O1050" s="37"/>
      <c r="P1050" s="37"/>
      <c r="Q1050" s="37"/>
      <c r="R1050" s="37"/>
      <c r="S1050" s="37"/>
      <c r="T1050" s="37"/>
      <c r="U1050" s="37"/>
      <c r="V1050" s="37"/>
      <c r="W1050" s="37"/>
      <c r="X1050" s="37"/>
      <c r="Y1050" s="37"/>
      <c r="Z1050" s="37"/>
      <c r="AA1050" s="37"/>
      <c r="AB1050" s="37"/>
      <c r="AC1050" s="37"/>
      <c r="AD1050" s="37"/>
      <c r="AE1050" s="37"/>
      <c r="AF1050" s="37"/>
      <c r="AG1050" s="37"/>
      <c r="AH1050" s="37"/>
      <c r="AI1050" s="37"/>
      <c r="AJ1050" s="37"/>
      <c r="AK1050" s="37"/>
      <c r="AL1050" s="37"/>
      <c r="AM1050" s="37"/>
      <c r="AN1050" s="37"/>
      <c r="AO1050" s="37"/>
      <c r="AP1050" s="37"/>
      <c r="AQ1050" s="37"/>
      <c r="AR1050" s="37"/>
      <c r="AS1050" s="37"/>
      <c r="AT1050" s="37"/>
      <c r="AU1050" s="37"/>
      <c r="AV1050" s="37"/>
      <c r="AW1050" s="37"/>
      <c r="AX1050" s="37"/>
      <c r="AY1050" s="37"/>
      <c r="AZ1050" s="37"/>
    </row>
    <row r="1051" spans="1:52">
      <c r="A1051" s="37"/>
      <c r="B1051" s="37"/>
      <c r="C1051" s="37"/>
      <c r="D1051" s="37"/>
      <c r="E1051" s="37"/>
      <c r="F1051" s="37"/>
      <c r="G1051" s="37"/>
      <c r="H1051" s="37"/>
      <c r="I1051" s="37"/>
      <c r="J1051" s="37"/>
      <c r="K1051" s="37"/>
      <c r="L1051" s="37"/>
      <c r="M1051" s="37"/>
      <c r="N1051" s="37"/>
      <c r="O1051" s="37"/>
      <c r="P1051" s="37"/>
      <c r="Q1051" s="37"/>
      <c r="R1051" s="37"/>
      <c r="S1051" s="37"/>
      <c r="T1051" s="37"/>
      <c r="U1051" s="37"/>
      <c r="V1051" s="37"/>
      <c r="W1051" s="37"/>
      <c r="X1051" s="37"/>
      <c r="Y1051" s="37"/>
      <c r="Z1051" s="37"/>
      <c r="AA1051" s="37"/>
      <c r="AB1051" s="37"/>
      <c r="AC1051" s="37"/>
      <c r="AD1051" s="37"/>
      <c r="AE1051" s="37"/>
      <c r="AF1051" s="37"/>
      <c r="AG1051" s="37"/>
      <c r="AH1051" s="37"/>
      <c r="AI1051" s="37"/>
      <c r="AJ1051" s="37"/>
      <c r="AK1051" s="37"/>
      <c r="AL1051" s="37"/>
      <c r="AM1051" s="37"/>
      <c r="AN1051" s="37"/>
      <c r="AO1051" s="37"/>
      <c r="AP1051" s="37"/>
      <c r="AQ1051" s="37"/>
      <c r="AR1051" s="37"/>
      <c r="AS1051" s="37"/>
      <c r="AT1051" s="37"/>
      <c r="AU1051" s="37"/>
      <c r="AV1051" s="37"/>
      <c r="AW1051" s="37"/>
      <c r="AX1051" s="37"/>
      <c r="AY1051" s="37"/>
      <c r="AZ1051" s="37"/>
    </row>
    <row r="1052" spans="1:52">
      <c r="A1052" s="37"/>
      <c r="B1052" s="37"/>
      <c r="C1052" s="37"/>
      <c r="D1052" s="37"/>
      <c r="E1052" s="37"/>
      <c r="F1052" s="37"/>
      <c r="G1052" s="37"/>
      <c r="H1052" s="37"/>
      <c r="I1052" s="37"/>
      <c r="J1052" s="37"/>
      <c r="K1052" s="37"/>
      <c r="L1052" s="37"/>
      <c r="M1052" s="37"/>
      <c r="N1052" s="37"/>
      <c r="O1052" s="37"/>
      <c r="P1052" s="37"/>
      <c r="Q1052" s="37"/>
      <c r="R1052" s="37"/>
      <c r="S1052" s="37"/>
      <c r="T1052" s="37"/>
      <c r="U1052" s="37"/>
      <c r="V1052" s="37"/>
      <c r="W1052" s="37"/>
      <c r="X1052" s="37"/>
      <c r="Y1052" s="37"/>
      <c r="Z1052" s="37"/>
      <c r="AA1052" s="37"/>
      <c r="AB1052" s="37"/>
      <c r="AC1052" s="37"/>
      <c r="AD1052" s="37"/>
      <c r="AE1052" s="37"/>
      <c r="AF1052" s="37"/>
      <c r="AG1052" s="37"/>
      <c r="AH1052" s="37"/>
      <c r="AI1052" s="37"/>
      <c r="AJ1052" s="37"/>
      <c r="AK1052" s="37"/>
      <c r="AL1052" s="37"/>
      <c r="AM1052" s="37"/>
      <c r="AN1052" s="37"/>
      <c r="AO1052" s="37"/>
      <c r="AP1052" s="37"/>
      <c r="AQ1052" s="37"/>
      <c r="AR1052" s="37"/>
      <c r="AS1052" s="37"/>
      <c r="AT1052" s="37"/>
      <c r="AU1052" s="37"/>
      <c r="AV1052" s="37"/>
      <c r="AW1052" s="37"/>
      <c r="AX1052" s="37"/>
      <c r="AY1052" s="37"/>
      <c r="AZ1052" s="37"/>
    </row>
    <row r="1053" spans="1:52">
      <c r="A1053" s="37"/>
      <c r="B1053" s="37"/>
      <c r="C1053" s="37"/>
      <c r="D1053" s="37"/>
      <c r="E1053" s="37"/>
      <c r="F1053" s="37"/>
      <c r="G1053" s="37"/>
      <c r="H1053" s="37"/>
      <c r="I1053" s="37"/>
      <c r="J1053" s="37"/>
      <c r="K1053" s="37"/>
      <c r="L1053" s="37"/>
      <c r="M1053" s="37"/>
      <c r="N1053" s="37"/>
      <c r="O1053" s="37"/>
      <c r="P1053" s="37"/>
      <c r="Q1053" s="37"/>
      <c r="R1053" s="37"/>
      <c r="S1053" s="37"/>
      <c r="T1053" s="37"/>
      <c r="U1053" s="37"/>
      <c r="V1053" s="37"/>
      <c r="W1053" s="37"/>
      <c r="X1053" s="37"/>
      <c r="Y1053" s="37"/>
      <c r="Z1053" s="37"/>
      <c r="AA1053" s="37"/>
      <c r="AB1053" s="37"/>
      <c r="AC1053" s="37"/>
      <c r="AD1053" s="37"/>
      <c r="AE1053" s="37"/>
      <c r="AF1053" s="37"/>
      <c r="AG1053" s="37"/>
      <c r="AH1053" s="37"/>
      <c r="AI1053" s="37"/>
      <c r="AJ1053" s="37"/>
      <c r="AK1053" s="37"/>
      <c r="AL1053" s="37"/>
      <c r="AM1053" s="37"/>
      <c r="AN1053" s="37"/>
      <c r="AO1053" s="37"/>
      <c r="AP1053" s="37"/>
      <c r="AQ1053" s="37"/>
      <c r="AR1053" s="37"/>
      <c r="AS1053" s="37"/>
      <c r="AT1053" s="37"/>
      <c r="AU1053" s="37"/>
      <c r="AV1053" s="37"/>
      <c r="AW1053" s="37"/>
      <c r="AX1053" s="37"/>
      <c r="AY1053" s="37"/>
      <c r="AZ1053" s="37"/>
    </row>
    <row r="1054" spans="1:52">
      <c r="A1054" s="37"/>
      <c r="B1054" s="37"/>
      <c r="C1054" s="37"/>
      <c r="D1054" s="37"/>
      <c r="E1054" s="37"/>
      <c r="F1054" s="37"/>
      <c r="G1054" s="37"/>
      <c r="H1054" s="37"/>
      <c r="I1054" s="37"/>
      <c r="J1054" s="37"/>
      <c r="K1054" s="37"/>
      <c r="L1054" s="37"/>
      <c r="M1054" s="37"/>
      <c r="N1054" s="37"/>
      <c r="O1054" s="37"/>
      <c r="P1054" s="37"/>
      <c r="Q1054" s="37"/>
      <c r="R1054" s="37"/>
      <c r="S1054" s="37"/>
      <c r="T1054" s="37"/>
      <c r="U1054" s="37"/>
      <c r="V1054" s="37"/>
      <c r="W1054" s="37"/>
      <c r="X1054" s="37"/>
      <c r="Y1054" s="37"/>
      <c r="Z1054" s="37"/>
      <c r="AA1054" s="37"/>
      <c r="AB1054" s="37"/>
      <c r="AC1054" s="37"/>
      <c r="AD1054" s="37"/>
      <c r="AE1054" s="37"/>
      <c r="AF1054" s="37"/>
      <c r="AG1054" s="37"/>
      <c r="AH1054" s="37"/>
      <c r="AI1054" s="37"/>
      <c r="AJ1054" s="37"/>
      <c r="AK1054" s="37"/>
      <c r="AL1054" s="37"/>
      <c r="AM1054" s="37"/>
      <c r="AN1054" s="37"/>
      <c r="AO1054" s="37"/>
      <c r="AP1054" s="37"/>
      <c r="AQ1054" s="37"/>
      <c r="AR1054" s="37"/>
      <c r="AS1054" s="37"/>
      <c r="AT1054" s="37"/>
      <c r="AU1054" s="37"/>
      <c r="AV1054" s="37"/>
      <c r="AW1054" s="37"/>
      <c r="AX1054" s="37"/>
      <c r="AY1054" s="37"/>
      <c r="AZ1054" s="37"/>
    </row>
    <row r="1055" spans="1:52">
      <c r="A1055" s="37"/>
      <c r="B1055" s="37"/>
      <c r="C1055" s="37"/>
      <c r="D1055" s="37"/>
      <c r="E1055" s="37"/>
      <c r="F1055" s="37"/>
      <c r="G1055" s="37"/>
      <c r="H1055" s="37"/>
      <c r="I1055" s="37"/>
      <c r="J1055" s="37"/>
      <c r="K1055" s="37"/>
      <c r="L1055" s="37"/>
      <c r="M1055" s="37"/>
      <c r="N1055" s="37"/>
      <c r="O1055" s="37"/>
      <c r="P1055" s="37"/>
      <c r="Q1055" s="37"/>
      <c r="R1055" s="37"/>
      <c r="S1055" s="37"/>
      <c r="T1055" s="37"/>
      <c r="U1055" s="37"/>
      <c r="V1055" s="37"/>
      <c r="W1055" s="37"/>
      <c r="X1055" s="37"/>
      <c r="Y1055" s="37"/>
      <c r="Z1055" s="37"/>
      <c r="AA1055" s="37"/>
      <c r="AB1055" s="37"/>
      <c r="AC1055" s="37"/>
      <c r="AD1055" s="37"/>
      <c r="AE1055" s="37"/>
      <c r="AF1055" s="37"/>
      <c r="AG1055" s="37"/>
      <c r="AH1055" s="37"/>
      <c r="AI1055" s="37"/>
      <c r="AJ1055" s="37"/>
      <c r="AK1055" s="37"/>
      <c r="AL1055" s="37"/>
      <c r="AM1055" s="37"/>
      <c r="AN1055" s="37"/>
      <c r="AO1055" s="37"/>
      <c r="AP1055" s="37"/>
      <c r="AQ1055" s="37"/>
      <c r="AR1055" s="37"/>
      <c r="AS1055" s="37"/>
      <c r="AT1055" s="37"/>
      <c r="AU1055" s="37"/>
      <c r="AV1055" s="37"/>
      <c r="AW1055" s="37"/>
      <c r="AX1055" s="37"/>
      <c r="AY1055" s="37"/>
      <c r="AZ1055" s="37"/>
    </row>
    <row r="1056" spans="1:52">
      <c r="A1056" s="37"/>
      <c r="B1056" s="37"/>
      <c r="C1056" s="37"/>
      <c r="D1056" s="37"/>
      <c r="E1056" s="37"/>
      <c r="F1056" s="37"/>
      <c r="G1056" s="37"/>
      <c r="H1056" s="37"/>
      <c r="I1056" s="37"/>
      <c r="J1056" s="37"/>
      <c r="K1056" s="37"/>
      <c r="L1056" s="37"/>
      <c r="M1056" s="37"/>
      <c r="N1056" s="37"/>
      <c r="O1056" s="37"/>
      <c r="P1056" s="37"/>
      <c r="Q1056" s="37"/>
      <c r="R1056" s="37"/>
      <c r="S1056" s="37"/>
      <c r="T1056" s="37"/>
      <c r="U1056" s="37"/>
      <c r="V1056" s="37"/>
      <c r="W1056" s="37"/>
      <c r="X1056" s="37"/>
      <c r="Y1056" s="37"/>
      <c r="Z1056" s="37"/>
      <c r="AA1056" s="37"/>
      <c r="AB1056" s="37"/>
      <c r="AC1056" s="37"/>
      <c r="AD1056" s="37"/>
      <c r="AE1056" s="37"/>
      <c r="AF1056" s="37"/>
      <c r="AG1056" s="37"/>
      <c r="AH1056" s="37"/>
      <c r="AI1056" s="37"/>
      <c r="AJ1056" s="37"/>
      <c r="AK1056" s="37"/>
      <c r="AL1056" s="37"/>
      <c r="AM1056" s="37"/>
      <c r="AN1056" s="37"/>
      <c r="AO1056" s="37"/>
      <c r="AP1056" s="37"/>
      <c r="AQ1056" s="37"/>
      <c r="AR1056" s="37"/>
      <c r="AS1056" s="37"/>
      <c r="AT1056" s="37"/>
      <c r="AU1056" s="37"/>
      <c r="AV1056" s="37"/>
      <c r="AW1056" s="37"/>
      <c r="AX1056" s="37"/>
      <c r="AY1056" s="37"/>
      <c r="AZ1056" s="37"/>
    </row>
    <row r="1057" spans="1:52">
      <c r="A1057" s="37"/>
      <c r="B1057" s="37"/>
      <c r="C1057" s="37"/>
      <c r="D1057" s="37"/>
      <c r="E1057" s="37"/>
      <c r="F1057" s="37"/>
      <c r="G1057" s="37"/>
      <c r="H1057" s="37"/>
      <c r="I1057" s="37"/>
      <c r="J1057" s="37"/>
      <c r="K1057" s="37"/>
      <c r="L1057" s="37"/>
      <c r="M1057" s="37"/>
      <c r="N1057" s="37"/>
      <c r="O1057" s="37"/>
      <c r="P1057" s="37"/>
      <c r="Q1057" s="37"/>
      <c r="R1057" s="37"/>
      <c r="S1057" s="37"/>
      <c r="T1057" s="37"/>
      <c r="U1057" s="37"/>
      <c r="V1057" s="37"/>
      <c r="W1057" s="37"/>
      <c r="X1057" s="37"/>
      <c r="Y1057" s="37"/>
      <c r="Z1057" s="37"/>
      <c r="AA1057" s="37"/>
      <c r="AB1057" s="37"/>
      <c r="AC1057" s="37"/>
      <c r="AD1057" s="37"/>
      <c r="AE1057" s="37"/>
      <c r="AF1057" s="37"/>
      <c r="AG1057" s="37"/>
      <c r="AH1057" s="37"/>
      <c r="AI1057" s="37"/>
      <c r="AJ1057" s="37"/>
      <c r="AK1057" s="37"/>
      <c r="AL1057" s="37"/>
      <c r="AM1057" s="37"/>
      <c r="AN1057" s="37"/>
      <c r="AO1057" s="37"/>
      <c r="AP1057" s="37"/>
      <c r="AQ1057" s="37"/>
      <c r="AR1057" s="37"/>
      <c r="AS1057" s="37"/>
      <c r="AT1057" s="37"/>
      <c r="AU1057" s="37"/>
      <c r="AV1057" s="37"/>
      <c r="AW1057" s="37"/>
      <c r="AX1057" s="37"/>
      <c r="AY1057" s="37"/>
      <c r="AZ1057" s="37"/>
    </row>
    <row r="1058" spans="1:52">
      <c r="A1058" s="37"/>
      <c r="B1058" s="37"/>
      <c r="C1058" s="37"/>
      <c r="D1058" s="37"/>
      <c r="E1058" s="37"/>
      <c r="F1058" s="37"/>
      <c r="G1058" s="37"/>
      <c r="H1058" s="37"/>
      <c r="I1058" s="37"/>
      <c r="J1058" s="37"/>
      <c r="K1058" s="37"/>
      <c r="L1058" s="37"/>
      <c r="M1058" s="37"/>
      <c r="N1058" s="37"/>
      <c r="O1058" s="37"/>
      <c r="P1058" s="37"/>
      <c r="Q1058" s="37"/>
      <c r="R1058" s="37"/>
      <c r="S1058" s="37"/>
      <c r="T1058" s="37"/>
      <c r="U1058" s="37"/>
      <c r="V1058" s="37"/>
      <c r="W1058" s="37"/>
      <c r="X1058" s="37"/>
      <c r="Y1058" s="37"/>
      <c r="Z1058" s="37"/>
      <c r="AA1058" s="37"/>
      <c r="AB1058" s="37"/>
      <c r="AC1058" s="37"/>
      <c r="AD1058" s="37"/>
      <c r="AE1058" s="37"/>
      <c r="AF1058" s="37"/>
      <c r="AG1058" s="37"/>
      <c r="AH1058" s="37"/>
      <c r="AI1058" s="37"/>
      <c r="AJ1058" s="37"/>
      <c r="AK1058" s="37"/>
      <c r="AL1058" s="37"/>
      <c r="AM1058" s="37"/>
      <c r="AN1058" s="37"/>
      <c r="AO1058" s="37"/>
      <c r="AP1058" s="37"/>
      <c r="AQ1058" s="37"/>
      <c r="AR1058" s="37"/>
      <c r="AS1058" s="37"/>
      <c r="AT1058" s="37"/>
      <c r="AU1058" s="37"/>
      <c r="AV1058" s="37"/>
      <c r="AW1058" s="37"/>
      <c r="AX1058" s="37"/>
      <c r="AY1058" s="37"/>
      <c r="AZ1058" s="37"/>
    </row>
    <row r="1059" spans="1:52">
      <c r="A1059" s="37"/>
      <c r="B1059" s="37"/>
      <c r="C1059" s="37"/>
      <c r="D1059" s="37"/>
      <c r="E1059" s="37"/>
      <c r="F1059" s="37"/>
      <c r="G1059" s="37"/>
      <c r="H1059" s="37"/>
      <c r="I1059" s="37"/>
      <c r="J1059" s="37"/>
      <c r="K1059" s="37"/>
      <c r="L1059" s="37"/>
      <c r="M1059" s="37"/>
      <c r="N1059" s="37"/>
      <c r="O1059" s="37"/>
      <c r="P1059" s="37"/>
      <c r="Q1059" s="37"/>
      <c r="R1059" s="37"/>
      <c r="S1059" s="37"/>
      <c r="T1059" s="37"/>
      <c r="U1059" s="37"/>
      <c r="V1059" s="37"/>
      <c r="W1059" s="37"/>
      <c r="X1059" s="37"/>
      <c r="Y1059" s="37"/>
      <c r="Z1059" s="37"/>
      <c r="AA1059" s="37"/>
      <c r="AB1059" s="37"/>
      <c r="AC1059" s="37"/>
      <c r="AD1059" s="37"/>
      <c r="AE1059" s="37"/>
      <c r="AF1059" s="37"/>
      <c r="AG1059" s="37"/>
      <c r="AH1059" s="37"/>
      <c r="AI1059" s="37"/>
      <c r="AJ1059" s="37"/>
      <c r="AK1059" s="37"/>
      <c r="AL1059" s="37"/>
      <c r="AM1059" s="37"/>
      <c r="AN1059" s="37"/>
      <c r="AO1059" s="37"/>
      <c r="AP1059" s="37"/>
      <c r="AQ1059" s="37"/>
      <c r="AR1059" s="37"/>
      <c r="AS1059" s="37"/>
      <c r="AT1059" s="37"/>
      <c r="AU1059" s="37"/>
      <c r="AV1059" s="37"/>
      <c r="AW1059" s="37"/>
      <c r="AX1059" s="37"/>
      <c r="AY1059" s="37"/>
      <c r="AZ1059" s="37"/>
    </row>
    <row r="1060" spans="1:52">
      <c r="A1060" s="37"/>
      <c r="B1060" s="37"/>
      <c r="C1060" s="37"/>
      <c r="D1060" s="37"/>
      <c r="E1060" s="37"/>
      <c r="F1060" s="37"/>
      <c r="G1060" s="37"/>
      <c r="H1060" s="37"/>
      <c r="I1060" s="37"/>
      <c r="J1060" s="37"/>
      <c r="K1060" s="37"/>
      <c r="L1060" s="37"/>
      <c r="M1060" s="37"/>
      <c r="N1060" s="37"/>
      <c r="O1060" s="37"/>
      <c r="P1060" s="37"/>
      <c r="Q1060" s="37"/>
      <c r="R1060" s="37"/>
      <c r="S1060" s="37"/>
      <c r="T1060" s="37"/>
      <c r="U1060" s="37"/>
      <c r="V1060" s="37"/>
      <c r="W1060" s="37"/>
      <c r="X1060" s="37"/>
      <c r="Y1060" s="37"/>
      <c r="Z1060" s="37"/>
      <c r="AA1060" s="37"/>
      <c r="AB1060" s="37"/>
      <c r="AC1060" s="37"/>
      <c r="AD1060" s="37"/>
      <c r="AE1060" s="37"/>
      <c r="AF1060" s="37"/>
      <c r="AG1060" s="37"/>
      <c r="AH1060" s="37"/>
      <c r="AI1060" s="37"/>
      <c r="AJ1060" s="37"/>
      <c r="AK1060" s="37"/>
      <c r="AL1060" s="37"/>
      <c r="AM1060" s="37"/>
      <c r="AN1060" s="37"/>
      <c r="AO1060" s="37"/>
      <c r="AP1060" s="37"/>
      <c r="AQ1060" s="37"/>
      <c r="AR1060" s="37"/>
      <c r="AS1060" s="37"/>
      <c r="AT1060" s="37"/>
      <c r="AU1060" s="37"/>
      <c r="AV1060" s="37"/>
      <c r="AW1060" s="37"/>
      <c r="AX1060" s="37"/>
      <c r="AY1060" s="37"/>
      <c r="AZ1060" s="37"/>
    </row>
    <row r="1061" spans="1:52">
      <c r="A1061" s="37"/>
      <c r="B1061" s="37"/>
      <c r="C1061" s="37"/>
      <c r="D1061" s="37"/>
      <c r="E1061" s="37"/>
      <c r="F1061" s="37"/>
      <c r="G1061" s="37"/>
      <c r="H1061" s="37"/>
      <c r="I1061" s="37"/>
      <c r="J1061" s="37"/>
      <c r="K1061" s="37"/>
      <c r="L1061" s="37"/>
      <c r="M1061" s="37"/>
      <c r="N1061" s="37"/>
      <c r="O1061" s="37"/>
      <c r="P1061" s="37"/>
      <c r="Q1061" s="37"/>
      <c r="R1061" s="37"/>
      <c r="S1061" s="37"/>
      <c r="T1061" s="37"/>
      <c r="U1061" s="37"/>
      <c r="V1061" s="37"/>
      <c r="W1061" s="37"/>
      <c r="X1061" s="37"/>
      <c r="Y1061" s="37"/>
      <c r="Z1061" s="37"/>
      <c r="AA1061" s="37"/>
      <c r="AB1061" s="37"/>
      <c r="AC1061" s="37"/>
      <c r="AD1061" s="37"/>
      <c r="AE1061" s="37"/>
      <c r="AF1061" s="37"/>
      <c r="AG1061" s="37"/>
      <c r="AH1061" s="37"/>
      <c r="AI1061" s="37"/>
      <c r="AJ1061" s="37"/>
      <c r="AK1061" s="37"/>
      <c r="AL1061" s="37"/>
      <c r="AM1061" s="37"/>
      <c r="AN1061" s="37"/>
      <c r="AO1061" s="37"/>
      <c r="AP1061" s="37"/>
      <c r="AQ1061" s="37"/>
      <c r="AR1061" s="37"/>
      <c r="AS1061" s="37"/>
      <c r="AT1061" s="37"/>
      <c r="AU1061" s="37"/>
      <c r="AV1061" s="37"/>
      <c r="AW1061" s="37"/>
      <c r="AX1061" s="37"/>
      <c r="AY1061" s="37"/>
      <c r="AZ1061" s="37"/>
    </row>
    <row r="1062" spans="1:52">
      <c r="A1062" s="37"/>
      <c r="B1062" s="37"/>
      <c r="C1062" s="37"/>
      <c r="D1062" s="37"/>
      <c r="E1062" s="37"/>
      <c r="F1062" s="37"/>
      <c r="G1062" s="37"/>
      <c r="H1062" s="37"/>
      <c r="I1062" s="37"/>
      <c r="J1062" s="37"/>
      <c r="K1062" s="37"/>
      <c r="L1062" s="37"/>
      <c r="M1062" s="37"/>
      <c r="N1062" s="37"/>
      <c r="O1062" s="37"/>
      <c r="P1062" s="37"/>
      <c r="Q1062" s="37"/>
      <c r="R1062" s="37"/>
      <c r="S1062" s="37"/>
      <c r="T1062" s="37"/>
      <c r="U1062" s="37"/>
      <c r="V1062" s="37"/>
      <c r="W1062" s="37"/>
      <c r="X1062" s="37"/>
      <c r="Y1062" s="37"/>
      <c r="Z1062" s="37"/>
      <c r="AA1062" s="37"/>
      <c r="AB1062" s="37"/>
      <c r="AC1062" s="37"/>
      <c r="AD1062" s="37"/>
      <c r="AE1062" s="37"/>
      <c r="AF1062" s="37"/>
      <c r="AG1062" s="37"/>
      <c r="AH1062" s="37"/>
      <c r="AI1062" s="37"/>
      <c r="AJ1062" s="37"/>
      <c r="AK1062" s="37"/>
      <c r="AL1062" s="37"/>
      <c r="AM1062" s="37"/>
      <c r="AN1062" s="37"/>
      <c r="AO1062" s="37"/>
      <c r="AP1062" s="37"/>
      <c r="AQ1062" s="37"/>
      <c r="AR1062" s="37"/>
      <c r="AS1062" s="37"/>
      <c r="AT1062" s="37"/>
      <c r="AU1062" s="37"/>
      <c r="AV1062" s="37"/>
      <c r="AW1062" s="37"/>
      <c r="AX1062" s="37"/>
      <c r="AY1062" s="37"/>
      <c r="AZ1062" s="37"/>
    </row>
    <row r="1063" spans="1:52">
      <c r="A1063" s="37"/>
      <c r="B1063" s="37"/>
      <c r="C1063" s="37"/>
      <c r="D1063" s="37"/>
      <c r="E1063" s="37"/>
      <c r="F1063" s="37"/>
      <c r="G1063" s="37"/>
      <c r="H1063" s="37"/>
      <c r="I1063" s="37"/>
      <c r="J1063" s="37"/>
      <c r="K1063" s="37"/>
      <c r="L1063" s="37"/>
      <c r="M1063" s="37"/>
      <c r="N1063" s="37"/>
      <c r="O1063" s="37"/>
      <c r="P1063" s="37"/>
      <c r="Q1063" s="37"/>
      <c r="R1063" s="37"/>
      <c r="S1063" s="37"/>
      <c r="T1063" s="37"/>
      <c r="U1063" s="37"/>
      <c r="V1063" s="37"/>
      <c r="W1063" s="37"/>
      <c r="X1063" s="37"/>
      <c r="Y1063" s="37"/>
      <c r="Z1063" s="37"/>
      <c r="AA1063" s="37"/>
      <c r="AB1063" s="37"/>
      <c r="AC1063" s="37"/>
      <c r="AD1063" s="37"/>
      <c r="AE1063" s="37"/>
      <c r="AF1063" s="37"/>
      <c r="AG1063" s="37"/>
      <c r="AH1063" s="37"/>
      <c r="AI1063" s="37"/>
      <c r="AJ1063" s="37"/>
      <c r="AK1063" s="37"/>
      <c r="AL1063" s="37"/>
      <c r="AM1063" s="37"/>
      <c r="AN1063" s="37"/>
      <c r="AO1063" s="37"/>
      <c r="AP1063" s="37"/>
      <c r="AQ1063" s="37"/>
      <c r="AR1063" s="37"/>
      <c r="AS1063" s="37"/>
      <c r="AT1063" s="37"/>
      <c r="AU1063" s="37"/>
      <c r="AV1063" s="37"/>
      <c r="AW1063" s="37"/>
      <c r="AX1063" s="37"/>
      <c r="AY1063" s="37"/>
      <c r="AZ1063" s="37"/>
    </row>
    <row r="1064" spans="1:52">
      <c r="A1064" s="37"/>
      <c r="B1064" s="37"/>
      <c r="C1064" s="37"/>
      <c r="D1064" s="37"/>
      <c r="E1064" s="37"/>
      <c r="F1064" s="37"/>
      <c r="G1064" s="37"/>
      <c r="H1064" s="37"/>
      <c r="I1064" s="37"/>
      <c r="J1064" s="37"/>
      <c r="K1064" s="37"/>
      <c r="L1064" s="37"/>
      <c r="M1064" s="37"/>
      <c r="N1064" s="37"/>
      <c r="O1064" s="37"/>
      <c r="P1064" s="37"/>
      <c r="Q1064" s="37"/>
      <c r="R1064" s="37"/>
      <c r="S1064" s="37"/>
      <c r="T1064" s="37"/>
      <c r="U1064" s="37"/>
      <c r="V1064" s="37"/>
      <c r="W1064" s="37"/>
      <c r="X1064" s="37"/>
      <c r="Y1064" s="37"/>
      <c r="Z1064" s="37"/>
      <c r="AA1064" s="37"/>
      <c r="AB1064" s="37"/>
      <c r="AC1064" s="37"/>
      <c r="AD1064" s="37"/>
      <c r="AE1064" s="37"/>
      <c r="AF1064" s="37"/>
      <c r="AG1064" s="37"/>
      <c r="AH1064" s="37"/>
      <c r="AI1064" s="37"/>
      <c r="AJ1064" s="37"/>
      <c r="AK1064" s="37"/>
      <c r="AL1064" s="37"/>
      <c r="AM1064" s="37"/>
      <c r="AN1064" s="37"/>
      <c r="AO1064" s="37"/>
      <c r="AP1064" s="37"/>
      <c r="AQ1064" s="37"/>
      <c r="AR1064" s="37"/>
      <c r="AS1064" s="37"/>
      <c r="AT1064" s="37"/>
      <c r="AU1064" s="37"/>
      <c r="AV1064" s="37"/>
      <c r="AW1064" s="37"/>
      <c r="AX1064" s="37"/>
      <c r="AY1064" s="37"/>
      <c r="AZ1064" s="37"/>
    </row>
    <row r="1065" spans="1:52">
      <c r="A1065" s="37"/>
      <c r="B1065" s="37"/>
      <c r="C1065" s="37"/>
      <c r="D1065" s="37"/>
      <c r="E1065" s="37"/>
      <c r="F1065" s="37"/>
      <c r="G1065" s="37"/>
      <c r="H1065" s="37"/>
      <c r="I1065" s="37"/>
      <c r="J1065" s="37"/>
      <c r="K1065" s="37"/>
      <c r="L1065" s="37"/>
      <c r="M1065" s="37"/>
      <c r="N1065" s="37"/>
      <c r="O1065" s="37"/>
      <c r="P1065" s="37"/>
      <c r="Q1065" s="37"/>
      <c r="R1065" s="37"/>
      <c r="S1065" s="37"/>
      <c r="T1065" s="37"/>
      <c r="U1065" s="37"/>
      <c r="V1065" s="37"/>
      <c r="W1065" s="37"/>
      <c r="X1065" s="37"/>
      <c r="Y1065" s="37"/>
      <c r="Z1065" s="37"/>
      <c r="AA1065" s="37"/>
      <c r="AB1065" s="37"/>
      <c r="AC1065" s="37"/>
      <c r="AD1065" s="37"/>
      <c r="AE1065" s="37"/>
      <c r="AF1065" s="37"/>
      <c r="AG1065" s="37"/>
      <c r="AH1065" s="37"/>
      <c r="AI1065" s="37"/>
      <c r="AJ1065" s="37"/>
      <c r="AK1065" s="37"/>
      <c r="AL1065" s="37"/>
      <c r="AM1065" s="37"/>
      <c r="AN1065" s="37"/>
      <c r="AO1065" s="37"/>
      <c r="AP1065" s="37"/>
      <c r="AQ1065" s="37"/>
      <c r="AR1065" s="37"/>
      <c r="AS1065" s="37"/>
      <c r="AT1065" s="37"/>
      <c r="AU1065" s="37"/>
      <c r="AV1065" s="37"/>
      <c r="AW1065" s="37"/>
      <c r="AX1065" s="37"/>
      <c r="AY1065" s="37"/>
      <c r="AZ1065" s="37"/>
    </row>
    <row r="1066" spans="1:52">
      <c r="A1066" s="37"/>
      <c r="B1066" s="37"/>
      <c r="C1066" s="37"/>
      <c r="D1066" s="37"/>
      <c r="E1066" s="37"/>
      <c r="F1066" s="37"/>
      <c r="G1066" s="37"/>
      <c r="H1066" s="37"/>
      <c r="I1066" s="37"/>
      <c r="J1066" s="37"/>
      <c r="K1066" s="37"/>
      <c r="L1066" s="37"/>
      <c r="M1066" s="37"/>
      <c r="N1066" s="37"/>
      <c r="O1066" s="37"/>
      <c r="P1066" s="37"/>
      <c r="Q1066" s="37"/>
      <c r="R1066" s="37"/>
      <c r="S1066" s="37"/>
      <c r="T1066" s="37"/>
      <c r="U1066" s="37"/>
      <c r="V1066" s="37"/>
      <c r="W1066" s="37"/>
      <c r="X1066" s="37"/>
      <c r="Y1066" s="37"/>
      <c r="Z1066" s="37"/>
      <c r="AA1066" s="37"/>
      <c r="AB1066" s="37"/>
      <c r="AC1066" s="37"/>
      <c r="AD1066" s="37"/>
      <c r="AE1066" s="37"/>
      <c r="AF1066" s="37"/>
      <c r="AG1066" s="37"/>
      <c r="AH1066" s="37"/>
      <c r="AI1066" s="37"/>
      <c r="AJ1066" s="37"/>
      <c r="AK1066" s="37"/>
      <c r="AL1066" s="37"/>
      <c r="AM1066" s="37"/>
      <c r="AN1066" s="37"/>
      <c r="AO1066" s="37"/>
      <c r="AP1066" s="37"/>
      <c r="AQ1066" s="37"/>
      <c r="AR1066" s="37"/>
      <c r="AS1066" s="37"/>
      <c r="AT1066" s="37"/>
      <c r="AU1066" s="37"/>
      <c r="AV1066" s="37"/>
      <c r="AW1066" s="37"/>
      <c r="AX1066" s="37"/>
      <c r="AY1066" s="37"/>
      <c r="AZ1066" s="37"/>
    </row>
    <row r="1067" spans="1:52">
      <c r="A1067" s="37"/>
      <c r="B1067" s="37"/>
      <c r="C1067" s="37"/>
      <c r="D1067" s="37"/>
      <c r="E1067" s="37"/>
      <c r="F1067" s="37"/>
      <c r="G1067" s="37"/>
      <c r="H1067" s="37"/>
      <c r="I1067" s="37"/>
      <c r="J1067" s="37"/>
      <c r="K1067" s="37"/>
      <c r="L1067" s="37"/>
      <c r="M1067" s="37"/>
      <c r="N1067" s="37"/>
      <c r="O1067" s="37"/>
      <c r="P1067" s="37"/>
      <c r="Q1067" s="37"/>
      <c r="R1067" s="37"/>
      <c r="S1067" s="37"/>
      <c r="T1067" s="37"/>
      <c r="U1067" s="37"/>
      <c r="V1067" s="37"/>
      <c r="W1067" s="37"/>
      <c r="X1067" s="37"/>
      <c r="Y1067" s="37"/>
      <c r="Z1067" s="37"/>
      <c r="AA1067" s="37"/>
      <c r="AB1067" s="37"/>
      <c r="AC1067" s="37"/>
      <c r="AD1067" s="37"/>
      <c r="AE1067" s="37"/>
      <c r="AF1067" s="37"/>
      <c r="AG1067" s="37"/>
      <c r="AH1067" s="37"/>
      <c r="AI1067" s="37"/>
      <c r="AJ1067" s="37"/>
      <c r="AK1067" s="37"/>
      <c r="AL1067" s="37"/>
      <c r="AM1067" s="37"/>
      <c r="AN1067" s="37"/>
      <c r="AO1067" s="37"/>
      <c r="AP1067" s="37"/>
      <c r="AQ1067" s="37"/>
      <c r="AR1067" s="37"/>
      <c r="AS1067" s="37"/>
      <c r="AT1067" s="37"/>
      <c r="AU1067" s="37"/>
      <c r="AV1067" s="37"/>
      <c r="AW1067" s="37"/>
      <c r="AX1067" s="37"/>
      <c r="AY1067" s="37"/>
      <c r="AZ1067" s="37"/>
    </row>
    <row r="1068" spans="1:52">
      <c r="A1068" s="37"/>
      <c r="B1068" s="37"/>
      <c r="C1068" s="37"/>
      <c r="D1068" s="37"/>
      <c r="E1068" s="37"/>
      <c r="F1068" s="37"/>
      <c r="G1068" s="37"/>
      <c r="H1068" s="37"/>
      <c r="I1068" s="37"/>
      <c r="J1068" s="37"/>
      <c r="K1068" s="37"/>
      <c r="L1068" s="37"/>
      <c r="M1068" s="37"/>
      <c r="N1068" s="37"/>
      <c r="O1068" s="37"/>
      <c r="P1068" s="37"/>
      <c r="Q1068" s="37"/>
      <c r="R1068" s="37"/>
      <c r="S1068" s="37"/>
      <c r="T1068" s="37"/>
      <c r="U1068" s="37"/>
      <c r="V1068" s="37"/>
      <c r="W1068" s="37"/>
      <c r="X1068" s="37"/>
      <c r="Y1068" s="37"/>
      <c r="Z1068" s="37"/>
      <c r="AA1068" s="37"/>
      <c r="AB1068" s="37"/>
      <c r="AC1068" s="37"/>
      <c r="AD1068" s="37"/>
      <c r="AE1068" s="37"/>
      <c r="AF1068" s="37"/>
      <c r="AG1068" s="37"/>
      <c r="AH1068" s="37"/>
      <c r="AI1068" s="37"/>
      <c r="AJ1068" s="37"/>
      <c r="AK1068" s="37"/>
      <c r="AL1068" s="37"/>
      <c r="AM1068" s="37"/>
      <c r="AN1068" s="37"/>
      <c r="AO1068" s="37"/>
      <c r="AP1068" s="37"/>
      <c r="AQ1068" s="37"/>
      <c r="AR1068" s="37"/>
      <c r="AS1068" s="37"/>
      <c r="AT1068" s="37"/>
      <c r="AU1068" s="37"/>
      <c r="AV1068" s="37"/>
      <c r="AW1068" s="37"/>
      <c r="AX1068" s="37"/>
      <c r="AY1068" s="37"/>
      <c r="AZ1068" s="37"/>
    </row>
    <row r="1069" spans="1:52">
      <c r="A1069" s="37"/>
      <c r="B1069" s="37"/>
      <c r="C1069" s="37"/>
      <c r="D1069" s="37"/>
      <c r="E1069" s="37"/>
      <c r="F1069" s="37"/>
      <c r="G1069" s="37"/>
      <c r="H1069" s="37"/>
      <c r="I1069" s="37"/>
      <c r="J1069" s="37"/>
      <c r="K1069" s="37"/>
      <c r="L1069" s="37"/>
      <c r="M1069" s="37"/>
      <c r="N1069" s="37"/>
      <c r="O1069" s="37"/>
      <c r="P1069" s="37"/>
      <c r="Q1069" s="37"/>
      <c r="R1069" s="37"/>
      <c r="S1069" s="37"/>
      <c r="T1069" s="37"/>
      <c r="U1069" s="37"/>
      <c r="V1069" s="37"/>
      <c r="W1069" s="37"/>
      <c r="X1069" s="37"/>
      <c r="Y1069" s="37"/>
      <c r="Z1069" s="37"/>
      <c r="AA1069" s="37"/>
      <c r="AB1069" s="37"/>
      <c r="AC1069" s="37"/>
      <c r="AD1069" s="37"/>
      <c r="AE1069" s="37"/>
      <c r="AF1069" s="37"/>
      <c r="AG1069" s="37"/>
      <c r="AH1069" s="37"/>
      <c r="AI1069" s="37"/>
      <c r="AJ1069" s="37"/>
      <c r="AK1069" s="37"/>
      <c r="AL1069" s="37"/>
      <c r="AM1069" s="37"/>
      <c r="AN1069" s="37"/>
      <c r="AO1069" s="37"/>
      <c r="AP1069" s="37"/>
      <c r="AQ1069" s="37"/>
      <c r="AR1069" s="37"/>
      <c r="AS1069" s="37"/>
      <c r="AT1069" s="37"/>
      <c r="AU1069" s="37"/>
      <c r="AV1069" s="37"/>
      <c r="AW1069" s="37"/>
      <c r="AX1069" s="37"/>
      <c r="AY1069" s="37"/>
      <c r="AZ1069" s="37"/>
    </row>
    <row r="1070" spans="1:52">
      <c r="A1070" s="37"/>
      <c r="B1070" s="37"/>
      <c r="C1070" s="37"/>
      <c r="D1070" s="37"/>
      <c r="E1070" s="37"/>
      <c r="F1070" s="37"/>
      <c r="G1070" s="37"/>
      <c r="H1070" s="37"/>
      <c r="I1070" s="37"/>
      <c r="J1070" s="37"/>
      <c r="K1070" s="37"/>
      <c r="L1070" s="37"/>
      <c r="M1070" s="37"/>
      <c r="N1070" s="37"/>
      <c r="O1070" s="37"/>
      <c r="P1070" s="37"/>
      <c r="Q1070" s="37"/>
      <c r="R1070" s="37"/>
      <c r="S1070" s="37"/>
      <c r="T1070" s="37"/>
      <c r="U1070" s="37"/>
      <c r="V1070" s="37"/>
      <c r="W1070" s="37"/>
      <c r="X1070" s="37"/>
      <c r="Y1070" s="37"/>
      <c r="Z1070" s="37"/>
      <c r="AA1070" s="37"/>
      <c r="AB1070" s="37"/>
      <c r="AC1070" s="37"/>
      <c r="AD1070" s="37"/>
      <c r="AE1070" s="37"/>
      <c r="AF1070" s="37"/>
      <c r="AG1070" s="37"/>
      <c r="AH1070" s="37"/>
      <c r="AI1070" s="37"/>
      <c r="AJ1070" s="37"/>
      <c r="AK1070" s="37"/>
      <c r="AL1070" s="37"/>
      <c r="AM1070" s="37"/>
      <c r="AN1070" s="37"/>
      <c r="AO1070" s="37"/>
      <c r="AP1070" s="37"/>
      <c r="AQ1070" s="37"/>
      <c r="AR1070" s="37"/>
      <c r="AS1070" s="37"/>
      <c r="AT1070" s="37"/>
      <c r="AU1070" s="37"/>
      <c r="AV1070" s="37"/>
      <c r="AW1070" s="37"/>
      <c r="AX1070" s="37"/>
      <c r="AY1070" s="37"/>
      <c r="AZ1070" s="37"/>
    </row>
    <row r="1071" spans="1:52">
      <c r="A1071" s="37"/>
      <c r="B1071" s="37"/>
      <c r="C1071" s="37"/>
      <c r="D1071" s="37"/>
      <c r="E1071" s="37"/>
      <c r="F1071" s="37"/>
      <c r="G1071" s="37"/>
      <c r="H1071" s="37"/>
      <c r="I1071" s="37"/>
      <c r="J1071" s="37"/>
      <c r="K1071" s="37"/>
      <c r="L1071" s="37"/>
      <c r="M1071" s="37"/>
      <c r="N1071" s="37"/>
      <c r="O1071" s="37"/>
      <c r="P1071" s="37"/>
      <c r="Q1071" s="37"/>
      <c r="R1071" s="37"/>
      <c r="S1071" s="37"/>
      <c r="T1071" s="37"/>
      <c r="U1071" s="37"/>
      <c r="V1071" s="37"/>
      <c r="W1071" s="37"/>
      <c r="X1071" s="37"/>
      <c r="Y1071" s="37"/>
      <c r="Z1071" s="37"/>
      <c r="AA1071" s="37"/>
      <c r="AB1071" s="37"/>
      <c r="AC1071" s="37"/>
      <c r="AD1071" s="37"/>
      <c r="AE1071" s="37"/>
      <c r="AF1071" s="37"/>
      <c r="AG1071" s="37"/>
      <c r="AH1071" s="37"/>
      <c r="AI1071" s="37"/>
      <c r="AJ1071" s="37"/>
      <c r="AK1071" s="37"/>
      <c r="AL1071" s="37"/>
      <c r="AM1071" s="37"/>
      <c r="AN1071" s="37"/>
      <c r="AO1071" s="37"/>
      <c r="AP1071" s="37"/>
      <c r="AQ1071" s="37"/>
      <c r="AR1071" s="37"/>
      <c r="AS1071" s="37"/>
      <c r="AT1071" s="37"/>
      <c r="AU1071" s="37"/>
      <c r="AV1071" s="37"/>
      <c r="AW1071" s="37"/>
      <c r="AX1071" s="37"/>
      <c r="AY1071" s="37"/>
      <c r="AZ1071" s="37"/>
    </row>
    <row r="1072" spans="1:52">
      <c r="A1072" s="37"/>
      <c r="B1072" s="37"/>
      <c r="C1072" s="37"/>
      <c r="D1072" s="37"/>
      <c r="E1072" s="37"/>
      <c r="F1072" s="37"/>
      <c r="G1072" s="37"/>
      <c r="H1072" s="37"/>
      <c r="I1072" s="37"/>
      <c r="J1072" s="37"/>
      <c r="K1072" s="37"/>
      <c r="L1072" s="37"/>
      <c r="M1072" s="37"/>
      <c r="N1072" s="37"/>
      <c r="O1072" s="37"/>
      <c r="P1072" s="37"/>
      <c r="Q1072" s="37"/>
      <c r="R1072" s="37"/>
      <c r="S1072" s="37"/>
      <c r="T1072" s="37"/>
      <c r="U1072" s="37"/>
      <c r="V1072" s="37"/>
      <c r="W1072" s="37"/>
      <c r="X1072" s="37"/>
      <c r="Y1072" s="37"/>
      <c r="Z1072" s="37"/>
      <c r="AA1072" s="37"/>
      <c r="AB1072" s="37"/>
      <c r="AC1072" s="37"/>
      <c r="AD1072" s="37"/>
      <c r="AE1072" s="37"/>
      <c r="AF1072" s="37"/>
      <c r="AG1072" s="37"/>
      <c r="AH1072" s="37"/>
      <c r="AI1072" s="37"/>
      <c r="AJ1072" s="37"/>
      <c r="AK1072" s="37"/>
      <c r="AL1072" s="37"/>
      <c r="AM1072" s="37"/>
      <c r="AN1072" s="37"/>
      <c r="AO1072" s="37"/>
      <c r="AP1072" s="37"/>
      <c r="AQ1072" s="37"/>
      <c r="AR1072" s="37"/>
      <c r="AS1072" s="37"/>
      <c r="AT1072" s="37"/>
      <c r="AU1072" s="37"/>
      <c r="AV1072" s="37"/>
      <c r="AW1072" s="37"/>
      <c r="AX1072" s="37"/>
      <c r="AY1072" s="37"/>
      <c r="AZ1072" s="37"/>
    </row>
    <row r="1073" spans="1:52">
      <c r="A1073" s="37"/>
      <c r="B1073" s="37"/>
      <c r="C1073" s="37"/>
      <c r="D1073" s="37"/>
      <c r="E1073" s="37"/>
      <c r="F1073" s="37"/>
      <c r="G1073" s="37"/>
      <c r="H1073" s="37"/>
      <c r="I1073" s="37"/>
      <c r="J1073" s="37"/>
      <c r="K1073" s="37"/>
      <c r="L1073" s="37"/>
      <c r="M1073" s="37"/>
      <c r="N1073" s="37"/>
      <c r="O1073" s="37"/>
      <c r="P1073" s="37"/>
      <c r="Q1073" s="37"/>
      <c r="R1073" s="37"/>
      <c r="S1073" s="37"/>
      <c r="T1073" s="37"/>
      <c r="U1073" s="37"/>
      <c r="V1073" s="37"/>
      <c r="W1073" s="37"/>
      <c r="X1073" s="37"/>
      <c r="Y1073" s="37"/>
      <c r="Z1073" s="37"/>
      <c r="AA1073" s="37"/>
      <c r="AB1073" s="37"/>
      <c r="AC1073" s="37"/>
      <c r="AD1073" s="37"/>
      <c r="AE1073" s="37"/>
      <c r="AF1073" s="37"/>
      <c r="AG1073" s="37"/>
      <c r="AH1073" s="37"/>
      <c r="AI1073" s="37"/>
      <c r="AJ1073" s="37"/>
      <c r="AK1073" s="37"/>
      <c r="AL1073" s="37"/>
      <c r="AM1073" s="37"/>
      <c r="AN1073" s="37"/>
      <c r="AO1073" s="37"/>
      <c r="AP1073" s="37"/>
      <c r="AQ1073" s="37"/>
      <c r="AR1073" s="37"/>
      <c r="AS1073" s="37"/>
      <c r="AT1073" s="37"/>
      <c r="AU1073" s="37"/>
      <c r="AV1073" s="37"/>
      <c r="AW1073" s="37"/>
      <c r="AX1073" s="37"/>
      <c r="AY1073" s="37"/>
      <c r="AZ1073" s="37"/>
    </row>
    <row r="1074" spans="1:52">
      <c r="A1074" s="37"/>
      <c r="B1074" s="37"/>
      <c r="C1074" s="37"/>
      <c r="D1074" s="37"/>
      <c r="E1074" s="37"/>
      <c r="F1074" s="37"/>
      <c r="G1074" s="37"/>
      <c r="H1074" s="37"/>
      <c r="I1074" s="37"/>
      <c r="J1074" s="37"/>
      <c r="K1074" s="37"/>
      <c r="L1074" s="37"/>
      <c r="M1074" s="37"/>
      <c r="N1074" s="37"/>
      <c r="O1074" s="37"/>
      <c r="P1074" s="37"/>
      <c r="Q1074" s="37"/>
      <c r="R1074" s="37"/>
      <c r="S1074" s="37"/>
      <c r="T1074" s="37"/>
      <c r="U1074" s="37"/>
      <c r="V1074" s="37"/>
      <c r="W1074" s="37"/>
      <c r="X1074" s="37"/>
      <c r="Y1074" s="37"/>
      <c r="Z1074" s="37"/>
      <c r="AA1074" s="37"/>
      <c r="AB1074" s="37"/>
      <c r="AC1074" s="37"/>
      <c r="AD1074" s="37"/>
      <c r="AE1074" s="37"/>
      <c r="AF1074" s="37"/>
      <c r="AG1074" s="37"/>
      <c r="AH1074" s="37"/>
      <c r="AI1074" s="37"/>
      <c r="AJ1074" s="37"/>
      <c r="AK1074" s="37"/>
      <c r="AL1074" s="37"/>
      <c r="AM1074" s="37"/>
      <c r="AN1074" s="37"/>
      <c r="AO1074" s="37"/>
      <c r="AP1074" s="37"/>
      <c r="AQ1074" s="37"/>
      <c r="AR1074" s="37"/>
      <c r="AS1074" s="37"/>
      <c r="AT1074" s="37"/>
      <c r="AU1074" s="37"/>
      <c r="AV1074" s="37"/>
      <c r="AW1074" s="37"/>
      <c r="AX1074" s="37"/>
      <c r="AY1074" s="37"/>
      <c r="AZ1074" s="37"/>
    </row>
    <row r="1075" spans="1:52">
      <c r="A1075" s="37"/>
      <c r="B1075" s="37"/>
      <c r="C1075" s="37"/>
      <c r="D1075" s="37"/>
      <c r="E1075" s="37"/>
      <c r="F1075" s="37"/>
      <c r="G1075" s="37"/>
      <c r="H1075" s="37"/>
      <c r="I1075" s="37"/>
      <c r="J1075" s="37"/>
      <c r="K1075" s="37"/>
      <c r="L1075" s="37"/>
      <c r="M1075" s="37"/>
      <c r="N1075" s="37"/>
      <c r="O1075" s="37"/>
      <c r="P1075" s="37"/>
      <c r="Q1075" s="37"/>
      <c r="R1075" s="37"/>
      <c r="S1075" s="37"/>
      <c r="T1075" s="37"/>
      <c r="U1075" s="37"/>
      <c r="V1075" s="37"/>
      <c r="W1075" s="37"/>
      <c r="X1075" s="37"/>
      <c r="Y1075" s="37"/>
      <c r="Z1075" s="37"/>
      <c r="AA1075" s="37"/>
      <c r="AB1075" s="37"/>
      <c r="AC1075" s="37"/>
      <c r="AD1075" s="37"/>
      <c r="AE1075" s="37"/>
      <c r="AF1075" s="37"/>
      <c r="AG1075" s="37"/>
      <c r="AH1075" s="37"/>
      <c r="AI1075" s="37"/>
      <c r="AJ1075" s="37"/>
      <c r="AK1075" s="37"/>
      <c r="AL1075" s="37"/>
      <c r="AM1075" s="37"/>
      <c r="AN1075" s="37"/>
      <c r="AO1075" s="37"/>
      <c r="AP1075" s="37"/>
      <c r="AQ1075" s="37"/>
      <c r="AR1075" s="37"/>
      <c r="AS1075" s="37"/>
      <c r="AT1075" s="37"/>
      <c r="AU1075" s="37"/>
      <c r="AV1075" s="37"/>
      <c r="AW1075" s="37"/>
      <c r="AX1075" s="37"/>
      <c r="AY1075" s="37"/>
      <c r="AZ1075" s="37"/>
    </row>
    <row r="1076" spans="1:52">
      <c r="A1076" s="37"/>
      <c r="B1076" s="37"/>
      <c r="C1076" s="37"/>
      <c r="D1076" s="37"/>
      <c r="E1076" s="37"/>
      <c r="F1076" s="37"/>
      <c r="G1076" s="37"/>
      <c r="H1076" s="37"/>
      <c r="I1076" s="37"/>
      <c r="J1076" s="37"/>
      <c r="K1076" s="37"/>
      <c r="L1076" s="37"/>
      <c r="M1076" s="37"/>
      <c r="N1076" s="37"/>
      <c r="O1076" s="37"/>
      <c r="P1076" s="37"/>
      <c r="Q1076" s="37"/>
      <c r="R1076" s="37"/>
      <c r="S1076" s="37"/>
      <c r="T1076" s="37"/>
      <c r="U1076" s="37"/>
      <c r="V1076" s="37"/>
      <c r="W1076" s="37"/>
      <c r="X1076" s="37"/>
      <c r="Y1076" s="37"/>
      <c r="Z1076" s="37"/>
      <c r="AA1076" s="37"/>
      <c r="AB1076" s="37"/>
      <c r="AC1076" s="37"/>
      <c r="AD1076" s="37"/>
      <c r="AE1076" s="37"/>
      <c r="AF1076" s="37"/>
      <c r="AG1076" s="37"/>
      <c r="AH1076" s="37"/>
      <c r="AI1076" s="37"/>
      <c r="AJ1076" s="37"/>
      <c r="AK1076" s="37"/>
      <c r="AL1076" s="37"/>
      <c r="AM1076" s="37"/>
      <c r="AN1076" s="37"/>
      <c r="AO1076" s="37"/>
      <c r="AP1076" s="37"/>
      <c r="AQ1076" s="37"/>
      <c r="AR1076" s="37"/>
      <c r="AS1076" s="37"/>
      <c r="AT1076" s="37"/>
      <c r="AU1076" s="37"/>
      <c r="AV1076" s="37"/>
      <c r="AW1076" s="37"/>
      <c r="AX1076" s="37"/>
      <c r="AY1076" s="37"/>
      <c r="AZ1076" s="37"/>
    </row>
  </sheetData>
  <sheetProtection algorithmName="SHA-512" hashValue="GDEHOQc/do2M69sXgq0V26OiWQ5YuEKSbS0NJWZXQK3lgQfMQxjR7UoXa3tc7nWP6IWn2XFhgVc70+5LDvBZKA==" saltValue="STs1RD7kFgksOhedL3QV8g==" spinCount="100000" sheet="1" objects="1" scenarios="1" selectLockedCells="1"/>
  <mergeCells count="1">
    <mergeCell ref="B2:I2"/>
  </mergeCells>
  <phoneticPr fontId="18" type="noConversion"/>
  <printOptions horizontalCentered="1"/>
  <pageMargins left="0.78740157480314965" right="0.78740157480314965" top="0.98425196850393704" bottom="0.98425196850393704" header="0.51181102362204722" footer="0.51181102362204722"/>
  <pageSetup paperSize="0" orientation="landscape" horizontalDpi="4294967292" verticalDpi="429496729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8">
    <tabColor rgb="FFFFC000"/>
  </sheetPr>
  <dimension ref="A1:AO1359"/>
  <sheetViews>
    <sheetView showRowColHeaders="0" showOutlineSymbols="0" zoomScale="110" zoomScaleNormal="110" zoomScalePageLayoutView="110" workbookViewId="0">
      <selection activeCell="I404" sqref="I404"/>
    </sheetView>
  </sheetViews>
  <sheetFormatPr baseColWidth="10" defaultColWidth="10.875" defaultRowHeight="10.199999999999999"/>
  <cols>
    <col min="1" max="1" width="3" style="13" customWidth="1"/>
    <col min="2" max="2" width="5" style="13" customWidth="1"/>
    <col min="3" max="3" width="20.625" style="13" bestFit="1" customWidth="1"/>
    <col min="4" max="4" width="5.875" style="13" customWidth="1"/>
    <col min="5" max="5" width="10.375" style="13" customWidth="1"/>
    <col min="6" max="6" width="8.5" style="13" customWidth="1"/>
    <col min="7" max="7" width="10.125" style="13" customWidth="1"/>
    <col min="8" max="8" width="15" style="14" customWidth="1"/>
    <col min="9" max="9" width="8.5" style="14" customWidth="1"/>
    <col min="10" max="10" width="11.875" style="14" customWidth="1"/>
    <col min="11" max="11" width="8.5" style="13" customWidth="1"/>
    <col min="12" max="12" width="14" style="13" customWidth="1"/>
    <col min="13" max="13" width="11" style="13" customWidth="1"/>
    <col min="14" max="14" width="13.875" style="13" customWidth="1"/>
    <col min="15" max="15" width="10.625" style="13" customWidth="1"/>
    <col min="16" max="16" width="12.625" style="13" customWidth="1"/>
    <col min="17" max="17" width="10.125" style="13" bestFit="1" customWidth="1"/>
    <col min="18" max="18" width="1.875" style="13" customWidth="1"/>
    <col min="19" max="19" width="2.125" style="13" customWidth="1"/>
    <col min="20" max="20" width="2.875" style="13" customWidth="1"/>
    <col min="21" max="25" width="8.875" style="13" hidden="1" customWidth="1"/>
    <col min="26" max="29" width="10.875" style="13" hidden="1" customWidth="1"/>
    <col min="30" max="36" width="0" style="13" hidden="1" customWidth="1"/>
    <col min="37" max="37" width="0" style="897" hidden="1" customWidth="1"/>
    <col min="38" max="41" width="0" style="13" hidden="1" customWidth="1"/>
    <col min="42" max="16384" width="10.875" style="13"/>
  </cols>
  <sheetData>
    <row r="1" spans="1:41" ht="9" customHeight="1">
      <c r="A1" s="37"/>
      <c r="B1" s="37"/>
      <c r="C1" s="37"/>
      <c r="D1" s="37"/>
      <c r="E1" s="37"/>
      <c r="F1" s="37"/>
      <c r="G1" s="37"/>
      <c r="H1" s="40"/>
      <c r="I1" s="40"/>
      <c r="J1" s="40"/>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9"/>
      <c r="AL1" s="37"/>
      <c r="AM1" s="37"/>
      <c r="AN1" s="37"/>
      <c r="AO1" s="37"/>
    </row>
    <row r="2" spans="1:41" s="496" customFormat="1" ht="28.2">
      <c r="A2" s="37"/>
      <c r="B2" s="1378" t="s">
        <v>623</v>
      </c>
      <c r="C2" s="1378"/>
      <c r="D2" s="1378"/>
      <c r="E2" s="1378"/>
      <c r="F2" s="1378"/>
      <c r="G2" s="1378"/>
      <c r="H2" s="1378"/>
      <c r="I2" s="1378"/>
      <c r="J2" s="1378"/>
      <c r="K2" s="1378"/>
      <c r="L2" s="1378"/>
      <c r="M2" s="1378"/>
      <c r="N2" s="1378"/>
      <c r="O2" s="1378"/>
      <c r="P2" s="1378"/>
      <c r="Q2" s="1378"/>
      <c r="R2" s="1378"/>
      <c r="S2" s="1378"/>
      <c r="T2" s="1062"/>
      <c r="U2" s="414"/>
      <c r="V2" s="414"/>
      <c r="W2" s="414"/>
      <c r="X2" s="414"/>
      <c r="Y2" s="414"/>
      <c r="Z2" s="414"/>
      <c r="AA2" s="414"/>
      <c r="AB2" s="414"/>
      <c r="AC2" s="414"/>
      <c r="AD2" s="414"/>
      <c r="AE2" s="414"/>
      <c r="AF2" s="414"/>
      <c r="AG2" s="414"/>
      <c r="AH2" s="414"/>
      <c r="AI2" s="414"/>
      <c r="AJ2" s="414"/>
      <c r="AK2" s="39"/>
      <c r="AL2" s="414"/>
      <c r="AM2" s="414"/>
      <c r="AN2" s="414"/>
      <c r="AO2" s="414"/>
    </row>
    <row r="3" spans="1:41" s="496" customFormat="1" ht="9" customHeight="1">
      <c r="A3" s="414"/>
      <c r="B3" s="414"/>
      <c r="C3" s="414"/>
      <c r="D3" s="414"/>
      <c r="E3" s="414"/>
      <c r="F3" s="414"/>
      <c r="G3" s="414"/>
      <c r="H3" s="497"/>
      <c r="I3" s="497"/>
      <c r="J3" s="497"/>
      <c r="K3" s="414"/>
      <c r="L3" s="414"/>
      <c r="M3" s="414"/>
      <c r="N3" s="414"/>
      <c r="O3" s="414"/>
      <c r="P3" s="414"/>
      <c r="Q3" s="414"/>
      <c r="R3" s="414"/>
      <c r="S3" s="414"/>
      <c r="T3" s="414"/>
      <c r="U3" s="414"/>
      <c r="V3" s="414"/>
      <c r="W3" s="414"/>
      <c r="X3" s="414"/>
      <c r="Y3" s="414"/>
      <c r="Z3" s="414"/>
      <c r="AA3" s="414"/>
      <c r="AB3" s="414"/>
      <c r="AC3" s="414"/>
      <c r="AD3" s="414"/>
      <c r="AE3" s="414"/>
      <c r="AF3" s="414"/>
      <c r="AG3" s="414"/>
      <c r="AH3" s="414"/>
      <c r="AI3" s="414"/>
      <c r="AJ3" s="414"/>
      <c r="AK3" s="39"/>
      <c r="AL3" s="414"/>
      <c r="AM3" s="414"/>
      <c r="AN3" s="414"/>
      <c r="AO3" s="414"/>
    </row>
    <row r="4" spans="1:41" s="496" customFormat="1" ht="6.75" customHeight="1">
      <c r="A4" s="414"/>
      <c r="B4" s="865"/>
      <c r="C4" s="862"/>
      <c r="D4" s="862"/>
      <c r="E4" s="862"/>
      <c r="F4" s="862"/>
      <c r="G4" s="862"/>
      <c r="H4" s="863"/>
      <c r="I4" s="863"/>
      <c r="J4" s="863"/>
      <c r="K4" s="864"/>
      <c r="L4" s="414"/>
      <c r="M4" s="414"/>
      <c r="N4" s="414"/>
      <c r="O4" s="414"/>
      <c r="P4" s="414"/>
      <c r="Q4" s="414"/>
      <c r="R4" s="414"/>
      <c r="S4" s="414"/>
      <c r="T4" s="414"/>
      <c r="U4" s="414"/>
      <c r="V4" s="414"/>
      <c r="W4" s="414"/>
      <c r="X4" s="414"/>
      <c r="Y4" s="414"/>
      <c r="Z4" s="414"/>
      <c r="AA4" s="414"/>
      <c r="AB4" s="414"/>
      <c r="AC4" s="414"/>
      <c r="AD4" s="414"/>
      <c r="AE4" s="414"/>
      <c r="AF4" s="414"/>
      <c r="AG4" s="414"/>
      <c r="AH4" s="414"/>
      <c r="AI4" s="414"/>
      <c r="AJ4" s="414"/>
      <c r="AK4" s="39"/>
      <c r="AL4" s="414"/>
      <c r="AM4" s="414"/>
      <c r="AN4" s="414"/>
      <c r="AO4" s="414"/>
    </row>
    <row r="5" spans="1:41" ht="15.75" customHeight="1">
      <c r="A5" s="414"/>
      <c r="B5" s="866" t="s">
        <v>622</v>
      </c>
      <c r="C5" s="623"/>
      <c r="D5" s="623"/>
      <c r="E5" s="623"/>
      <c r="F5" s="623"/>
      <c r="G5" s="623"/>
      <c r="H5" s="624"/>
      <c r="I5" s="624"/>
      <c r="J5" s="624"/>
      <c r="K5" s="625"/>
      <c r="L5" s="37"/>
      <c r="M5" s="37"/>
      <c r="N5" s="37"/>
      <c r="O5" s="37"/>
      <c r="P5" s="37"/>
      <c r="Q5" s="37"/>
      <c r="R5" s="37"/>
      <c r="S5" s="37"/>
      <c r="T5" s="37"/>
      <c r="U5" s="37"/>
      <c r="V5" s="37"/>
      <c r="W5" s="37"/>
      <c r="X5" s="37"/>
      <c r="Y5" s="37"/>
      <c r="Z5" s="37"/>
      <c r="AA5" s="37"/>
      <c r="AB5" s="37"/>
      <c r="AC5" s="37"/>
      <c r="AD5" s="37"/>
      <c r="AE5" s="37"/>
      <c r="AF5" s="37"/>
      <c r="AG5" s="37"/>
      <c r="AH5" s="37"/>
      <c r="AI5" s="37"/>
      <c r="AJ5" s="37"/>
      <c r="AK5" s="39"/>
      <c r="AL5" s="37"/>
      <c r="AM5" s="37"/>
      <c r="AN5" s="37"/>
      <c r="AO5" s="37"/>
    </row>
    <row r="6" spans="1:41" ht="15.75" customHeight="1">
      <c r="A6" s="37"/>
      <c r="B6" s="866"/>
      <c r="C6" s="623"/>
      <c r="D6" s="623"/>
      <c r="E6" s="623"/>
      <c r="F6" s="623"/>
      <c r="G6" s="623"/>
      <c r="H6" s="624"/>
      <c r="I6" s="624"/>
      <c r="J6" s="624"/>
      <c r="K6" s="625"/>
      <c r="L6" s="37"/>
      <c r="M6" s="37"/>
      <c r="N6" s="37"/>
      <c r="O6" s="37"/>
      <c r="P6" s="37"/>
      <c r="Q6" s="37"/>
      <c r="R6" s="37"/>
      <c r="S6" s="37"/>
      <c r="T6" s="37"/>
      <c r="U6" s="37"/>
      <c r="V6" s="37"/>
      <c r="W6" s="37"/>
      <c r="X6" s="37"/>
      <c r="Y6" s="37"/>
      <c r="Z6" s="37"/>
      <c r="AA6" s="37"/>
      <c r="AB6" s="37"/>
      <c r="AC6" s="37"/>
      <c r="AD6" s="37"/>
      <c r="AE6" s="37"/>
      <c r="AF6" s="37"/>
      <c r="AG6" s="37"/>
      <c r="AH6" s="37"/>
      <c r="AI6" s="37"/>
      <c r="AJ6" s="37"/>
      <c r="AK6" s="39"/>
      <c r="AL6" s="37"/>
      <c r="AM6" s="37"/>
      <c r="AN6" s="37"/>
      <c r="AO6" s="37"/>
    </row>
    <row r="7" spans="1:41" ht="17.55" customHeight="1">
      <c r="A7" s="37"/>
      <c r="B7" s="866"/>
      <c r="C7" s="623" t="s">
        <v>624</v>
      </c>
      <c r="D7" s="623"/>
      <c r="E7" s="623"/>
      <c r="F7" s="623">
        <f>Nutzung!J29</f>
        <v>0</v>
      </c>
      <c r="G7" s="623" t="s">
        <v>625</v>
      </c>
      <c r="H7" s="624"/>
      <c r="I7" s="624"/>
      <c r="J7" s="624"/>
      <c r="K7" s="625"/>
      <c r="L7" s="37"/>
      <c r="M7" s="37"/>
      <c r="N7" s="37"/>
      <c r="O7" s="37"/>
      <c r="P7" s="37"/>
      <c r="Q7" s="37"/>
      <c r="R7" s="37"/>
      <c r="S7" s="37"/>
      <c r="T7" s="37"/>
      <c r="U7" s="37"/>
      <c r="V7" s="37"/>
      <c r="W7" s="37"/>
      <c r="X7" s="37"/>
      <c r="Y7" s="37"/>
      <c r="Z7" s="37"/>
      <c r="AA7" s="37"/>
      <c r="AB7" s="37"/>
      <c r="AC7" s="37"/>
      <c r="AD7" s="37"/>
      <c r="AE7" s="37"/>
      <c r="AF7" s="37"/>
      <c r="AG7" s="37"/>
      <c r="AH7" s="37"/>
      <c r="AI7" s="37"/>
      <c r="AJ7" s="37"/>
      <c r="AK7" s="39"/>
      <c r="AL7" s="37"/>
      <c r="AM7" s="37"/>
      <c r="AN7" s="37"/>
      <c r="AO7" s="37"/>
    </row>
    <row r="8" spans="1:41" ht="17.55" customHeight="1">
      <c r="A8" s="37"/>
      <c r="B8" s="866"/>
      <c r="C8" s="623" t="s">
        <v>698</v>
      </c>
      <c r="D8" s="623"/>
      <c r="E8" s="623"/>
      <c r="F8" s="623">
        <f>Nutzung!J30</f>
        <v>0</v>
      </c>
      <c r="G8" s="623" t="s">
        <v>546</v>
      </c>
      <c r="H8" s="624"/>
      <c r="I8" s="624"/>
      <c r="J8" s="624"/>
      <c r="K8" s="625"/>
      <c r="L8" s="37"/>
      <c r="M8" s="37"/>
      <c r="N8" s="37"/>
      <c r="O8" s="37"/>
      <c r="P8" s="37"/>
      <c r="Q8" s="37"/>
      <c r="R8" s="37"/>
      <c r="S8" s="37"/>
      <c r="T8" s="37"/>
      <c r="U8" s="37"/>
      <c r="V8" s="37"/>
      <c r="W8" s="37"/>
      <c r="X8" s="37"/>
      <c r="Y8" s="37"/>
      <c r="Z8" s="37"/>
      <c r="AA8" s="37"/>
      <c r="AB8" s="37"/>
      <c r="AC8" s="37"/>
      <c r="AD8" s="37"/>
      <c r="AE8" s="37"/>
      <c r="AF8" s="37"/>
      <c r="AG8" s="37"/>
      <c r="AH8" s="37"/>
      <c r="AI8" s="37"/>
      <c r="AJ8" s="37"/>
      <c r="AK8" s="39"/>
      <c r="AL8" s="37"/>
      <c r="AM8" s="37"/>
      <c r="AN8" s="37"/>
      <c r="AO8" s="37"/>
    </row>
    <row r="9" spans="1:41" ht="17.55" customHeight="1">
      <c r="A9" s="37"/>
      <c r="B9" s="866"/>
      <c r="C9" s="623" t="s">
        <v>34</v>
      </c>
      <c r="D9" s="623"/>
      <c r="E9" s="623"/>
      <c r="F9" s="623">
        <v>365</v>
      </c>
      <c r="G9" s="623" t="s">
        <v>551</v>
      </c>
      <c r="H9" s="624"/>
      <c r="I9" s="624"/>
      <c r="J9" s="624"/>
      <c r="K9" s="625"/>
      <c r="L9" s="37"/>
      <c r="M9" s="37"/>
      <c r="N9" s="37"/>
      <c r="O9" s="37"/>
      <c r="P9" s="37"/>
      <c r="Q9" s="37"/>
      <c r="R9" s="37"/>
      <c r="S9" s="37"/>
      <c r="T9" s="37"/>
      <c r="U9" s="37"/>
      <c r="V9" s="37"/>
      <c r="W9" s="37"/>
      <c r="X9" s="37"/>
      <c r="Y9" s="37"/>
      <c r="Z9" s="37"/>
      <c r="AA9" s="37"/>
      <c r="AB9" s="37"/>
      <c r="AC9" s="37"/>
      <c r="AD9" s="37"/>
      <c r="AE9" s="37"/>
      <c r="AF9" s="37"/>
      <c r="AG9" s="37"/>
      <c r="AH9" s="37"/>
      <c r="AI9" s="37"/>
      <c r="AJ9" s="37"/>
      <c r="AK9" s="39"/>
      <c r="AL9" s="37"/>
      <c r="AM9" s="37"/>
      <c r="AN9" s="37"/>
      <c r="AO9" s="37"/>
    </row>
    <row r="10" spans="1:41" ht="15.75" customHeight="1">
      <c r="A10" s="37"/>
      <c r="B10" s="866"/>
      <c r="C10" s="623"/>
      <c r="D10" s="623"/>
      <c r="E10" s="623"/>
      <c r="F10" s="626"/>
      <c r="G10" s="623"/>
      <c r="H10" s="624"/>
      <c r="I10" s="624"/>
      <c r="J10" s="624"/>
      <c r="K10" s="625"/>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9"/>
      <c r="AL10" s="37"/>
      <c r="AM10" s="37"/>
      <c r="AN10" s="37"/>
      <c r="AO10" s="37"/>
    </row>
    <row r="11" spans="1:41" ht="15.75" customHeight="1">
      <c r="A11" s="37"/>
      <c r="B11" s="866"/>
      <c r="C11" s="623"/>
      <c r="D11" s="623"/>
      <c r="E11" s="623"/>
      <c r="F11" s="626"/>
      <c r="G11" s="623"/>
      <c r="H11" s="624"/>
      <c r="I11" s="624"/>
      <c r="J11" s="624"/>
      <c r="K11" s="625"/>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9"/>
      <c r="AL11" s="37"/>
      <c r="AM11" s="37"/>
      <c r="AN11" s="37"/>
      <c r="AO11" s="37"/>
    </row>
    <row r="12" spans="1:41" ht="17.55" customHeight="1">
      <c r="A12" s="37"/>
      <c r="B12" s="866"/>
      <c r="C12" s="627" t="s">
        <v>626</v>
      </c>
      <c r="D12" s="627"/>
      <c r="E12" s="627"/>
      <c r="F12" s="628">
        <f>F7*F8*F9/(365)</f>
        <v>0</v>
      </c>
      <c r="G12" s="627" t="s">
        <v>627</v>
      </c>
      <c r="H12" s="624"/>
      <c r="I12" s="624"/>
      <c r="J12" s="624"/>
      <c r="K12" s="625"/>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9"/>
      <c r="AL12" s="37"/>
      <c r="AM12" s="37"/>
      <c r="AN12" s="37"/>
      <c r="AO12" s="37"/>
    </row>
    <row r="13" spans="1:41" ht="6.75" customHeight="1" thickBot="1">
      <c r="A13" s="37"/>
      <c r="B13" s="588"/>
      <c r="C13" s="399"/>
      <c r="D13" s="399"/>
      <c r="E13" s="399"/>
      <c r="F13" s="400"/>
      <c r="G13" s="399"/>
      <c r="H13" s="401"/>
      <c r="I13" s="401"/>
      <c r="J13" s="401"/>
      <c r="K13" s="402"/>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9"/>
      <c r="AL13" s="37"/>
      <c r="AM13" s="37"/>
      <c r="AN13" s="37"/>
      <c r="AO13" s="37"/>
    </row>
    <row r="14" spans="1:41" ht="9.75" customHeight="1">
      <c r="A14" s="37"/>
      <c r="B14" s="403"/>
      <c r="C14" s="403"/>
      <c r="D14" s="403"/>
      <c r="E14" s="403"/>
      <c r="F14" s="403"/>
      <c r="G14" s="403"/>
      <c r="H14" s="404"/>
      <c r="I14" s="404"/>
      <c r="J14" s="404"/>
      <c r="K14" s="403"/>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9"/>
      <c r="AL14" s="37"/>
      <c r="AM14" s="37"/>
      <c r="AN14" s="37"/>
      <c r="AO14" s="37"/>
    </row>
    <row r="15" spans="1:41" ht="6.75" customHeight="1">
      <c r="A15" s="37"/>
      <c r="B15" s="405"/>
      <c r="C15" s="406"/>
      <c r="D15" s="406"/>
      <c r="E15" s="406"/>
      <c r="F15" s="406"/>
      <c r="G15" s="406"/>
      <c r="H15" s="407"/>
      <c r="I15" s="407"/>
      <c r="J15" s="407"/>
      <c r="K15" s="408"/>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9"/>
      <c r="AL15" s="37"/>
      <c r="AM15" s="37"/>
      <c r="AN15" s="37"/>
      <c r="AO15" s="37"/>
    </row>
    <row r="16" spans="1:41" ht="15.75" customHeight="1">
      <c r="A16" s="37"/>
      <c r="B16" s="629" t="s">
        <v>628</v>
      </c>
      <c r="C16" s="623"/>
      <c r="D16" s="623"/>
      <c r="E16" s="623"/>
      <c r="F16" s="623"/>
      <c r="G16" s="623"/>
      <c r="H16" s="624"/>
      <c r="I16" s="394"/>
      <c r="J16" s="394"/>
      <c r="K16" s="395"/>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9"/>
      <c r="AL16" s="37"/>
      <c r="AM16" s="37"/>
      <c r="AN16" s="37"/>
      <c r="AO16" s="37"/>
    </row>
    <row r="17" spans="1:41" ht="15.75" customHeight="1">
      <c r="A17" s="37"/>
      <c r="B17" s="629"/>
      <c r="C17" s="623"/>
      <c r="D17" s="623"/>
      <c r="E17" s="623"/>
      <c r="F17" s="623"/>
      <c r="G17" s="623"/>
      <c r="H17" s="624"/>
      <c r="I17" s="394"/>
      <c r="J17" s="394"/>
      <c r="K17" s="395"/>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9"/>
      <c r="AL17" s="37"/>
      <c r="AM17" s="37"/>
      <c r="AN17" s="37"/>
      <c r="AO17" s="37"/>
    </row>
    <row r="18" spans="1:41" ht="16.95" customHeight="1">
      <c r="A18" s="37"/>
      <c r="B18" s="629"/>
      <c r="C18" s="623" t="s">
        <v>211</v>
      </c>
      <c r="D18" s="623"/>
      <c r="E18" s="623"/>
      <c r="F18" s="623">
        <f>Nutzung!G31</f>
        <v>0</v>
      </c>
      <c r="G18" s="623" t="s">
        <v>87</v>
      </c>
      <c r="H18" s="624"/>
      <c r="I18" s="394"/>
      <c r="J18" s="394"/>
      <c r="K18" s="395"/>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9"/>
      <c r="AL18" s="37"/>
      <c r="AM18" s="37"/>
      <c r="AN18" s="37"/>
      <c r="AO18" s="37"/>
    </row>
    <row r="19" spans="1:41" ht="16.95" customHeight="1">
      <c r="A19" s="37"/>
      <c r="B19" s="629"/>
      <c r="C19" s="623" t="s">
        <v>333</v>
      </c>
      <c r="D19" s="623"/>
      <c r="E19" s="623"/>
      <c r="F19" s="623">
        <f>Nutzung!G32</f>
        <v>0</v>
      </c>
      <c r="G19" s="623" t="s">
        <v>3</v>
      </c>
      <c r="H19" s="624"/>
      <c r="I19" s="394"/>
      <c r="J19" s="394"/>
      <c r="K19" s="395"/>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9"/>
      <c r="AL19" s="37"/>
      <c r="AM19" s="37"/>
      <c r="AN19" s="37"/>
      <c r="AO19" s="37"/>
    </row>
    <row r="20" spans="1:41" ht="16.95" customHeight="1">
      <c r="A20" s="37"/>
      <c r="B20" s="629"/>
      <c r="C20" s="623" t="s">
        <v>34</v>
      </c>
      <c r="D20" s="623"/>
      <c r="E20" s="623"/>
      <c r="F20" s="623">
        <v>365</v>
      </c>
      <c r="G20" s="623" t="s">
        <v>551</v>
      </c>
      <c r="H20" s="624"/>
      <c r="I20" s="394"/>
      <c r="J20" s="394"/>
      <c r="K20" s="395"/>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9"/>
      <c r="AL20" s="37"/>
      <c r="AM20" s="37"/>
      <c r="AN20" s="37"/>
      <c r="AO20" s="37"/>
    </row>
    <row r="21" spans="1:41" ht="16.95" customHeight="1">
      <c r="A21" s="37"/>
      <c r="B21" s="629"/>
      <c r="C21" s="623" t="s">
        <v>255</v>
      </c>
      <c r="D21" s="623"/>
      <c r="E21" s="623"/>
      <c r="F21" s="623">
        <f>Nutzung!G30+1E-31</f>
        <v>1.0000000000000001E-31</v>
      </c>
      <c r="G21" s="623" t="s">
        <v>58</v>
      </c>
      <c r="H21" s="624"/>
      <c r="I21" s="394"/>
      <c r="J21" s="394"/>
      <c r="K21" s="395"/>
      <c r="L21" s="37"/>
      <c r="M21" s="37"/>
      <c r="N21" s="37"/>
      <c r="O21" s="37"/>
      <c r="P21" s="37"/>
      <c r="Q21" s="37"/>
      <c r="R21" s="37"/>
      <c r="S21" s="37"/>
      <c r="T21" s="37"/>
      <c r="U21" s="1379" t="s">
        <v>671</v>
      </c>
      <c r="V21" s="1379"/>
      <c r="W21" s="1379"/>
      <c r="X21" s="1379"/>
      <c r="Y21" s="37"/>
      <c r="Z21" s="37"/>
      <c r="AA21" s="37"/>
      <c r="AB21" s="37"/>
      <c r="AC21" s="37"/>
      <c r="AD21" s="37"/>
      <c r="AE21" s="37"/>
      <c r="AF21" s="37"/>
      <c r="AG21" s="37"/>
      <c r="AH21" s="37"/>
      <c r="AI21" s="37"/>
      <c r="AJ21" s="37"/>
      <c r="AK21" s="39"/>
      <c r="AL21" s="37"/>
      <c r="AM21" s="37"/>
      <c r="AN21" s="37"/>
      <c r="AO21" s="37"/>
    </row>
    <row r="22" spans="1:41" ht="16.95" customHeight="1">
      <c r="A22" s="37"/>
      <c r="B22" s="629"/>
      <c r="C22" s="623" t="s">
        <v>448</v>
      </c>
      <c r="D22" s="623"/>
      <c r="E22" s="623"/>
      <c r="F22" s="630">
        <f>EBF!F39</f>
        <v>1.0000000000000001E-31</v>
      </c>
      <c r="G22" s="623" t="s">
        <v>57</v>
      </c>
      <c r="H22" s="624"/>
      <c r="I22" s="394"/>
      <c r="J22" s="394"/>
      <c r="K22" s="395"/>
      <c r="L22" s="37"/>
      <c r="M22" s="37"/>
      <c r="N22" s="37"/>
      <c r="O22" s="37"/>
      <c r="P22" s="37"/>
      <c r="Q22" s="37"/>
      <c r="R22" s="37"/>
      <c r="S22" s="37"/>
      <c r="T22" s="37"/>
      <c r="U22" s="1019" t="s">
        <v>101</v>
      </c>
      <c r="V22" s="1019" t="s">
        <v>591</v>
      </c>
      <c r="W22" s="1019" t="s">
        <v>191</v>
      </c>
      <c r="X22" s="1019" t="s">
        <v>592</v>
      </c>
      <c r="Y22" s="1019" t="s">
        <v>593</v>
      </c>
      <c r="Z22" s="1019" t="s">
        <v>503</v>
      </c>
      <c r="AA22" s="1019" t="s">
        <v>594</v>
      </c>
      <c r="AB22" s="1019" t="s">
        <v>83</v>
      </c>
      <c r="AC22" s="1019" t="s">
        <v>595</v>
      </c>
      <c r="AD22" s="1019" t="s">
        <v>54</v>
      </c>
      <c r="AE22" s="1019" t="s">
        <v>588</v>
      </c>
      <c r="AF22" s="1019" t="s">
        <v>672</v>
      </c>
      <c r="AG22" s="1019" t="s">
        <v>590</v>
      </c>
      <c r="AK22" s="37"/>
      <c r="AL22" s="37"/>
      <c r="AM22" s="37"/>
      <c r="AN22" s="39"/>
      <c r="AO22" s="37"/>
    </row>
    <row r="23" spans="1:41" ht="16.95" customHeight="1">
      <c r="A23" s="37"/>
      <c r="B23" s="629"/>
      <c r="C23" s="627" t="s">
        <v>629</v>
      </c>
      <c r="D23" s="627"/>
      <c r="E23" s="627"/>
      <c r="F23" s="628">
        <f>F18*F19*F20/(F21*1000)</f>
        <v>0</v>
      </c>
      <c r="G23" s="627" t="s">
        <v>627</v>
      </c>
      <c r="H23" s="624"/>
      <c r="I23" s="394"/>
      <c r="J23" s="394"/>
      <c r="K23" s="395"/>
      <c r="L23" s="37"/>
      <c r="M23" s="37"/>
      <c r="N23" s="37"/>
      <c r="O23" s="37"/>
      <c r="P23" s="37"/>
      <c r="Q23" s="37"/>
      <c r="R23" s="37"/>
      <c r="S23" s="37"/>
      <c r="T23" s="37"/>
      <c r="U23" s="40">
        <v>1</v>
      </c>
      <c r="V23" s="40">
        <v>2</v>
      </c>
      <c r="W23" s="40">
        <v>3</v>
      </c>
      <c r="X23" s="40">
        <v>4</v>
      </c>
      <c r="Y23" s="40">
        <v>5</v>
      </c>
      <c r="Z23" s="40">
        <v>6</v>
      </c>
      <c r="AA23" s="40">
        <v>7</v>
      </c>
      <c r="AB23" s="40">
        <v>8</v>
      </c>
      <c r="AC23" s="40">
        <v>9</v>
      </c>
      <c r="AD23" s="40">
        <v>10</v>
      </c>
      <c r="AE23" s="40">
        <v>11</v>
      </c>
      <c r="AF23" s="40">
        <v>12</v>
      </c>
      <c r="AG23" s="40">
        <v>13</v>
      </c>
      <c r="AH23" s="40">
        <v>14</v>
      </c>
      <c r="AI23" s="40">
        <v>15</v>
      </c>
      <c r="AJ23" s="40">
        <v>16</v>
      </c>
      <c r="AK23" s="37"/>
      <c r="AL23" s="37"/>
      <c r="AM23" s="37"/>
      <c r="AN23" s="39"/>
      <c r="AO23" s="37"/>
    </row>
    <row r="24" spans="1:41" ht="6.75" customHeight="1" thickBot="1">
      <c r="A24" s="37"/>
      <c r="B24" s="398"/>
      <c r="C24" s="399"/>
      <c r="D24" s="399"/>
      <c r="E24" s="399"/>
      <c r="F24" s="400"/>
      <c r="G24" s="399"/>
      <c r="H24" s="401"/>
      <c r="I24" s="401"/>
      <c r="J24" s="401"/>
      <c r="K24" s="402"/>
      <c r="L24" s="37"/>
      <c r="M24" s="37"/>
      <c r="N24" s="37"/>
      <c r="O24" s="37"/>
      <c r="P24" s="37"/>
      <c r="Q24" s="37"/>
      <c r="R24" s="37"/>
      <c r="S24" s="37"/>
      <c r="T24" s="37"/>
      <c r="U24" s="37"/>
      <c r="V24" s="37"/>
      <c r="W24" s="37"/>
      <c r="X24" s="37"/>
      <c r="Y24" s="37"/>
      <c r="Z24" s="37"/>
      <c r="AA24" s="37"/>
      <c r="AB24" s="37"/>
      <c r="AD24" s="37"/>
      <c r="AF24" s="37"/>
      <c r="AG24" s="37"/>
      <c r="AH24" s="37"/>
      <c r="AJ24" s="37"/>
      <c r="AK24" s="37"/>
      <c r="AL24" s="37"/>
      <c r="AM24" s="37"/>
      <c r="AN24" s="39"/>
      <c r="AO24" s="37"/>
    </row>
    <row r="25" spans="1:41" ht="9.75" customHeight="1">
      <c r="A25" s="37"/>
      <c r="B25" s="393"/>
      <c r="C25" s="396"/>
      <c r="D25" s="396"/>
      <c r="E25" s="396"/>
      <c r="F25" s="397"/>
      <c r="G25" s="396"/>
      <c r="H25" s="394"/>
      <c r="I25" s="394"/>
      <c r="J25" s="394"/>
      <c r="K25" s="393"/>
      <c r="L25" s="37"/>
      <c r="M25" s="37"/>
      <c r="N25" s="37"/>
      <c r="O25" s="37"/>
      <c r="P25" s="37"/>
      <c r="Q25" s="37"/>
      <c r="R25" s="37"/>
      <c r="S25" s="37"/>
      <c r="T25" s="37"/>
      <c r="U25" s="37"/>
      <c r="V25" s="37"/>
      <c r="W25" s="37"/>
      <c r="X25" s="37"/>
      <c r="Y25" s="37"/>
      <c r="Z25" s="37"/>
      <c r="AA25" s="37"/>
      <c r="AB25" s="37"/>
      <c r="AD25" s="37"/>
      <c r="AF25" s="37"/>
      <c r="AG25" s="37"/>
      <c r="AH25" s="37"/>
      <c r="AJ25" s="37"/>
      <c r="AK25" s="37"/>
      <c r="AL25" s="37"/>
      <c r="AM25" s="37"/>
      <c r="AN25" s="39"/>
      <c r="AO25" s="37"/>
    </row>
    <row r="26" spans="1:41" ht="6.75" customHeight="1">
      <c r="A26" s="37"/>
      <c r="B26" s="405"/>
      <c r="C26" s="406"/>
      <c r="D26" s="406"/>
      <c r="E26" s="406"/>
      <c r="F26" s="406"/>
      <c r="G26" s="406"/>
      <c r="H26" s="407"/>
      <c r="I26" s="407"/>
      <c r="J26" s="407"/>
      <c r="K26" s="407"/>
      <c r="L26" s="407"/>
      <c r="M26" s="407"/>
      <c r="N26" s="407"/>
      <c r="O26" s="407"/>
      <c r="P26" s="407"/>
      <c r="Q26" s="407"/>
      <c r="R26" s="407"/>
      <c r="S26" s="84"/>
      <c r="T26" s="36"/>
      <c r="U26" s="37"/>
      <c r="V26" s="37"/>
      <c r="W26" s="37"/>
      <c r="X26" s="37"/>
      <c r="Y26" s="37"/>
      <c r="Z26" s="37"/>
      <c r="AA26" s="37"/>
      <c r="AB26" s="37"/>
      <c r="AD26" s="37"/>
      <c r="AF26" s="37"/>
      <c r="AG26" s="37"/>
      <c r="AH26" s="37"/>
      <c r="AJ26" s="37"/>
      <c r="AK26" s="37"/>
      <c r="AL26" s="37"/>
      <c r="AM26" s="37"/>
      <c r="AN26" s="39"/>
      <c r="AO26" s="37"/>
    </row>
    <row r="27" spans="1:41" ht="18.600000000000001">
      <c r="A27" s="37"/>
      <c r="B27" s="629" t="s">
        <v>677</v>
      </c>
      <c r="C27" s="393"/>
      <c r="D27" s="409"/>
      <c r="E27" s="393"/>
      <c r="F27" s="394"/>
      <c r="G27" s="394"/>
      <c r="H27" s="394"/>
      <c r="I27" s="394"/>
      <c r="J27" s="413"/>
      <c r="K27" s="506"/>
      <c r="L27" s="413"/>
      <c r="M27" s="506"/>
      <c r="N27" s="413"/>
      <c r="O27" s="506"/>
      <c r="P27" s="413"/>
      <c r="Q27" s="394"/>
      <c r="R27" s="394"/>
      <c r="S27" s="85"/>
      <c r="T27" s="36"/>
      <c r="U27" s="40"/>
      <c r="V27" s="40"/>
      <c r="W27" s="40"/>
      <c r="X27" s="37"/>
      <c r="Y27" s="37"/>
      <c r="Z27" s="40"/>
      <c r="AA27" s="37"/>
      <c r="AB27" s="40"/>
      <c r="AD27" s="40"/>
      <c r="AF27" s="40"/>
      <c r="AG27" s="40"/>
      <c r="AH27" s="40"/>
      <c r="AJ27" s="37"/>
      <c r="AK27" s="37"/>
      <c r="AL27" s="37"/>
      <c r="AM27" s="37"/>
      <c r="AN27" s="39"/>
      <c r="AO27" s="37"/>
    </row>
    <row r="28" spans="1:41" ht="13.95" customHeight="1">
      <c r="A28" s="37"/>
      <c r="B28" s="629"/>
      <c r="C28" s="409" t="s">
        <v>163</v>
      </c>
      <c r="D28" s="393"/>
      <c r="E28" s="394" t="s">
        <v>342</v>
      </c>
      <c r="F28" s="394" t="s">
        <v>168</v>
      </c>
      <c r="G28" s="394" t="s">
        <v>149</v>
      </c>
      <c r="H28" s="394" t="s">
        <v>112</v>
      </c>
      <c r="I28" s="413" t="s">
        <v>115</v>
      </c>
      <c r="J28" s="506" t="s">
        <v>6</v>
      </c>
      <c r="K28" s="413" t="s">
        <v>504</v>
      </c>
      <c r="L28" s="506" t="s">
        <v>348</v>
      </c>
      <c r="M28" s="413" t="s">
        <v>669</v>
      </c>
      <c r="N28" s="506" t="s">
        <v>348</v>
      </c>
      <c r="O28" s="413" t="s">
        <v>670</v>
      </c>
      <c r="P28" s="394" t="s">
        <v>412</v>
      </c>
      <c r="Q28" s="638" t="s">
        <v>673</v>
      </c>
      <c r="S28" s="85"/>
      <c r="T28" s="36"/>
      <c r="U28" s="40" t="s">
        <v>124</v>
      </c>
      <c r="V28" s="40" t="s">
        <v>591</v>
      </c>
      <c r="W28" s="40" t="s">
        <v>191</v>
      </c>
      <c r="X28" s="40" t="s">
        <v>592</v>
      </c>
      <c r="Y28" s="40" t="s">
        <v>125</v>
      </c>
      <c r="Z28" s="40" t="s">
        <v>593</v>
      </c>
      <c r="AA28" s="40" t="s">
        <v>53</v>
      </c>
      <c r="AB28" s="40" t="s">
        <v>594</v>
      </c>
      <c r="AC28" s="40" t="s">
        <v>88</v>
      </c>
      <c r="AD28" s="40" t="s">
        <v>595</v>
      </c>
      <c r="AE28" s="40" t="s">
        <v>54</v>
      </c>
      <c r="AF28" s="14" t="s">
        <v>588</v>
      </c>
      <c r="AG28" s="40" t="s">
        <v>126</v>
      </c>
      <c r="AH28" s="40" t="s">
        <v>672</v>
      </c>
      <c r="AI28" s="40" t="s">
        <v>377</v>
      </c>
      <c r="AJ28" s="40" t="s">
        <v>590</v>
      </c>
      <c r="AK28" s="1065" t="s">
        <v>268</v>
      </c>
      <c r="AO28" s="37"/>
    </row>
    <row r="29" spans="1:41" ht="12.75" customHeight="1">
      <c r="A29" s="37"/>
      <c r="B29" s="392"/>
      <c r="C29" s="409">
        <f>Bauteile!B278</f>
        <v>0</v>
      </c>
      <c r="D29" s="393"/>
      <c r="E29" s="394">
        <f>Bauteile!D278</f>
        <v>0</v>
      </c>
      <c r="F29" s="394">
        <f>Bauteile!F278</f>
        <v>0</v>
      </c>
      <c r="G29" s="394">
        <f>Bauteile!G278</f>
        <v>0</v>
      </c>
      <c r="H29" s="1013">
        <f>Bauteile!H278</f>
        <v>0</v>
      </c>
      <c r="I29" s="410">
        <f>IF(H_01=0,1,IF(A=0,"0",IF(H_01&lt;=1,H_01,VLOOKUP(H_01,Daten!$A$101:$N$171,AK29))))</f>
        <v>1</v>
      </c>
      <c r="J29" s="581">
        <f>Bauteile!I278</f>
        <v>0</v>
      </c>
      <c r="K29" s="410" t="str">
        <f>IF(A=0,"0",VLOOKUP(Ü_01,Daten!$A$177:$N$252,AK29))</f>
        <v>0</v>
      </c>
      <c r="L29" s="581">
        <f>Bauteile!J278</f>
        <v>0</v>
      </c>
      <c r="M29" s="410" t="str">
        <f>IF(A=0,"0",VLOOKUP(S_01,Daten!$A$258:$N$333,AK29))</f>
        <v>0</v>
      </c>
      <c r="N29" s="581">
        <f>Bauteile!K278</f>
        <v>0</v>
      </c>
      <c r="O29" s="410">
        <f>IF(AK29&gt;5,"1.00",VLOOKUP(S_101,Daten!$A$258:$N$333,AK29))</f>
        <v>0</v>
      </c>
      <c r="P29" s="394">
        <f>Bauteile!C278</f>
        <v>0</v>
      </c>
      <c r="Q29" s="631" t="str">
        <f>IF(A=0,"0",SUM(E30:E41))</f>
        <v>0</v>
      </c>
      <c r="S29" s="85"/>
      <c r="T29" s="36"/>
      <c r="U29" s="40">
        <f>IF(A="SO",1,0)</f>
        <v>0</v>
      </c>
      <c r="V29" s="40">
        <f>IF(A="SSO",2,0)</f>
        <v>0</v>
      </c>
      <c r="W29" s="40">
        <f>IF(A="S",3,0)</f>
        <v>0</v>
      </c>
      <c r="X29" s="40">
        <f>IF(A="SSW",4,0)</f>
        <v>0</v>
      </c>
      <c r="Y29" s="40">
        <f>IF(A="SW",1,0)</f>
        <v>0</v>
      </c>
      <c r="Z29" s="40">
        <f>IF(A="WSW",5,0)</f>
        <v>0</v>
      </c>
      <c r="AA29" s="40">
        <f>IF(A="W",6,0)</f>
        <v>0</v>
      </c>
      <c r="AB29" s="40">
        <f>IF(A="WNW",7,0)</f>
        <v>0</v>
      </c>
      <c r="AC29" s="40">
        <f>IF(A="NW",8,0)</f>
        <v>0</v>
      </c>
      <c r="AD29" s="40">
        <f>IF(A="NNW",9,0)</f>
        <v>0</v>
      </c>
      <c r="AE29" s="40">
        <f>IF(A="N",10,0)</f>
        <v>0</v>
      </c>
      <c r="AF29" s="40">
        <f>IF(A="NNO",11,0)</f>
        <v>0</v>
      </c>
      <c r="AG29" s="40">
        <f>IF(A="NO",8,0)</f>
        <v>0</v>
      </c>
      <c r="AH29" s="40">
        <f>IF(A="ONO",12,0)</f>
        <v>0</v>
      </c>
      <c r="AI29" s="40">
        <f>IF(A="O",6,0)</f>
        <v>0</v>
      </c>
      <c r="AJ29" s="40">
        <f>IF(A="OSO",13,0)</f>
        <v>0</v>
      </c>
      <c r="AK29" s="1065">
        <f>MAX(U29:AJ29)+1</f>
        <v>1</v>
      </c>
      <c r="AL29" s="13" t="s">
        <v>675</v>
      </c>
      <c r="AO29" s="37"/>
    </row>
    <row r="30" spans="1:41" s="499" customFormat="1" ht="12.75" hidden="1" customHeight="1">
      <c r="A30" s="498"/>
      <c r="B30" s="392"/>
      <c r="C30" s="409" t="s">
        <v>49</v>
      </c>
      <c r="D30" s="1070" t="str">
        <f>IF(A=0,"0",VLOOKUP($AK$30,Klima!$B$151:$N$166,2))</f>
        <v>0</v>
      </c>
      <c r="E30" s="411">
        <f t="shared" ref="E30:E41" si="0">D30*$E$29*$F$29*0.9*$G$29*$I$29*$K$29*$M$29*$O$29/$F$22</f>
        <v>0</v>
      </c>
      <c r="F30" s="44"/>
      <c r="G30" s="44"/>
      <c r="H30" s="580"/>
      <c r="I30" s="582"/>
      <c r="J30" s="581"/>
      <c r="K30" s="584"/>
      <c r="L30" s="581"/>
      <c r="M30" s="584"/>
      <c r="N30" s="581"/>
      <c r="O30" s="584"/>
      <c r="P30" s="44"/>
      <c r="Q30" s="632"/>
      <c r="S30" s="633"/>
      <c r="T30" s="1068"/>
      <c r="U30" s="40">
        <f>IF(A="SO",1,0)</f>
        <v>0</v>
      </c>
      <c r="V30" s="40">
        <f>IF(A="SSO",2,0)</f>
        <v>0</v>
      </c>
      <c r="W30" s="40">
        <f>IF(A="S",3,0)</f>
        <v>0</v>
      </c>
      <c r="X30" s="40">
        <f>IF(A="SSW",4,0)</f>
        <v>0</v>
      </c>
      <c r="Y30" s="40">
        <f>IF(A="SW",5,0)</f>
        <v>0</v>
      </c>
      <c r="Z30" s="40">
        <f>IF(A="WSW",6,0)</f>
        <v>0</v>
      </c>
      <c r="AA30" s="40">
        <f>IF(A="W",7,0)</f>
        <v>0</v>
      </c>
      <c r="AB30" s="40">
        <f>IF(A="WNW",8,0)</f>
        <v>0</v>
      </c>
      <c r="AC30" s="40">
        <f>IF(A="NW",9,0)</f>
        <v>0</v>
      </c>
      <c r="AD30" s="40">
        <f>IF(A="NNW",10,0)</f>
        <v>0</v>
      </c>
      <c r="AE30" s="40">
        <f>IF(A="N",11,0)</f>
        <v>0</v>
      </c>
      <c r="AF30" s="40">
        <f>IF(A="NNO",12,0)</f>
        <v>0</v>
      </c>
      <c r="AG30" s="40">
        <f>IF(A="NO",13,0)</f>
        <v>0</v>
      </c>
      <c r="AH30" s="40">
        <f>IF(A="ONO",14,0)</f>
        <v>0</v>
      </c>
      <c r="AI30" s="40">
        <f>IF(A="O",15,0)</f>
        <v>0</v>
      </c>
      <c r="AJ30" s="40">
        <f>IF(A="OSO",16,0)</f>
        <v>0</v>
      </c>
      <c r="AK30" s="1065">
        <f>MAX(U30:AJ30)</f>
        <v>0</v>
      </c>
      <c r="AL30" s="13" t="s">
        <v>674</v>
      </c>
      <c r="AO30" s="498"/>
    </row>
    <row r="31" spans="1:41" s="499" customFormat="1" ht="12.75" hidden="1" customHeight="1">
      <c r="A31" s="498"/>
      <c r="B31" s="392"/>
      <c r="C31" s="409" t="s">
        <v>554</v>
      </c>
      <c r="D31" s="1070" t="str">
        <f>IF(A=0,"0",VLOOKUP($AK$30,Klima!$B$151:$N$166,3))</f>
        <v>0</v>
      </c>
      <c r="E31" s="411">
        <f t="shared" si="0"/>
        <v>0</v>
      </c>
      <c r="F31" s="44"/>
      <c r="G31" s="44"/>
      <c r="H31" s="580"/>
      <c r="I31" s="582"/>
      <c r="J31" s="581"/>
      <c r="K31" s="584"/>
      <c r="L31" s="581"/>
      <c r="M31" s="584"/>
      <c r="N31" s="581"/>
      <c r="O31" s="584"/>
      <c r="P31" s="44"/>
      <c r="Q31" s="632"/>
      <c r="S31" s="633"/>
      <c r="T31" s="1068"/>
      <c r="U31" s="500"/>
      <c r="V31" s="498"/>
      <c r="W31" s="500"/>
      <c r="X31" s="498"/>
      <c r="Y31" s="500"/>
      <c r="Z31" s="498"/>
      <c r="AA31" s="500"/>
      <c r="AB31" s="498"/>
      <c r="AC31" s="500"/>
      <c r="AD31" s="498"/>
      <c r="AE31" s="500"/>
      <c r="AG31" s="500"/>
      <c r="AH31" s="498"/>
      <c r="AI31" s="500"/>
      <c r="AJ31" s="498"/>
      <c r="AK31" s="1066"/>
      <c r="AO31" s="498"/>
    </row>
    <row r="32" spans="1:41" s="499" customFormat="1" ht="12.75" hidden="1" customHeight="1">
      <c r="A32" s="498"/>
      <c r="B32" s="392"/>
      <c r="C32" s="409" t="s">
        <v>306</v>
      </c>
      <c r="D32" s="1070" t="str">
        <f>IF(A=0,"0",VLOOKUP($AK$30,Klima!$B$151:$N$166,4))</f>
        <v>0</v>
      </c>
      <c r="E32" s="411">
        <f t="shared" si="0"/>
        <v>0</v>
      </c>
      <c r="F32" s="44"/>
      <c r="G32" s="44"/>
      <c r="H32" s="580"/>
      <c r="I32" s="582"/>
      <c r="J32" s="581"/>
      <c r="K32" s="584"/>
      <c r="L32" s="581"/>
      <c r="M32" s="584"/>
      <c r="N32" s="581"/>
      <c r="O32" s="584"/>
      <c r="P32" s="44"/>
      <c r="Q32" s="632"/>
      <c r="S32" s="633"/>
      <c r="T32" s="1068"/>
      <c r="U32" s="500"/>
      <c r="V32" s="498"/>
      <c r="W32" s="500"/>
      <c r="X32" s="498"/>
      <c r="Y32" s="500"/>
      <c r="Z32" s="498"/>
      <c r="AA32" s="500"/>
      <c r="AB32" s="498"/>
      <c r="AC32" s="500"/>
      <c r="AD32" s="498"/>
      <c r="AE32" s="500"/>
      <c r="AG32" s="500"/>
      <c r="AH32" s="498"/>
      <c r="AI32" s="500"/>
      <c r="AJ32" s="498"/>
      <c r="AK32" s="1066"/>
      <c r="AO32" s="498"/>
    </row>
    <row r="33" spans="1:41" s="499" customFormat="1" ht="12.75" hidden="1" customHeight="1">
      <c r="A33" s="498"/>
      <c r="B33" s="392"/>
      <c r="C33" s="409" t="s">
        <v>409</v>
      </c>
      <c r="D33" s="1070" t="str">
        <f>IF(A=0,"0",VLOOKUP($AK$30,Klima!$B$151:$N$166,5))</f>
        <v>0</v>
      </c>
      <c r="E33" s="411">
        <f t="shared" si="0"/>
        <v>0</v>
      </c>
      <c r="F33" s="44"/>
      <c r="G33" s="44"/>
      <c r="H33" s="580"/>
      <c r="I33" s="582"/>
      <c r="J33" s="581"/>
      <c r="K33" s="584"/>
      <c r="L33" s="581"/>
      <c r="M33" s="584"/>
      <c r="N33" s="581"/>
      <c r="O33" s="584"/>
      <c r="P33" s="44"/>
      <c r="Q33" s="632"/>
      <c r="S33" s="633"/>
      <c r="T33" s="1068"/>
      <c r="U33" s="500"/>
      <c r="V33" s="498"/>
      <c r="W33" s="500"/>
      <c r="X33" s="498"/>
      <c r="Y33" s="500"/>
      <c r="Z33" s="498"/>
      <c r="AA33" s="500"/>
      <c r="AB33" s="498"/>
      <c r="AC33" s="500"/>
      <c r="AD33" s="498"/>
      <c r="AE33" s="500"/>
      <c r="AG33" s="500"/>
      <c r="AH33" s="498"/>
      <c r="AI33" s="500"/>
      <c r="AJ33" s="498"/>
      <c r="AK33" s="1066"/>
      <c r="AO33" s="498"/>
    </row>
    <row r="34" spans="1:41" s="499" customFormat="1" ht="12.75" hidden="1" customHeight="1">
      <c r="A34" s="498"/>
      <c r="B34" s="392"/>
      <c r="C34" s="409" t="s">
        <v>410</v>
      </c>
      <c r="D34" s="1070" t="str">
        <f>IF(A=0,"0",VLOOKUP($AK$30,Klima!$B$151:$N$166,6))</f>
        <v>0</v>
      </c>
      <c r="E34" s="411">
        <f t="shared" si="0"/>
        <v>0</v>
      </c>
      <c r="F34" s="44"/>
      <c r="G34" s="44"/>
      <c r="H34" s="580"/>
      <c r="I34" s="582"/>
      <c r="J34" s="581"/>
      <c r="K34" s="584"/>
      <c r="L34" s="581"/>
      <c r="M34" s="584"/>
      <c r="N34" s="581"/>
      <c r="O34" s="584"/>
      <c r="P34" s="44"/>
      <c r="Q34" s="632"/>
      <c r="S34" s="633"/>
      <c r="T34" s="1068"/>
      <c r="U34" s="500"/>
      <c r="V34" s="498"/>
      <c r="W34" s="500"/>
      <c r="X34" s="498"/>
      <c r="Y34" s="500"/>
      <c r="Z34" s="498"/>
      <c r="AA34" s="500"/>
      <c r="AB34" s="498"/>
      <c r="AC34" s="500"/>
      <c r="AD34" s="498"/>
      <c r="AE34" s="500"/>
      <c r="AG34" s="500"/>
      <c r="AH34" s="498"/>
      <c r="AI34" s="500"/>
      <c r="AJ34" s="498"/>
      <c r="AK34" s="1066"/>
      <c r="AO34" s="498"/>
    </row>
    <row r="35" spans="1:41" s="499" customFormat="1" ht="12.75" hidden="1" customHeight="1">
      <c r="A35" s="498"/>
      <c r="B35" s="392"/>
      <c r="C35" s="409" t="s">
        <v>411</v>
      </c>
      <c r="D35" s="1070" t="str">
        <f>IF(A=0,"0",VLOOKUP($AK$30,Klima!$B$151:$N$166,7))</f>
        <v>0</v>
      </c>
      <c r="E35" s="411">
        <f t="shared" si="0"/>
        <v>0</v>
      </c>
      <c r="F35" s="44"/>
      <c r="G35" s="44"/>
      <c r="H35" s="580"/>
      <c r="I35" s="582"/>
      <c r="J35" s="581"/>
      <c r="K35" s="584"/>
      <c r="L35" s="581"/>
      <c r="M35" s="584"/>
      <c r="N35" s="581"/>
      <c r="O35" s="584"/>
      <c r="P35" s="44"/>
      <c r="Q35" s="632"/>
      <c r="S35" s="633"/>
      <c r="T35" s="1068"/>
      <c r="U35" s="500"/>
      <c r="V35" s="498"/>
      <c r="W35" s="500"/>
      <c r="X35" s="498"/>
      <c r="Y35" s="500"/>
      <c r="Z35" s="498"/>
      <c r="AA35" s="500"/>
      <c r="AB35" s="498"/>
      <c r="AC35" s="500"/>
      <c r="AD35" s="498"/>
      <c r="AE35" s="500"/>
      <c r="AG35" s="500"/>
      <c r="AH35" s="498"/>
      <c r="AI35" s="500"/>
      <c r="AJ35" s="498"/>
      <c r="AK35" s="1066"/>
      <c r="AO35" s="498"/>
    </row>
    <row r="36" spans="1:41" s="499" customFormat="1" ht="12.75" hidden="1" customHeight="1">
      <c r="A36" s="498"/>
      <c r="B36" s="392"/>
      <c r="C36" s="409" t="s">
        <v>221</v>
      </c>
      <c r="D36" s="1070" t="str">
        <f>IF(A=0,"0",VLOOKUP($AK$30,Klima!$B$151:$N$166,8))</f>
        <v>0</v>
      </c>
      <c r="E36" s="411">
        <f t="shared" si="0"/>
        <v>0</v>
      </c>
      <c r="F36" s="44"/>
      <c r="G36" s="44"/>
      <c r="H36" s="580"/>
      <c r="I36" s="582"/>
      <c r="J36" s="581"/>
      <c r="K36" s="584"/>
      <c r="L36" s="581"/>
      <c r="M36" s="584"/>
      <c r="N36" s="581"/>
      <c r="O36" s="584"/>
      <c r="P36" s="44"/>
      <c r="Q36" s="632"/>
      <c r="S36" s="633"/>
      <c r="T36" s="1068"/>
      <c r="U36" s="500"/>
      <c r="V36" s="498"/>
      <c r="W36" s="500"/>
      <c r="X36" s="498"/>
      <c r="Y36" s="500"/>
      <c r="Z36" s="498"/>
      <c r="AA36" s="500"/>
      <c r="AB36" s="498"/>
      <c r="AC36" s="500"/>
      <c r="AD36" s="498"/>
      <c r="AE36" s="500"/>
      <c r="AG36" s="500"/>
      <c r="AH36" s="498"/>
      <c r="AI36" s="500"/>
      <c r="AJ36" s="498"/>
      <c r="AK36" s="1066"/>
      <c r="AO36" s="498"/>
    </row>
    <row r="37" spans="1:41" s="499" customFormat="1" ht="12.75" hidden="1" customHeight="1">
      <c r="A37" s="498"/>
      <c r="B37" s="392"/>
      <c r="C37" s="409" t="s">
        <v>138</v>
      </c>
      <c r="D37" s="1070" t="str">
        <f>IF(A=0,"0",VLOOKUP($AK$30,Klima!$B$151:$N$166,9))</f>
        <v>0</v>
      </c>
      <c r="E37" s="411">
        <f t="shared" si="0"/>
        <v>0</v>
      </c>
      <c r="F37" s="44"/>
      <c r="G37" s="44"/>
      <c r="H37" s="580"/>
      <c r="I37" s="582"/>
      <c r="J37" s="581"/>
      <c r="K37" s="584"/>
      <c r="L37" s="581"/>
      <c r="M37" s="584"/>
      <c r="N37" s="581"/>
      <c r="O37" s="584"/>
      <c r="P37" s="44"/>
      <c r="Q37" s="632"/>
      <c r="S37" s="633"/>
      <c r="T37" s="1068"/>
      <c r="U37" s="500"/>
      <c r="V37" s="498"/>
      <c r="W37" s="500"/>
      <c r="X37" s="498"/>
      <c r="Y37" s="500"/>
      <c r="Z37" s="498"/>
      <c r="AA37" s="500"/>
      <c r="AB37" s="498"/>
      <c r="AC37" s="500"/>
      <c r="AD37" s="498"/>
      <c r="AE37" s="500"/>
      <c r="AG37" s="500"/>
      <c r="AH37" s="498"/>
      <c r="AI37" s="500"/>
      <c r="AJ37" s="498"/>
      <c r="AK37" s="1066"/>
      <c r="AO37" s="498"/>
    </row>
    <row r="38" spans="1:41" s="499" customFormat="1" ht="12.75" hidden="1" customHeight="1">
      <c r="A38" s="498"/>
      <c r="B38" s="392"/>
      <c r="C38" s="409" t="s">
        <v>139</v>
      </c>
      <c r="D38" s="1070" t="str">
        <f>IF(A=0,"0",VLOOKUP($AK$30,Klima!$B$151:$N$166,10))</f>
        <v>0</v>
      </c>
      <c r="E38" s="411">
        <f t="shared" si="0"/>
        <v>0</v>
      </c>
      <c r="F38" s="44"/>
      <c r="G38" s="44"/>
      <c r="H38" s="580"/>
      <c r="I38" s="582"/>
      <c r="J38" s="581"/>
      <c r="K38" s="584"/>
      <c r="L38" s="581"/>
      <c r="M38" s="584"/>
      <c r="N38" s="581"/>
      <c r="O38" s="584"/>
      <c r="P38" s="44"/>
      <c r="Q38" s="632"/>
      <c r="S38" s="633"/>
      <c r="T38" s="1068"/>
      <c r="U38" s="500"/>
      <c r="V38" s="498"/>
      <c r="W38" s="500"/>
      <c r="X38" s="498"/>
      <c r="Y38" s="500"/>
      <c r="Z38" s="498"/>
      <c r="AA38" s="500"/>
      <c r="AB38" s="498"/>
      <c r="AC38" s="500"/>
      <c r="AD38" s="498"/>
      <c r="AE38" s="500"/>
      <c r="AG38" s="500"/>
      <c r="AH38" s="498"/>
      <c r="AI38" s="500"/>
      <c r="AJ38" s="498"/>
      <c r="AK38" s="1066"/>
      <c r="AO38" s="498"/>
    </row>
    <row r="39" spans="1:41" s="499" customFormat="1" ht="12.75" hidden="1" customHeight="1">
      <c r="A39" s="498"/>
      <c r="B39" s="392"/>
      <c r="C39" s="409" t="s">
        <v>269</v>
      </c>
      <c r="D39" s="1070" t="str">
        <f>IF(A=0,"0",VLOOKUP($AK$30,Klima!$B$151:$N$166,11))</f>
        <v>0</v>
      </c>
      <c r="E39" s="411">
        <f t="shared" si="0"/>
        <v>0</v>
      </c>
      <c r="F39" s="44"/>
      <c r="G39" s="44"/>
      <c r="H39" s="580"/>
      <c r="I39" s="582"/>
      <c r="J39" s="581"/>
      <c r="K39" s="584"/>
      <c r="L39" s="581"/>
      <c r="M39" s="584"/>
      <c r="N39" s="581"/>
      <c r="O39" s="584"/>
      <c r="P39" s="44"/>
      <c r="Q39" s="632"/>
      <c r="S39" s="633"/>
      <c r="T39" s="1068"/>
      <c r="U39" s="500"/>
      <c r="V39" s="498"/>
      <c r="W39" s="500"/>
      <c r="X39" s="498"/>
      <c r="Y39" s="500"/>
      <c r="Z39" s="498"/>
      <c r="AA39" s="500"/>
      <c r="AB39" s="498"/>
      <c r="AC39" s="500"/>
      <c r="AD39" s="498"/>
      <c r="AE39" s="500"/>
      <c r="AG39" s="500"/>
      <c r="AH39" s="498"/>
      <c r="AI39" s="500"/>
      <c r="AJ39" s="498"/>
      <c r="AK39" s="1066"/>
      <c r="AO39" s="498"/>
    </row>
    <row r="40" spans="1:41" s="499" customFormat="1" ht="12.75" hidden="1" customHeight="1">
      <c r="A40" s="498"/>
      <c r="B40" s="392"/>
      <c r="C40" s="409" t="s">
        <v>366</v>
      </c>
      <c r="D40" s="1070" t="str">
        <f>IF(A=0,"0",VLOOKUP($AK$30,Klima!$B$151:$N$166,12))</f>
        <v>0</v>
      </c>
      <c r="E40" s="411">
        <f t="shared" si="0"/>
        <v>0</v>
      </c>
      <c r="F40" s="44"/>
      <c r="G40" s="44"/>
      <c r="H40" s="580"/>
      <c r="I40" s="582"/>
      <c r="J40" s="581"/>
      <c r="K40" s="584"/>
      <c r="L40" s="581"/>
      <c r="M40" s="584"/>
      <c r="N40" s="581"/>
      <c r="O40" s="584"/>
      <c r="P40" s="44"/>
      <c r="Q40" s="632"/>
      <c r="S40" s="633"/>
      <c r="T40" s="1068"/>
      <c r="U40" s="500"/>
      <c r="V40" s="498"/>
      <c r="W40" s="500"/>
      <c r="X40" s="498"/>
      <c r="Y40" s="500"/>
      <c r="Z40" s="498"/>
      <c r="AA40" s="500"/>
      <c r="AB40" s="498"/>
      <c r="AC40" s="500"/>
      <c r="AD40" s="498"/>
      <c r="AE40" s="500"/>
      <c r="AG40" s="500"/>
      <c r="AH40" s="498"/>
      <c r="AI40" s="500"/>
      <c r="AJ40" s="498"/>
      <c r="AK40" s="1066"/>
      <c r="AO40" s="498"/>
    </row>
    <row r="41" spans="1:41" s="499" customFormat="1" ht="12.75" hidden="1" customHeight="1">
      <c r="A41" s="498"/>
      <c r="B41" s="392"/>
      <c r="C41" s="409" t="s">
        <v>465</v>
      </c>
      <c r="D41" s="1070" t="str">
        <f>IF(A=0,"0",VLOOKUP($AK$30,Klima!$B$151:$N$166,13))</f>
        <v>0</v>
      </c>
      <c r="E41" s="411">
        <f t="shared" si="0"/>
        <v>0</v>
      </c>
      <c r="F41" s="44"/>
      <c r="G41" s="44"/>
      <c r="H41" s="580"/>
      <c r="I41" s="582"/>
      <c r="J41" s="581"/>
      <c r="K41" s="584"/>
      <c r="L41" s="581"/>
      <c r="M41" s="584"/>
      <c r="N41" s="581"/>
      <c r="O41" s="584"/>
      <c r="P41" s="44"/>
      <c r="Q41" s="632"/>
      <c r="S41" s="633"/>
      <c r="T41" s="1068"/>
      <c r="U41" s="500"/>
      <c r="V41" s="498"/>
      <c r="W41" s="500"/>
      <c r="X41" s="498"/>
      <c r="Y41" s="500"/>
      <c r="Z41" s="498"/>
      <c r="AA41" s="500"/>
      <c r="AB41" s="498"/>
      <c r="AC41" s="500"/>
      <c r="AD41" s="498"/>
      <c r="AE41" s="500"/>
      <c r="AG41" s="500"/>
      <c r="AH41" s="498"/>
      <c r="AI41" s="500"/>
      <c r="AJ41" s="498"/>
      <c r="AK41" s="1066"/>
      <c r="AO41" s="498"/>
    </row>
    <row r="42" spans="1:41" ht="12.75" customHeight="1">
      <c r="A42" s="37"/>
      <c r="B42" s="392"/>
      <c r="C42" s="409">
        <f>Bauteile!B292</f>
        <v>0</v>
      </c>
      <c r="D42" s="1071"/>
      <c r="E42" s="394">
        <f>Bauteile!D292</f>
        <v>0</v>
      </c>
      <c r="F42" s="394">
        <f>Bauteile!F292</f>
        <v>0</v>
      </c>
      <c r="G42" s="394" t="str">
        <f>IF(Bauteile!G292="","0",Bauteile!G292)</f>
        <v>0</v>
      </c>
      <c r="H42" s="1013">
        <f>Bauteile!H292</f>
        <v>0</v>
      </c>
      <c r="I42" s="410">
        <f>IF(H_02=0,1,IF(B=0,"0",IF(H_02&lt;=1,H_02,VLOOKUP(H_02,Daten!$A$101:$N$171,AK42))))</f>
        <v>1</v>
      </c>
      <c r="J42" s="581">
        <f>Bauteile!I292</f>
        <v>0</v>
      </c>
      <c r="K42" s="410" t="str">
        <f>IF(B=0,"0",VLOOKUP(Ü_02,Daten!$A$177:$N$252,AK42))</f>
        <v>0</v>
      </c>
      <c r="L42" s="581">
        <f>Bauteile!J292</f>
        <v>0</v>
      </c>
      <c r="M42" s="410" t="str">
        <f>IF(B=0,"0",VLOOKUP(S_02,Daten!$A$258:$N$333,AK42))</f>
        <v>0</v>
      </c>
      <c r="N42" s="581">
        <f>Bauteile!K292</f>
        <v>0</v>
      </c>
      <c r="O42" s="410">
        <f>IF(AK42&gt;5,"1.00",VLOOKUP(S_102,Daten!$A$258:$N$333,AK42))</f>
        <v>0</v>
      </c>
      <c r="P42" s="394">
        <f>Bauteile!C292</f>
        <v>0</v>
      </c>
      <c r="Q42" s="631" t="str">
        <f>IF(B=0,"0",SUM(E43:E54))</f>
        <v>0</v>
      </c>
      <c r="S42" s="85"/>
      <c r="T42" s="36"/>
      <c r="U42" s="40">
        <f>IF(B="SO",1,0)</f>
        <v>0</v>
      </c>
      <c r="V42" s="40">
        <f>IF(B="SSO",2,0)</f>
        <v>0</v>
      </c>
      <c r="W42" s="40">
        <f>IF(B="S",3,0)</f>
        <v>0</v>
      </c>
      <c r="X42" s="40">
        <f>IF(B="SSW",4,0)</f>
        <v>0</v>
      </c>
      <c r="Y42" s="40">
        <f>IF(B="SW",1,0)</f>
        <v>0</v>
      </c>
      <c r="Z42" s="40">
        <f>IF(B="WSW",5,0)</f>
        <v>0</v>
      </c>
      <c r="AA42" s="40">
        <f>IF(B="W",6,0)</f>
        <v>0</v>
      </c>
      <c r="AB42" s="40">
        <f>IF(B="WNW",7,0)</f>
        <v>0</v>
      </c>
      <c r="AC42" s="40">
        <f>IF(B="NW",8,0)</f>
        <v>0</v>
      </c>
      <c r="AD42" s="40">
        <f>IF(B="NNW",9,0)</f>
        <v>0</v>
      </c>
      <c r="AE42" s="40">
        <f>IF(B="N",10,0)</f>
        <v>0</v>
      </c>
      <c r="AF42" s="40">
        <f>IF(B="NNO",11,0)</f>
        <v>0</v>
      </c>
      <c r="AG42" s="40">
        <f>IF(B="NO",8,0)</f>
        <v>0</v>
      </c>
      <c r="AH42" s="40">
        <f>IF(B="ONO",12,0)</f>
        <v>0</v>
      </c>
      <c r="AI42" s="40">
        <f>IF(B="O",6,0)</f>
        <v>0</v>
      </c>
      <c r="AJ42" s="40">
        <f>IF(B="OSO",13,0)</f>
        <v>0</v>
      </c>
      <c r="AK42" s="1065">
        <f>MAX(U42:AJ42)+1</f>
        <v>1</v>
      </c>
      <c r="AO42" s="37"/>
    </row>
    <row r="43" spans="1:41" s="499" customFormat="1" ht="12.75" hidden="1" customHeight="1">
      <c r="A43" s="498"/>
      <c r="B43" s="392"/>
      <c r="C43" s="409" t="s">
        <v>49</v>
      </c>
      <c r="D43" s="1070" t="str">
        <f>IF(B=0,"0",VLOOKUP($AK$43,Klima!$B$151:$N$166,2))</f>
        <v>0</v>
      </c>
      <c r="E43" s="411">
        <f t="shared" ref="E43:E54" si="1">D43*$E$42*$F$42*0.9*$G$42*$I$42*$K$42*$M$42*$O$42/$F$22</f>
        <v>0</v>
      </c>
      <c r="F43" s="44"/>
      <c r="G43" s="44"/>
      <c r="H43" s="580"/>
      <c r="I43" s="582"/>
      <c r="J43" s="581"/>
      <c r="K43" s="584"/>
      <c r="L43" s="581"/>
      <c r="M43" s="584"/>
      <c r="N43" s="581"/>
      <c r="O43" s="584"/>
      <c r="P43" s="44"/>
      <c r="Q43" s="632"/>
      <c r="S43" s="633"/>
      <c r="T43" s="1068"/>
      <c r="U43" s="40">
        <f>IF(B="SO",1,0)</f>
        <v>0</v>
      </c>
      <c r="V43" s="40">
        <f>IF(B="SSO",2,0)</f>
        <v>0</v>
      </c>
      <c r="W43" s="40">
        <f>IF(B="S",3,0)</f>
        <v>0</v>
      </c>
      <c r="X43" s="40">
        <f>IF(B="SSW",4,0)</f>
        <v>0</v>
      </c>
      <c r="Y43" s="40">
        <f>IF(B="SW",5,0)</f>
        <v>0</v>
      </c>
      <c r="Z43" s="40">
        <f>IF(B="WSW",6,0)</f>
        <v>0</v>
      </c>
      <c r="AA43" s="40">
        <f>IF(B="W",7,0)</f>
        <v>0</v>
      </c>
      <c r="AB43" s="40">
        <f>IF(B="WNW",8,0)</f>
        <v>0</v>
      </c>
      <c r="AC43" s="40">
        <f>IF(B="NW",9,0)</f>
        <v>0</v>
      </c>
      <c r="AD43" s="40">
        <f>IF(B="NNW",10,0)</f>
        <v>0</v>
      </c>
      <c r="AE43" s="40">
        <f>IF(B="N",11,0)</f>
        <v>0</v>
      </c>
      <c r="AF43" s="40">
        <f>IF(B="NNO",12,0)</f>
        <v>0</v>
      </c>
      <c r="AG43" s="40">
        <f>IF(B="NO",13,0)</f>
        <v>0</v>
      </c>
      <c r="AH43" s="40">
        <f>IF(B="ONO",14,0)</f>
        <v>0</v>
      </c>
      <c r="AI43" s="40">
        <f>IF(B="O",15,0)</f>
        <v>0</v>
      </c>
      <c r="AJ43" s="40">
        <f>IF(B="OSO",16,0)</f>
        <v>0</v>
      </c>
      <c r="AK43" s="1065">
        <f>MAX(U43:AJ43)</f>
        <v>0</v>
      </c>
      <c r="AO43" s="498"/>
    </row>
    <row r="44" spans="1:41" s="499" customFormat="1" ht="12.75" hidden="1" customHeight="1">
      <c r="A44" s="498"/>
      <c r="B44" s="392"/>
      <c r="C44" s="409" t="s">
        <v>554</v>
      </c>
      <c r="D44" s="1070" t="str">
        <f>IF(B=0,"0",VLOOKUP($AK$43,Klima!$B$151:$N$166,3))</f>
        <v>0</v>
      </c>
      <c r="E44" s="411">
        <f t="shared" si="1"/>
        <v>0</v>
      </c>
      <c r="F44" s="44"/>
      <c r="G44" s="44"/>
      <c r="H44" s="580"/>
      <c r="I44" s="582"/>
      <c r="J44" s="581"/>
      <c r="K44" s="584"/>
      <c r="L44" s="581"/>
      <c r="M44" s="584"/>
      <c r="N44" s="581"/>
      <c r="O44" s="584"/>
      <c r="P44" s="44"/>
      <c r="Q44" s="632"/>
      <c r="S44" s="633"/>
      <c r="T44" s="1068"/>
      <c r="U44" s="500"/>
      <c r="V44" s="498"/>
      <c r="W44" s="500"/>
      <c r="X44" s="498"/>
      <c r="Y44" s="500"/>
      <c r="Z44" s="498"/>
      <c r="AA44" s="500"/>
      <c r="AB44" s="498"/>
      <c r="AC44" s="500"/>
      <c r="AD44" s="498"/>
      <c r="AE44" s="500"/>
      <c r="AG44" s="500"/>
      <c r="AH44" s="498"/>
      <c r="AI44" s="500"/>
      <c r="AJ44" s="498"/>
      <c r="AK44" s="1066"/>
      <c r="AO44" s="498"/>
    </row>
    <row r="45" spans="1:41" s="499" customFormat="1" ht="12.75" hidden="1" customHeight="1">
      <c r="A45" s="498"/>
      <c r="B45" s="392"/>
      <c r="C45" s="409" t="s">
        <v>306</v>
      </c>
      <c r="D45" s="1070" t="str">
        <f>IF(B=0,"0",VLOOKUP($AK$43,Klima!$B$151:$N$166,4))</f>
        <v>0</v>
      </c>
      <c r="E45" s="411">
        <f t="shared" si="1"/>
        <v>0</v>
      </c>
      <c r="F45" s="44"/>
      <c r="G45" s="44"/>
      <c r="H45" s="580"/>
      <c r="I45" s="582"/>
      <c r="J45" s="581"/>
      <c r="K45" s="584"/>
      <c r="L45" s="581"/>
      <c r="M45" s="584"/>
      <c r="N45" s="581"/>
      <c r="O45" s="584"/>
      <c r="P45" s="44"/>
      <c r="Q45" s="632"/>
      <c r="S45" s="633"/>
      <c r="T45" s="1068"/>
      <c r="U45" s="500"/>
      <c r="V45" s="498"/>
      <c r="W45" s="500"/>
      <c r="X45" s="498"/>
      <c r="Y45" s="500"/>
      <c r="Z45" s="498"/>
      <c r="AA45" s="500"/>
      <c r="AB45" s="498"/>
      <c r="AC45" s="500"/>
      <c r="AD45" s="498"/>
      <c r="AE45" s="500"/>
      <c r="AG45" s="500"/>
      <c r="AH45" s="498"/>
      <c r="AI45" s="500"/>
      <c r="AJ45" s="498"/>
      <c r="AK45" s="1066"/>
      <c r="AO45" s="498"/>
    </row>
    <row r="46" spans="1:41" s="499" customFormat="1" ht="12.75" hidden="1" customHeight="1">
      <c r="A46" s="498"/>
      <c r="B46" s="392"/>
      <c r="C46" s="409" t="s">
        <v>409</v>
      </c>
      <c r="D46" s="1070" t="str">
        <f>IF(B=0,"0",VLOOKUP($AK$43,Klima!$B$151:$N$166,5))</f>
        <v>0</v>
      </c>
      <c r="E46" s="411">
        <f t="shared" si="1"/>
        <v>0</v>
      </c>
      <c r="F46" s="44"/>
      <c r="G46" s="44"/>
      <c r="H46" s="580"/>
      <c r="I46" s="582"/>
      <c r="J46" s="581"/>
      <c r="K46" s="584"/>
      <c r="L46" s="581"/>
      <c r="M46" s="584"/>
      <c r="N46" s="581"/>
      <c r="O46" s="584"/>
      <c r="P46" s="44"/>
      <c r="Q46" s="632"/>
      <c r="S46" s="633"/>
      <c r="T46" s="1068"/>
      <c r="U46" s="500"/>
      <c r="V46" s="498"/>
      <c r="W46" s="500"/>
      <c r="X46" s="498"/>
      <c r="Y46" s="500"/>
      <c r="Z46" s="498"/>
      <c r="AA46" s="500"/>
      <c r="AB46" s="498"/>
      <c r="AC46" s="500"/>
      <c r="AD46" s="498"/>
      <c r="AE46" s="500"/>
      <c r="AG46" s="500"/>
      <c r="AH46" s="498"/>
      <c r="AI46" s="500"/>
      <c r="AJ46" s="498"/>
      <c r="AK46" s="1066"/>
      <c r="AO46" s="498"/>
    </row>
    <row r="47" spans="1:41" s="499" customFormat="1" ht="12.75" hidden="1" customHeight="1">
      <c r="A47" s="498"/>
      <c r="B47" s="392"/>
      <c r="C47" s="409" t="s">
        <v>410</v>
      </c>
      <c r="D47" s="1070" t="str">
        <f>IF(B=0,"0",VLOOKUP($AK$43,Klima!$B$151:$N$166,6))</f>
        <v>0</v>
      </c>
      <c r="E47" s="411">
        <f t="shared" si="1"/>
        <v>0</v>
      </c>
      <c r="F47" s="44"/>
      <c r="G47" s="44"/>
      <c r="H47" s="580"/>
      <c r="I47" s="582"/>
      <c r="J47" s="581"/>
      <c r="K47" s="584"/>
      <c r="L47" s="581"/>
      <c r="M47" s="584"/>
      <c r="N47" s="581"/>
      <c r="O47" s="584"/>
      <c r="P47" s="44"/>
      <c r="Q47" s="632"/>
      <c r="S47" s="633"/>
      <c r="T47" s="1068"/>
      <c r="U47" s="500"/>
      <c r="V47" s="498"/>
      <c r="W47" s="500"/>
      <c r="X47" s="498"/>
      <c r="Y47" s="500"/>
      <c r="Z47" s="498"/>
      <c r="AA47" s="500"/>
      <c r="AB47" s="498"/>
      <c r="AC47" s="500"/>
      <c r="AD47" s="498"/>
      <c r="AE47" s="500"/>
      <c r="AG47" s="500"/>
      <c r="AH47" s="498"/>
      <c r="AI47" s="500"/>
      <c r="AJ47" s="498"/>
      <c r="AK47" s="1066"/>
      <c r="AO47" s="498"/>
    </row>
    <row r="48" spans="1:41" s="499" customFormat="1" ht="12.75" hidden="1" customHeight="1">
      <c r="A48" s="498"/>
      <c r="B48" s="392"/>
      <c r="C48" s="409" t="s">
        <v>411</v>
      </c>
      <c r="D48" s="1070" t="str">
        <f>IF(B=0,"0",VLOOKUP($AK$43,Klima!$B$151:$N$166,7))</f>
        <v>0</v>
      </c>
      <c r="E48" s="411">
        <f t="shared" si="1"/>
        <v>0</v>
      </c>
      <c r="F48" s="44"/>
      <c r="G48" s="44"/>
      <c r="H48" s="580"/>
      <c r="I48" s="582"/>
      <c r="J48" s="581"/>
      <c r="K48" s="584"/>
      <c r="L48" s="581"/>
      <c r="M48" s="584"/>
      <c r="N48" s="581"/>
      <c r="O48" s="584"/>
      <c r="P48" s="44"/>
      <c r="Q48" s="632"/>
      <c r="S48" s="633"/>
      <c r="T48" s="1068"/>
      <c r="U48" s="500"/>
      <c r="V48" s="498"/>
      <c r="W48" s="500"/>
      <c r="X48" s="498"/>
      <c r="Y48" s="500"/>
      <c r="Z48" s="498"/>
      <c r="AA48" s="500"/>
      <c r="AB48" s="498"/>
      <c r="AC48" s="500"/>
      <c r="AD48" s="498"/>
      <c r="AE48" s="500"/>
      <c r="AG48" s="500"/>
      <c r="AH48" s="498"/>
      <c r="AI48" s="500"/>
      <c r="AJ48" s="498"/>
      <c r="AK48" s="1066"/>
      <c r="AO48" s="498"/>
    </row>
    <row r="49" spans="1:41" s="499" customFormat="1" ht="12.75" hidden="1" customHeight="1">
      <c r="A49" s="498"/>
      <c r="B49" s="392"/>
      <c r="C49" s="409" t="s">
        <v>221</v>
      </c>
      <c r="D49" s="1070" t="str">
        <f>IF(B=0,"0",VLOOKUP($AK$43,Klima!$B$151:$N$166,8))</f>
        <v>0</v>
      </c>
      <c r="E49" s="411">
        <f t="shared" si="1"/>
        <v>0</v>
      </c>
      <c r="F49" s="44"/>
      <c r="G49" s="44"/>
      <c r="H49" s="580"/>
      <c r="I49" s="582"/>
      <c r="J49" s="581"/>
      <c r="K49" s="584"/>
      <c r="L49" s="581"/>
      <c r="M49" s="584"/>
      <c r="N49" s="581"/>
      <c r="O49" s="584"/>
      <c r="P49" s="44"/>
      <c r="Q49" s="632"/>
      <c r="S49" s="633"/>
      <c r="T49" s="1068"/>
      <c r="U49" s="500"/>
      <c r="V49" s="498"/>
      <c r="W49" s="500"/>
      <c r="X49" s="498"/>
      <c r="Y49" s="500"/>
      <c r="Z49" s="498"/>
      <c r="AA49" s="500"/>
      <c r="AB49" s="498"/>
      <c r="AC49" s="500"/>
      <c r="AD49" s="498"/>
      <c r="AE49" s="500"/>
      <c r="AG49" s="500"/>
      <c r="AH49" s="498"/>
      <c r="AI49" s="500"/>
      <c r="AJ49" s="498"/>
      <c r="AK49" s="1066"/>
      <c r="AO49" s="498"/>
    </row>
    <row r="50" spans="1:41" s="499" customFormat="1" ht="12.75" hidden="1" customHeight="1">
      <c r="A50" s="498"/>
      <c r="B50" s="392"/>
      <c r="C50" s="409" t="s">
        <v>138</v>
      </c>
      <c r="D50" s="1070" t="str">
        <f>IF(B=0,"0",VLOOKUP($AK$43,Klima!$B$151:$N$166,9))</f>
        <v>0</v>
      </c>
      <c r="E50" s="411">
        <f t="shared" si="1"/>
        <v>0</v>
      </c>
      <c r="F50" s="44"/>
      <c r="G50" s="44"/>
      <c r="H50" s="580"/>
      <c r="I50" s="582"/>
      <c r="J50" s="581"/>
      <c r="K50" s="584"/>
      <c r="L50" s="581"/>
      <c r="M50" s="584"/>
      <c r="N50" s="581"/>
      <c r="O50" s="584"/>
      <c r="P50" s="44"/>
      <c r="Q50" s="632"/>
      <c r="S50" s="633"/>
      <c r="T50" s="1068"/>
      <c r="U50" s="500"/>
      <c r="V50" s="498"/>
      <c r="W50" s="500"/>
      <c r="X50" s="498"/>
      <c r="Y50" s="500"/>
      <c r="Z50" s="498"/>
      <c r="AA50" s="500"/>
      <c r="AB50" s="498"/>
      <c r="AC50" s="500"/>
      <c r="AD50" s="498"/>
      <c r="AE50" s="500"/>
      <c r="AG50" s="500"/>
      <c r="AH50" s="498"/>
      <c r="AI50" s="500"/>
      <c r="AJ50" s="498"/>
      <c r="AK50" s="1066"/>
      <c r="AO50" s="498"/>
    </row>
    <row r="51" spans="1:41" s="499" customFormat="1" ht="12.75" hidden="1" customHeight="1">
      <c r="A51" s="498"/>
      <c r="B51" s="392"/>
      <c r="C51" s="409" t="s">
        <v>139</v>
      </c>
      <c r="D51" s="1070" t="str">
        <f>IF(B=0,"0",VLOOKUP($AK$43,Klima!$B$151:$N$166,10))</f>
        <v>0</v>
      </c>
      <c r="E51" s="411">
        <f t="shared" si="1"/>
        <v>0</v>
      </c>
      <c r="F51" s="44"/>
      <c r="G51" s="44"/>
      <c r="H51" s="580"/>
      <c r="I51" s="582"/>
      <c r="J51" s="581"/>
      <c r="K51" s="584"/>
      <c r="L51" s="581"/>
      <c r="M51" s="584"/>
      <c r="N51" s="581"/>
      <c r="O51" s="584"/>
      <c r="P51" s="44"/>
      <c r="Q51" s="632"/>
      <c r="S51" s="633"/>
      <c r="T51" s="1068"/>
      <c r="U51" s="500"/>
      <c r="V51" s="498"/>
      <c r="W51" s="500"/>
      <c r="X51" s="498"/>
      <c r="Y51" s="500"/>
      <c r="Z51" s="498"/>
      <c r="AA51" s="500"/>
      <c r="AB51" s="498"/>
      <c r="AC51" s="500"/>
      <c r="AD51" s="498"/>
      <c r="AE51" s="500"/>
      <c r="AG51" s="500"/>
      <c r="AH51" s="498"/>
      <c r="AI51" s="500"/>
      <c r="AJ51" s="498"/>
      <c r="AK51" s="1066"/>
      <c r="AO51" s="498"/>
    </row>
    <row r="52" spans="1:41" s="499" customFormat="1" ht="12.75" hidden="1" customHeight="1">
      <c r="A52" s="498"/>
      <c r="B52" s="392"/>
      <c r="C52" s="409" t="s">
        <v>269</v>
      </c>
      <c r="D52" s="1070" t="str">
        <f>IF(B=0,"0",VLOOKUP($AK$43,Klima!$B$151:$N$166,11))</f>
        <v>0</v>
      </c>
      <c r="E52" s="411">
        <f t="shared" si="1"/>
        <v>0</v>
      </c>
      <c r="F52" s="44"/>
      <c r="G52" s="44"/>
      <c r="H52" s="580"/>
      <c r="I52" s="582"/>
      <c r="J52" s="581"/>
      <c r="K52" s="584"/>
      <c r="L52" s="581"/>
      <c r="M52" s="584"/>
      <c r="N52" s="581"/>
      <c r="O52" s="584"/>
      <c r="P52" s="44"/>
      <c r="Q52" s="632"/>
      <c r="S52" s="633"/>
      <c r="T52" s="1068"/>
      <c r="U52" s="500"/>
      <c r="V52" s="498"/>
      <c r="W52" s="500"/>
      <c r="X52" s="498"/>
      <c r="Y52" s="500"/>
      <c r="Z52" s="498"/>
      <c r="AA52" s="500"/>
      <c r="AB52" s="498"/>
      <c r="AC52" s="500"/>
      <c r="AD52" s="498"/>
      <c r="AE52" s="500"/>
      <c r="AG52" s="500"/>
      <c r="AH52" s="498"/>
      <c r="AI52" s="500"/>
      <c r="AJ52" s="498"/>
      <c r="AK52" s="1066"/>
      <c r="AO52" s="498"/>
    </row>
    <row r="53" spans="1:41" s="499" customFormat="1" ht="12.75" hidden="1" customHeight="1">
      <c r="A53" s="498"/>
      <c r="B53" s="392"/>
      <c r="C53" s="409" t="s">
        <v>366</v>
      </c>
      <c r="D53" s="1070" t="str">
        <f>IF(B=0,"0",VLOOKUP($AK$43,Klima!$B$151:$N$166,12))</f>
        <v>0</v>
      </c>
      <c r="E53" s="411">
        <f t="shared" si="1"/>
        <v>0</v>
      </c>
      <c r="F53" s="44"/>
      <c r="G53" s="44"/>
      <c r="H53" s="580"/>
      <c r="I53" s="582"/>
      <c r="J53" s="581"/>
      <c r="K53" s="584"/>
      <c r="L53" s="581"/>
      <c r="M53" s="584"/>
      <c r="N53" s="581"/>
      <c r="O53" s="584"/>
      <c r="P53" s="44"/>
      <c r="Q53" s="632"/>
      <c r="S53" s="633"/>
      <c r="T53" s="1068"/>
      <c r="U53" s="500"/>
      <c r="V53" s="498"/>
      <c r="W53" s="500"/>
      <c r="X53" s="498"/>
      <c r="Y53" s="500"/>
      <c r="Z53" s="498"/>
      <c r="AA53" s="500"/>
      <c r="AB53" s="498"/>
      <c r="AC53" s="500"/>
      <c r="AD53" s="498"/>
      <c r="AE53" s="500"/>
      <c r="AG53" s="500"/>
      <c r="AH53" s="498"/>
      <c r="AI53" s="500"/>
      <c r="AJ53" s="498"/>
      <c r="AK53" s="1066"/>
      <c r="AO53" s="498"/>
    </row>
    <row r="54" spans="1:41" s="499" customFormat="1" ht="12.75" hidden="1" customHeight="1">
      <c r="A54" s="498"/>
      <c r="B54" s="392"/>
      <c r="C54" s="409" t="s">
        <v>465</v>
      </c>
      <c r="D54" s="1070" t="str">
        <f>IF(B=0,"0",VLOOKUP($AK$43,Klima!$B$151:$N$166,13))</f>
        <v>0</v>
      </c>
      <c r="E54" s="411">
        <f t="shared" si="1"/>
        <v>0</v>
      </c>
      <c r="F54" s="44"/>
      <c r="G54" s="44"/>
      <c r="H54" s="580"/>
      <c r="I54" s="582"/>
      <c r="J54" s="581"/>
      <c r="K54" s="584"/>
      <c r="L54" s="581"/>
      <c r="M54" s="584"/>
      <c r="N54" s="581"/>
      <c r="O54" s="584"/>
      <c r="P54" s="44"/>
      <c r="Q54" s="632"/>
      <c r="S54" s="633"/>
      <c r="T54" s="1068"/>
      <c r="U54" s="500"/>
      <c r="V54" s="498"/>
      <c r="W54" s="500"/>
      <c r="X54" s="498"/>
      <c r="Y54" s="500"/>
      <c r="Z54" s="498"/>
      <c r="AA54" s="500"/>
      <c r="AB54" s="498"/>
      <c r="AC54" s="500"/>
      <c r="AD54" s="498"/>
      <c r="AE54" s="500"/>
      <c r="AG54" s="500"/>
      <c r="AH54" s="498"/>
      <c r="AI54" s="500"/>
      <c r="AJ54" s="498"/>
      <c r="AK54" s="1066"/>
      <c r="AO54" s="498"/>
    </row>
    <row r="55" spans="1:41" ht="12.75" customHeight="1">
      <c r="A55" s="37"/>
      <c r="B55" s="392"/>
      <c r="C55" s="409">
        <f>Bauteile!B306</f>
        <v>0</v>
      </c>
      <c r="D55" s="1071"/>
      <c r="E55" s="394">
        <f>Bauteile!D306</f>
        <v>0</v>
      </c>
      <c r="F55" s="394">
        <f>Bauteile!F306</f>
        <v>0</v>
      </c>
      <c r="G55" s="394" t="str">
        <f>IF(Bauteile!G306="","0",Bauteile!G306)</f>
        <v>0</v>
      </c>
      <c r="H55" s="1013">
        <f>Bauteile!H306</f>
        <v>0</v>
      </c>
      <c r="I55" s="410">
        <f>IF(H_03=0,1,IF(C_1=0,"0",IF(H_03&lt;=1,H_03,VLOOKUP(H_03,Daten!$A$101:$N$171,AK55))))</f>
        <v>1</v>
      </c>
      <c r="J55" s="581">
        <f>Bauteile!I306</f>
        <v>0</v>
      </c>
      <c r="K55" s="410" t="str">
        <f>IF(C_1=0,"0",VLOOKUP(Ü_03,Daten!$A$177:$N$252,AK55))</f>
        <v>0</v>
      </c>
      <c r="L55" s="581">
        <f>Bauteile!J306</f>
        <v>0</v>
      </c>
      <c r="M55" s="410" t="str">
        <f>IF(C_1=0,"0",VLOOKUP(S_03,Daten!$A$258:$N$333,AK55))</f>
        <v>0</v>
      </c>
      <c r="N55" s="581">
        <f>Bauteile!K306</f>
        <v>0</v>
      </c>
      <c r="O55" s="410">
        <f>IF(AK55&gt;5,"1.00",VLOOKUP(S_103,Daten!$A$258:$N$333,AK55))</f>
        <v>0</v>
      </c>
      <c r="P55" s="394">
        <f>Bauteile!C306</f>
        <v>0</v>
      </c>
      <c r="Q55" s="631" t="str">
        <f>IF(C_1=0,"0",SUM(E56:E67))</f>
        <v>0</v>
      </c>
      <c r="S55" s="85"/>
      <c r="T55" s="36"/>
      <c r="U55" s="40">
        <f>IF(C_1="SO",1,0)</f>
        <v>0</v>
      </c>
      <c r="V55" s="40">
        <f>IF(C_1="SSO",2,0)</f>
        <v>0</v>
      </c>
      <c r="W55" s="40">
        <f>IF(C_1="S",3,0)</f>
        <v>0</v>
      </c>
      <c r="X55" s="40">
        <f>IF(C_1="SSW",4,0)</f>
        <v>0</v>
      </c>
      <c r="Y55" s="40">
        <f>IF(C_1="SW",1,0)</f>
        <v>0</v>
      </c>
      <c r="Z55" s="40">
        <f>IF(C_1="WSW",5,0)</f>
        <v>0</v>
      </c>
      <c r="AA55" s="40">
        <f>IF(C_1="W",6,0)</f>
        <v>0</v>
      </c>
      <c r="AB55" s="40">
        <f>IF(C_1="WNW",7,0)</f>
        <v>0</v>
      </c>
      <c r="AC55" s="40">
        <f>IF(C_1="NW",8,0)</f>
        <v>0</v>
      </c>
      <c r="AD55" s="40">
        <f>IF(C_1="NNW",9,0)</f>
        <v>0</v>
      </c>
      <c r="AE55" s="40">
        <f>IF(C_1="N",10,0)</f>
        <v>0</v>
      </c>
      <c r="AF55" s="40">
        <f>IF(C_1="NNO",11,0)</f>
        <v>0</v>
      </c>
      <c r="AG55" s="40">
        <f>IF(C_1="NO",8,0)</f>
        <v>0</v>
      </c>
      <c r="AH55" s="40">
        <f>IF(C_1="ONO",12,0)</f>
        <v>0</v>
      </c>
      <c r="AI55" s="40">
        <f>IF(C_1="O",6,0)</f>
        <v>0</v>
      </c>
      <c r="AJ55" s="40">
        <f>IF(C_1="OSO",13,0)</f>
        <v>0</v>
      </c>
      <c r="AK55" s="1065">
        <f>MAX(U55:AJ55)+1</f>
        <v>1</v>
      </c>
      <c r="AO55" s="37"/>
    </row>
    <row r="56" spans="1:41" s="499" customFormat="1" ht="12.75" hidden="1" customHeight="1">
      <c r="A56" s="498"/>
      <c r="B56" s="392"/>
      <c r="C56" s="409" t="s">
        <v>49</v>
      </c>
      <c r="D56" s="1070" t="str">
        <f>IF(C_1=0,"0",VLOOKUP($AK$56,Klima!$B$151:$N$166,2))</f>
        <v>0</v>
      </c>
      <c r="E56" s="411">
        <f t="shared" ref="E56:E67" si="2">D56*$E$55*$F$55*0.9*$G$55*$I$55*$K$55*$M$55*$O$55/$F$22</f>
        <v>0</v>
      </c>
      <c r="F56" s="44"/>
      <c r="G56" s="44"/>
      <c r="H56" s="580"/>
      <c r="I56" s="582"/>
      <c r="J56" s="581"/>
      <c r="K56" s="584"/>
      <c r="L56" s="581"/>
      <c r="M56" s="584"/>
      <c r="N56" s="581"/>
      <c r="O56" s="584"/>
      <c r="P56" s="44"/>
      <c r="Q56" s="632"/>
      <c r="S56" s="633"/>
      <c r="T56" s="1068"/>
      <c r="U56" s="40">
        <f>IF(C_1="SO",1,0)</f>
        <v>0</v>
      </c>
      <c r="V56" s="40">
        <f>IF(C_1="SSO",2,0)</f>
        <v>0</v>
      </c>
      <c r="W56" s="40">
        <f>IF(C_1="S",3,0)</f>
        <v>0</v>
      </c>
      <c r="X56" s="40">
        <f>IF(C_1="SSW",4,0)</f>
        <v>0</v>
      </c>
      <c r="Y56" s="40">
        <f>IF(C_1="SW",5,0)</f>
        <v>0</v>
      </c>
      <c r="Z56" s="40">
        <f>IF(C_1="WSW",6,0)</f>
        <v>0</v>
      </c>
      <c r="AA56" s="40">
        <f>IF(C_1="W",7,0)</f>
        <v>0</v>
      </c>
      <c r="AB56" s="40">
        <f>IF(C_1="WNW",8,0)</f>
        <v>0</v>
      </c>
      <c r="AC56" s="40">
        <f>IF(C_1="NW",9,0)</f>
        <v>0</v>
      </c>
      <c r="AD56" s="40">
        <f>IF(C_1="NNW",10,0)</f>
        <v>0</v>
      </c>
      <c r="AE56" s="40">
        <f>IF(C_1="N",11,0)</f>
        <v>0</v>
      </c>
      <c r="AF56" s="40">
        <f>IF(C_1="NNO",12,0)</f>
        <v>0</v>
      </c>
      <c r="AG56" s="40">
        <f>IF(C_1="NO",13,0)</f>
        <v>0</v>
      </c>
      <c r="AH56" s="40">
        <f>IF(C_1="ONO",14,0)</f>
        <v>0</v>
      </c>
      <c r="AI56" s="40">
        <f>IF(C_1="O",15,0)</f>
        <v>0</v>
      </c>
      <c r="AJ56" s="40">
        <f>IF(C_1="OSO",16,0)</f>
        <v>0</v>
      </c>
      <c r="AK56" s="1065">
        <f>MAX(U56:AJ56)</f>
        <v>0</v>
      </c>
      <c r="AO56" s="498"/>
    </row>
    <row r="57" spans="1:41" s="499" customFormat="1" ht="12.75" hidden="1" customHeight="1">
      <c r="A57" s="498"/>
      <c r="B57" s="392"/>
      <c r="C57" s="409" t="s">
        <v>554</v>
      </c>
      <c r="D57" s="1070" t="str">
        <f>IF(C_1=0,"0",VLOOKUP($AK$56,Klima!$B$151:$N$166,3))</f>
        <v>0</v>
      </c>
      <c r="E57" s="411">
        <f t="shared" si="2"/>
        <v>0</v>
      </c>
      <c r="F57" s="44"/>
      <c r="G57" s="44"/>
      <c r="H57" s="580"/>
      <c r="I57" s="582"/>
      <c r="J57" s="581"/>
      <c r="K57" s="584"/>
      <c r="L57" s="581"/>
      <c r="M57" s="584"/>
      <c r="N57" s="581"/>
      <c r="O57" s="584"/>
      <c r="P57" s="44"/>
      <c r="Q57" s="632"/>
      <c r="S57" s="633"/>
      <c r="T57" s="1068"/>
      <c r="U57" s="500"/>
      <c r="V57" s="498"/>
      <c r="W57" s="500"/>
      <c r="X57" s="498"/>
      <c r="Y57" s="500"/>
      <c r="Z57" s="498"/>
      <c r="AA57" s="500"/>
      <c r="AB57" s="498"/>
      <c r="AC57" s="500"/>
      <c r="AD57" s="498"/>
      <c r="AE57" s="500"/>
      <c r="AG57" s="500"/>
      <c r="AH57" s="498"/>
      <c r="AI57" s="500"/>
      <c r="AJ57" s="498"/>
      <c r="AK57" s="1066"/>
      <c r="AO57" s="498"/>
    </row>
    <row r="58" spans="1:41" s="499" customFormat="1" ht="12.75" hidden="1" customHeight="1">
      <c r="A58" s="498"/>
      <c r="B58" s="392"/>
      <c r="C58" s="409" t="s">
        <v>306</v>
      </c>
      <c r="D58" s="1070" t="str">
        <f>IF(C_1=0,"0",VLOOKUP($AK$56,Klima!$B$151:$N$166,4))</f>
        <v>0</v>
      </c>
      <c r="E58" s="411">
        <f t="shared" si="2"/>
        <v>0</v>
      </c>
      <c r="F58" s="44"/>
      <c r="G58" s="44"/>
      <c r="H58" s="580"/>
      <c r="I58" s="582"/>
      <c r="J58" s="581"/>
      <c r="K58" s="584"/>
      <c r="L58" s="581"/>
      <c r="M58" s="584"/>
      <c r="N58" s="581"/>
      <c r="O58" s="584"/>
      <c r="P58" s="44"/>
      <c r="Q58" s="632"/>
      <c r="S58" s="633"/>
      <c r="T58" s="1068"/>
      <c r="U58" s="500"/>
      <c r="V58" s="498"/>
      <c r="W58" s="500"/>
      <c r="X58" s="498"/>
      <c r="Y58" s="500"/>
      <c r="Z58" s="498"/>
      <c r="AA58" s="500"/>
      <c r="AB58" s="498"/>
      <c r="AC58" s="500"/>
      <c r="AD58" s="498"/>
      <c r="AE58" s="500"/>
      <c r="AG58" s="500"/>
      <c r="AH58" s="498"/>
      <c r="AI58" s="500"/>
      <c r="AJ58" s="498"/>
      <c r="AK58" s="1066"/>
      <c r="AO58" s="498"/>
    </row>
    <row r="59" spans="1:41" s="499" customFormat="1" ht="12.75" hidden="1" customHeight="1">
      <c r="A59" s="498"/>
      <c r="B59" s="392"/>
      <c r="C59" s="409" t="s">
        <v>409</v>
      </c>
      <c r="D59" s="1070" t="str">
        <f>IF(C_1=0,"0",VLOOKUP($AK$56,Klima!$B$151:$N$166,5))</f>
        <v>0</v>
      </c>
      <c r="E59" s="411">
        <f t="shared" si="2"/>
        <v>0</v>
      </c>
      <c r="F59" s="44"/>
      <c r="G59" s="44"/>
      <c r="H59" s="580"/>
      <c r="I59" s="582"/>
      <c r="J59" s="581"/>
      <c r="K59" s="584"/>
      <c r="L59" s="581"/>
      <c r="M59" s="584"/>
      <c r="N59" s="581"/>
      <c r="O59" s="584"/>
      <c r="P59" s="44"/>
      <c r="Q59" s="632"/>
      <c r="S59" s="633"/>
      <c r="T59" s="1068"/>
      <c r="U59" s="500"/>
      <c r="V59" s="498"/>
      <c r="W59" s="500"/>
      <c r="X59" s="498"/>
      <c r="Y59" s="500"/>
      <c r="Z59" s="498"/>
      <c r="AA59" s="500"/>
      <c r="AB59" s="498"/>
      <c r="AC59" s="500"/>
      <c r="AD59" s="498"/>
      <c r="AE59" s="500"/>
      <c r="AG59" s="500"/>
      <c r="AH59" s="498"/>
      <c r="AI59" s="500"/>
      <c r="AJ59" s="498"/>
      <c r="AK59" s="1066"/>
      <c r="AO59" s="498"/>
    </row>
    <row r="60" spans="1:41" s="499" customFormat="1" ht="12.75" hidden="1" customHeight="1">
      <c r="A60" s="498"/>
      <c r="B60" s="392"/>
      <c r="C60" s="409" t="s">
        <v>410</v>
      </c>
      <c r="D60" s="1070" t="str">
        <f>IF(C_1=0,"0",VLOOKUP($AK$56,Klima!$B$151:$N$166,6))</f>
        <v>0</v>
      </c>
      <c r="E60" s="411">
        <f t="shared" si="2"/>
        <v>0</v>
      </c>
      <c r="F60" s="44"/>
      <c r="G60" s="44"/>
      <c r="H60" s="580"/>
      <c r="I60" s="582"/>
      <c r="J60" s="581"/>
      <c r="K60" s="584"/>
      <c r="L60" s="581"/>
      <c r="M60" s="584"/>
      <c r="N60" s="581"/>
      <c r="O60" s="584"/>
      <c r="P60" s="44"/>
      <c r="Q60" s="632"/>
      <c r="S60" s="633"/>
      <c r="T60" s="1068"/>
      <c r="U60" s="500"/>
      <c r="V60" s="498"/>
      <c r="W60" s="500"/>
      <c r="X60" s="498"/>
      <c r="Y60" s="500"/>
      <c r="Z60" s="498"/>
      <c r="AA60" s="500"/>
      <c r="AB60" s="498"/>
      <c r="AC60" s="500"/>
      <c r="AD60" s="498"/>
      <c r="AE60" s="500"/>
      <c r="AG60" s="500"/>
      <c r="AH60" s="498"/>
      <c r="AI60" s="500"/>
      <c r="AJ60" s="498"/>
      <c r="AK60" s="1066"/>
      <c r="AO60" s="498"/>
    </row>
    <row r="61" spans="1:41" s="499" customFormat="1" ht="12.75" hidden="1" customHeight="1">
      <c r="A61" s="498"/>
      <c r="B61" s="392"/>
      <c r="C61" s="409" t="s">
        <v>411</v>
      </c>
      <c r="D61" s="1070" t="str">
        <f>IF(C_1=0,"0",VLOOKUP($AK$56,Klima!$B$151:$N$166,7))</f>
        <v>0</v>
      </c>
      <c r="E61" s="411">
        <f t="shared" si="2"/>
        <v>0</v>
      </c>
      <c r="F61" s="44"/>
      <c r="G61" s="44"/>
      <c r="H61" s="580"/>
      <c r="I61" s="582"/>
      <c r="J61" s="581"/>
      <c r="K61" s="584"/>
      <c r="L61" s="581"/>
      <c r="M61" s="584"/>
      <c r="N61" s="581"/>
      <c r="O61" s="584"/>
      <c r="P61" s="44"/>
      <c r="Q61" s="632"/>
      <c r="S61" s="633"/>
      <c r="T61" s="1068"/>
      <c r="U61" s="500"/>
      <c r="V61" s="498"/>
      <c r="W61" s="500"/>
      <c r="X61" s="498"/>
      <c r="Y61" s="500"/>
      <c r="Z61" s="498"/>
      <c r="AA61" s="500"/>
      <c r="AB61" s="498"/>
      <c r="AC61" s="500"/>
      <c r="AD61" s="498"/>
      <c r="AE61" s="500"/>
      <c r="AG61" s="500"/>
      <c r="AH61" s="498"/>
      <c r="AI61" s="500"/>
      <c r="AJ61" s="498"/>
      <c r="AK61" s="1066"/>
      <c r="AO61" s="498"/>
    </row>
    <row r="62" spans="1:41" s="499" customFormat="1" ht="12.75" hidden="1" customHeight="1">
      <c r="A62" s="498"/>
      <c r="B62" s="392"/>
      <c r="C62" s="409" t="s">
        <v>221</v>
      </c>
      <c r="D62" s="1070" t="str">
        <f>IF(C_1=0,"0",VLOOKUP($AK$56,Klima!$B$151:$N$166,8))</f>
        <v>0</v>
      </c>
      <c r="E62" s="411">
        <f t="shared" si="2"/>
        <v>0</v>
      </c>
      <c r="F62" s="44"/>
      <c r="G62" s="44"/>
      <c r="H62" s="580"/>
      <c r="I62" s="582"/>
      <c r="J62" s="581"/>
      <c r="K62" s="584"/>
      <c r="L62" s="581"/>
      <c r="M62" s="584"/>
      <c r="N62" s="581"/>
      <c r="O62" s="584"/>
      <c r="P62" s="44"/>
      <c r="Q62" s="632"/>
      <c r="S62" s="633"/>
      <c r="T62" s="1068"/>
      <c r="U62" s="500"/>
      <c r="V62" s="498"/>
      <c r="W62" s="500"/>
      <c r="X62" s="498"/>
      <c r="Y62" s="500"/>
      <c r="Z62" s="498"/>
      <c r="AA62" s="500"/>
      <c r="AB62" s="498"/>
      <c r="AC62" s="500"/>
      <c r="AD62" s="498"/>
      <c r="AE62" s="500"/>
      <c r="AG62" s="500"/>
      <c r="AH62" s="498"/>
      <c r="AI62" s="500"/>
      <c r="AJ62" s="498"/>
      <c r="AK62" s="1066"/>
      <c r="AO62" s="498"/>
    </row>
    <row r="63" spans="1:41" s="499" customFormat="1" ht="12.75" hidden="1" customHeight="1">
      <c r="A63" s="498"/>
      <c r="B63" s="392"/>
      <c r="C63" s="409" t="s">
        <v>138</v>
      </c>
      <c r="D63" s="1070" t="str">
        <f>IF(C_1=0,"0",VLOOKUP($AK$56,Klima!$B$151:$N$166,9))</f>
        <v>0</v>
      </c>
      <c r="E63" s="411">
        <f t="shared" si="2"/>
        <v>0</v>
      </c>
      <c r="F63" s="44"/>
      <c r="G63" s="44"/>
      <c r="H63" s="580"/>
      <c r="I63" s="582"/>
      <c r="J63" s="581"/>
      <c r="K63" s="584"/>
      <c r="L63" s="581"/>
      <c r="M63" s="584"/>
      <c r="N63" s="581"/>
      <c r="O63" s="584"/>
      <c r="P63" s="44"/>
      <c r="Q63" s="632"/>
      <c r="S63" s="633"/>
      <c r="T63" s="1068"/>
      <c r="U63" s="500"/>
      <c r="V63" s="498"/>
      <c r="W63" s="500"/>
      <c r="X63" s="498"/>
      <c r="Y63" s="500"/>
      <c r="Z63" s="498"/>
      <c r="AA63" s="500"/>
      <c r="AB63" s="498"/>
      <c r="AC63" s="500"/>
      <c r="AD63" s="498"/>
      <c r="AE63" s="500"/>
      <c r="AG63" s="500"/>
      <c r="AH63" s="498"/>
      <c r="AI63" s="500"/>
      <c r="AJ63" s="498"/>
      <c r="AK63" s="1066"/>
      <c r="AO63" s="498"/>
    </row>
    <row r="64" spans="1:41" s="499" customFormat="1" ht="12.75" hidden="1" customHeight="1">
      <c r="A64" s="498"/>
      <c r="B64" s="392"/>
      <c r="C64" s="409" t="s">
        <v>139</v>
      </c>
      <c r="D64" s="1070" t="str">
        <f>IF(C_1=0,"0",VLOOKUP($AK$56,Klima!$B$151:$N$166,10))</f>
        <v>0</v>
      </c>
      <c r="E64" s="411">
        <f t="shared" si="2"/>
        <v>0</v>
      </c>
      <c r="F64" s="44"/>
      <c r="G64" s="44"/>
      <c r="H64" s="580"/>
      <c r="I64" s="582"/>
      <c r="J64" s="581"/>
      <c r="K64" s="584"/>
      <c r="L64" s="581"/>
      <c r="M64" s="584"/>
      <c r="N64" s="581"/>
      <c r="O64" s="584"/>
      <c r="P64" s="44"/>
      <c r="Q64" s="632"/>
      <c r="S64" s="633"/>
      <c r="T64" s="1068"/>
      <c r="U64" s="500"/>
      <c r="V64" s="498"/>
      <c r="W64" s="500"/>
      <c r="X64" s="498"/>
      <c r="Y64" s="500"/>
      <c r="Z64" s="498"/>
      <c r="AA64" s="500"/>
      <c r="AB64" s="498"/>
      <c r="AC64" s="500"/>
      <c r="AD64" s="498"/>
      <c r="AE64" s="500"/>
      <c r="AG64" s="500"/>
      <c r="AH64" s="498"/>
      <c r="AI64" s="500"/>
      <c r="AJ64" s="498"/>
      <c r="AK64" s="1066"/>
      <c r="AO64" s="498"/>
    </row>
    <row r="65" spans="1:41" s="499" customFormat="1" ht="12.75" hidden="1" customHeight="1">
      <c r="A65" s="498"/>
      <c r="B65" s="392"/>
      <c r="C65" s="409" t="s">
        <v>269</v>
      </c>
      <c r="D65" s="1070" t="str">
        <f>IF(C_1=0,"0",VLOOKUP($AK$56,Klima!$B$151:$N$166,11))</f>
        <v>0</v>
      </c>
      <c r="E65" s="411">
        <f t="shared" si="2"/>
        <v>0</v>
      </c>
      <c r="F65" s="44"/>
      <c r="G65" s="44"/>
      <c r="H65" s="580"/>
      <c r="I65" s="582"/>
      <c r="J65" s="581"/>
      <c r="K65" s="584"/>
      <c r="L65" s="581"/>
      <c r="M65" s="584"/>
      <c r="N65" s="581"/>
      <c r="O65" s="584"/>
      <c r="P65" s="44"/>
      <c r="Q65" s="632"/>
      <c r="S65" s="633"/>
      <c r="T65" s="1068"/>
      <c r="U65" s="500"/>
      <c r="V65" s="498"/>
      <c r="W65" s="500"/>
      <c r="X65" s="498"/>
      <c r="Y65" s="500"/>
      <c r="Z65" s="498"/>
      <c r="AA65" s="500"/>
      <c r="AB65" s="498"/>
      <c r="AC65" s="500"/>
      <c r="AD65" s="498"/>
      <c r="AE65" s="500"/>
      <c r="AG65" s="500"/>
      <c r="AH65" s="498"/>
      <c r="AI65" s="500"/>
      <c r="AJ65" s="498"/>
      <c r="AK65" s="1066"/>
      <c r="AO65" s="498"/>
    </row>
    <row r="66" spans="1:41" s="499" customFormat="1" ht="12.75" hidden="1" customHeight="1">
      <c r="A66" s="498"/>
      <c r="B66" s="392"/>
      <c r="C66" s="409" t="s">
        <v>366</v>
      </c>
      <c r="D66" s="1070" t="str">
        <f>IF(C_1=0,"0",VLOOKUP($AK$56,Klima!$B$151:$N$166,12))</f>
        <v>0</v>
      </c>
      <c r="E66" s="411">
        <f t="shared" si="2"/>
        <v>0</v>
      </c>
      <c r="F66" s="44"/>
      <c r="G66" s="44"/>
      <c r="H66" s="580"/>
      <c r="I66" s="582"/>
      <c r="J66" s="581"/>
      <c r="K66" s="584"/>
      <c r="L66" s="581"/>
      <c r="M66" s="584"/>
      <c r="N66" s="581"/>
      <c r="O66" s="584"/>
      <c r="P66" s="44"/>
      <c r="Q66" s="632"/>
      <c r="S66" s="633"/>
      <c r="T66" s="1068"/>
      <c r="U66" s="500"/>
      <c r="V66" s="498"/>
      <c r="W66" s="500"/>
      <c r="X66" s="498"/>
      <c r="Y66" s="500"/>
      <c r="Z66" s="498"/>
      <c r="AA66" s="500"/>
      <c r="AB66" s="498"/>
      <c r="AC66" s="500"/>
      <c r="AD66" s="498"/>
      <c r="AE66" s="500"/>
      <c r="AG66" s="500"/>
      <c r="AH66" s="498"/>
      <c r="AI66" s="500"/>
      <c r="AJ66" s="498"/>
      <c r="AK66" s="1066"/>
      <c r="AO66" s="498"/>
    </row>
    <row r="67" spans="1:41" s="499" customFormat="1" ht="12.75" hidden="1" customHeight="1">
      <c r="A67" s="498"/>
      <c r="B67" s="392"/>
      <c r="C67" s="409" t="s">
        <v>465</v>
      </c>
      <c r="D67" s="1070" t="str">
        <f>IF(C_1=0,"0",VLOOKUP($AK$56,Klima!$B$151:$N$166,13))</f>
        <v>0</v>
      </c>
      <c r="E67" s="411">
        <f t="shared" si="2"/>
        <v>0</v>
      </c>
      <c r="F67" s="44"/>
      <c r="G67" s="44"/>
      <c r="H67" s="580"/>
      <c r="I67" s="582"/>
      <c r="J67" s="581"/>
      <c r="K67" s="584"/>
      <c r="L67" s="581"/>
      <c r="M67" s="584"/>
      <c r="N67" s="581"/>
      <c r="O67" s="584"/>
      <c r="P67" s="44"/>
      <c r="Q67" s="632"/>
      <c r="S67" s="633"/>
      <c r="T67" s="1068"/>
      <c r="U67" s="500"/>
      <c r="V67" s="498"/>
      <c r="W67" s="500"/>
      <c r="X67" s="498"/>
      <c r="Y67" s="500"/>
      <c r="Z67" s="498"/>
      <c r="AA67" s="500"/>
      <c r="AB67" s="498"/>
      <c r="AC67" s="500"/>
      <c r="AD67" s="498"/>
      <c r="AE67" s="500"/>
      <c r="AG67" s="500"/>
      <c r="AH67" s="498"/>
      <c r="AI67" s="500"/>
      <c r="AJ67" s="498"/>
      <c r="AK67" s="1066"/>
      <c r="AO67" s="498"/>
    </row>
    <row r="68" spans="1:41" ht="12.75" customHeight="1">
      <c r="A68" s="37"/>
      <c r="B68" s="392"/>
      <c r="C68" s="409">
        <f>Bauteile!B320</f>
        <v>0</v>
      </c>
      <c r="D68" s="1071"/>
      <c r="E68" s="394">
        <f>Bauteile!D320</f>
        <v>0</v>
      </c>
      <c r="F68" s="394">
        <f>Bauteile!F320</f>
        <v>0</v>
      </c>
      <c r="G68" s="394" t="str">
        <f>IF(Bauteile!G320="","0",Bauteile!G320)</f>
        <v>0</v>
      </c>
      <c r="H68" s="1013">
        <f>Bauteile!H320</f>
        <v>0</v>
      </c>
      <c r="I68" s="410">
        <f>IF(H_04=0,1,IF(D=0,"0",IF(H_04&lt;=1,H_04,VLOOKUP(H_04,Daten!$A$101:$N$171,AK68))))</f>
        <v>1</v>
      </c>
      <c r="J68" s="581">
        <f>Bauteile!I320</f>
        <v>0</v>
      </c>
      <c r="K68" s="410" t="str">
        <f>IF(D=0,"0",VLOOKUP(Ü_04,Daten!$A$177:$N$252,AK68))</f>
        <v>0</v>
      </c>
      <c r="L68" s="581">
        <f>Bauteile!J320</f>
        <v>0</v>
      </c>
      <c r="M68" s="410" t="str">
        <f>IF(D=0,"0",VLOOKUP(S_04,Daten!$A$258:$N$333,AK68))</f>
        <v>0</v>
      </c>
      <c r="N68" s="581">
        <f>Bauteile!K320</f>
        <v>0</v>
      </c>
      <c r="O68" s="410">
        <f>IF(AK68&gt;5,"1.00",VLOOKUP(S_104,Daten!$A$258:$N$333,AK68))</f>
        <v>0</v>
      </c>
      <c r="P68" s="394">
        <f>Bauteile!C320</f>
        <v>0</v>
      </c>
      <c r="Q68" s="631" t="str">
        <f>IF(D=0,"0",SUM(E69:E80))</f>
        <v>0</v>
      </c>
      <c r="S68" s="85"/>
      <c r="T68" s="36"/>
      <c r="U68" s="40">
        <f>IF(D="SO",1,0)</f>
        <v>0</v>
      </c>
      <c r="V68" s="40">
        <f>IF(D="SSO",2,0)</f>
        <v>0</v>
      </c>
      <c r="W68" s="40">
        <f>IF(D="S",3,0)</f>
        <v>0</v>
      </c>
      <c r="X68" s="40">
        <f>IF(D="SSW",4,0)</f>
        <v>0</v>
      </c>
      <c r="Y68" s="40">
        <f>IF(D="SW",1,0)</f>
        <v>0</v>
      </c>
      <c r="Z68" s="40">
        <f>IF(D="WSW",5,0)</f>
        <v>0</v>
      </c>
      <c r="AA68" s="40">
        <f>IF(D="W",6,0)</f>
        <v>0</v>
      </c>
      <c r="AB68" s="40">
        <f>IF(D="WNW",7,0)</f>
        <v>0</v>
      </c>
      <c r="AC68" s="40">
        <f>IF(D="NW",8,0)</f>
        <v>0</v>
      </c>
      <c r="AD68" s="40">
        <f>IF(D="NNW",9,0)</f>
        <v>0</v>
      </c>
      <c r="AE68" s="40">
        <f>IF(D="N",10,0)</f>
        <v>0</v>
      </c>
      <c r="AF68" s="40">
        <f>IF(D="NNO",11,0)</f>
        <v>0</v>
      </c>
      <c r="AG68" s="40">
        <f>IF(D="NO",8,0)</f>
        <v>0</v>
      </c>
      <c r="AH68" s="40">
        <f>IF(D="ONO",12,0)</f>
        <v>0</v>
      </c>
      <c r="AI68" s="40">
        <f>IF(D="O",6,0)</f>
        <v>0</v>
      </c>
      <c r="AJ68" s="40">
        <f>IF(D="OSO",13,0)</f>
        <v>0</v>
      </c>
      <c r="AK68" s="1065">
        <f>MAX(U68:AJ68)+1</f>
        <v>1</v>
      </c>
      <c r="AO68" s="37"/>
    </row>
    <row r="69" spans="1:41" s="499" customFormat="1" ht="12.75" hidden="1" customHeight="1">
      <c r="A69" s="498"/>
      <c r="B69" s="392"/>
      <c r="C69" s="409" t="s">
        <v>49</v>
      </c>
      <c r="D69" s="1070" t="str">
        <f>IF(D=0,"0",VLOOKUP($AK$69,Klima!$B$151:$N$166,2))</f>
        <v>0</v>
      </c>
      <c r="E69" s="411">
        <f t="shared" ref="E69:E80" si="3">D69*$E$68*$F$68*0.9*$G$68*$I$68*$K$68*$M$68*$O$68/$F$22</f>
        <v>0</v>
      </c>
      <c r="F69" s="44"/>
      <c r="G69" s="44"/>
      <c r="H69" s="580"/>
      <c r="I69" s="582"/>
      <c r="J69" s="581"/>
      <c r="K69" s="584"/>
      <c r="L69" s="581"/>
      <c r="M69" s="584"/>
      <c r="N69" s="581"/>
      <c r="O69" s="584"/>
      <c r="P69" s="44"/>
      <c r="Q69" s="632"/>
      <c r="S69" s="633"/>
      <c r="T69" s="1068"/>
      <c r="U69" s="40">
        <f>IF(D="SO",1,0)</f>
        <v>0</v>
      </c>
      <c r="V69" s="40">
        <f>IF(D="SSO",2,0)</f>
        <v>0</v>
      </c>
      <c r="W69" s="40">
        <f>IF(D="S",3,0)</f>
        <v>0</v>
      </c>
      <c r="X69" s="40">
        <f>IF(D="SSW",4,0)</f>
        <v>0</v>
      </c>
      <c r="Y69" s="40">
        <f>IF(D="SW",5,0)</f>
        <v>0</v>
      </c>
      <c r="Z69" s="40">
        <f>IF(D="WSW",6,0)</f>
        <v>0</v>
      </c>
      <c r="AA69" s="40">
        <f>IF(D="W",7,0)</f>
        <v>0</v>
      </c>
      <c r="AB69" s="40">
        <f>IF(D="WNW",8,0)</f>
        <v>0</v>
      </c>
      <c r="AC69" s="40">
        <f>IF(D="NW",9,0)</f>
        <v>0</v>
      </c>
      <c r="AD69" s="40">
        <f>IF(D="NNW",10,0)</f>
        <v>0</v>
      </c>
      <c r="AE69" s="40">
        <f>IF(D="N",11,0)</f>
        <v>0</v>
      </c>
      <c r="AF69" s="40">
        <f>IF(D="NNO",12,0)</f>
        <v>0</v>
      </c>
      <c r="AG69" s="40">
        <f>IF(D="NO",13,0)</f>
        <v>0</v>
      </c>
      <c r="AH69" s="40">
        <f>IF(D="ONO",14,0)</f>
        <v>0</v>
      </c>
      <c r="AI69" s="40">
        <f>IF(D="O",15,0)</f>
        <v>0</v>
      </c>
      <c r="AJ69" s="40">
        <f>IF(D="OSO",16,0)</f>
        <v>0</v>
      </c>
      <c r="AK69" s="1065">
        <f>MAX(U69:AJ69)</f>
        <v>0</v>
      </c>
      <c r="AO69" s="498"/>
    </row>
    <row r="70" spans="1:41" s="499" customFormat="1" ht="12.75" hidden="1" customHeight="1">
      <c r="A70" s="498"/>
      <c r="B70" s="392"/>
      <c r="C70" s="409" t="s">
        <v>554</v>
      </c>
      <c r="D70" s="1070" t="str">
        <f>IF(D=0,"0",VLOOKUP($AK$69,Klima!$B$151:$N$166,3))</f>
        <v>0</v>
      </c>
      <c r="E70" s="411">
        <f t="shared" si="3"/>
        <v>0</v>
      </c>
      <c r="F70" s="44"/>
      <c r="G70" s="44"/>
      <c r="H70" s="580"/>
      <c r="I70" s="582"/>
      <c r="J70" s="581"/>
      <c r="K70" s="584"/>
      <c r="L70" s="581"/>
      <c r="M70" s="584"/>
      <c r="N70" s="581"/>
      <c r="O70" s="584"/>
      <c r="P70" s="44"/>
      <c r="Q70" s="632"/>
      <c r="S70" s="633"/>
      <c r="T70" s="1068"/>
      <c r="U70" s="500"/>
      <c r="V70" s="498"/>
      <c r="W70" s="500"/>
      <c r="X70" s="498"/>
      <c r="Y70" s="500"/>
      <c r="Z70" s="498"/>
      <c r="AA70" s="500"/>
      <c r="AB70" s="498"/>
      <c r="AC70" s="500"/>
      <c r="AD70" s="498"/>
      <c r="AE70" s="500"/>
      <c r="AG70" s="500"/>
      <c r="AH70" s="498"/>
      <c r="AI70" s="500"/>
      <c r="AJ70" s="498"/>
      <c r="AK70" s="1066"/>
      <c r="AO70" s="498"/>
    </row>
    <row r="71" spans="1:41" s="499" customFormat="1" ht="12.75" hidden="1" customHeight="1">
      <c r="A71" s="498"/>
      <c r="B71" s="392"/>
      <c r="C71" s="409" t="s">
        <v>306</v>
      </c>
      <c r="D71" s="1070" t="str">
        <f>IF(D=0,"0",VLOOKUP($AK$69,Klima!$B$151:$N$166,4))</f>
        <v>0</v>
      </c>
      <c r="E71" s="411">
        <f t="shared" si="3"/>
        <v>0</v>
      </c>
      <c r="F71" s="44"/>
      <c r="G71" s="44"/>
      <c r="H71" s="580"/>
      <c r="I71" s="582"/>
      <c r="J71" s="581"/>
      <c r="K71" s="584"/>
      <c r="L71" s="581"/>
      <c r="M71" s="584"/>
      <c r="N71" s="581"/>
      <c r="O71" s="584"/>
      <c r="P71" s="44"/>
      <c r="Q71" s="632"/>
      <c r="S71" s="633"/>
      <c r="T71" s="1068"/>
      <c r="U71" s="500"/>
      <c r="V71" s="498"/>
      <c r="W71" s="500"/>
      <c r="X71" s="498"/>
      <c r="Y71" s="500"/>
      <c r="Z71" s="498"/>
      <c r="AA71" s="500"/>
      <c r="AB71" s="498"/>
      <c r="AC71" s="500"/>
      <c r="AD71" s="498"/>
      <c r="AE71" s="500"/>
      <c r="AG71" s="500"/>
      <c r="AH71" s="498"/>
      <c r="AI71" s="500"/>
      <c r="AJ71" s="498"/>
      <c r="AK71" s="1066"/>
      <c r="AO71" s="498"/>
    </row>
    <row r="72" spans="1:41" s="499" customFormat="1" ht="12.75" hidden="1" customHeight="1">
      <c r="A72" s="498"/>
      <c r="B72" s="392"/>
      <c r="C72" s="409" t="s">
        <v>409</v>
      </c>
      <c r="D72" s="1070" t="str">
        <f>IF(D=0,"0",VLOOKUP($AK$69,Klima!$B$151:$N$166,5))</f>
        <v>0</v>
      </c>
      <c r="E72" s="411">
        <f t="shared" si="3"/>
        <v>0</v>
      </c>
      <c r="F72" s="44"/>
      <c r="G72" s="44"/>
      <c r="H72" s="580"/>
      <c r="I72" s="582"/>
      <c r="J72" s="581"/>
      <c r="K72" s="584"/>
      <c r="L72" s="581"/>
      <c r="M72" s="584"/>
      <c r="N72" s="581"/>
      <c r="O72" s="584"/>
      <c r="P72" s="44"/>
      <c r="Q72" s="632"/>
      <c r="S72" s="633"/>
      <c r="T72" s="1068"/>
      <c r="U72" s="500"/>
      <c r="V72" s="498"/>
      <c r="W72" s="500"/>
      <c r="X72" s="498"/>
      <c r="Y72" s="500"/>
      <c r="Z72" s="498"/>
      <c r="AA72" s="500"/>
      <c r="AB72" s="498"/>
      <c r="AC72" s="500"/>
      <c r="AD72" s="498"/>
      <c r="AE72" s="500"/>
      <c r="AG72" s="500"/>
      <c r="AH72" s="498"/>
      <c r="AI72" s="500"/>
      <c r="AJ72" s="498"/>
      <c r="AK72" s="1066"/>
      <c r="AO72" s="498"/>
    </row>
    <row r="73" spans="1:41" s="499" customFormat="1" ht="12.75" hidden="1" customHeight="1">
      <c r="A73" s="498"/>
      <c r="B73" s="392"/>
      <c r="C73" s="409" t="s">
        <v>410</v>
      </c>
      <c r="D73" s="1070" t="str">
        <f>IF(D=0,"0",VLOOKUP($AK$69,Klima!$B$151:$N$166,6))</f>
        <v>0</v>
      </c>
      <c r="E73" s="411">
        <f t="shared" si="3"/>
        <v>0</v>
      </c>
      <c r="F73" s="44"/>
      <c r="G73" s="44"/>
      <c r="H73" s="580"/>
      <c r="I73" s="582"/>
      <c r="J73" s="581"/>
      <c r="K73" s="584"/>
      <c r="L73" s="581"/>
      <c r="M73" s="584"/>
      <c r="N73" s="581"/>
      <c r="O73" s="584"/>
      <c r="P73" s="44"/>
      <c r="Q73" s="632"/>
      <c r="S73" s="633"/>
      <c r="T73" s="1068"/>
      <c r="U73" s="500"/>
      <c r="V73" s="498"/>
      <c r="W73" s="500"/>
      <c r="X73" s="498"/>
      <c r="Y73" s="500"/>
      <c r="Z73" s="498"/>
      <c r="AA73" s="500"/>
      <c r="AB73" s="498"/>
      <c r="AC73" s="500"/>
      <c r="AD73" s="498"/>
      <c r="AE73" s="500"/>
      <c r="AG73" s="500"/>
      <c r="AH73" s="498"/>
      <c r="AI73" s="500"/>
      <c r="AJ73" s="498"/>
      <c r="AK73" s="1066"/>
      <c r="AO73" s="498"/>
    </row>
    <row r="74" spans="1:41" s="499" customFormat="1" ht="12.75" hidden="1" customHeight="1">
      <c r="A74" s="498"/>
      <c r="B74" s="392"/>
      <c r="C74" s="409" t="s">
        <v>411</v>
      </c>
      <c r="D74" s="1070" t="str">
        <f>IF(D=0,"0",VLOOKUP($AK$69,Klima!$B$151:$N$166,7))</f>
        <v>0</v>
      </c>
      <c r="E74" s="411">
        <f t="shared" si="3"/>
        <v>0</v>
      </c>
      <c r="F74" s="44"/>
      <c r="G74" s="44"/>
      <c r="H74" s="580"/>
      <c r="I74" s="582"/>
      <c r="J74" s="581"/>
      <c r="K74" s="584"/>
      <c r="L74" s="581"/>
      <c r="M74" s="584"/>
      <c r="N74" s="581"/>
      <c r="O74" s="584"/>
      <c r="P74" s="44"/>
      <c r="Q74" s="632"/>
      <c r="S74" s="633"/>
      <c r="T74" s="1068"/>
      <c r="U74" s="500"/>
      <c r="V74" s="498"/>
      <c r="W74" s="500"/>
      <c r="X74" s="498"/>
      <c r="Y74" s="500"/>
      <c r="Z74" s="498"/>
      <c r="AA74" s="500"/>
      <c r="AB74" s="498"/>
      <c r="AC74" s="500"/>
      <c r="AD74" s="498"/>
      <c r="AE74" s="500"/>
      <c r="AG74" s="500"/>
      <c r="AH74" s="498"/>
      <c r="AI74" s="500"/>
      <c r="AJ74" s="498"/>
      <c r="AK74" s="1066"/>
      <c r="AO74" s="498"/>
    </row>
    <row r="75" spans="1:41" s="499" customFormat="1" ht="12.75" hidden="1" customHeight="1">
      <c r="A75" s="498"/>
      <c r="B75" s="392"/>
      <c r="C75" s="409" t="s">
        <v>221</v>
      </c>
      <c r="D75" s="1070" t="str">
        <f>IF(D=0,"0",VLOOKUP($AK$69,Klima!$B$151:$N$166,8))</f>
        <v>0</v>
      </c>
      <c r="E75" s="411">
        <f t="shared" si="3"/>
        <v>0</v>
      </c>
      <c r="F75" s="44"/>
      <c r="G75" s="44"/>
      <c r="H75" s="580"/>
      <c r="I75" s="582"/>
      <c r="J75" s="581"/>
      <c r="K75" s="584"/>
      <c r="L75" s="581"/>
      <c r="M75" s="584"/>
      <c r="N75" s="581"/>
      <c r="O75" s="584"/>
      <c r="P75" s="44"/>
      <c r="Q75" s="632"/>
      <c r="S75" s="633"/>
      <c r="T75" s="1068"/>
      <c r="U75" s="500"/>
      <c r="V75" s="498"/>
      <c r="W75" s="500"/>
      <c r="X75" s="498"/>
      <c r="Y75" s="500"/>
      <c r="Z75" s="498"/>
      <c r="AA75" s="500"/>
      <c r="AB75" s="498"/>
      <c r="AC75" s="500"/>
      <c r="AD75" s="498"/>
      <c r="AE75" s="500"/>
      <c r="AG75" s="500"/>
      <c r="AH75" s="498"/>
      <c r="AI75" s="500"/>
      <c r="AJ75" s="498"/>
      <c r="AK75" s="1066"/>
      <c r="AO75" s="498"/>
    </row>
    <row r="76" spans="1:41" s="499" customFormat="1" ht="12.75" hidden="1" customHeight="1">
      <c r="A76" s="498"/>
      <c r="B76" s="392"/>
      <c r="C76" s="409" t="s">
        <v>138</v>
      </c>
      <c r="D76" s="1070" t="str">
        <f>IF(D=0,"0",VLOOKUP($AK$69,Klima!$B$151:$N$166,9))</f>
        <v>0</v>
      </c>
      <c r="E76" s="411">
        <f t="shared" si="3"/>
        <v>0</v>
      </c>
      <c r="F76" s="44"/>
      <c r="G76" s="44"/>
      <c r="H76" s="580"/>
      <c r="I76" s="582"/>
      <c r="J76" s="581"/>
      <c r="K76" s="584"/>
      <c r="L76" s="581"/>
      <c r="M76" s="584"/>
      <c r="N76" s="581"/>
      <c r="O76" s="584"/>
      <c r="P76" s="44"/>
      <c r="Q76" s="632"/>
      <c r="S76" s="633"/>
      <c r="T76" s="1068"/>
      <c r="U76" s="500"/>
      <c r="V76" s="498"/>
      <c r="W76" s="500"/>
      <c r="X76" s="498"/>
      <c r="Y76" s="500"/>
      <c r="Z76" s="498"/>
      <c r="AA76" s="500"/>
      <c r="AB76" s="498"/>
      <c r="AC76" s="500"/>
      <c r="AD76" s="498"/>
      <c r="AE76" s="500"/>
      <c r="AG76" s="500"/>
      <c r="AH76" s="498"/>
      <c r="AI76" s="500"/>
      <c r="AJ76" s="498"/>
      <c r="AK76" s="1066"/>
      <c r="AO76" s="498"/>
    </row>
    <row r="77" spans="1:41" s="499" customFormat="1" ht="12.75" hidden="1" customHeight="1">
      <c r="A77" s="498"/>
      <c r="B77" s="392"/>
      <c r="C77" s="409" t="s">
        <v>139</v>
      </c>
      <c r="D77" s="1070" t="str">
        <f>IF(D=0,"0",VLOOKUP($AK$69,Klima!$B$151:$N$166,10))</f>
        <v>0</v>
      </c>
      <c r="E77" s="411">
        <f t="shared" si="3"/>
        <v>0</v>
      </c>
      <c r="F77" s="44"/>
      <c r="G77" s="44"/>
      <c r="H77" s="580"/>
      <c r="I77" s="582"/>
      <c r="J77" s="581"/>
      <c r="K77" s="584"/>
      <c r="L77" s="581"/>
      <c r="M77" s="584"/>
      <c r="N77" s="581"/>
      <c r="O77" s="584"/>
      <c r="P77" s="44"/>
      <c r="Q77" s="632"/>
      <c r="S77" s="633"/>
      <c r="T77" s="1068"/>
      <c r="U77" s="500"/>
      <c r="V77" s="498"/>
      <c r="W77" s="500"/>
      <c r="X77" s="498"/>
      <c r="Y77" s="500"/>
      <c r="Z77" s="498"/>
      <c r="AA77" s="500"/>
      <c r="AB77" s="498"/>
      <c r="AC77" s="500"/>
      <c r="AD77" s="498"/>
      <c r="AE77" s="500"/>
      <c r="AG77" s="500"/>
      <c r="AH77" s="498"/>
      <c r="AI77" s="500"/>
      <c r="AJ77" s="498"/>
      <c r="AK77" s="1066"/>
      <c r="AO77" s="498"/>
    </row>
    <row r="78" spans="1:41" s="499" customFormat="1" ht="12.75" hidden="1" customHeight="1">
      <c r="A78" s="498"/>
      <c r="B78" s="392"/>
      <c r="C78" s="409" t="s">
        <v>269</v>
      </c>
      <c r="D78" s="1070" t="str">
        <f>IF(D=0,"0",VLOOKUP($AK$69,Klima!$B$151:$N$166,11))</f>
        <v>0</v>
      </c>
      <c r="E78" s="411">
        <f t="shared" si="3"/>
        <v>0</v>
      </c>
      <c r="F78" s="44"/>
      <c r="G78" s="44"/>
      <c r="H78" s="580"/>
      <c r="I78" s="582"/>
      <c r="J78" s="581"/>
      <c r="K78" s="584"/>
      <c r="L78" s="581"/>
      <c r="M78" s="584"/>
      <c r="N78" s="581"/>
      <c r="O78" s="584"/>
      <c r="P78" s="44"/>
      <c r="Q78" s="632"/>
      <c r="S78" s="633"/>
      <c r="T78" s="1068"/>
      <c r="U78" s="500"/>
      <c r="V78" s="498"/>
      <c r="W78" s="500"/>
      <c r="X78" s="498"/>
      <c r="Y78" s="500"/>
      <c r="Z78" s="498"/>
      <c r="AA78" s="500"/>
      <c r="AB78" s="498"/>
      <c r="AC78" s="500"/>
      <c r="AD78" s="498"/>
      <c r="AE78" s="500"/>
      <c r="AG78" s="500"/>
      <c r="AH78" s="498"/>
      <c r="AI78" s="500"/>
      <c r="AJ78" s="498"/>
      <c r="AK78" s="1066"/>
      <c r="AO78" s="498"/>
    </row>
    <row r="79" spans="1:41" s="499" customFormat="1" ht="12.75" hidden="1" customHeight="1">
      <c r="A79" s="498"/>
      <c r="B79" s="392"/>
      <c r="C79" s="409" t="s">
        <v>366</v>
      </c>
      <c r="D79" s="1070" t="str">
        <f>IF(D=0,"0",VLOOKUP($AK$69,Klima!$B$151:$N$166,12))</f>
        <v>0</v>
      </c>
      <c r="E79" s="411">
        <f t="shared" si="3"/>
        <v>0</v>
      </c>
      <c r="F79" s="44"/>
      <c r="G79" s="44"/>
      <c r="H79" s="580"/>
      <c r="I79" s="582"/>
      <c r="J79" s="581"/>
      <c r="K79" s="584"/>
      <c r="L79" s="581"/>
      <c r="M79" s="584"/>
      <c r="N79" s="581"/>
      <c r="O79" s="584"/>
      <c r="P79" s="44"/>
      <c r="Q79" s="632"/>
      <c r="S79" s="633"/>
      <c r="T79" s="1068"/>
      <c r="U79" s="500"/>
      <c r="V79" s="498"/>
      <c r="W79" s="500"/>
      <c r="X79" s="498"/>
      <c r="Y79" s="500"/>
      <c r="Z79" s="498"/>
      <c r="AA79" s="500"/>
      <c r="AB79" s="498"/>
      <c r="AC79" s="500"/>
      <c r="AD79" s="498"/>
      <c r="AE79" s="500"/>
      <c r="AG79" s="500"/>
      <c r="AH79" s="498"/>
      <c r="AI79" s="500"/>
      <c r="AJ79" s="498"/>
      <c r="AK79" s="1066"/>
      <c r="AO79" s="498"/>
    </row>
    <row r="80" spans="1:41" s="499" customFormat="1" ht="12.75" hidden="1" customHeight="1">
      <c r="A80" s="498"/>
      <c r="B80" s="392"/>
      <c r="C80" s="409" t="s">
        <v>465</v>
      </c>
      <c r="D80" s="1070" t="str">
        <f>IF(D=0,"0",VLOOKUP($AK$69,Klima!$B$151:$N$166,13))</f>
        <v>0</v>
      </c>
      <c r="E80" s="411">
        <f t="shared" si="3"/>
        <v>0</v>
      </c>
      <c r="F80" s="44"/>
      <c r="G80" s="44"/>
      <c r="H80" s="580"/>
      <c r="I80" s="582"/>
      <c r="J80" s="581"/>
      <c r="K80" s="584"/>
      <c r="L80" s="581"/>
      <c r="M80" s="584"/>
      <c r="N80" s="581"/>
      <c r="O80" s="584"/>
      <c r="P80" s="44"/>
      <c r="Q80" s="632"/>
      <c r="S80" s="633"/>
      <c r="T80" s="1068"/>
      <c r="U80" s="500"/>
      <c r="V80" s="498"/>
      <c r="W80" s="500"/>
      <c r="X80" s="498"/>
      <c r="Y80" s="500"/>
      <c r="Z80" s="498"/>
      <c r="AA80" s="500"/>
      <c r="AB80" s="498"/>
      <c r="AC80" s="500"/>
      <c r="AD80" s="498"/>
      <c r="AE80" s="500"/>
      <c r="AG80" s="500"/>
      <c r="AH80" s="498"/>
      <c r="AI80" s="500"/>
      <c r="AJ80" s="498"/>
      <c r="AK80" s="1066"/>
      <c r="AO80" s="498"/>
    </row>
    <row r="81" spans="1:41" ht="12.75" customHeight="1">
      <c r="A81" s="37"/>
      <c r="B81" s="392"/>
      <c r="C81" s="409">
        <f>Bauteile!B334</f>
        <v>0</v>
      </c>
      <c r="D81" s="1071"/>
      <c r="E81" s="394">
        <f>Bauteile!D334</f>
        <v>0</v>
      </c>
      <c r="F81" s="394">
        <f>Bauteile!F334</f>
        <v>0</v>
      </c>
      <c r="G81" s="394" t="str">
        <f>IF(Bauteile!G334="","0",Bauteile!G334)</f>
        <v>0</v>
      </c>
      <c r="H81" s="1013">
        <f>Bauteile!H334</f>
        <v>0</v>
      </c>
      <c r="I81" s="410">
        <f>IF(H_05=0,1,IF(E=0,"0",IF(H_05&lt;=1,H_05,VLOOKUP(H_05,Daten!$A$101:$N$171,AK81))))</f>
        <v>1</v>
      </c>
      <c r="J81" s="581">
        <f>Bauteile!I334</f>
        <v>0</v>
      </c>
      <c r="K81" s="410" t="str">
        <f>IF(E=0,"0",VLOOKUP(Ü_05,Daten!$A$177:$N$252,AK81))</f>
        <v>0</v>
      </c>
      <c r="L81" s="581">
        <f>Bauteile!J334</f>
        <v>0</v>
      </c>
      <c r="M81" s="410" t="str">
        <f>IF(E=0,"0",VLOOKUP(S_05,Daten!$A$258:$N$333,AK81))</f>
        <v>0</v>
      </c>
      <c r="N81" s="581">
        <f>Bauteile!K334</f>
        <v>0</v>
      </c>
      <c r="O81" s="410">
        <f>IF(AK81&gt;5,"1.00",VLOOKUP(S_105,Daten!$A$258:$N$333,AK81))</f>
        <v>0</v>
      </c>
      <c r="P81" s="394">
        <f>Bauteile!C334</f>
        <v>0</v>
      </c>
      <c r="Q81" s="631" t="str">
        <f>IF(E=0,"0",SUM(E82:E93))</f>
        <v>0</v>
      </c>
      <c r="S81" s="85"/>
      <c r="T81" s="36"/>
      <c r="U81" s="40">
        <f>IF(E="SO",1,0)</f>
        <v>0</v>
      </c>
      <c r="V81" s="40">
        <f>IF(E="SSO",2,0)</f>
        <v>0</v>
      </c>
      <c r="W81" s="40">
        <f>IF(E="S",3,0)</f>
        <v>0</v>
      </c>
      <c r="X81" s="40">
        <f>IF(E="SSW",4,0)</f>
        <v>0</v>
      </c>
      <c r="Y81" s="40">
        <f>IF(E="SW",1,0)</f>
        <v>0</v>
      </c>
      <c r="Z81" s="40">
        <f>IF(E="WSW",5,0)</f>
        <v>0</v>
      </c>
      <c r="AA81" s="40">
        <f>IF(E="W",6,0)</f>
        <v>0</v>
      </c>
      <c r="AB81" s="40">
        <f>IF(E="WNW",7,0)</f>
        <v>0</v>
      </c>
      <c r="AC81" s="40">
        <f>IF(E="NW",8,0)</f>
        <v>0</v>
      </c>
      <c r="AD81" s="40">
        <f>IF(E="NNW",9,0)</f>
        <v>0</v>
      </c>
      <c r="AE81" s="40">
        <f>IF(E="N",10,0)</f>
        <v>0</v>
      </c>
      <c r="AF81" s="40">
        <f>IF(E="NNO",11,0)</f>
        <v>0</v>
      </c>
      <c r="AG81" s="40">
        <f>IF(E="NO",8,0)</f>
        <v>0</v>
      </c>
      <c r="AH81" s="40">
        <f>IF(E="ONO",12,0)</f>
        <v>0</v>
      </c>
      <c r="AI81" s="40">
        <f>IF(E="O",6,0)</f>
        <v>0</v>
      </c>
      <c r="AJ81" s="40">
        <f>IF(E="OSO",13,0)</f>
        <v>0</v>
      </c>
      <c r="AK81" s="1065">
        <f>MAX(U81:AJ81)+1</f>
        <v>1</v>
      </c>
      <c r="AO81" s="37"/>
    </row>
    <row r="82" spans="1:41" s="499" customFormat="1" ht="12.75" hidden="1" customHeight="1">
      <c r="A82" s="498"/>
      <c r="B82" s="392"/>
      <c r="C82" s="409" t="s">
        <v>49</v>
      </c>
      <c r="D82" s="1070" t="str">
        <f>IF(E=0,"0",VLOOKUP($AK$82,Klima!$B$151:$N$166,2))</f>
        <v>0</v>
      </c>
      <c r="E82" s="411">
        <f t="shared" ref="E82:E93" si="4">D82*$E$81*$F$81*0.9*$G$81*$I$81*$K$81*$M$81*$O$81/$F$22</f>
        <v>0</v>
      </c>
      <c r="F82" s="44"/>
      <c r="G82" s="44"/>
      <c r="H82" s="580"/>
      <c r="I82" s="582"/>
      <c r="J82" s="581"/>
      <c r="K82" s="584"/>
      <c r="L82" s="581"/>
      <c r="M82" s="584"/>
      <c r="N82" s="581"/>
      <c r="O82" s="584"/>
      <c r="P82" s="44"/>
      <c r="Q82" s="632"/>
      <c r="S82" s="633"/>
      <c r="T82" s="1068"/>
      <c r="U82" s="40">
        <f>IF(E="SO",1,0)</f>
        <v>0</v>
      </c>
      <c r="V82" s="40">
        <f>IF(E="SSO",2,0)</f>
        <v>0</v>
      </c>
      <c r="W82" s="40">
        <f>IF(E="S",3,0)</f>
        <v>0</v>
      </c>
      <c r="X82" s="40">
        <f>IF(E="SSW",4,0)</f>
        <v>0</v>
      </c>
      <c r="Y82" s="40">
        <f>IF(E="SW",5,0)</f>
        <v>0</v>
      </c>
      <c r="Z82" s="40">
        <f>IF(E="WSW",6,0)</f>
        <v>0</v>
      </c>
      <c r="AA82" s="40">
        <f>IF(E="W",7,0)</f>
        <v>0</v>
      </c>
      <c r="AB82" s="40">
        <f>IF(E="WNW",8,0)</f>
        <v>0</v>
      </c>
      <c r="AC82" s="40">
        <f>IF(E="NW",9,0)</f>
        <v>0</v>
      </c>
      <c r="AD82" s="40">
        <f>IF(E="NNW",10,0)</f>
        <v>0</v>
      </c>
      <c r="AE82" s="40">
        <f>IF(E="N",11,0)</f>
        <v>0</v>
      </c>
      <c r="AF82" s="40">
        <f>IF(E="NNO",12,0)</f>
        <v>0</v>
      </c>
      <c r="AG82" s="40">
        <f>IF(E="NO",13,0)</f>
        <v>0</v>
      </c>
      <c r="AH82" s="40">
        <f>IF(E="ONO",14,0)</f>
        <v>0</v>
      </c>
      <c r="AI82" s="40">
        <f>IF(E="O",15,0)</f>
        <v>0</v>
      </c>
      <c r="AJ82" s="40">
        <f>IF(E="OSO",16,0)</f>
        <v>0</v>
      </c>
      <c r="AK82" s="1065">
        <f>MAX(U82:AJ82)</f>
        <v>0</v>
      </c>
      <c r="AO82" s="498"/>
    </row>
    <row r="83" spans="1:41" s="499" customFormat="1" ht="12.75" hidden="1" customHeight="1">
      <c r="A83" s="498"/>
      <c r="B83" s="392"/>
      <c r="C83" s="409" t="s">
        <v>554</v>
      </c>
      <c r="D83" s="1070" t="str">
        <f>IF(E=0,"0",VLOOKUP($AK$82,Klima!$B$151:$N$166,3))</f>
        <v>0</v>
      </c>
      <c r="E83" s="411">
        <f t="shared" si="4"/>
        <v>0</v>
      </c>
      <c r="F83" s="44"/>
      <c r="G83" s="44"/>
      <c r="H83" s="580"/>
      <c r="I83" s="582"/>
      <c r="J83" s="581"/>
      <c r="K83" s="584"/>
      <c r="L83" s="581"/>
      <c r="M83" s="584"/>
      <c r="N83" s="581"/>
      <c r="O83" s="584"/>
      <c r="P83" s="44"/>
      <c r="Q83" s="632"/>
      <c r="S83" s="633"/>
      <c r="T83" s="1068"/>
      <c r="U83" s="500"/>
      <c r="V83" s="498"/>
      <c r="W83" s="500"/>
      <c r="X83" s="498"/>
      <c r="Y83" s="500"/>
      <c r="Z83" s="498"/>
      <c r="AA83" s="500"/>
      <c r="AB83" s="498"/>
      <c r="AC83" s="500"/>
      <c r="AD83" s="498"/>
      <c r="AE83" s="500"/>
      <c r="AG83" s="500"/>
      <c r="AH83" s="498"/>
      <c r="AI83" s="500"/>
      <c r="AJ83" s="498"/>
      <c r="AK83" s="1066"/>
      <c r="AO83" s="498"/>
    </row>
    <row r="84" spans="1:41" s="499" customFormat="1" ht="12.75" hidden="1" customHeight="1">
      <c r="A84" s="498"/>
      <c r="B84" s="392"/>
      <c r="C84" s="409" t="s">
        <v>306</v>
      </c>
      <c r="D84" s="1070" t="str">
        <f>IF(E=0,"0",VLOOKUP($AK$82,Klima!$B$151:$N$166,4))</f>
        <v>0</v>
      </c>
      <c r="E84" s="411">
        <f t="shared" si="4"/>
        <v>0</v>
      </c>
      <c r="F84" s="44"/>
      <c r="G84" s="44"/>
      <c r="H84" s="580"/>
      <c r="I84" s="582"/>
      <c r="J84" s="581"/>
      <c r="K84" s="584"/>
      <c r="L84" s="581"/>
      <c r="M84" s="584"/>
      <c r="N84" s="581"/>
      <c r="O84" s="584"/>
      <c r="P84" s="44"/>
      <c r="Q84" s="632"/>
      <c r="S84" s="633"/>
      <c r="T84" s="1068"/>
      <c r="U84" s="500"/>
      <c r="V84" s="498"/>
      <c r="W84" s="500"/>
      <c r="X84" s="498"/>
      <c r="Y84" s="500"/>
      <c r="Z84" s="498"/>
      <c r="AA84" s="500"/>
      <c r="AB84" s="498"/>
      <c r="AC84" s="500"/>
      <c r="AD84" s="498"/>
      <c r="AE84" s="500"/>
      <c r="AG84" s="500"/>
      <c r="AH84" s="498"/>
      <c r="AI84" s="500"/>
      <c r="AJ84" s="498"/>
      <c r="AK84" s="1066"/>
      <c r="AO84" s="498"/>
    </row>
    <row r="85" spans="1:41" s="499" customFormat="1" ht="12.75" hidden="1" customHeight="1">
      <c r="A85" s="498"/>
      <c r="B85" s="392"/>
      <c r="C85" s="409" t="s">
        <v>409</v>
      </c>
      <c r="D85" s="1070" t="str">
        <f>IF(E=0,"0",VLOOKUP($AK$82,Klima!$B$151:$N$166,5))</f>
        <v>0</v>
      </c>
      <c r="E85" s="411">
        <f t="shared" si="4"/>
        <v>0</v>
      </c>
      <c r="F85" s="44"/>
      <c r="G85" s="44"/>
      <c r="H85" s="580"/>
      <c r="I85" s="582"/>
      <c r="J85" s="581"/>
      <c r="K85" s="584"/>
      <c r="L85" s="581"/>
      <c r="M85" s="584"/>
      <c r="N85" s="581"/>
      <c r="O85" s="584"/>
      <c r="P85" s="44"/>
      <c r="Q85" s="632"/>
      <c r="S85" s="633"/>
      <c r="T85" s="1068"/>
      <c r="U85" s="500"/>
      <c r="V85" s="498"/>
      <c r="W85" s="500"/>
      <c r="X85" s="498"/>
      <c r="Y85" s="500"/>
      <c r="Z85" s="498"/>
      <c r="AA85" s="500"/>
      <c r="AB85" s="498"/>
      <c r="AC85" s="500"/>
      <c r="AD85" s="498"/>
      <c r="AE85" s="500"/>
      <c r="AG85" s="500"/>
      <c r="AH85" s="498"/>
      <c r="AI85" s="500"/>
      <c r="AJ85" s="498"/>
      <c r="AK85" s="1066"/>
      <c r="AO85" s="498"/>
    </row>
    <row r="86" spans="1:41" s="499" customFormat="1" ht="12.75" hidden="1" customHeight="1">
      <c r="A86" s="498"/>
      <c r="B86" s="392"/>
      <c r="C86" s="409" t="s">
        <v>410</v>
      </c>
      <c r="D86" s="1070" t="str">
        <f>IF(E=0,"0",VLOOKUP($AK$82,Klima!$B$151:$N$166,6))</f>
        <v>0</v>
      </c>
      <c r="E86" s="411">
        <f t="shared" si="4"/>
        <v>0</v>
      </c>
      <c r="F86" s="44"/>
      <c r="G86" s="44"/>
      <c r="H86" s="580"/>
      <c r="I86" s="582"/>
      <c r="J86" s="581"/>
      <c r="K86" s="584"/>
      <c r="L86" s="581"/>
      <c r="M86" s="584"/>
      <c r="N86" s="581"/>
      <c r="O86" s="584"/>
      <c r="P86" s="44"/>
      <c r="Q86" s="632"/>
      <c r="S86" s="633"/>
      <c r="T86" s="1068"/>
      <c r="U86" s="500"/>
      <c r="V86" s="498"/>
      <c r="W86" s="500"/>
      <c r="X86" s="498"/>
      <c r="Y86" s="500"/>
      <c r="Z86" s="498"/>
      <c r="AA86" s="500"/>
      <c r="AB86" s="498"/>
      <c r="AC86" s="500"/>
      <c r="AD86" s="498"/>
      <c r="AE86" s="500"/>
      <c r="AG86" s="500"/>
      <c r="AH86" s="498"/>
      <c r="AI86" s="500"/>
      <c r="AJ86" s="498"/>
      <c r="AK86" s="1066"/>
      <c r="AO86" s="498"/>
    </row>
    <row r="87" spans="1:41" s="499" customFormat="1" ht="12.75" hidden="1" customHeight="1">
      <c r="A87" s="498"/>
      <c r="B87" s="392"/>
      <c r="C87" s="409" t="s">
        <v>411</v>
      </c>
      <c r="D87" s="1070" t="str">
        <f>IF(E=0,"0",VLOOKUP($AK$82,Klima!$B$151:$N$166,7))</f>
        <v>0</v>
      </c>
      <c r="E87" s="411">
        <f t="shared" si="4"/>
        <v>0</v>
      </c>
      <c r="F87" s="44"/>
      <c r="G87" s="44"/>
      <c r="H87" s="580"/>
      <c r="I87" s="582"/>
      <c r="J87" s="581"/>
      <c r="K87" s="584"/>
      <c r="L87" s="581"/>
      <c r="M87" s="584"/>
      <c r="N87" s="581"/>
      <c r="O87" s="584"/>
      <c r="P87" s="44"/>
      <c r="Q87" s="632"/>
      <c r="S87" s="633"/>
      <c r="T87" s="1068"/>
      <c r="U87" s="500"/>
      <c r="V87" s="498"/>
      <c r="W87" s="500"/>
      <c r="X87" s="498"/>
      <c r="Y87" s="500"/>
      <c r="Z87" s="498"/>
      <c r="AA87" s="500"/>
      <c r="AB87" s="498"/>
      <c r="AC87" s="500"/>
      <c r="AD87" s="498"/>
      <c r="AE87" s="500"/>
      <c r="AG87" s="500"/>
      <c r="AH87" s="498"/>
      <c r="AI87" s="500"/>
      <c r="AJ87" s="498"/>
      <c r="AK87" s="1066"/>
      <c r="AO87" s="498"/>
    </row>
    <row r="88" spans="1:41" s="499" customFormat="1" ht="12.75" hidden="1" customHeight="1">
      <c r="A88" s="498"/>
      <c r="B88" s="392"/>
      <c r="C88" s="409" t="s">
        <v>221</v>
      </c>
      <c r="D88" s="1070" t="str">
        <f>IF(E=0,"0",VLOOKUP($AK$82,Klima!$B$151:$N$166,8))</f>
        <v>0</v>
      </c>
      <c r="E88" s="411">
        <f t="shared" si="4"/>
        <v>0</v>
      </c>
      <c r="F88" s="44"/>
      <c r="G88" s="44"/>
      <c r="H88" s="580"/>
      <c r="I88" s="582"/>
      <c r="J88" s="581"/>
      <c r="K88" s="584"/>
      <c r="L88" s="581"/>
      <c r="M88" s="584"/>
      <c r="N88" s="581"/>
      <c r="O88" s="584"/>
      <c r="P88" s="44"/>
      <c r="Q88" s="632"/>
      <c r="S88" s="633"/>
      <c r="T88" s="1068"/>
      <c r="U88" s="500"/>
      <c r="V88" s="498"/>
      <c r="W88" s="500"/>
      <c r="X88" s="498"/>
      <c r="Y88" s="500"/>
      <c r="Z88" s="498"/>
      <c r="AA88" s="500"/>
      <c r="AB88" s="498"/>
      <c r="AC88" s="500"/>
      <c r="AD88" s="498"/>
      <c r="AE88" s="500"/>
      <c r="AG88" s="500"/>
      <c r="AH88" s="498"/>
      <c r="AI88" s="500"/>
      <c r="AJ88" s="498"/>
      <c r="AK88" s="1066"/>
      <c r="AO88" s="498"/>
    </row>
    <row r="89" spans="1:41" s="499" customFormat="1" ht="12.75" hidden="1" customHeight="1">
      <c r="A89" s="498"/>
      <c r="B89" s="392"/>
      <c r="C89" s="409" t="s">
        <v>138</v>
      </c>
      <c r="D89" s="1070" t="str">
        <f>IF(E=0,"0",VLOOKUP($AK$82,Klima!$B$151:$N$166,9))</f>
        <v>0</v>
      </c>
      <c r="E89" s="411">
        <f t="shared" si="4"/>
        <v>0</v>
      </c>
      <c r="F89" s="44"/>
      <c r="G89" s="44"/>
      <c r="H89" s="580"/>
      <c r="I89" s="582"/>
      <c r="J89" s="581"/>
      <c r="K89" s="584"/>
      <c r="L89" s="581"/>
      <c r="M89" s="584"/>
      <c r="N89" s="581"/>
      <c r="O89" s="584"/>
      <c r="P89" s="44"/>
      <c r="Q89" s="632"/>
      <c r="S89" s="633"/>
      <c r="T89" s="1068"/>
      <c r="U89" s="500"/>
      <c r="V89" s="498"/>
      <c r="W89" s="500"/>
      <c r="X89" s="498"/>
      <c r="Y89" s="500"/>
      <c r="Z89" s="498"/>
      <c r="AA89" s="500"/>
      <c r="AB89" s="498"/>
      <c r="AC89" s="500"/>
      <c r="AD89" s="498"/>
      <c r="AE89" s="500"/>
      <c r="AG89" s="500"/>
      <c r="AH89" s="498"/>
      <c r="AI89" s="500"/>
      <c r="AJ89" s="498"/>
      <c r="AK89" s="1066"/>
      <c r="AO89" s="498"/>
    </row>
    <row r="90" spans="1:41" s="499" customFormat="1" ht="12.75" hidden="1" customHeight="1">
      <c r="A90" s="498"/>
      <c r="B90" s="392"/>
      <c r="C90" s="409" t="s">
        <v>139</v>
      </c>
      <c r="D90" s="1070" t="str">
        <f>IF(E=0,"0",VLOOKUP($AK$82,Klima!$B$151:$N$166,10))</f>
        <v>0</v>
      </c>
      <c r="E90" s="411">
        <f t="shared" si="4"/>
        <v>0</v>
      </c>
      <c r="F90" s="44"/>
      <c r="G90" s="44"/>
      <c r="H90" s="580"/>
      <c r="I90" s="582"/>
      <c r="J90" s="581"/>
      <c r="K90" s="584"/>
      <c r="L90" s="581"/>
      <c r="M90" s="584"/>
      <c r="N90" s="581"/>
      <c r="O90" s="584"/>
      <c r="P90" s="44"/>
      <c r="Q90" s="632"/>
      <c r="S90" s="633"/>
      <c r="T90" s="1068"/>
      <c r="U90" s="500"/>
      <c r="V90" s="498"/>
      <c r="W90" s="500"/>
      <c r="X90" s="498"/>
      <c r="Y90" s="500"/>
      <c r="Z90" s="498"/>
      <c r="AA90" s="500"/>
      <c r="AB90" s="498"/>
      <c r="AC90" s="500"/>
      <c r="AD90" s="498"/>
      <c r="AE90" s="500"/>
      <c r="AG90" s="500"/>
      <c r="AH90" s="498"/>
      <c r="AI90" s="500"/>
      <c r="AJ90" s="498"/>
      <c r="AK90" s="1066"/>
      <c r="AO90" s="498"/>
    </row>
    <row r="91" spans="1:41" s="499" customFormat="1" ht="12.75" hidden="1" customHeight="1">
      <c r="A91" s="498"/>
      <c r="B91" s="392"/>
      <c r="C91" s="409" t="s">
        <v>269</v>
      </c>
      <c r="D91" s="1070" t="str">
        <f>IF(E=0,"0",VLOOKUP($AK$82,Klima!$B$151:$N$166,11))</f>
        <v>0</v>
      </c>
      <c r="E91" s="411">
        <f t="shared" si="4"/>
        <v>0</v>
      </c>
      <c r="F91" s="44"/>
      <c r="G91" s="44"/>
      <c r="H91" s="580"/>
      <c r="I91" s="582"/>
      <c r="J91" s="581"/>
      <c r="K91" s="584"/>
      <c r="L91" s="581"/>
      <c r="M91" s="584"/>
      <c r="N91" s="581"/>
      <c r="O91" s="584"/>
      <c r="P91" s="44"/>
      <c r="Q91" s="632"/>
      <c r="S91" s="633"/>
      <c r="T91" s="1068"/>
      <c r="U91" s="500"/>
      <c r="V91" s="498"/>
      <c r="W91" s="500"/>
      <c r="X91" s="498"/>
      <c r="Y91" s="500"/>
      <c r="Z91" s="498"/>
      <c r="AA91" s="500"/>
      <c r="AB91" s="498"/>
      <c r="AC91" s="500"/>
      <c r="AD91" s="498"/>
      <c r="AE91" s="500"/>
      <c r="AG91" s="500"/>
      <c r="AH91" s="498"/>
      <c r="AI91" s="500"/>
      <c r="AJ91" s="498"/>
      <c r="AK91" s="1066"/>
      <c r="AO91" s="498"/>
    </row>
    <row r="92" spans="1:41" s="499" customFormat="1" ht="12.75" hidden="1" customHeight="1">
      <c r="A92" s="498"/>
      <c r="B92" s="392"/>
      <c r="C92" s="409" t="s">
        <v>366</v>
      </c>
      <c r="D92" s="1070" t="str">
        <f>IF(E=0,"0",VLOOKUP($AK$82,Klima!$B$151:$N$166,12))</f>
        <v>0</v>
      </c>
      <c r="E92" s="411">
        <f t="shared" si="4"/>
        <v>0</v>
      </c>
      <c r="F92" s="44"/>
      <c r="G92" s="44"/>
      <c r="H92" s="580"/>
      <c r="I92" s="582"/>
      <c r="J92" s="581"/>
      <c r="K92" s="584"/>
      <c r="L92" s="581"/>
      <c r="M92" s="584"/>
      <c r="N92" s="581"/>
      <c r="O92" s="584"/>
      <c r="P92" s="44"/>
      <c r="Q92" s="632"/>
      <c r="S92" s="633"/>
      <c r="T92" s="1068"/>
      <c r="U92" s="500"/>
      <c r="V92" s="498"/>
      <c r="W92" s="500"/>
      <c r="X92" s="498"/>
      <c r="Y92" s="500"/>
      <c r="Z92" s="498"/>
      <c r="AA92" s="500"/>
      <c r="AB92" s="498"/>
      <c r="AC92" s="500"/>
      <c r="AD92" s="498"/>
      <c r="AE92" s="500"/>
      <c r="AG92" s="500"/>
      <c r="AH92" s="498"/>
      <c r="AI92" s="500"/>
      <c r="AJ92" s="498"/>
      <c r="AK92" s="1066"/>
      <c r="AO92" s="498"/>
    </row>
    <row r="93" spans="1:41" s="499" customFormat="1" ht="12.75" hidden="1" customHeight="1">
      <c r="A93" s="498"/>
      <c r="B93" s="392"/>
      <c r="C93" s="409" t="s">
        <v>465</v>
      </c>
      <c r="D93" s="1070" t="str">
        <f>IF(E=0,"0",VLOOKUP($AK$82,Klima!$B$151:$N$166,13))</f>
        <v>0</v>
      </c>
      <c r="E93" s="411">
        <f t="shared" si="4"/>
        <v>0</v>
      </c>
      <c r="F93" s="44"/>
      <c r="G93" s="44"/>
      <c r="H93" s="580"/>
      <c r="I93" s="582"/>
      <c r="J93" s="581"/>
      <c r="K93" s="584"/>
      <c r="L93" s="581"/>
      <c r="M93" s="584"/>
      <c r="N93" s="581"/>
      <c r="O93" s="584"/>
      <c r="P93" s="44"/>
      <c r="Q93" s="632"/>
      <c r="S93" s="633"/>
      <c r="T93" s="1068"/>
      <c r="U93" s="500"/>
      <c r="V93" s="498"/>
      <c r="W93" s="500"/>
      <c r="X93" s="498"/>
      <c r="Y93" s="500"/>
      <c r="Z93" s="498"/>
      <c r="AA93" s="500"/>
      <c r="AB93" s="498"/>
      <c r="AC93" s="500"/>
      <c r="AD93" s="498"/>
      <c r="AE93" s="500"/>
      <c r="AG93" s="500"/>
      <c r="AH93" s="498"/>
      <c r="AI93" s="500"/>
      <c r="AJ93" s="498"/>
      <c r="AK93" s="1066"/>
      <c r="AO93" s="498"/>
    </row>
    <row r="94" spans="1:41" ht="12.75" customHeight="1">
      <c r="A94" s="37"/>
      <c r="B94" s="392"/>
      <c r="C94" s="409">
        <f>Bauteile!B348</f>
        <v>0</v>
      </c>
      <c r="D94" s="1071"/>
      <c r="E94" s="394">
        <f>Bauteile!D348</f>
        <v>0</v>
      </c>
      <c r="F94" s="394">
        <f>Bauteile!F348</f>
        <v>0</v>
      </c>
      <c r="G94" s="394" t="str">
        <f>IF(Bauteile!G348="","0",Bauteile!G348)</f>
        <v>0</v>
      </c>
      <c r="H94" s="1013">
        <f>Bauteile!H348</f>
        <v>0</v>
      </c>
      <c r="I94" s="410">
        <f>IF(H_06=0,1,IF(F=0,"0",IF(H_06&lt;=1,H_06,VLOOKUP(H_06,Daten!$A$101:$N$171,AK94))))</f>
        <v>1</v>
      </c>
      <c r="J94" s="581">
        <f>Bauteile!I348</f>
        <v>0</v>
      </c>
      <c r="K94" s="410" t="str">
        <f>IF(F=0,"0",VLOOKUP(Ü_06,Daten!$A$177:$N$252,AK94))</f>
        <v>0</v>
      </c>
      <c r="L94" s="581">
        <f>Bauteile!J348</f>
        <v>0</v>
      </c>
      <c r="M94" s="410" t="str">
        <f>IF(F=0,"0",VLOOKUP(S_06,Daten!$A$258:$N$333,AK94))</f>
        <v>0</v>
      </c>
      <c r="N94" s="581">
        <f>Bauteile!K348</f>
        <v>0</v>
      </c>
      <c r="O94" s="410">
        <f>IF(AK94&gt;5,"1.00",VLOOKUP(S_106,Daten!$A$258:$N$333,AK94))</f>
        <v>0</v>
      </c>
      <c r="P94" s="394">
        <f>Bauteile!C348</f>
        <v>0</v>
      </c>
      <c r="Q94" s="631" t="str">
        <f>IF(F=0,"0",SUM(E95:E106))</f>
        <v>0</v>
      </c>
      <c r="S94" s="85"/>
      <c r="T94" s="36"/>
      <c r="U94" s="40">
        <f>IF(F="SO",1,0)</f>
        <v>0</v>
      </c>
      <c r="V94" s="40">
        <f>IF(F="SSO",2,0)</f>
        <v>0</v>
      </c>
      <c r="W94" s="40">
        <f>IF(F="S",3,0)</f>
        <v>0</v>
      </c>
      <c r="X94" s="40">
        <f>IF(F="SSW",4,0)</f>
        <v>0</v>
      </c>
      <c r="Y94" s="40">
        <f>IF(F="SW",1,0)</f>
        <v>0</v>
      </c>
      <c r="Z94" s="40">
        <f>IF(F="WSW",5,0)</f>
        <v>0</v>
      </c>
      <c r="AA94" s="40">
        <f>IF(F="W",6,0)</f>
        <v>0</v>
      </c>
      <c r="AB94" s="40">
        <f>IF(F="WNW",7,0)</f>
        <v>0</v>
      </c>
      <c r="AC94" s="40">
        <f>IF(F="NW",8,0)</f>
        <v>0</v>
      </c>
      <c r="AD94" s="40">
        <f>IF(F="NNW",9,0)</f>
        <v>0</v>
      </c>
      <c r="AE94" s="40">
        <f>IF(F="N",10,0)</f>
        <v>0</v>
      </c>
      <c r="AF94" s="40">
        <f>IF(F="NNO",11,0)</f>
        <v>0</v>
      </c>
      <c r="AG94" s="40">
        <f>IF(F="NO",8,0)</f>
        <v>0</v>
      </c>
      <c r="AH94" s="40">
        <f>IF(F="ONO",12,0)</f>
        <v>0</v>
      </c>
      <c r="AI94" s="40">
        <f>IF(F="O",6,0)</f>
        <v>0</v>
      </c>
      <c r="AJ94" s="40">
        <f>IF(F="OSO",13,0)</f>
        <v>0</v>
      </c>
      <c r="AK94" s="1065">
        <f>MAX(U94:AJ94)+1</f>
        <v>1</v>
      </c>
      <c r="AO94" s="37"/>
    </row>
    <row r="95" spans="1:41" s="499" customFormat="1" ht="12.75" hidden="1" customHeight="1">
      <c r="A95" s="498"/>
      <c r="B95" s="392"/>
      <c r="C95" s="409" t="s">
        <v>49</v>
      </c>
      <c r="D95" s="1070" t="str">
        <f>IF(F=0,"0",VLOOKUP($AK$95,Klima!$B$151:$N$166,2))</f>
        <v>0</v>
      </c>
      <c r="E95" s="411">
        <f t="shared" ref="E95:E106" si="5">D95*$E$94*$F$94*0.9*$G$94*$I$94*$K$94*$M$94*$O$94/$F$22</f>
        <v>0</v>
      </c>
      <c r="F95" s="44"/>
      <c r="G95" s="44"/>
      <c r="H95" s="580"/>
      <c r="I95" s="582"/>
      <c r="J95" s="581"/>
      <c r="K95" s="584"/>
      <c r="L95" s="581"/>
      <c r="M95" s="584"/>
      <c r="N95" s="581"/>
      <c r="O95" s="584"/>
      <c r="P95" s="44"/>
      <c r="Q95" s="632"/>
      <c r="S95" s="633"/>
      <c r="T95" s="1068"/>
      <c r="U95" s="40">
        <f>IF(F="SO",1,0)</f>
        <v>0</v>
      </c>
      <c r="V95" s="40">
        <f>IF(F="SSO",2,0)</f>
        <v>0</v>
      </c>
      <c r="W95" s="40">
        <f>IF(F="S",3,0)</f>
        <v>0</v>
      </c>
      <c r="X95" s="40">
        <f>IF(F="SSW",4,0)</f>
        <v>0</v>
      </c>
      <c r="Y95" s="40">
        <f>IF(F="SW",5,0)</f>
        <v>0</v>
      </c>
      <c r="Z95" s="40">
        <f>IF(F="WSW",6,0)</f>
        <v>0</v>
      </c>
      <c r="AA95" s="40">
        <f>IF(F="W",7,0)</f>
        <v>0</v>
      </c>
      <c r="AB95" s="40">
        <f>IF(F="WNW",8,0)</f>
        <v>0</v>
      </c>
      <c r="AC95" s="40">
        <f>IF(F="NW",9,0)</f>
        <v>0</v>
      </c>
      <c r="AD95" s="40">
        <f>IF(F="NNW",10,0)</f>
        <v>0</v>
      </c>
      <c r="AE95" s="40">
        <f>IF(F="N",11,0)</f>
        <v>0</v>
      </c>
      <c r="AF95" s="40">
        <f>IF(F="NNO",12,0)</f>
        <v>0</v>
      </c>
      <c r="AG95" s="40">
        <f>IF(F="NO",13,0)</f>
        <v>0</v>
      </c>
      <c r="AH95" s="40">
        <f>IF(F="ONO",14,0)</f>
        <v>0</v>
      </c>
      <c r="AI95" s="40">
        <f>IF(F="O",15,0)</f>
        <v>0</v>
      </c>
      <c r="AJ95" s="40">
        <f>IF(F="OSO",16,0)</f>
        <v>0</v>
      </c>
      <c r="AK95" s="1065">
        <f>MAX(U95:AJ95)</f>
        <v>0</v>
      </c>
      <c r="AO95" s="498"/>
    </row>
    <row r="96" spans="1:41" s="499" customFormat="1" ht="12.75" hidden="1" customHeight="1">
      <c r="A96" s="498"/>
      <c r="B96" s="392"/>
      <c r="C96" s="409" t="s">
        <v>554</v>
      </c>
      <c r="D96" s="1070" t="str">
        <f>IF(F=0,"0",VLOOKUP($AK$95,Klima!$B$151:$N$166,3))</f>
        <v>0</v>
      </c>
      <c r="E96" s="411">
        <f t="shared" si="5"/>
        <v>0</v>
      </c>
      <c r="F96" s="44"/>
      <c r="G96" s="44"/>
      <c r="H96" s="580"/>
      <c r="I96" s="582"/>
      <c r="J96" s="581"/>
      <c r="K96" s="584"/>
      <c r="L96" s="581"/>
      <c r="M96" s="584"/>
      <c r="N96" s="581"/>
      <c r="O96" s="584"/>
      <c r="P96" s="44"/>
      <c r="Q96" s="632"/>
      <c r="S96" s="633"/>
      <c r="T96" s="1068"/>
      <c r="U96" s="500"/>
      <c r="V96" s="498"/>
      <c r="W96" s="500"/>
      <c r="X96" s="498"/>
      <c r="Y96" s="500"/>
      <c r="Z96" s="498"/>
      <c r="AA96" s="500"/>
      <c r="AB96" s="498"/>
      <c r="AC96" s="500"/>
      <c r="AD96" s="498"/>
      <c r="AE96" s="500"/>
      <c r="AG96" s="500"/>
      <c r="AH96" s="498"/>
      <c r="AI96" s="500"/>
      <c r="AJ96" s="498"/>
      <c r="AK96" s="1066"/>
      <c r="AO96" s="498"/>
    </row>
    <row r="97" spans="1:41" s="499" customFormat="1" ht="12.75" hidden="1" customHeight="1">
      <c r="A97" s="498"/>
      <c r="B97" s="392"/>
      <c r="C97" s="409" t="s">
        <v>306</v>
      </c>
      <c r="D97" s="1070" t="str">
        <f>IF(F=0,"0",VLOOKUP($AK$95,Klima!$B$151:$N$166,4))</f>
        <v>0</v>
      </c>
      <c r="E97" s="411">
        <f t="shared" si="5"/>
        <v>0</v>
      </c>
      <c r="F97" s="44"/>
      <c r="G97" s="44"/>
      <c r="H97" s="580"/>
      <c r="I97" s="582"/>
      <c r="J97" s="581"/>
      <c r="K97" s="584"/>
      <c r="L97" s="581"/>
      <c r="M97" s="584"/>
      <c r="N97" s="581"/>
      <c r="O97" s="584"/>
      <c r="P97" s="44"/>
      <c r="Q97" s="632"/>
      <c r="S97" s="633"/>
      <c r="T97" s="1068"/>
      <c r="U97" s="500"/>
      <c r="V97" s="498"/>
      <c r="W97" s="500"/>
      <c r="X97" s="498"/>
      <c r="Y97" s="500"/>
      <c r="Z97" s="498"/>
      <c r="AA97" s="500"/>
      <c r="AB97" s="498"/>
      <c r="AC97" s="500"/>
      <c r="AD97" s="498"/>
      <c r="AE97" s="500"/>
      <c r="AG97" s="500"/>
      <c r="AH97" s="498"/>
      <c r="AI97" s="500"/>
      <c r="AJ97" s="498"/>
      <c r="AK97" s="1066"/>
      <c r="AO97" s="498"/>
    </row>
    <row r="98" spans="1:41" s="499" customFormat="1" ht="12.75" hidden="1" customHeight="1">
      <c r="A98" s="498"/>
      <c r="B98" s="392"/>
      <c r="C98" s="409" t="s">
        <v>409</v>
      </c>
      <c r="D98" s="1070" t="str">
        <f>IF(F=0,"0",VLOOKUP($AK$95,Klima!$B$151:$N$166,5))</f>
        <v>0</v>
      </c>
      <c r="E98" s="411">
        <f t="shared" si="5"/>
        <v>0</v>
      </c>
      <c r="F98" s="44"/>
      <c r="G98" s="44"/>
      <c r="H98" s="580"/>
      <c r="I98" s="582"/>
      <c r="J98" s="581"/>
      <c r="K98" s="584"/>
      <c r="L98" s="581"/>
      <c r="M98" s="584"/>
      <c r="N98" s="581"/>
      <c r="O98" s="584"/>
      <c r="P98" s="44"/>
      <c r="Q98" s="632"/>
      <c r="S98" s="633"/>
      <c r="T98" s="1068"/>
      <c r="U98" s="500"/>
      <c r="V98" s="498"/>
      <c r="W98" s="500"/>
      <c r="X98" s="498"/>
      <c r="Y98" s="500"/>
      <c r="Z98" s="498"/>
      <c r="AA98" s="500"/>
      <c r="AB98" s="498"/>
      <c r="AC98" s="500"/>
      <c r="AD98" s="498"/>
      <c r="AE98" s="500"/>
      <c r="AG98" s="500"/>
      <c r="AH98" s="498"/>
      <c r="AI98" s="500"/>
      <c r="AJ98" s="498"/>
      <c r="AK98" s="1066"/>
      <c r="AO98" s="498"/>
    </row>
    <row r="99" spans="1:41" s="499" customFormat="1" ht="12.75" hidden="1" customHeight="1">
      <c r="A99" s="498"/>
      <c r="B99" s="392"/>
      <c r="C99" s="409" t="s">
        <v>410</v>
      </c>
      <c r="D99" s="1070" t="str">
        <f>IF(F=0,"0",VLOOKUP($AK$95,Klima!$B$151:$N$166,6))</f>
        <v>0</v>
      </c>
      <c r="E99" s="411">
        <f t="shared" si="5"/>
        <v>0</v>
      </c>
      <c r="F99" s="44"/>
      <c r="G99" s="44"/>
      <c r="H99" s="580"/>
      <c r="I99" s="582"/>
      <c r="J99" s="581"/>
      <c r="K99" s="584"/>
      <c r="L99" s="581"/>
      <c r="M99" s="584"/>
      <c r="N99" s="581"/>
      <c r="O99" s="584"/>
      <c r="P99" s="44"/>
      <c r="Q99" s="632"/>
      <c r="S99" s="633"/>
      <c r="T99" s="1068"/>
      <c r="U99" s="500"/>
      <c r="V99" s="498"/>
      <c r="W99" s="500"/>
      <c r="X99" s="498"/>
      <c r="Y99" s="500"/>
      <c r="Z99" s="498"/>
      <c r="AA99" s="500"/>
      <c r="AB99" s="498"/>
      <c r="AC99" s="500"/>
      <c r="AD99" s="498"/>
      <c r="AE99" s="500"/>
      <c r="AG99" s="500"/>
      <c r="AH99" s="498"/>
      <c r="AI99" s="500"/>
      <c r="AJ99" s="498"/>
      <c r="AK99" s="1066"/>
      <c r="AO99" s="498"/>
    </row>
    <row r="100" spans="1:41" s="499" customFormat="1" ht="12.75" hidden="1" customHeight="1">
      <c r="A100" s="498"/>
      <c r="B100" s="392"/>
      <c r="C100" s="409" t="s">
        <v>411</v>
      </c>
      <c r="D100" s="1070" t="str">
        <f>IF(F=0,"0",VLOOKUP($AK$95,Klima!$B$151:$N$166,7))</f>
        <v>0</v>
      </c>
      <c r="E100" s="411">
        <f t="shared" si="5"/>
        <v>0</v>
      </c>
      <c r="F100" s="44"/>
      <c r="G100" s="44"/>
      <c r="H100" s="580"/>
      <c r="I100" s="582"/>
      <c r="J100" s="581"/>
      <c r="K100" s="584"/>
      <c r="L100" s="581"/>
      <c r="M100" s="584"/>
      <c r="N100" s="581"/>
      <c r="O100" s="584"/>
      <c r="P100" s="44"/>
      <c r="Q100" s="632"/>
      <c r="S100" s="633"/>
      <c r="T100" s="1068"/>
      <c r="U100" s="500"/>
      <c r="V100" s="498"/>
      <c r="W100" s="500"/>
      <c r="X100" s="498"/>
      <c r="Y100" s="500"/>
      <c r="Z100" s="498"/>
      <c r="AA100" s="500"/>
      <c r="AB100" s="498"/>
      <c r="AC100" s="500"/>
      <c r="AD100" s="498"/>
      <c r="AE100" s="500"/>
      <c r="AG100" s="500"/>
      <c r="AH100" s="498"/>
      <c r="AI100" s="500"/>
      <c r="AJ100" s="498"/>
      <c r="AK100" s="1066"/>
      <c r="AO100" s="498"/>
    </row>
    <row r="101" spans="1:41" s="499" customFormat="1" ht="12.75" hidden="1" customHeight="1">
      <c r="A101" s="498"/>
      <c r="B101" s="392"/>
      <c r="C101" s="409" t="s">
        <v>221</v>
      </c>
      <c r="D101" s="1070" t="str">
        <f>IF(F=0,"0",VLOOKUP($AK$95,Klima!$B$151:$N$166,8))</f>
        <v>0</v>
      </c>
      <c r="E101" s="411">
        <f t="shared" si="5"/>
        <v>0</v>
      </c>
      <c r="F101" s="44"/>
      <c r="G101" s="44"/>
      <c r="H101" s="580"/>
      <c r="I101" s="582"/>
      <c r="J101" s="581"/>
      <c r="K101" s="584"/>
      <c r="L101" s="581"/>
      <c r="M101" s="584"/>
      <c r="N101" s="581"/>
      <c r="O101" s="584"/>
      <c r="P101" s="44"/>
      <c r="Q101" s="632"/>
      <c r="S101" s="633"/>
      <c r="T101" s="1068"/>
      <c r="U101" s="500"/>
      <c r="V101" s="498"/>
      <c r="W101" s="500"/>
      <c r="X101" s="498"/>
      <c r="Y101" s="500"/>
      <c r="Z101" s="498"/>
      <c r="AA101" s="500"/>
      <c r="AB101" s="498"/>
      <c r="AC101" s="500"/>
      <c r="AD101" s="498"/>
      <c r="AE101" s="500"/>
      <c r="AG101" s="500"/>
      <c r="AH101" s="498"/>
      <c r="AI101" s="500"/>
      <c r="AJ101" s="498"/>
      <c r="AK101" s="1066"/>
      <c r="AO101" s="498"/>
    </row>
    <row r="102" spans="1:41" s="499" customFormat="1" ht="12.75" hidden="1" customHeight="1">
      <c r="A102" s="498"/>
      <c r="B102" s="392"/>
      <c r="C102" s="409" t="s">
        <v>138</v>
      </c>
      <c r="D102" s="1070" t="str">
        <f>IF(F=0,"0",VLOOKUP($AK$95,Klima!$B$151:$N$166,9))</f>
        <v>0</v>
      </c>
      <c r="E102" s="411">
        <f t="shared" si="5"/>
        <v>0</v>
      </c>
      <c r="F102" s="44"/>
      <c r="G102" s="44"/>
      <c r="H102" s="580"/>
      <c r="I102" s="582"/>
      <c r="J102" s="581"/>
      <c r="K102" s="584"/>
      <c r="L102" s="581"/>
      <c r="M102" s="584"/>
      <c r="N102" s="581"/>
      <c r="O102" s="584"/>
      <c r="P102" s="44"/>
      <c r="Q102" s="632"/>
      <c r="S102" s="633"/>
      <c r="T102" s="1068"/>
      <c r="U102" s="500"/>
      <c r="V102" s="498"/>
      <c r="W102" s="500"/>
      <c r="X102" s="498"/>
      <c r="Y102" s="500"/>
      <c r="Z102" s="498"/>
      <c r="AA102" s="500"/>
      <c r="AB102" s="498"/>
      <c r="AC102" s="500"/>
      <c r="AD102" s="498"/>
      <c r="AE102" s="500"/>
      <c r="AG102" s="500"/>
      <c r="AH102" s="498"/>
      <c r="AI102" s="500"/>
      <c r="AJ102" s="498"/>
      <c r="AK102" s="1066"/>
      <c r="AO102" s="498"/>
    </row>
    <row r="103" spans="1:41" s="499" customFormat="1" ht="12.75" hidden="1" customHeight="1">
      <c r="A103" s="498"/>
      <c r="B103" s="392"/>
      <c r="C103" s="409" t="s">
        <v>139</v>
      </c>
      <c r="D103" s="1070" t="str">
        <f>IF(F=0,"0",VLOOKUP($AK$95,Klima!$B$151:$N$166,10))</f>
        <v>0</v>
      </c>
      <c r="E103" s="411">
        <f t="shared" si="5"/>
        <v>0</v>
      </c>
      <c r="F103" s="44"/>
      <c r="G103" s="44"/>
      <c r="H103" s="580"/>
      <c r="I103" s="582"/>
      <c r="J103" s="581"/>
      <c r="K103" s="584"/>
      <c r="L103" s="581"/>
      <c r="M103" s="584"/>
      <c r="N103" s="581"/>
      <c r="O103" s="584"/>
      <c r="P103" s="44"/>
      <c r="Q103" s="632"/>
      <c r="S103" s="633"/>
      <c r="T103" s="1068"/>
      <c r="U103" s="500"/>
      <c r="V103" s="498"/>
      <c r="W103" s="500"/>
      <c r="X103" s="498"/>
      <c r="Y103" s="500"/>
      <c r="Z103" s="498"/>
      <c r="AA103" s="500"/>
      <c r="AB103" s="498"/>
      <c r="AC103" s="500"/>
      <c r="AD103" s="498"/>
      <c r="AE103" s="500"/>
      <c r="AG103" s="500"/>
      <c r="AH103" s="498"/>
      <c r="AI103" s="500"/>
      <c r="AJ103" s="498"/>
      <c r="AK103" s="1066"/>
      <c r="AO103" s="498"/>
    </row>
    <row r="104" spans="1:41" s="499" customFormat="1" ht="12.75" hidden="1" customHeight="1">
      <c r="A104" s="498"/>
      <c r="B104" s="392"/>
      <c r="C104" s="409" t="s">
        <v>269</v>
      </c>
      <c r="D104" s="1070" t="str">
        <f>IF(F=0,"0",VLOOKUP($AK$95,Klima!$B$151:$N$166,11))</f>
        <v>0</v>
      </c>
      <c r="E104" s="411">
        <f t="shared" si="5"/>
        <v>0</v>
      </c>
      <c r="F104" s="44"/>
      <c r="G104" s="44"/>
      <c r="H104" s="580"/>
      <c r="I104" s="582"/>
      <c r="J104" s="581"/>
      <c r="K104" s="584"/>
      <c r="L104" s="581"/>
      <c r="M104" s="584"/>
      <c r="N104" s="581"/>
      <c r="O104" s="584"/>
      <c r="P104" s="44"/>
      <c r="Q104" s="632"/>
      <c r="S104" s="633"/>
      <c r="T104" s="1068"/>
      <c r="U104" s="500"/>
      <c r="V104" s="498"/>
      <c r="W104" s="500"/>
      <c r="X104" s="498"/>
      <c r="Y104" s="500"/>
      <c r="Z104" s="498"/>
      <c r="AA104" s="500"/>
      <c r="AB104" s="498"/>
      <c r="AC104" s="500"/>
      <c r="AD104" s="498"/>
      <c r="AE104" s="500"/>
      <c r="AG104" s="500"/>
      <c r="AH104" s="498"/>
      <c r="AI104" s="500"/>
      <c r="AJ104" s="498"/>
      <c r="AK104" s="1066"/>
      <c r="AO104" s="498"/>
    </row>
    <row r="105" spans="1:41" s="499" customFormat="1" ht="12.75" hidden="1" customHeight="1">
      <c r="A105" s="498"/>
      <c r="B105" s="392"/>
      <c r="C105" s="409" t="s">
        <v>366</v>
      </c>
      <c r="D105" s="1070" t="str">
        <f>IF(F=0,"0",VLOOKUP($AK$95,Klima!$B$151:$N$166,12))</f>
        <v>0</v>
      </c>
      <c r="E105" s="411">
        <f t="shared" si="5"/>
        <v>0</v>
      </c>
      <c r="F105" s="44"/>
      <c r="G105" s="44"/>
      <c r="H105" s="580"/>
      <c r="I105" s="582"/>
      <c r="J105" s="581"/>
      <c r="K105" s="584"/>
      <c r="L105" s="581"/>
      <c r="M105" s="584"/>
      <c r="N105" s="581"/>
      <c r="O105" s="584"/>
      <c r="P105" s="44"/>
      <c r="Q105" s="632"/>
      <c r="S105" s="633"/>
      <c r="T105" s="1068"/>
      <c r="U105" s="500"/>
      <c r="V105" s="498"/>
      <c r="W105" s="500"/>
      <c r="X105" s="498"/>
      <c r="Y105" s="500"/>
      <c r="Z105" s="498"/>
      <c r="AA105" s="500"/>
      <c r="AB105" s="498"/>
      <c r="AC105" s="500"/>
      <c r="AD105" s="498"/>
      <c r="AE105" s="500"/>
      <c r="AG105" s="500"/>
      <c r="AH105" s="498"/>
      <c r="AI105" s="500"/>
      <c r="AJ105" s="498"/>
      <c r="AK105" s="1066"/>
      <c r="AO105" s="498"/>
    </row>
    <row r="106" spans="1:41" s="499" customFormat="1" ht="12.75" hidden="1" customHeight="1">
      <c r="A106" s="498"/>
      <c r="B106" s="392"/>
      <c r="C106" s="409" t="s">
        <v>465</v>
      </c>
      <c r="D106" s="1070" t="str">
        <f>IF(F=0,"0",VLOOKUP($AK$95,Klima!$B$151:$N$166,13))</f>
        <v>0</v>
      </c>
      <c r="E106" s="411">
        <f t="shared" si="5"/>
        <v>0</v>
      </c>
      <c r="F106" s="44"/>
      <c r="G106" s="44"/>
      <c r="H106" s="580"/>
      <c r="I106" s="582"/>
      <c r="J106" s="581"/>
      <c r="K106" s="584"/>
      <c r="L106" s="581"/>
      <c r="M106" s="584"/>
      <c r="N106" s="581"/>
      <c r="O106" s="584"/>
      <c r="P106" s="44"/>
      <c r="Q106" s="632"/>
      <c r="S106" s="633"/>
      <c r="T106" s="1068"/>
      <c r="U106" s="500"/>
      <c r="V106" s="498"/>
      <c r="W106" s="500"/>
      <c r="X106" s="498"/>
      <c r="Y106" s="500"/>
      <c r="Z106" s="498"/>
      <c r="AA106" s="500"/>
      <c r="AB106" s="498"/>
      <c r="AC106" s="500"/>
      <c r="AD106" s="498"/>
      <c r="AE106" s="500"/>
      <c r="AG106" s="500"/>
      <c r="AH106" s="498"/>
      <c r="AI106" s="500"/>
      <c r="AJ106" s="498"/>
      <c r="AK106" s="1066"/>
      <c r="AO106" s="498"/>
    </row>
    <row r="107" spans="1:41" ht="12.75" customHeight="1">
      <c r="A107" s="37"/>
      <c r="B107" s="392"/>
      <c r="C107" s="409">
        <f>Bauteile!B362</f>
        <v>0</v>
      </c>
      <c r="D107" s="1071"/>
      <c r="E107" s="394">
        <f>Bauteile!D362</f>
        <v>0</v>
      </c>
      <c r="F107" s="394">
        <f>Bauteile!F362</f>
        <v>0</v>
      </c>
      <c r="G107" s="394" t="str">
        <f>IF(Bauteile!G362="","0",Bauteile!G362)</f>
        <v>0</v>
      </c>
      <c r="H107" s="1013">
        <f>Bauteile!H362</f>
        <v>0</v>
      </c>
      <c r="I107" s="410">
        <f>IF(H_07=0,1,IF(G=0,"0",IF(H_07&lt;=1,H_07,VLOOKUP(H_07,Daten!$A$101:$N$171,AK107))))</f>
        <v>1</v>
      </c>
      <c r="J107" s="581">
        <f>Bauteile!I362</f>
        <v>0</v>
      </c>
      <c r="K107" s="410" t="str">
        <f>IF(G=0,"0",VLOOKUP(Ü_07,Daten!$A$177:$N$252,AK107))</f>
        <v>0</v>
      </c>
      <c r="L107" s="581">
        <f>Bauteile!J362</f>
        <v>0</v>
      </c>
      <c r="M107" s="410" t="str">
        <f>IF(G=0,"0",VLOOKUP(S_07,Daten!$A$258:$N$333,AK107))</f>
        <v>0</v>
      </c>
      <c r="N107" s="581">
        <f>Bauteile!K362</f>
        <v>0</v>
      </c>
      <c r="O107" s="410">
        <f>IF(AK107&gt;5,"1.00",VLOOKUP(S_107,Daten!$A$258:$N$333,AK107))</f>
        <v>0</v>
      </c>
      <c r="P107" s="394">
        <f>Bauteile!C362</f>
        <v>0</v>
      </c>
      <c r="Q107" s="631" t="str">
        <f>IF(G=0,"0",SUM(E108:E119))</f>
        <v>0</v>
      </c>
      <c r="S107" s="85"/>
      <c r="T107" s="36"/>
      <c r="U107" s="40">
        <f>IF(G="SO",1,0)</f>
        <v>0</v>
      </c>
      <c r="V107" s="40">
        <f>IF(G="SSO",2,0)</f>
        <v>0</v>
      </c>
      <c r="W107" s="40">
        <f>IF(G="S",3,0)</f>
        <v>0</v>
      </c>
      <c r="X107" s="40">
        <f>IF(G="SSW",4,0)</f>
        <v>0</v>
      </c>
      <c r="Y107" s="40">
        <f>IF(G="SW",1,0)</f>
        <v>0</v>
      </c>
      <c r="Z107" s="40">
        <f>IF(G="WSW",5,0)</f>
        <v>0</v>
      </c>
      <c r="AA107" s="40">
        <f>IF(G="W",6,0)</f>
        <v>0</v>
      </c>
      <c r="AB107" s="40">
        <f>IF(G="WNW",7,0)</f>
        <v>0</v>
      </c>
      <c r="AC107" s="40">
        <f>IF(G="NW",8,0)</f>
        <v>0</v>
      </c>
      <c r="AD107" s="40">
        <f>IF(G="NNW",9,0)</f>
        <v>0</v>
      </c>
      <c r="AE107" s="40">
        <f>IF(G="N",10,0)</f>
        <v>0</v>
      </c>
      <c r="AF107" s="40">
        <f>IF(G="NNO",11,0)</f>
        <v>0</v>
      </c>
      <c r="AG107" s="40">
        <f>IF(G="NO",8,0)</f>
        <v>0</v>
      </c>
      <c r="AH107" s="40">
        <f>IF(G="ONO",12,0)</f>
        <v>0</v>
      </c>
      <c r="AI107" s="40">
        <f>IF(G="O",6,0)</f>
        <v>0</v>
      </c>
      <c r="AJ107" s="40">
        <f>IF(G="OSO",13,0)</f>
        <v>0</v>
      </c>
      <c r="AK107" s="1065">
        <f>MAX(U107:AJ107)+1</f>
        <v>1</v>
      </c>
      <c r="AO107" s="37"/>
    </row>
    <row r="108" spans="1:41" s="499" customFormat="1" ht="12.75" hidden="1" customHeight="1">
      <c r="A108" s="498"/>
      <c r="B108" s="392"/>
      <c r="C108" s="409" t="s">
        <v>49</v>
      </c>
      <c r="D108" s="1070" t="str">
        <f>IF(G=0,"0",VLOOKUP($AK$108,Klima!$B$151:$N$166,2))</f>
        <v>0</v>
      </c>
      <c r="E108" s="411">
        <f t="shared" ref="E108:E119" si="6">D108*$E$107*$F$107*0.9*$G$107*$I$107*$K$107*$M$107*$O$107/$F$22</f>
        <v>0</v>
      </c>
      <c r="F108" s="44"/>
      <c r="G108" s="44"/>
      <c r="H108" s="580"/>
      <c r="I108" s="582"/>
      <c r="J108" s="581"/>
      <c r="K108" s="584"/>
      <c r="L108" s="581"/>
      <c r="M108" s="584"/>
      <c r="N108" s="581"/>
      <c r="O108" s="584"/>
      <c r="P108" s="44"/>
      <c r="Q108" s="632"/>
      <c r="S108" s="633"/>
      <c r="T108" s="1068"/>
      <c r="U108" s="40">
        <f>IF(G="SO",1,0)</f>
        <v>0</v>
      </c>
      <c r="V108" s="40">
        <f>IF(G="SSO",2,0)</f>
        <v>0</v>
      </c>
      <c r="W108" s="40">
        <f>IF(G="S",3,0)</f>
        <v>0</v>
      </c>
      <c r="X108" s="40">
        <f>IF(G="SSW",4,0)</f>
        <v>0</v>
      </c>
      <c r="Y108" s="40">
        <f>IF(G="SW",5,0)</f>
        <v>0</v>
      </c>
      <c r="Z108" s="40">
        <f>IF(G="WSW",6,0)</f>
        <v>0</v>
      </c>
      <c r="AA108" s="40">
        <f>IF(G="W",7,0)</f>
        <v>0</v>
      </c>
      <c r="AB108" s="40">
        <f>IF(G="WNW",8,0)</f>
        <v>0</v>
      </c>
      <c r="AC108" s="40">
        <f>IF(G="NW",9,0)</f>
        <v>0</v>
      </c>
      <c r="AD108" s="40">
        <f>IF(G="NNW",10,0)</f>
        <v>0</v>
      </c>
      <c r="AE108" s="40">
        <f>IF(G="N",11,0)</f>
        <v>0</v>
      </c>
      <c r="AF108" s="40">
        <f>IF(G="NNO",12,0)</f>
        <v>0</v>
      </c>
      <c r="AG108" s="40">
        <f>IF(G="NO",13,0)</f>
        <v>0</v>
      </c>
      <c r="AH108" s="40">
        <f>IF(G="ONO",14,0)</f>
        <v>0</v>
      </c>
      <c r="AI108" s="40">
        <f>IF(G="O",15,0)</f>
        <v>0</v>
      </c>
      <c r="AJ108" s="40">
        <f>IF(G="OSO",16,0)</f>
        <v>0</v>
      </c>
      <c r="AK108" s="1065">
        <f>MAX(U108:AJ108)</f>
        <v>0</v>
      </c>
      <c r="AO108" s="498"/>
    </row>
    <row r="109" spans="1:41" s="499" customFormat="1" ht="12.75" hidden="1" customHeight="1">
      <c r="A109" s="498"/>
      <c r="B109" s="392"/>
      <c r="C109" s="409" t="s">
        <v>554</v>
      </c>
      <c r="D109" s="1070" t="str">
        <f>IF(G=0,"0",VLOOKUP($AK$108,Klima!$B$151:$N$166,3))</f>
        <v>0</v>
      </c>
      <c r="E109" s="411">
        <f t="shared" si="6"/>
        <v>0</v>
      </c>
      <c r="F109" s="44"/>
      <c r="G109" s="44"/>
      <c r="H109" s="580"/>
      <c r="I109" s="582"/>
      <c r="J109" s="581"/>
      <c r="K109" s="584"/>
      <c r="L109" s="581"/>
      <c r="M109" s="584"/>
      <c r="N109" s="581"/>
      <c r="O109" s="584"/>
      <c r="P109" s="44"/>
      <c r="Q109" s="632"/>
      <c r="S109" s="633"/>
      <c r="T109" s="1068"/>
      <c r="U109" s="500"/>
      <c r="V109" s="498"/>
      <c r="W109" s="500"/>
      <c r="X109" s="498"/>
      <c r="Y109" s="500"/>
      <c r="Z109" s="498"/>
      <c r="AA109" s="500"/>
      <c r="AB109" s="498"/>
      <c r="AC109" s="500"/>
      <c r="AD109" s="498"/>
      <c r="AE109" s="500"/>
      <c r="AG109" s="500"/>
      <c r="AH109" s="498"/>
      <c r="AI109" s="500"/>
      <c r="AJ109" s="498"/>
      <c r="AK109" s="1066"/>
      <c r="AO109" s="498"/>
    </row>
    <row r="110" spans="1:41" s="499" customFormat="1" ht="12.75" hidden="1" customHeight="1">
      <c r="A110" s="498"/>
      <c r="B110" s="392"/>
      <c r="C110" s="409" t="s">
        <v>306</v>
      </c>
      <c r="D110" s="1070" t="str">
        <f>IF(G=0,"0",VLOOKUP($AK$108,Klima!$B$151:$N$166,4))</f>
        <v>0</v>
      </c>
      <c r="E110" s="411">
        <f t="shared" si="6"/>
        <v>0</v>
      </c>
      <c r="F110" s="44"/>
      <c r="G110" s="44"/>
      <c r="H110" s="580"/>
      <c r="I110" s="582"/>
      <c r="J110" s="581"/>
      <c r="K110" s="584"/>
      <c r="L110" s="581"/>
      <c r="M110" s="584"/>
      <c r="N110" s="581"/>
      <c r="O110" s="584"/>
      <c r="P110" s="44"/>
      <c r="Q110" s="632"/>
      <c r="S110" s="633"/>
      <c r="T110" s="1068"/>
      <c r="U110" s="500"/>
      <c r="V110" s="498"/>
      <c r="W110" s="500"/>
      <c r="X110" s="498"/>
      <c r="Y110" s="500"/>
      <c r="Z110" s="498"/>
      <c r="AA110" s="500"/>
      <c r="AB110" s="498"/>
      <c r="AC110" s="500"/>
      <c r="AD110" s="498"/>
      <c r="AE110" s="500"/>
      <c r="AG110" s="500"/>
      <c r="AH110" s="498"/>
      <c r="AI110" s="500"/>
      <c r="AJ110" s="498"/>
      <c r="AK110" s="1066"/>
      <c r="AO110" s="498"/>
    </row>
    <row r="111" spans="1:41" s="499" customFormat="1" ht="12.75" hidden="1" customHeight="1">
      <c r="A111" s="498"/>
      <c r="B111" s="392"/>
      <c r="C111" s="409" t="s">
        <v>409</v>
      </c>
      <c r="D111" s="1070" t="str">
        <f>IF(G=0,"0",VLOOKUP($AK$108,Klima!$B$151:$N$166,5))</f>
        <v>0</v>
      </c>
      <c r="E111" s="411">
        <f t="shared" si="6"/>
        <v>0</v>
      </c>
      <c r="F111" s="44"/>
      <c r="G111" s="44"/>
      <c r="H111" s="580"/>
      <c r="I111" s="582"/>
      <c r="J111" s="581"/>
      <c r="K111" s="584"/>
      <c r="L111" s="581"/>
      <c r="M111" s="584"/>
      <c r="N111" s="581"/>
      <c r="O111" s="584"/>
      <c r="P111" s="44"/>
      <c r="Q111" s="632"/>
      <c r="S111" s="633"/>
      <c r="T111" s="1068"/>
      <c r="U111" s="500"/>
      <c r="V111" s="498"/>
      <c r="W111" s="500"/>
      <c r="X111" s="498"/>
      <c r="Y111" s="500"/>
      <c r="Z111" s="498"/>
      <c r="AA111" s="500"/>
      <c r="AB111" s="498"/>
      <c r="AC111" s="500"/>
      <c r="AD111" s="498"/>
      <c r="AE111" s="500"/>
      <c r="AG111" s="500"/>
      <c r="AH111" s="498"/>
      <c r="AI111" s="500"/>
      <c r="AJ111" s="498"/>
      <c r="AK111" s="1066"/>
      <c r="AO111" s="498"/>
    </row>
    <row r="112" spans="1:41" s="499" customFormat="1" ht="12.75" hidden="1" customHeight="1">
      <c r="A112" s="498"/>
      <c r="B112" s="392"/>
      <c r="C112" s="409" t="s">
        <v>410</v>
      </c>
      <c r="D112" s="1070" t="str">
        <f>IF(G=0,"0",VLOOKUP($AK$108,Klima!$B$151:$N$166,6))</f>
        <v>0</v>
      </c>
      <c r="E112" s="411">
        <f t="shared" si="6"/>
        <v>0</v>
      </c>
      <c r="F112" s="44"/>
      <c r="G112" s="44"/>
      <c r="H112" s="580"/>
      <c r="I112" s="582"/>
      <c r="J112" s="581"/>
      <c r="K112" s="584"/>
      <c r="L112" s="581"/>
      <c r="M112" s="584"/>
      <c r="N112" s="581"/>
      <c r="O112" s="584"/>
      <c r="P112" s="44"/>
      <c r="Q112" s="632"/>
      <c r="S112" s="633"/>
      <c r="T112" s="1068"/>
      <c r="U112" s="500"/>
      <c r="V112" s="498"/>
      <c r="W112" s="500"/>
      <c r="X112" s="498"/>
      <c r="Y112" s="500"/>
      <c r="Z112" s="498"/>
      <c r="AA112" s="500"/>
      <c r="AB112" s="498"/>
      <c r="AC112" s="500"/>
      <c r="AD112" s="498"/>
      <c r="AE112" s="500"/>
      <c r="AG112" s="500"/>
      <c r="AH112" s="498"/>
      <c r="AI112" s="500"/>
      <c r="AJ112" s="498"/>
      <c r="AK112" s="1066"/>
      <c r="AO112" s="498"/>
    </row>
    <row r="113" spans="1:41" s="499" customFormat="1" ht="12.75" hidden="1" customHeight="1">
      <c r="A113" s="498"/>
      <c r="B113" s="392"/>
      <c r="C113" s="409" t="s">
        <v>411</v>
      </c>
      <c r="D113" s="1070" t="str">
        <f>IF(G=0,"0",VLOOKUP($AK$108,Klima!$B$151:$N$166,7))</f>
        <v>0</v>
      </c>
      <c r="E113" s="411">
        <f t="shared" si="6"/>
        <v>0</v>
      </c>
      <c r="F113" s="44"/>
      <c r="G113" s="44"/>
      <c r="H113" s="580"/>
      <c r="I113" s="582"/>
      <c r="J113" s="581"/>
      <c r="K113" s="584"/>
      <c r="L113" s="581"/>
      <c r="M113" s="584"/>
      <c r="N113" s="581"/>
      <c r="O113" s="584"/>
      <c r="P113" s="44"/>
      <c r="Q113" s="632"/>
      <c r="S113" s="633"/>
      <c r="T113" s="1068"/>
      <c r="U113" s="500"/>
      <c r="V113" s="498"/>
      <c r="W113" s="500"/>
      <c r="X113" s="498"/>
      <c r="Y113" s="500"/>
      <c r="Z113" s="498"/>
      <c r="AA113" s="500"/>
      <c r="AB113" s="498"/>
      <c r="AC113" s="500"/>
      <c r="AD113" s="498"/>
      <c r="AE113" s="500"/>
      <c r="AG113" s="500"/>
      <c r="AH113" s="498"/>
      <c r="AI113" s="500"/>
      <c r="AJ113" s="498"/>
      <c r="AK113" s="1066"/>
      <c r="AO113" s="498"/>
    </row>
    <row r="114" spans="1:41" s="499" customFormat="1" ht="12.75" hidden="1" customHeight="1">
      <c r="A114" s="498"/>
      <c r="B114" s="392"/>
      <c r="C114" s="409" t="s">
        <v>221</v>
      </c>
      <c r="D114" s="1070" t="str">
        <f>IF(G=0,"0",VLOOKUP($AK$108,Klima!$B$151:$N$166,8))</f>
        <v>0</v>
      </c>
      <c r="E114" s="411">
        <f t="shared" si="6"/>
        <v>0</v>
      </c>
      <c r="F114" s="44"/>
      <c r="G114" s="44"/>
      <c r="H114" s="580"/>
      <c r="I114" s="582"/>
      <c r="J114" s="581"/>
      <c r="K114" s="584"/>
      <c r="L114" s="581"/>
      <c r="M114" s="584"/>
      <c r="N114" s="581"/>
      <c r="O114" s="584"/>
      <c r="P114" s="44"/>
      <c r="Q114" s="632"/>
      <c r="S114" s="633"/>
      <c r="T114" s="1068"/>
      <c r="U114" s="500"/>
      <c r="V114" s="498"/>
      <c r="W114" s="500"/>
      <c r="X114" s="498"/>
      <c r="Y114" s="500"/>
      <c r="Z114" s="498"/>
      <c r="AA114" s="500"/>
      <c r="AB114" s="498"/>
      <c r="AC114" s="500"/>
      <c r="AD114" s="498"/>
      <c r="AE114" s="500"/>
      <c r="AG114" s="500"/>
      <c r="AH114" s="498"/>
      <c r="AI114" s="500"/>
      <c r="AJ114" s="498"/>
      <c r="AK114" s="1066"/>
      <c r="AO114" s="498"/>
    </row>
    <row r="115" spans="1:41" s="499" customFormat="1" ht="12.75" hidden="1" customHeight="1">
      <c r="A115" s="498"/>
      <c r="B115" s="392"/>
      <c r="C115" s="409" t="s">
        <v>138</v>
      </c>
      <c r="D115" s="1070" t="str">
        <f>IF(G=0,"0",VLOOKUP($AK$108,Klima!$B$151:$N$166,9))</f>
        <v>0</v>
      </c>
      <c r="E115" s="411">
        <f t="shared" si="6"/>
        <v>0</v>
      </c>
      <c r="F115" s="44"/>
      <c r="G115" s="44"/>
      <c r="H115" s="580"/>
      <c r="I115" s="582"/>
      <c r="J115" s="581"/>
      <c r="K115" s="584"/>
      <c r="L115" s="581"/>
      <c r="M115" s="584"/>
      <c r="N115" s="581"/>
      <c r="O115" s="584"/>
      <c r="P115" s="44"/>
      <c r="Q115" s="632"/>
      <c r="S115" s="633"/>
      <c r="T115" s="1068"/>
      <c r="U115" s="500"/>
      <c r="V115" s="498"/>
      <c r="W115" s="500"/>
      <c r="X115" s="498"/>
      <c r="Y115" s="500"/>
      <c r="Z115" s="498"/>
      <c r="AA115" s="500"/>
      <c r="AB115" s="498"/>
      <c r="AC115" s="500"/>
      <c r="AD115" s="498"/>
      <c r="AE115" s="500"/>
      <c r="AG115" s="500"/>
      <c r="AH115" s="498"/>
      <c r="AI115" s="500"/>
      <c r="AJ115" s="498"/>
      <c r="AK115" s="1066"/>
      <c r="AO115" s="498"/>
    </row>
    <row r="116" spans="1:41" s="499" customFormat="1" ht="12.75" hidden="1" customHeight="1">
      <c r="A116" s="498"/>
      <c r="B116" s="392"/>
      <c r="C116" s="409" t="s">
        <v>139</v>
      </c>
      <c r="D116" s="1070" t="str">
        <f>IF(G=0,"0",VLOOKUP($AK$108,Klima!$B$151:$N$166,10))</f>
        <v>0</v>
      </c>
      <c r="E116" s="411">
        <f t="shared" si="6"/>
        <v>0</v>
      </c>
      <c r="F116" s="44"/>
      <c r="G116" s="44"/>
      <c r="H116" s="580"/>
      <c r="I116" s="582"/>
      <c r="J116" s="581"/>
      <c r="K116" s="584"/>
      <c r="L116" s="581"/>
      <c r="M116" s="584"/>
      <c r="N116" s="581"/>
      <c r="O116" s="584"/>
      <c r="P116" s="44"/>
      <c r="Q116" s="632"/>
      <c r="S116" s="633"/>
      <c r="T116" s="1068"/>
      <c r="U116" s="500"/>
      <c r="V116" s="498"/>
      <c r="W116" s="500"/>
      <c r="X116" s="498"/>
      <c r="Y116" s="500"/>
      <c r="Z116" s="498"/>
      <c r="AA116" s="500"/>
      <c r="AB116" s="498"/>
      <c r="AC116" s="500"/>
      <c r="AD116" s="498"/>
      <c r="AE116" s="500"/>
      <c r="AG116" s="500"/>
      <c r="AH116" s="498"/>
      <c r="AI116" s="500"/>
      <c r="AJ116" s="498"/>
      <c r="AK116" s="1066"/>
      <c r="AO116" s="498"/>
    </row>
    <row r="117" spans="1:41" s="499" customFormat="1" ht="12.75" hidden="1" customHeight="1">
      <c r="A117" s="498"/>
      <c r="B117" s="392"/>
      <c r="C117" s="409" t="s">
        <v>269</v>
      </c>
      <c r="D117" s="1070" t="str">
        <f>IF(G=0,"0",VLOOKUP($AK$108,Klima!$B$151:$N$166,11))</f>
        <v>0</v>
      </c>
      <c r="E117" s="411">
        <f t="shared" si="6"/>
        <v>0</v>
      </c>
      <c r="F117" s="44"/>
      <c r="G117" s="44"/>
      <c r="H117" s="580"/>
      <c r="I117" s="582"/>
      <c r="J117" s="581"/>
      <c r="K117" s="584"/>
      <c r="L117" s="581"/>
      <c r="M117" s="584"/>
      <c r="N117" s="581"/>
      <c r="O117" s="584"/>
      <c r="P117" s="44"/>
      <c r="Q117" s="632"/>
      <c r="S117" s="633"/>
      <c r="T117" s="1068"/>
      <c r="U117" s="500"/>
      <c r="V117" s="498"/>
      <c r="W117" s="500"/>
      <c r="X117" s="498"/>
      <c r="Y117" s="500"/>
      <c r="Z117" s="498"/>
      <c r="AA117" s="500"/>
      <c r="AB117" s="498"/>
      <c r="AC117" s="500"/>
      <c r="AD117" s="498"/>
      <c r="AE117" s="500"/>
      <c r="AG117" s="500"/>
      <c r="AH117" s="498"/>
      <c r="AI117" s="500"/>
      <c r="AJ117" s="498"/>
      <c r="AK117" s="1066"/>
      <c r="AO117" s="498"/>
    </row>
    <row r="118" spans="1:41" s="499" customFormat="1" ht="12.75" hidden="1" customHeight="1">
      <c r="A118" s="498"/>
      <c r="B118" s="392"/>
      <c r="C118" s="409" t="s">
        <v>366</v>
      </c>
      <c r="D118" s="1070" t="str">
        <f>IF(G=0,"0",VLOOKUP($AK$108,Klima!$B$151:$N$166,12))</f>
        <v>0</v>
      </c>
      <c r="E118" s="411">
        <f t="shared" si="6"/>
        <v>0</v>
      </c>
      <c r="F118" s="44"/>
      <c r="G118" s="44"/>
      <c r="H118" s="580"/>
      <c r="I118" s="582"/>
      <c r="J118" s="581"/>
      <c r="K118" s="584"/>
      <c r="L118" s="581"/>
      <c r="M118" s="584"/>
      <c r="N118" s="581"/>
      <c r="O118" s="584"/>
      <c r="P118" s="44"/>
      <c r="Q118" s="632"/>
      <c r="S118" s="633"/>
      <c r="T118" s="1068"/>
      <c r="U118" s="500"/>
      <c r="V118" s="498"/>
      <c r="W118" s="500"/>
      <c r="X118" s="498"/>
      <c r="Y118" s="500"/>
      <c r="Z118" s="498"/>
      <c r="AA118" s="500"/>
      <c r="AB118" s="498"/>
      <c r="AC118" s="500"/>
      <c r="AD118" s="498"/>
      <c r="AE118" s="500"/>
      <c r="AG118" s="500"/>
      <c r="AH118" s="498"/>
      <c r="AI118" s="500"/>
      <c r="AJ118" s="498"/>
      <c r="AK118" s="1066"/>
      <c r="AO118" s="498"/>
    </row>
    <row r="119" spans="1:41" s="499" customFormat="1" ht="12.75" hidden="1" customHeight="1">
      <c r="A119" s="498"/>
      <c r="B119" s="392"/>
      <c r="C119" s="409" t="s">
        <v>465</v>
      </c>
      <c r="D119" s="1070" t="str">
        <f>IF(G=0,"0",VLOOKUP($AK$108,Klima!$B$151:$N$166,13))</f>
        <v>0</v>
      </c>
      <c r="E119" s="411">
        <f t="shared" si="6"/>
        <v>0</v>
      </c>
      <c r="F119" s="44"/>
      <c r="G119" s="44"/>
      <c r="H119" s="580"/>
      <c r="I119" s="582"/>
      <c r="J119" s="581"/>
      <c r="K119" s="584"/>
      <c r="L119" s="581"/>
      <c r="M119" s="584"/>
      <c r="N119" s="581"/>
      <c r="O119" s="584"/>
      <c r="P119" s="44"/>
      <c r="Q119" s="632"/>
      <c r="S119" s="633"/>
      <c r="T119" s="1068"/>
      <c r="U119" s="500"/>
      <c r="V119" s="498"/>
      <c r="W119" s="500"/>
      <c r="X119" s="498"/>
      <c r="Y119" s="500"/>
      <c r="Z119" s="498"/>
      <c r="AA119" s="500"/>
      <c r="AB119" s="498"/>
      <c r="AC119" s="500"/>
      <c r="AD119" s="498"/>
      <c r="AE119" s="500"/>
      <c r="AG119" s="500"/>
      <c r="AH119" s="498"/>
      <c r="AI119" s="500"/>
      <c r="AJ119" s="498"/>
      <c r="AK119" s="1066"/>
      <c r="AO119" s="498"/>
    </row>
    <row r="120" spans="1:41" ht="12.75" customHeight="1">
      <c r="A120" s="37"/>
      <c r="B120" s="392"/>
      <c r="C120" s="409">
        <f>Bauteile!B376</f>
        <v>0</v>
      </c>
      <c r="D120" s="1071"/>
      <c r="E120" s="394">
        <f>Bauteile!D376</f>
        <v>0</v>
      </c>
      <c r="F120" s="394">
        <f>Bauteile!F376</f>
        <v>0</v>
      </c>
      <c r="G120" s="394" t="str">
        <f>IF(Bauteile!G376="","0",Bauteile!G376)</f>
        <v>0</v>
      </c>
      <c r="H120" s="1013">
        <f>Bauteile!H376</f>
        <v>0</v>
      </c>
      <c r="I120" s="410">
        <f>IF(H_08=0,1,IF(H=0,"0",IF(H_08&lt;=1,H_08,VLOOKUP(H_08,Daten!$A$101:$N$171,AK120))))</f>
        <v>1</v>
      </c>
      <c r="J120" s="581">
        <f>Bauteile!I376</f>
        <v>0</v>
      </c>
      <c r="K120" s="410" t="str">
        <f>IF(H=0,"0",VLOOKUP(Ü_08,Daten!$A$177:$N$252,AK120))</f>
        <v>0</v>
      </c>
      <c r="L120" s="581">
        <f>Bauteile!J376</f>
        <v>0</v>
      </c>
      <c r="M120" s="410" t="str">
        <f>IF(H=0,"0",VLOOKUP(S_08,Daten!$A$258:$N$333,AK120))</f>
        <v>0</v>
      </c>
      <c r="N120" s="581">
        <f>Bauteile!K376</f>
        <v>0</v>
      </c>
      <c r="O120" s="410">
        <f>IF(AK120&gt;5,"1.00",VLOOKUP(S_108,Daten!$A$258:$N$333,AK120))</f>
        <v>0</v>
      </c>
      <c r="P120" s="394">
        <f>Bauteile!C376</f>
        <v>0</v>
      </c>
      <c r="Q120" s="631" t="str">
        <f>IF(H=0,"0",SUM(E121:E132))</f>
        <v>0</v>
      </c>
      <c r="S120" s="85"/>
      <c r="T120" s="36"/>
      <c r="U120" s="40">
        <f>IF(H="SO",1,0)</f>
        <v>0</v>
      </c>
      <c r="V120" s="40">
        <f>IF(H="SSO",2,0)</f>
        <v>0</v>
      </c>
      <c r="W120" s="40">
        <f>IF(H="S",3,0)</f>
        <v>0</v>
      </c>
      <c r="X120" s="40">
        <f>IF(H="SSW",4,0)</f>
        <v>0</v>
      </c>
      <c r="Y120" s="40">
        <f>IF(H="SW",1,0)</f>
        <v>0</v>
      </c>
      <c r="Z120" s="40">
        <f>IF(H="WSW",5,0)</f>
        <v>0</v>
      </c>
      <c r="AA120" s="40">
        <f>IF(H="W",6,0)</f>
        <v>0</v>
      </c>
      <c r="AB120" s="40">
        <f>IF(H="WNW",7,0)</f>
        <v>0</v>
      </c>
      <c r="AC120" s="40">
        <f>IF(H="NW",8,0)</f>
        <v>0</v>
      </c>
      <c r="AD120" s="40">
        <f>IF(H="NNW",9,0)</f>
        <v>0</v>
      </c>
      <c r="AE120" s="40">
        <f>IF(H="N",10,0)</f>
        <v>0</v>
      </c>
      <c r="AF120" s="40">
        <f>IF(H="NNO",11,0)</f>
        <v>0</v>
      </c>
      <c r="AG120" s="40">
        <f>IF(H="NO",8,0)</f>
        <v>0</v>
      </c>
      <c r="AH120" s="40">
        <f>IF(H="ONO",12,0)</f>
        <v>0</v>
      </c>
      <c r="AI120" s="40">
        <f>IF(H="O",6,0)</f>
        <v>0</v>
      </c>
      <c r="AJ120" s="40">
        <f>IF(H="OSO",13,0)</f>
        <v>0</v>
      </c>
      <c r="AK120" s="1065">
        <f>MAX(U120:AJ120)+1</f>
        <v>1</v>
      </c>
      <c r="AO120" s="37"/>
    </row>
    <row r="121" spans="1:41" s="499" customFormat="1" ht="12.75" hidden="1" customHeight="1">
      <c r="A121" s="498"/>
      <c r="B121" s="392"/>
      <c r="C121" s="409" t="s">
        <v>49</v>
      </c>
      <c r="D121" s="1070" t="str">
        <f>IF(H=0,"0",VLOOKUP($AK$121,Klima!$B$151:$N$166,2))</f>
        <v>0</v>
      </c>
      <c r="E121" s="411">
        <f t="shared" ref="E121:E132" si="7">D121*$E$120*$F$120*0.9*$G$120*$I$120*$K$120*$M$120*$O$120/$F$22</f>
        <v>0</v>
      </c>
      <c r="F121" s="44"/>
      <c r="G121" s="44"/>
      <c r="H121" s="580"/>
      <c r="I121" s="582"/>
      <c r="J121" s="581"/>
      <c r="K121" s="584"/>
      <c r="L121" s="581"/>
      <c r="M121" s="584"/>
      <c r="N121" s="581"/>
      <c r="O121" s="584"/>
      <c r="P121" s="44"/>
      <c r="Q121" s="632"/>
      <c r="S121" s="633"/>
      <c r="T121" s="1068"/>
      <c r="U121" s="40">
        <f>IF(H="SO",1,0)</f>
        <v>0</v>
      </c>
      <c r="V121" s="40">
        <f>IF(H="SSO",2,0)</f>
        <v>0</v>
      </c>
      <c r="W121" s="40">
        <f>IF(H="S",3,0)</f>
        <v>0</v>
      </c>
      <c r="X121" s="40">
        <f>IF(H="SSW",4,0)</f>
        <v>0</v>
      </c>
      <c r="Y121" s="40">
        <f>IF(H="SW",5,0)</f>
        <v>0</v>
      </c>
      <c r="Z121" s="40">
        <f>IF(H="WSW",6,0)</f>
        <v>0</v>
      </c>
      <c r="AA121" s="40">
        <f>IF(H="W",7,0)</f>
        <v>0</v>
      </c>
      <c r="AB121" s="40">
        <f>IF(H="WNW",8,0)</f>
        <v>0</v>
      </c>
      <c r="AC121" s="40">
        <f>IF(H="NW",9,0)</f>
        <v>0</v>
      </c>
      <c r="AD121" s="40">
        <f>IF(H="NNW",10,0)</f>
        <v>0</v>
      </c>
      <c r="AE121" s="40">
        <f>IF(H="N",11,0)</f>
        <v>0</v>
      </c>
      <c r="AF121" s="40">
        <f>IF(H="NNO",12,0)</f>
        <v>0</v>
      </c>
      <c r="AG121" s="40">
        <f>IF(H="NO",13,0)</f>
        <v>0</v>
      </c>
      <c r="AH121" s="40">
        <f>IF(H="ONO",14,0)</f>
        <v>0</v>
      </c>
      <c r="AI121" s="40">
        <f>IF(H="O",15,0)</f>
        <v>0</v>
      </c>
      <c r="AJ121" s="40">
        <f>IF(H="OSO",16,0)</f>
        <v>0</v>
      </c>
      <c r="AK121" s="1065">
        <f>MAX(U121:AJ121)</f>
        <v>0</v>
      </c>
      <c r="AO121" s="498"/>
    </row>
    <row r="122" spans="1:41" s="499" customFormat="1" ht="12.75" hidden="1" customHeight="1">
      <c r="A122" s="498"/>
      <c r="B122" s="392"/>
      <c r="C122" s="409" t="s">
        <v>554</v>
      </c>
      <c r="D122" s="1070" t="str">
        <f>IF(H=0,"0",VLOOKUP($AK$121,Klima!$B$151:$N$166,3))</f>
        <v>0</v>
      </c>
      <c r="E122" s="411">
        <f t="shared" si="7"/>
        <v>0</v>
      </c>
      <c r="F122" s="44"/>
      <c r="G122" s="44"/>
      <c r="H122" s="580"/>
      <c r="I122" s="582"/>
      <c r="J122" s="581"/>
      <c r="K122" s="584"/>
      <c r="L122" s="581"/>
      <c r="M122" s="584"/>
      <c r="N122" s="581"/>
      <c r="O122" s="584"/>
      <c r="P122" s="44"/>
      <c r="Q122" s="632"/>
      <c r="S122" s="633"/>
      <c r="T122" s="1068"/>
      <c r="U122" s="500"/>
      <c r="V122" s="498"/>
      <c r="W122" s="500"/>
      <c r="X122" s="498"/>
      <c r="Y122" s="500"/>
      <c r="Z122" s="498"/>
      <c r="AA122" s="500"/>
      <c r="AB122" s="498"/>
      <c r="AC122" s="500"/>
      <c r="AD122" s="498"/>
      <c r="AE122" s="500"/>
      <c r="AG122" s="500"/>
      <c r="AH122" s="498"/>
      <c r="AI122" s="500"/>
      <c r="AJ122" s="498"/>
      <c r="AK122" s="1066"/>
      <c r="AO122" s="498"/>
    </row>
    <row r="123" spans="1:41" s="499" customFormat="1" ht="12.75" hidden="1" customHeight="1">
      <c r="A123" s="498"/>
      <c r="B123" s="392"/>
      <c r="C123" s="409" t="s">
        <v>306</v>
      </c>
      <c r="D123" s="1070" t="str">
        <f>IF(H=0,"0",VLOOKUP($AK$121,Klima!$B$151:$N$166,4))</f>
        <v>0</v>
      </c>
      <c r="E123" s="411">
        <f t="shared" si="7"/>
        <v>0</v>
      </c>
      <c r="F123" s="44"/>
      <c r="G123" s="44"/>
      <c r="H123" s="580"/>
      <c r="I123" s="582"/>
      <c r="J123" s="581"/>
      <c r="K123" s="584"/>
      <c r="L123" s="581"/>
      <c r="M123" s="584"/>
      <c r="N123" s="581"/>
      <c r="O123" s="584"/>
      <c r="P123" s="44"/>
      <c r="Q123" s="632"/>
      <c r="S123" s="633"/>
      <c r="T123" s="1068"/>
      <c r="U123" s="500"/>
      <c r="V123" s="498"/>
      <c r="W123" s="500"/>
      <c r="X123" s="498"/>
      <c r="Y123" s="500"/>
      <c r="Z123" s="498"/>
      <c r="AA123" s="500"/>
      <c r="AB123" s="498"/>
      <c r="AC123" s="500"/>
      <c r="AD123" s="498"/>
      <c r="AE123" s="500"/>
      <c r="AG123" s="500"/>
      <c r="AH123" s="498"/>
      <c r="AI123" s="500"/>
      <c r="AJ123" s="498"/>
      <c r="AK123" s="1066"/>
      <c r="AO123" s="498"/>
    </row>
    <row r="124" spans="1:41" s="499" customFormat="1" ht="12.75" hidden="1" customHeight="1">
      <c r="A124" s="498"/>
      <c r="B124" s="392"/>
      <c r="C124" s="409" t="s">
        <v>409</v>
      </c>
      <c r="D124" s="1070" t="str">
        <f>IF(H=0,"0",VLOOKUP($AK$121,Klima!$B$151:$N$166,5))</f>
        <v>0</v>
      </c>
      <c r="E124" s="411">
        <f t="shared" si="7"/>
        <v>0</v>
      </c>
      <c r="F124" s="44"/>
      <c r="G124" s="44"/>
      <c r="H124" s="580"/>
      <c r="I124" s="582"/>
      <c r="J124" s="581"/>
      <c r="K124" s="584"/>
      <c r="L124" s="581"/>
      <c r="M124" s="584"/>
      <c r="N124" s="581"/>
      <c r="O124" s="584"/>
      <c r="P124" s="44"/>
      <c r="Q124" s="632"/>
      <c r="S124" s="633"/>
      <c r="T124" s="1068"/>
      <c r="U124" s="500"/>
      <c r="V124" s="498"/>
      <c r="W124" s="500"/>
      <c r="X124" s="498"/>
      <c r="Y124" s="500"/>
      <c r="Z124" s="498"/>
      <c r="AA124" s="500"/>
      <c r="AB124" s="498"/>
      <c r="AC124" s="500"/>
      <c r="AD124" s="498"/>
      <c r="AE124" s="500"/>
      <c r="AG124" s="500"/>
      <c r="AH124" s="498"/>
      <c r="AI124" s="500"/>
      <c r="AJ124" s="498"/>
      <c r="AK124" s="1066"/>
      <c r="AO124" s="498"/>
    </row>
    <row r="125" spans="1:41" s="499" customFormat="1" ht="12.75" hidden="1" customHeight="1">
      <c r="A125" s="498"/>
      <c r="B125" s="392"/>
      <c r="C125" s="409" t="s">
        <v>410</v>
      </c>
      <c r="D125" s="1070" t="str">
        <f>IF(H=0,"0",VLOOKUP($AK$121,Klima!$B$151:$N$166,6))</f>
        <v>0</v>
      </c>
      <c r="E125" s="411">
        <f t="shared" si="7"/>
        <v>0</v>
      </c>
      <c r="F125" s="44"/>
      <c r="G125" s="44"/>
      <c r="H125" s="580"/>
      <c r="I125" s="582"/>
      <c r="J125" s="581"/>
      <c r="K125" s="584"/>
      <c r="L125" s="581"/>
      <c r="M125" s="584"/>
      <c r="N125" s="581"/>
      <c r="O125" s="584"/>
      <c r="P125" s="44"/>
      <c r="Q125" s="632"/>
      <c r="S125" s="633"/>
      <c r="T125" s="1068"/>
      <c r="U125" s="500"/>
      <c r="V125" s="498"/>
      <c r="W125" s="500"/>
      <c r="X125" s="498"/>
      <c r="Y125" s="500"/>
      <c r="Z125" s="498"/>
      <c r="AA125" s="500"/>
      <c r="AB125" s="498"/>
      <c r="AC125" s="500"/>
      <c r="AD125" s="498"/>
      <c r="AE125" s="500"/>
      <c r="AG125" s="500"/>
      <c r="AH125" s="498"/>
      <c r="AI125" s="500"/>
      <c r="AJ125" s="498"/>
      <c r="AK125" s="1066"/>
      <c r="AO125" s="498"/>
    </row>
    <row r="126" spans="1:41" s="499" customFormat="1" ht="12.75" hidden="1" customHeight="1">
      <c r="A126" s="498"/>
      <c r="B126" s="392"/>
      <c r="C126" s="409" t="s">
        <v>411</v>
      </c>
      <c r="D126" s="1070" t="str">
        <f>IF(H=0,"0",VLOOKUP($AK$121,Klima!$B$151:$N$166,7))</f>
        <v>0</v>
      </c>
      <c r="E126" s="411">
        <f t="shared" si="7"/>
        <v>0</v>
      </c>
      <c r="F126" s="44"/>
      <c r="G126" s="44"/>
      <c r="H126" s="580"/>
      <c r="I126" s="582"/>
      <c r="J126" s="581"/>
      <c r="K126" s="584"/>
      <c r="L126" s="581"/>
      <c r="M126" s="584"/>
      <c r="N126" s="581"/>
      <c r="O126" s="584"/>
      <c r="P126" s="44"/>
      <c r="Q126" s="632"/>
      <c r="S126" s="633"/>
      <c r="T126" s="1068"/>
      <c r="U126" s="500"/>
      <c r="V126" s="498"/>
      <c r="W126" s="500"/>
      <c r="X126" s="498"/>
      <c r="Y126" s="500"/>
      <c r="Z126" s="498"/>
      <c r="AA126" s="500"/>
      <c r="AB126" s="498"/>
      <c r="AC126" s="500"/>
      <c r="AD126" s="498"/>
      <c r="AE126" s="500"/>
      <c r="AG126" s="500"/>
      <c r="AH126" s="498"/>
      <c r="AI126" s="500"/>
      <c r="AJ126" s="498"/>
      <c r="AK126" s="1066"/>
      <c r="AO126" s="498"/>
    </row>
    <row r="127" spans="1:41" s="499" customFormat="1" ht="12.75" hidden="1" customHeight="1">
      <c r="A127" s="498"/>
      <c r="B127" s="392"/>
      <c r="C127" s="409" t="s">
        <v>221</v>
      </c>
      <c r="D127" s="1070" t="str">
        <f>IF(H=0,"0",VLOOKUP($AK$121,Klima!$B$151:$N$166,8))</f>
        <v>0</v>
      </c>
      <c r="E127" s="411">
        <f t="shared" si="7"/>
        <v>0</v>
      </c>
      <c r="F127" s="44"/>
      <c r="G127" s="44"/>
      <c r="H127" s="580"/>
      <c r="I127" s="582"/>
      <c r="J127" s="581"/>
      <c r="K127" s="584"/>
      <c r="L127" s="581"/>
      <c r="M127" s="584"/>
      <c r="N127" s="581"/>
      <c r="O127" s="584"/>
      <c r="P127" s="44"/>
      <c r="Q127" s="632"/>
      <c r="S127" s="633"/>
      <c r="T127" s="1068"/>
      <c r="U127" s="500"/>
      <c r="V127" s="498"/>
      <c r="W127" s="500"/>
      <c r="X127" s="498"/>
      <c r="Y127" s="500"/>
      <c r="Z127" s="498"/>
      <c r="AA127" s="500"/>
      <c r="AB127" s="498"/>
      <c r="AC127" s="500"/>
      <c r="AD127" s="498"/>
      <c r="AE127" s="500"/>
      <c r="AG127" s="500"/>
      <c r="AH127" s="498"/>
      <c r="AI127" s="500"/>
      <c r="AJ127" s="498"/>
      <c r="AK127" s="1066"/>
      <c r="AO127" s="498"/>
    </row>
    <row r="128" spans="1:41" s="499" customFormat="1" ht="12.75" hidden="1" customHeight="1">
      <c r="A128" s="498"/>
      <c r="B128" s="392"/>
      <c r="C128" s="409" t="s">
        <v>138</v>
      </c>
      <c r="D128" s="1070" t="str">
        <f>IF(H=0,"0",VLOOKUP($AK$121,Klima!$B$151:$N$166,9))</f>
        <v>0</v>
      </c>
      <c r="E128" s="411">
        <f t="shared" si="7"/>
        <v>0</v>
      </c>
      <c r="F128" s="44"/>
      <c r="G128" s="44"/>
      <c r="H128" s="580"/>
      <c r="I128" s="582"/>
      <c r="J128" s="581"/>
      <c r="K128" s="584"/>
      <c r="L128" s="581"/>
      <c r="M128" s="584"/>
      <c r="N128" s="581"/>
      <c r="O128" s="584"/>
      <c r="P128" s="44"/>
      <c r="Q128" s="632"/>
      <c r="S128" s="633"/>
      <c r="T128" s="1068"/>
      <c r="U128" s="500"/>
      <c r="V128" s="498"/>
      <c r="W128" s="500"/>
      <c r="X128" s="498"/>
      <c r="Y128" s="500"/>
      <c r="Z128" s="498"/>
      <c r="AA128" s="500"/>
      <c r="AB128" s="498"/>
      <c r="AC128" s="500"/>
      <c r="AD128" s="498"/>
      <c r="AE128" s="500"/>
      <c r="AG128" s="500"/>
      <c r="AH128" s="498"/>
      <c r="AI128" s="500"/>
      <c r="AJ128" s="498"/>
      <c r="AK128" s="1066"/>
      <c r="AO128" s="498"/>
    </row>
    <row r="129" spans="1:41" s="499" customFormat="1" ht="12.75" hidden="1" customHeight="1">
      <c r="A129" s="498"/>
      <c r="B129" s="392"/>
      <c r="C129" s="409" t="s">
        <v>139</v>
      </c>
      <c r="D129" s="1070" t="str">
        <f>IF(H=0,"0",VLOOKUP($AK$121,Klima!$B$151:$N$166,10))</f>
        <v>0</v>
      </c>
      <c r="E129" s="411">
        <f t="shared" si="7"/>
        <v>0</v>
      </c>
      <c r="F129" s="44"/>
      <c r="G129" s="44"/>
      <c r="H129" s="580"/>
      <c r="I129" s="582"/>
      <c r="J129" s="581"/>
      <c r="K129" s="584"/>
      <c r="L129" s="581"/>
      <c r="M129" s="584"/>
      <c r="N129" s="581"/>
      <c r="O129" s="584"/>
      <c r="P129" s="44"/>
      <c r="Q129" s="632"/>
      <c r="S129" s="633"/>
      <c r="T129" s="1068"/>
      <c r="U129" s="500"/>
      <c r="V129" s="498"/>
      <c r="W129" s="500"/>
      <c r="X129" s="498"/>
      <c r="Y129" s="500"/>
      <c r="Z129" s="498"/>
      <c r="AA129" s="500"/>
      <c r="AB129" s="498"/>
      <c r="AC129" s="500"/>
      <c r="AD129" s="498"/>
      <c r="AE129" s="500"/>
      <c r="AG129" s="500"/>
      <c r="AH129" s="498"/>
      <c r="AI129" s="500"/>
      <c r="AJ129" s="498"/>
      <c r="AK129" s="1066"/>
      <c r="AO129" s="498"/>
    </row>
    <row r="130" spans="1:41" s="499" customFormat="1" ht="12.75" hidden="1" customHeight="1">
      <c r="A130" s="498"/>
      <c r="B130" s="392"/>
      <c r="C130" s="409" t="s">
        <v>269</v>
      </c>
      <c r="D130" s="1070" t="str">
        <f>IF(H=0,"0",VLOOKUP($AK$121,Klima!$B$151:$N$166,11))</f>
        <v>0</v>
      </c>
      <c r="E130" s="411">
        <f t="shared" si="7"/>
        <v>0</v>
      </c>
      <c r="F130" s="44"/>
      <c r="G130" s="44"/>
      <c r="H130" s="580"/>
      <c r="I130" s="582"/>
      <c r="J130" s="581"/>
      <c r="K130" s="584"/>
      <c r="L130" s="581"/>
      <c r="M130" s="584"/>
      <c r="N130" s="581"/>
      <c r="O130" s="584"/>
      <c r="P130" s="44"/>
      <c r="Q130" s="632"/>
      <c r="S130" s="633"/>
      <c r="T130" s="1068"/>
      <c r="U130" s="500"/>
      <c r="V130" s="498"/>
      <c r="W130" s="500"/>
      <c r="X130" s="498"/>
      <c r="Y130" s="500"/>
      <c r="Z130" s="498"/>
      <c r="AA130" s="500"/>
      <c r="AB130" s="498"/>
      <c r="AC130" s="500"/>
      <c r="AD130" s="498"/>
      <c r="AE130" s="500"/>
      <c r="AG130" s="500"/>
      <c r="AH130" s="498"/>
      <c r="AI130" s="500"/>
      <c r="AJ130" s="498"/>
      <c r="AK130" s="1066"/>
      <c r="AO130" s="498"/>
    </row>
    <row r="131" spans="1:41" s="499" customFormat="1" ht="12.75" hidden="1" customHeight="1">
      <c r="A131" s="498"/>
      <c r="B131" s="392"/>
      <c r="C131" s="409" t="s">
        <v>366</v>
      </c>
      <c r="D131" s="1070" t="str">
        <f>IF(H=0,"0",VLOOKUP($AK$121,Klima!$B$151:$N$166,12))</f>
        <v>0</v>
      </c>
      <c r="E131" s="411">
        <f t="shared" si="7"/>
        <v>0</v>
      </c>
      <c r="F131" s="44"/>
      <c r="G131" s="44"/>
      <c r="H131" s="580"/>
      <c r="I131" s="582"/>
      <c r="J131" s="581"/>
      <c r="K131" s="584"/>
      <c r="L131" s="581"/>
      <c r="M131" s="584"/>
      <c r="N131" s="581"/>
      <c r="O131" s="584"/>
      <c r="P131" s="44"/>
      <c r="Q131" s="632"/>
      <c r="S131" s="633"/>
      <c r="T131" s="1068"/>
      <c r="U131" s="500"/>
      <c r="V131" s="498"/>
      <c r="W131" s="500"/>
      <c r="X131" s="498"/>
      <c r="Y131" s="500"/>
      <c r="Z131" s="498"/>
      <c r="AA131" s="500"/>
      <c r="AB131" s="498"/>
      <c r="AC131" s="500"/>
      <c r="AD131" s="498"/>
      <c r="AE131" s="500"/>
      <c r="AG131" s="500"/>
      <c r="AH131" s="498"/>
      <c r="AI131" s="500"/>
      <c r="AJ131" s="498"/>
      <c r="AK131" s="1066"/>
      <c r="AO131" s="498"/>
    </row>
    <row r="132" spans="1:41" s="499" customFormat="1" ht="12.75" hidden="1" customHeight="1">
      <c r="A132" s="498"/>
      <c r="B132" s="392"/>
      <c r="C132" s="409" t="s">
        <v>465</v>
      </c>
      <c r="D132" s="1070" t="str">
        <f>IF(H=0,"0",VLOOKUP($AK$121,Klima!$B$151:$N$166,13))</f>
        <v>0</v>
      </c>
      <c r="E132" s="411">
        <f t="shared" si="7"/>
        <v>0</v>
      </c>
      <c r="F132" s="44"/>
      <c r="G132" s="44"/>
      <c r="H132" s="580"/>
      <c r="I132" s="582"/>
      <c r="J132" s="581"/>
      <c r="K132" s="584"/>
      <c r="L132" s="581"/>
      <c r="M132" s="584"/>
      <c r="N132" s="581"/>
      <c r="O132" s="584"/>
      <c r="P132" s="44"/>
      <c r="Q132" s="632"/>
      <c r="S132" s="633"/>
      <c r="T132" s="1068"/>
      <c r="U132" s="500"/>
      <c r="V132" s="498"/>
      <c r="W132" s="500"/>
      <c r="X132" s="498"/>
      <c r="Y132" s="500"/>
      <c r="Z132" s="498"/>
      <c r="AA132" s="500"/>
      <c r="AB132" s="498"/>
      <c r="AC132" s="500"/>
      <c r="AD132" s="498"/>
      <c r="AE132" s="500"/>
      <c r="AG132" s="500"/>
      <c r="AH132" s="498"/>
      <c r="AI132" s="500"/>
      <c r="AJ132" s="498"/>
      <c r="AK132" s="1066"/>
      <c r="AO132" s="498"/>
    </row>
    <row r="133" spans="1:41" ht="12.75" customHeight="1">
      <c r="A133" s="37"/>
      <c r="B133" s="392"/>
      <c r="C133" s="409">
        <f>Bauteile!B390</f>
        <v>0</v>
      </c>
      <c r="D133" s="1071"/>
      <c r="E133" s="394">
        <f>Bauteile!D390</f>
        <v>0</v>
      </c>
      <c r="F133" s="394">
        <f>Bauteile!F390</f>
        <v>0</v>
      </c>
      <c r="G133" s="394" t="str">
        <f>IF(Bauteile!G390="","0",Bauteile!G390)</f>
        <v>0</v>
      </c>
      <c r="H133" s="1013">
        <f>Bauteile!H390</f>
        <v>0</v>
      </c>
      <c r="I133" s="410">
        <f>IF(H_09=0,1,IF(I=0,"0",IF(H_09&lt;=1,H_09,VLOOKUP(H_09,Daten!$A$101:$N$171,AK133))))</f>
        <v>1</v>
      </c>
      <c r="J133" s="581">
        <f>Bauteile!I390</f>
        <v>0</v>
      </c>
      <c r="K133" s="410" t="str">
        <f>IF(I=0,"0",VLOOKUP(Ü_09,Daten!$A$177:$N$252,AK133))</f>
        <v>0</v>
      </c>
      <c r="L133" s="581">
        <f>Bauteile!J390</f>
        <v>0</v>
      </c>
      <c r="M133" s="410" t="str">
        <f>IF(I=0,"0",VLOOKUP(S_09,Daten!$A$258:$N$333,AK133))</f>
        <v>0</v>
      </c>
      <c r="N133" s="581">
        <f>Bauteile!K390</f>
        <v>0</v>
      </c>
      <c r="O133" s="410">
        <f>IF(AK133&gt;5,"1.00",VLOOKUP(S_109,Daten!$A$258:$N$333,AK133))</f>
        <v>0</v>
      </c>
      <c r="P133" s="394">
        <f>Bauteile!C390</f>
        <v>0</v>
      </c>
      <c r="Q133" s="631" t="str">
        <f>IF(I=0,"0",SUM(E134:E145))</f>
        <v>0</v>
      </c>
      <c r="S133" s="85"/>
      <c r="T133" s="36"/>
      <c r="U133" s="40">
        <f>IF(I="SO",1,0)</f>
        <v>0</v>
      </c>
      <c r="V133" s="40">
        <f>IF(I="SSO",2,0)</f>
        <v>0</v>
      </c>
      <c r="W133" s="40">
        <f>IF(I="S",3,0)</f>
        <v>0</v>
      </c>
      <c r="X133" s="40">
        <f>IF(I="SSW",4,0)</f>
        <v>0</v>
      </c>
      <c r="Y133" s="40">
        <f>IF(I="SW",1,0)</f>
        <v>0</v>
      </c>
      <c r="Z133" s="40">
        <f>IF(I="WSW",5,0)</f>
        <v>0</v>
      </c>
      <c r="AA133" s="40">
        <f>IF(I="W",6,0)</f>
        <v>0</v>
      </c>
      <c r="AB133" s="40">
        <f>IF(I="WNW",7,0)</f>
        <v>0</v>
      </c>
      <c r="AC133" s="40">
        <f>IF(I="NW",8,0)</f>
        <v>0</v>
      </c>
      <c r="AD133" s="40">
        <f>IF(I="NNW",9,0)</f>
        <v>0</v>
      </c>
      <c r="AE133" s="40">
        <f>IF(I="N",10,0)</f>
        <v>0</v>
      </c>
      <c r="AF133" s="40">
        <f>IF(I="NNO",11,0)</f>
        <v>0</v>
      </c>
      <c r="AG133" s="40">
        <f>IF(I="NO",8,0)</f>
        <v>0</v>
      </c>
      <c r="AH133" s="40">
        <f>IF(I="ONO",12,0)</f>
        <v>0</v>
      </c>
      <c r="AI133" s="40">
        <f>IF(I="O",6,0)</f>
        <v>0</v>
      </c>
      <c r="AJ133" s="40">
        <f>IF(I="OSO",13,0)</f>
        <v>0</v>
      </c>
      <c r="AK133" s="1065">
        <f>MAX(U133:AJ133)+1</f>
        <v>1</v>
      </c>
      <c r="AO133" s="37"/>
    </row>
    <row r="134" spans="1:41" s="499" customFormat="1" ht="12.75" hidden="1" customHeight="1">
      <c r="A134" s="498"/>
      <c r="B134" s="392"/>
      <c r="C134" s="409" t="s">
        <v>49</v>
      </c>
      <c r="D134" s="1070" t="str">
        <f>IF(I=0,"0",VLOOKUP($AK$134,Klima!$B$151:$N$166,2))</f>
        <v>0</v>
      </c>
      <c r="E134" s="411">
        <f t="shared" ref="E134:E145" si="8">D134*$E$133*$F$133*0.9*$G$133*$I$133*$K$133*$M$133*$O$133/$F$22</f>
        <v>0</v>
      </c>
      <c r="F134" s="44"/>
      <c r="G134" s="44"/>
      <c r="H134" s="580"/>
      <c r="I134" s="582"/>
      <c r="J134" s="581"/>
      <c r="K134" s="584"/>
      <c r="L134" s="581"/>
      <c r="M134" s="584"/>
      <c r="N134" s="581"/>
      <c r="O134" s="584"/>
      <c r="P134" s="44"/>
      <c r="Q134" s="632"/>
      <c r="S134" s="633"/>
      <c r="T134" s="1068"/>
      <c r="U134" s="40">
        <f>IF(I="SO",1,0)</f>
        <v>0</v>
      </c>
      <c r="V134" s="40">
        <f>IF(I="SSO",2,0)</f>
        <v>0</v>
      </c>
      <c r="W134" s="40">
        <f>IF(I="S",3,0)</f>
        <v>0</v>
      </c>
      <c r="X134" s="40">
        <f>IF(I="SSW",4,0)</f>
        <v>0</v>
      </c>
      <c r="Y134" s="40">
        <f>IF(I="SW",5,0)</f>
        <v>0</v>
      </c>
      <c r="Z134" s="40">
        <f>IF(I="WSW",6,0)</f>
        <v>0</v>
      </c>
      <c r="AA134" s="40">
        <f>IF(I="W",7,0)</f>
        <v>0</v>
      </c>
      <c r="AB134" s="40">
        <f>IF(I="WNW",8,0)</f>
        <v>0</v>
      </c>
      <c r="AC134" s="40">
        <f>IF(I="NW",9,0)</f>
        <v>0</v>
      </c>
      <c r="AD134" s="40">
        <f>IF(I="NNW",10,0)</f>
        <v>0</v>
      </c>
      <c r="AE134" s="40">
        <f>IF(I="N",11,0)</f>
        <v>0</v>
      </c>
      <c r="AF134" s="40">
        <f>IF(I="NNO",12,0)</f>
        <v>0</v>
      </c>
      <c r="AG134" s="40">
        <f>IF(I="NO",13,0)</f>
        <v>0</v>
      </c>
      <c r="AH134" s="40">
        <f>IF(I="ONO",14,0)</f>
        <v>0</v>
      </c>
      <c r="AI134" s="40">
        <f>IF(I="O",15,0)</f>
        <v>0</v>
      </c>
      <c r="AJ134" s="40">
        <f>IF(I="OSO",16,0)</f>
        <v>0</v>
      </c>
      <c r="AK134" s="1065">
        <f>MAX(U134:AJ134)</f>
        <v>0</v>
      </c>
      <c r="AO134" s="498"/>
    </row>
    <row r="135" spans="1:41" s="499" customFormat="1" ht="12.75" hidden="1" customHeight="1">
      <c r="A135" s="498"/>
      <c r="B135" s="392"/>
      <c r="C135" s="409" t="s">
        <v>554</v>
      </c>
      <c r="D135" s="1070" t="str">
        <f>IF(I=0,"0",VLOOKUP($AK$134,Klima!$B$151:$N$166,3))</f>
        <v>0</v>
      </c>
      <c r="E135" s="411">
        <f t="shared" si="8"/>
        <v>0</v>
      </c>
      <c r="F135" s="44"/>
      <c r="G135" s="44"/>
      <c r="H135" s="580"/>
      <c r="I135" s="582"/>
      <c r="J135" s="581"/>
      <c r="K135" s="584"/>
      <c r="L135" s="581"/>
      <c r="M135" s="584"/>
      <c r="N135" s="581"/>
      <c r="O135" s="584"/>
      <c r="P135" s="44"/>
      <c r="Q135" s="632"/>
      <c r="S135" s="633"/>
      <c r="T135" s="1068"/>
      <c r="U135" s="500"/>
      <c r="V135" s="498"/>
      <c r="W135" s="500"/>
      <c r="X135" s="498"/>
      <c r="Y135" s="500"/>
      <c r="Z135" s="498"/>
      <c r="AA135" s="500"/>
      <c r="AB135" s="498"/>
      <c r="AC135" s="500"/>
      <c r="AD135" s="498"/>
      <c r="AE135" s="500"/>
      <c r="AG135" s="500"/>
      <c r="AH135" s="498"/>
      <c r="AI135" s="500"/>
      <c r="AJ135" s="498"/>
      <c r="AK135" s="1066"/>
      <c r="AO135" s="498"/>
    </row>
    <row r="136" spans="1:41" s="499" customFormat="1" ht="12.75" hidden="1" customHeight="1">
      <c r="A136" s="498"/>
      <c r="B136" s="392"/>
      <c r="C136" s="409" t="s">
        <v>306</v>
      </c>
      <c r="D136" s="1070" t="str">
        <f>IF(I=0,"0",VLOOKUP($AK$134,Klima!$B$151:$N$166,4))</f>
        <v>0</v>
      </c>
      <c r="E136" s="411">
        <f t="shared" si="8"/>
        <v>0</v>
      </c>
      <c r="F136" s="44"/>
      <c r="G136" s="44"/>
      <c r="H136" s="580"/>
      <c r="I136" s="582"/>
      <c r="J136" s="581"/>
      <c r="K136" s="584"/>
      <c r="L136" s="581"/>
      <c r="M136" s="584"/>
      <c r="N136" s="581"/>
      <c r="O136" s="584"/>
      <c r="P136" s="44"/>
      <c r="Q136" s="632"/>
      <c r="S136" s="633"/>
      <c r="T136" s="1068"/>
      <c r="U136" s="500"/>
      <c r="V136" s="498"/>
      <c r="W136" s="500"/>
      <c r="X136" s="498"/>
      <c r="Y136" s="500"/>
      <c r="Z136" s="498"/>
      <c r="AA136" s="500"/>
      <c r="AB136" s="498"/>
      <c r="AC136" s="500"/>
      <c r="AD136" s="498"/>
      <c r="AE136" s="500"/>
      <c r="AG136" s="500"/>
      <c r="AH136" s="498"/>
      <c r="AI136" s="500"/>
      <c r="AJ136" s="498"/>
      <c r="AK136" s="1066"/>
      <c r="AO136" s="498"/>
    </row>
    <row r="137" spans="1:41" s="499" customFormat="1" ht="12.75" hidden="1" customHeight="1">
      <c r="A137" s="498"/>
      <c r="B137" s="392"/>
      <c r="C137" s="409" t="s">
        <v>409</v>
      </c>
      <c r="D137" s="1070" t="str">
        <f>IF(I=0,"0",VLOOKUP($AK$134,Klima!$B$151:$N$166,5))</f>
        <v>0</v>
      </c>
      <c r="E137" s="411">
        <f t="shared" si="8"/>
        <v>0</v>
      </c>
      <c r="F137" s="44"/>
      <c r="G137" s="44"/>
      <c r="H137" s="580"/>
      <c r="I137" s="582"/>
      <c r="J137" s="581"/>
      <c r="K137" s="584"/>
      <c r="L137" s="581"/>
      <c r="M137" s="584"/>
      <c r="N137" s="581"/>
      <c r="O137" s="584"/>
      <c r="P137" s="44"/>
      <c r="Q137" s="632"/>
      <c r="S137" s="633"/>
      <c r="T137" s="1068"/>
      <c r="U137" s="500"/>
      <c r="V137" s="498"/>
      <c r="W137" s="500"/>
      <c r="X137" s="498"/>
      <c r="Y137" s="500"/>
      <c r="Z137" s="498"/>
      <c r="AA137" s="500"/>
      <c r="AB137" s="498"/>
      <c r="AC137" s="500"/>
      <c r="AD137" s="498"/>
      <c r="AE137" s="500"/>
      <c r="AG137" s="500"/>
      <c r="AH137" s="498"/>
      <c r="AI137" s="500"/>
      <c r="AJ137" s="498"/>
      <c r="AK137" s="1066"/>
      <c r="AO137" s="498"/>
    </row>
    <row r="138" spans="1:41" s="499" customFormat="1" ht="12.75" hidden="1" customHeight="1">
      <c r="A138" s="498"/>
      <c r="B138" s="392"/>
      <c r="C138" s="409" t="s">
        <v>410</v>
      </c>
      <c r="D138" s="1070" t="str">
        <f>IF(I=0,"0",VLOOKUP($AK$134,Klima!$B$151:$N$166,6))</f>
        <v>0</v>
      </c>
      <c r="E138" s="411">
        <f t="shared" si="8"/>
        <v>0</v>
      </c>
      <c r="F138" s="44"/>
      <c r="G138" s="44"/>
      <c r="H138" s="580"/>
      <c r="I138" s="582"/>
      <c r="J138" s="581"/>
      <c r="K138" s="584"/>
      <c r="L138" s="581"/>
      <c r="M138" s="584"/>
      <c r="N138" s="581"/>
      <c r="O138" s="584"/>
      <c r="P138" s="44"/>
      <c r="Q138" s="632"/>
      <c r="S138" s="633"/>
      <c r="T138" s="1068"/>
      <c r="U138" s="500"/>
      <c r="V138" s="498"/>
      <c r="W138" s="500"/>
      <c r="X138" s="498"/>
      <c r="Y138" s="500"/>
      <c r="Z138" s="498"/>
      <c r="AA138" s="500"/>
      <c r="AB138" s="498"/>
      <c r="AC138" s="500"/>
      <c r="AD138" s="498"/>
      <c r="AE138" s="500"/>
      <c r="AG138" s="500"/>
      <c r="AH138" s="498"/>
      <c r="AI138" s="500"/>
      <c r="AJ138" s="498"/>
      <c r="AK138" s="1066"/>
      <c r="AO138" s="498"/>
    </row>
    <row r="139" spans="1:41" s="499" customFormat="1" ht="12.75" hidden="1" customHeight="1">
      <c r="A139" s="498"/>
      <c r="B139" s="392"/>
      <c r="C139" s="409" t="s">
        <v>411</v>
      </c>
      <c r="D139" s="1070" t="str">
        <f>IF(I=0,"0",VLOOKUP($AK$134,Klima!$B$151:$N$166,7))</f>
        <v>0</v>
      </c>
      <c r="E139" s="411">
        <f t="shared" si="8"/>
        <v>0</v>
      </c>
      <c r="F139" s="44"/>
      <c r="G139" s="44"/>
      <c r="H139" s="580"/>
      <c r="I139" s="582"/>
      <c r="J139" s="581"/>
      <c r="K139" s="584"/>
      <c r="L139" s="581"/>
      <c r="M139" s="584"/>
      <c r="N139" s="581"/>
      <c r="O139" s="584"/>
      <c r="P139" s="44"/>
      <c r="Q139" s="632"/>
      <c r="S139" s="633"/>
      <c r="T139" s="1068"/>
      <c r="U139" s="500"/>
      <c r="V139" s="498"/>
      <c r="W139" s="500"/>
      <c r="X139" s="498"/>
      <c r="Y139" s="500"/>
      <c r="Z139" s="498"/>
      <c r="AA139" s="500"/>
      <c r="AB139" s="498"/>
      <c r="AC139" s="500"/>
      <c r="AD139" s="498"/>
      <c r="AE139" s="500"/>
      <c r="AG139" s="500"/>
      <c r="AH139" s="498"/>
      <c r="AI139" s="500"/>
      <c r="AJ139" s="498"/>
      <c r="AK139" s="1066"/>
      <c r="AO139" s="498"/>
    </row>
    <row r="140" spans="1:41" s="499" customFormat="1" ht="12.75" hidden="1" customHeight="1">
      <c r="A140" s="498"/>
      <c r="B140" s="392"/>
      <c r="C140" s="409" t="s">
        <v>221</v>
      </c>
      <c r="D140" s="1070" t="str">
        <f>IF(I=0,"0",VLOOKUP($AK$134,Klima!$B$151:$N$166,8))</f>
        <v>0</v>
      </c>
      <c r="E140" s="411">
        <f t="shared" si="8"/>
        <v>0</v>
      </c>
      <c r="F140" s="44"/>
      <c r="G140" s="44"/>
      <c r="H140" s="580"/>
      <c r="I140" s="582"/>
      <c r="J140" s="581"/>
      <c r="K140" s="584"/>
      <c r="L140" s="581"/>
      <c r="M140" s="584"/>
      <c r="N140" s="581"/>
      <c r="O140" s="584"/>
      <c r="P140" s="44"/>
      <c r="Q140" s="632"/>
      <c r="S140" s="633"/>
      <c r="T140" s="1068"/>
      <c r="U140" s="500"/>
      <c r="V140" s="498"/>
      <c r="W140" s="500"/>
      <c r="X140" s="498"/>
      <c r="Y140" s="500"/>
      <c r="Z140" s="498"/>
      <c r="AA140" s="500"/>
      <c r="AB140" s="498"/>
      <c r="AC140" s="500"/>
      <c r="AD140" s="498"/>
      <c r="AE140" s="500"/>
      <c r="AG140" s="500"/>
      <c r="AH140" s="498"/>
      <c r="AI140" s="500"/>
      <c r="AJ140" s="498"/>
      <c r="AK140" s="1066"/>
      <c r="AO140" s="498"/>
    </row>
    <row r="141" spans="1:41" s="499" customFormat="1" ht="12.75" hidden="1" customHeight="1">
      <c r="A141" s="498"/>
      <c r="B141" s="392"/>
      <c r="C141" s="409" t="s">
        <v>138</v>
      </c>
      <c r="D141" s="1070" t="str">
        <f>IF(I=0,"0",VLOOKUP($AK$134,Klima!$B$151:$N$166,9))</f>
        <v>0</v>
      </c>
      <c r="E141" s="411">
        <f t="shared" si="8"/>
        <v>0</v>
      </c>
      <c r="F141" s="44"/>
      <c r="G141" s="44"/>
      <c r="H141" s="580"/>
      <c r="I141" s="582"/>
      <c r="J141" s="581"/>
      <c r="K141" s="584"/>
      <c r="L141" s="581"/>
      <c r="M141" s="584"/>
      <c r="N141" s="581"/>
      <c r="O141" s="584"/>
      <c r="P141" s="44"/>
      <c r="Q141" s="632"/>
      <c r="S141" s="633"/>
      <c r="T141" s="1068"/>
      <c r="U141" s="500"/>
      <c r="V141" s="498"/>
      <c r="W141" s="500"/>
      <c r="X141" s="498"/>
      <c r="Y141" s="500"/>
      <c r="Z141" s="498"/>
      <c r="AA141" s="500"/>
      <c r="AB141" s="498"/>
      <c r="AC141" s="500"/>
      <c r="AD141" s="498"/>
      <c r="AE141" s="500"/>
      <c r="AG141" s="500"/>
      <c r="AH141" s="498"/>
      <c r="AI141" s="500"/>
      <c r="AJ141" s="498"/>
      <c r="AK141" s="1066"/>
      <c r="AO141" s="498"/>
    </row>
    <row r="142" spans="1:41" s="499" customFormat="1" ht="12.75" hidden="1" customHeight="1">
      <c r="A142" s="498"/>
      <c r="B142" s="392"/>
      <c r="C142" s="409" t="s">
        <v>139</v>
      </c>
      <c r="D142" s="1070" t="str">
        <f>IF(I=0,"0",VLOOKUP($AK$134,Klima!$B$151:$N$166,10))</f>
        <v>0</v>
      </c>
      <c r="E142" s="411">
        <f t="shared" si="8"/>
        <v>0</v>
      </c>
      <c r="F142" s="44"/>
      <c r="G142" s="44"/>
      <c r="H142" s="580"/>
      <c r="I142" s="582"/>
      <c r="J142" s="581"/>
      <c r="K142" s="584"/>
      <c r="L142" s="581"/>
      <c r="M142" s="584"/>
      <c r="N142" s="581"/>
      <c r="O142" s="584"/>
      <c r="P142" s="44"/>
      <c r="Q142" s="632"/>
      <c r="S142" s="633"/>
      <c r="T142" s="1068"/>
      <c r="U142" s="500"/>
      <c r="V142" s="498"/>
      <c r="W142" s="500"/>
      <c r="X142" s="498"/>
      <c r="Y142" s="500"/>
      <c r="Z142" s="498"/>
      <c r="AA142" s="500"/>
      <c r="AB142" s="498"/>
      <c r="AC142" s="500"/>
      <c r="AD142" s="498"/>
      <c r="AE142" s="500"/>
      <c r="AG142" s="500"/>
      <c r="AH142" s="498"/>
      <c r="AI142" s="500"/>
      <c r="AJ142" s="498"/>
      <c r="AK142" s="1066"/>
      <c r="AO142" s="498"/>
    </row>
    <row r="143" spans="1:41" s="499" customFormat="1" ht="12.75" hidden="1" customHeight="1">
      <c r="A143" s="498"/>
      <c r="B143" s="392"/>
      <c r="C143" s="409" t="s">
        <v>269</v>
      </c>
      <c r="D143" s="1070" t="str">
        <f>IF(I=0,"0",VLOOKUP($AK$134,Klima!$B$151:$N$166,11))</f>
        <v>0</v>
      </c>
      <c r="E143" s="411">
        <f t="shared" si="8"/>
        <v>0</v>
      </c>
      <c r="F143" s="44"/>
      <c r="G143" s="44"/>
      <c r="H143" s="580"/>
      <c r="I143" s="582"/>
      <c r="J143" s="581"/>
      <c r="K143" s="584"/>
      <c r="L143" s="581"/>
      <c r="M143" s="584"/>
      <c r="N143" s="581"/>
      <c r="O143" s="584"/>
      <c r="P143" s="44"/>
      <c r="Q143" s="632"/>
      <c r="S143" s="633"/>
      <c r="T143" s="1068"/>
      <c r="U143" s="500"/>
      <c r="V143" s="498"/>
      <c r="W143" s="500"/>
      <c r="X143" s="498"/>
      <c r="Y143" s="500"/>
      <c r="Z143" s="498"/>
      <c r="AA143" s="500"/>
      <c r="AB143" s="498"/>
      <c r="AC143" s="500"/>
      <c r="AD143" s="498"/>
      <c r="AE143" s="500"/>
      <c r="AG143" s="500"/>
      <c r="AH143" s="498"/>
      <c r="AI143" s="500"/>
      <c r="AJ143" s="498"/>
      <c r="AK143" s="1066"/>
      <c r="AO143" s="498"/>
    </row>
    <row r="144" spans="1:41" s="499" customFormat="1" ht="12.75" hidden="1" customHeight="1">
      <c r="A144" s="498"/>
      <c r="B144" s="392"/>
      <c r="C144" s="409" t="s">
        <v>366</v>
      </c>
      <c r="D144" s="1070" t="str">
        <f>IF(I=0,"0",VLOOKUP($AK$134,Klima!$B$151:$N$166,12))</f>
        <v>0</v>
      </c>
      <c r="E144" s="411">
        <f t="shared" si="8"/>
        <v>0</v>
      </c>
      <c r="F144" s="44"/>
      <c r="G144" s="44"/>
      <c r="H144" s="580"/>
      <c r="I144" s="582"/>
      <c r="J144" s="581"/>
      <c r="K144" s="584"/>
      <c r="L144" s="581"/>
      <c r="M144" s="584"/>
      <c r="N144" s="581"/>
      <c r="O144" s="584"/>
      <c r="P144" s="44"/>
      <c r="Q144" s="632"/>
      <c r="S144" s="633"/>
      <c r="T144" s="1068"/>
      <c r="U144" s="500"/>
      <c r="V144" s="498"/>
      <c r="W144" s="500"/>
      <c r="X144" s="498"/>
      <c r="Y144" s="500"/>
      <c r="Z144" s="498"/>
      <c r="AA144" s="500"/>
      <c r="AB144" s="498"/>
      <c r="AC144" s="500"/>
      <c r="AD144" s="498"/>
      <c r="AE144" s="500"/>
      <c r="AG144" s="500"/>
      <c r="AH144" s="498"/>
      <c r="AI144" s="500"/>
      <c r="AJ144" s="498"/>
      <c r="AK144" s="1066"/>
      <c r="AO144" s="498"/>
    </row>
    <row r="145" spans="1:41" s="499" customFormat="1" ht="12.75" hidden="1" customHeight="1">
      <c r="A145" s="498"/>
      <c r="B145" s="392"/>
      <c r="C145" s="409" t="s">
        <v>465</v>
      </c>
      <c r="D145" s="1070" t="str">
        <f>IF(I=0,"0",VLOOKUP($AK$134,Klima!$B$151:$N$166,13))</f>
        <v>0</v>
      </c>
      <c r="E145" s="411">
        <f t="shared" si="8"/>
        <v>0</v>
      </c>
      <c r="F145" s="44"/>
      <c r="G145" s="44"/>
      <c r="H145" s="580"/>
      <c r="I145" s="582"/>
      <c r="J145" s="581"/>
      <c r="K145" s="584"/>
      <c r="L145" s="581"/>
      <c r="M145" s="584"/>
      <c r="N145" s="581"/>
      <c r="O145" s="584"/>
      <c r="P145" s="44"/>
      <c r="Q145" s="632"/>
      <c r="S145" s="633"/>
      <c r="T145" s="1068"/>
      <c r="U145" s="500"/>
      <c r="V145" s="498"/>
      <c r="W145" s="500"/>
      <c r="X145" s="498"/>
      <c r="Y145" s="500"/>
      <c r="Z145" s="498"/>
      <c r="AA145" s="500"/>
      <c r="AB145" s="498"/>
      <c r="AC145" s="500"/>
      <c r="AD145" s="498"/>
      <c r="AE145" s="500"/>
      <c r="AG145" s="500"/>
      <c r="AH145" s="498"/>
      <c r="AI145" s="500"/>
      <c r="AJ145" s="498"/>
      <c r="AK145" s="1066"/>
      <c r="AO145" s="498"/>
    </row>
    <row r="146" spans="1:41" ht="12.75" customHeight="1">
      <c r="A146" s="37"/>
      <c r="B146" s="392"/>
      <c r="C146" s="409">
        <f>Bauteile!B404</f>
        <v>0</v>
      </c>
      <c r="D146" s="1071"/>
      <c r="E146" s="394">
        <f>Bauteile!D404</f>
        <v>0</v>
      </c>
      <c r="F146" s="394">
        <f>Bauteile!F404</f>
        <v>0</v>
      </c>
      <c r="G146" s="394" t="str">
        <f>IF(Bauteile!G404="","0",Bauteile!G404)</f>
        <v>0</v>
      </c>
      <c r="H146" s="1013">
        <f>Bauteile!H404</f>
        <v>0</v>
      </c>
      <c r="I146" s="410">
        <f>IF(H_10=0,1,IF(J=0,"0",IF(H_10&lt;=1,H_10,VLOOKUP(H_10,Daten!$A$101:$N$171,AK146))))</f>
        <v>1</v>
      </c>
      <c r="J146" s="581">
        <f>Bauteile!I404</f>
        <v>0</v>
      </c>
      <c r="K146" s="410" t="str">
        <f>IF(J=0,"0",VLOOKUP(Ü_10,Daten!$A$177:$N$252,AK146))</f>
        <v>0</v>
      </c>
      <c r="L146" s="581">
        <f>Bauteile!J404</f>
        <v>0</v>
      </c>
      <c r="M146" s="410" t="str">
        <f>IF(J=0,"0",VLOOKUP(S_10,Daten!$A$258:$N$333,AK146))</f>
        <v>0</v>
      </c>
      <c r="N146" s="581">
        <f>Bauteile!K404</f>
        <v>0</v>
      </c>
      <c r="O146" s="410">
        <f>IF(AK146&gt;5,"1.00",VLOOKUP(S_110,Daten!$A$258:$N$333,AK146))</f>
        <v>0</v>
      </c>
      <c r="P146" s="394">
        <f>Bauteile!C404</f>
        <v>0</v>
      </c>
      <c r="Q146" s="631" t="str">
        <f>IF(J=0,"0",SUM(E147:E158))</f>
        <v>0</v>
      </c>
      <c r="S146" s="85"/>
      <c r="T146" s="36"/>
      <c r="U146" s="40">
        <f>IF(J="SO",1,0)</f>
        <v>0</v>
      </c>
      <c r="V146" s="40">
        <f>IF(J="SSO",2,0)</f>
        <v>0</v>
      </c>
      <c r="W146" s="40">
        <f>IF(J="S",3,0)</f>
        <v>0</v>
      </c>
      <c r="X146" s="40">
        <f>IF(J="SSW",4,0)</f>
        <v>0</v>
      </c>
      <c r="Y146" s="40">
        <f>IF(J="SW",1,0)</f>
        <v>0</v>
      </c>
      <c r="Z146" s="40">
        <f>IF(J="WSW",5,0)</f>
        <v>0</v>
      </c>
      <c r="AA146" s="40">
        <f>IF(J="W",6,0)</f>
        <v>0</v>
      </c>
      <c r="AB146" s="40">
        <f>IF(J="WNW",7,0)</f>
        <v>0</v>
      </c>
      <c r="AC146" s="40">
        <f>IF(J="NW",8,0)</f>
        <v>0</v>
      </c>
      <c r="AD146" s="40">
        <f>IF(J="NNW",9,0)</f>
        <v>0</v>
      </c>
      <c r="AE146" s="40">
        <f>IF(J="N",10,0)</f>
        <v>0</v>
      </c>
      <c r="AF146" s="40">
        <f>IF(J="NNO",11,0)</f>
        <v>0</v>
      </c>
      <c r="AG146" s="40">
        <f>IF(J="NO",8,0)</f>
        <v>0</v>
      </c>
      <c r="AH146" s="40">
        <f>IF(J="ONO",12,0)</f>
        <v>0</v>
      </c>
      <c r="AI146" s="40">
        <f>IF(J="O",6,0)</f>
        <v>0</v>
      </c>
      <c r="AJ146" s="40">
        <f>IF(J="OSO",13,0)</f>
        <v>0</v>
      </c>
      <c r="AK146" s="1065">
        <f>MAX(U146:AJ146)+1</f>
        <v>1</v>
      </c>
      <c r="AO146" s="37"/>
    </row>
    <row r="147" spans="1:41" s="499" customFormat="1" ht="12.75" hidden="1" customHeight="1">
      <c r="A147" s="498"/>
      <c r="B147" s="392"/>
      <c r="C147" s="409" t="s">
        <v>49</v>
      </c>
      <c r="D147" s="1070" t="str">
        <f>IF(J=0,"0",VLOOKUP($AK$147,Klima!$B$151:$N$166,2))</f>
        <v>0</v>
      </c>
      <c r="E147" s="411">
        <f t="shared" ref="E147:E158" si="9">D147*$E$146*$F$146*0.9*$G$146*$I$146*$K$146*$M$146*$O$146/$F$22</f>
        <v>0</v>
      </c>
      <c r="F147" s="44"/>
      <c r="G147" s="44"/>
      <c r="H147" s="580"/>
      <c r="I147" s="582"/>
      <c r="J147" s="581"/>
      <c r="K147" s="584"/>
      <c r="L147" s="581"/>
      <c r="M147" s="584"/>
      <c r="N147" s="581"/>
      <c r="O147" s="584"/>
      <c r="P147" s="44"/>
      <c r="Q147" s="632"/>
      <c r="S147" s="633"/>
      <c r="T147" s="1068"/>
      <c r="U147" s="40">
        <f>IF(J="SO",1,0)</f>
        <v>0</v>
      </c>
      <c r="V147" s="40">
        <f>IF(J="SSO",2,0)</f>
        <v>0</v>
      </c>
      <c r="W147" s="40">
        <f>IF(J="S",3,0)</f>
        <v>0</v>
      </c>
      <c r="X147" s="40">
        <f>IF(J="SSW",4,0)</f>
        <v>0</v>
      </c>
      <c r="Y147" s="40">
        <f>IF(J="SW",5,0)</f>
        <v>0</v>
      </c>
      <c r="Z147" s="40">
        <f>IF(J="WSW",6,0)</f>
        <v>0</v>
      </c>
      <c r="AA147" s="40">
        <f>IF(J="W",7,0)</f>
        <v>0</v>
      </c>
      <c r="AB147" s="40">
        <f>IF(J="WNW",8,0)</f>
        <v>0</v>
      </c>
      <c r="AC147" s="40">
        <f>IF(J="NW",9,0)</f>
        <v>0</v>
      </c>
      <c r="AD147" s="40">
        <f>IF(J="NNW",10,0)</f>
        <v>0</v>
      </c>
      <c r="AE147" s="40">
        <f>IF(J="N",11,0)</f>
        <v>0</v>
      </c>
      <c r="AF147" s="40">
        <f>IF(J="NNO",12,0)</f>
        <v>0</v>
      </c>
      <c r="AG147" s="40">
        <f>IF(J="NO",13,0)</f>
        <v>0</v>
      </c>
      <c r="AH147" s="40">
        <f>IF(J="ONO",14,0)</f>
        <v>0</v>
      </c>
      <c r="AI147" s="40">
        <f>IF(J="O",15,0)</f>
        <v>0</v>
      </c>
      <c r="AJ147" s="40">
        <f>IF(J="OSO",16,0)</f>
        <v>0</v>
      </c>
      <c r="AK147" s="1065">
        <f>MAX(U147:AJ147)</f>
        <v>0</v>
      </c>
      <c r="AO147" s="498"/>
    </row>
    <row r="148" spans="1:41" s="499" customFormat="1" ht="12.75" hidden="1" customHeight="1">
      <c r="A148" s="498"/>
      <c r="B148" s="392"/>
      <c r="C148" s="409" t="s">
        <v>554</v>
      </c>
      <c r="D148" s="1070" t="str">
        <f>IF(J=0,"0",VLOOKUP($AK$147,Klima!$B$151:$N$166,3))</f>
        <v>0</v>
      </c>
      <c r="E148" s="411">
        <f t="shared" si="9"/>
        <v>0</v>
      </c>
      <c r="F148" s="44"/>
      <c r="G148" s="44"/>
      <c r="H148" s="580"/>
      <c r="I148" s="582"/>
      <c r="J148" s="581"/>
      <c r="K148" s="584"/>
      <c r="L148" s="581"/>
      <c r="M148" s="584"/>
      <c r="N148" s="581"/>
      <c r="O148" s="584"/>
      <c r="P148" s="44"/>
      <c r="Q148" s="632"/>
      <c r="S148" s="633"/>
      <c r="T148" s="1068"/>
      <c r="U148" s="500"/>
      <c r="V148" s="498"/>
      <c r="W148" s="500"/>
      <c r="X148" s="498"/>
      <c r="Y148" s="500"/>
      <c r="Z148" s="498"/>
      <c r="AA148" s="500"/>
      <c r="AB148" s="498"/>
      <c r="AC148" s="500"/>
      <c r="AD148" s="498"/>
      <c r="AE148" s="500"/>
      <c r="AG148" s="500"/>
      <c r="AH148" s="498"/>
      <c r="AI148" s="500"/>
      <c r="AJ148" s="498"/>
      <c r="AK148" s="1066"/>
      <c r="AO148" s="498"/>
    </row>
    <row r="149" spans="1:41" s="499" customFormat="1" ht="12.75" hidden="1" customHeight="1">
      <c r="A149" s="498"/>
      <c r="B149" s="392"/>
      <c r="C149" s="409" t="s">
        <v>306</v>
      </c>
      <c r="D149" s="1070" t="str">
        <f>IF(J=0,"0",VLOOKUP($AK$147,Klima!$B$151:$N$166,4))</f>
        <v>0</v>
      </c>
      <c r="E149" s="411">
        <f t="shared" si="9"/>
        <v>0</v>
      </c>
      <c r="F149" s="44"/>
      <c r="G149" s="44"/>
      <c r="H149" s="580"/>
      <c r="I149" s="582"/>
      <c r="J149" s="581"/>
      <c r="K149" s="584"/>
      <c r="L149" s="581"/>
      <c r="M149" s="584"/>
      <c r="N149" s="581"/>
      <c r="O149" s="584"/>
      <c r="P149" s="44"/>
      <c r="Q149" s="632"/>
      <c r="S149" s="633"/>
      <c r="T149" s="1068"/>
      <c r="U149" s="500"/>
      <c r="V149" s="498"/>
      <c r="W149" s="500"/>
      <c r="X149" s="498"/>
      <c r="Y149" s="500"/>
      <c r="Z149" s="498"/>
      <c r="AA149" s="500"/>
      <c r="AB149" s="498"/>
      <c r="AC149" s="500"/>
      <c r="AD149" s="498"/>
      <c r="AE149" s="500"/>
      <c r="AG149" s="500"/>
      <c r="AH149" s="498"/>
      <c r="AI149" s="500"/>
      <c r="AJ149" s="498"/>
      <c r="AK149" s="1066"/>
      <c r="AO149" s="498"/>
    </row>
    <row r="150" spans="1:41" s="499" customFormat="1" ht="12.75" hidden="1" customHeight="1">
      <c r="A150" s="498"/>
      <c r="B150" s="392"/>
      <c r="C150" s="409" t="s">
        <v>409</v>
      </c>
      <c r="D150" s="1070" t="str">
        <f>IF(J=0,"0",VLOOKUP($AK$147,Klima!$B$151:$N$166,5))</f>
        <v>0</v>
      </c>
      <c r="E150" s="411">
        <f t="shared" si="9"/>
        <v>0</v>
      </c>
      <c r="F150" s="44"/>
      <c r="G150" s="44"/>
      <c r="H150" s="580"/>
      <c r="I150" s="582"/>
      <c r="J150" s="581"/>
      <c r="K150" s="584"/>
      <c r="L150" s="581"/>
      <c r="M150" s="584"/>
      <c r="N150" s="581"/>
      <c r="O150" s="584"/>
      <c r="P150" s="44"/>
      <c r="Q150" s="632"/>
      <c r="S150" s="633"/>
      <c r="T150" s="1068"/>
      <c r="U150" s="500"/>
      <c r="V150" s="498"/>
      <c r="W150" s="500"/>
      <c r="X150" s="498"/>
      <c r="Y150" s="500"/>
      <c r="Z150" s="498"/>
      <c r="AA150" s="500"/>
      <c r="AB150" s="498"/>
      <c r="AC150" s="500"/>
      <c r="AD150" s="498"/>
      <c r="AE150" s="500"/>
      <c r="AG150" s="500"/>
      <c r="AH150" s="498"/>
      <c r="AI150" s="500"/>
      <c r="AJ150" s="498"/>
      <c r="AK150" s="1066"/>
      <c r="AO150" s="498"/>
    </row>
    <row r="151" spans="1:41" s="499" customFormat="1" ht="12.75" hidden="1" customHeight="1">
      <c r="A151" s="498"/>
      <c r="B151" s="392"/>
      <c r="C151" s="409" t="s">
        <v>410</v>
      </c>
      <c r="D151" s="1070" t="str">
        <f>IF(J=0,"0",VLOOKUP($AK$147,Klima!$B$151:$N$166,6))</f>
        <v>0</v>
      </c>
      <c r="E151" s="411">
        <f t="shared" si="9"/>
        <v>0</v>
      </c>
      <c r="F151" s="44"/>
      <c r="G151" s="44"/>
      <c r="H151" s="580"/>
      <c r="I151" s="582"/>
      <c r="J151" s="581"/>
      <c r="K151" s="584"/>
      <c r="L151" s="581"/>
      <c r="M151" s="584"/>
      <c r="N151" s="581"/>
      <c r="O151" s="584"/>
      <c r="P151" s="44"/>
      <c r="Q151" s="632"/>
      <c r="S151" s="633"/>
      <c r="T151" s="1068"/>
      <c r="U151" s="500"/>
      <c r="V151" s="498"/>
      <c r="W151" s="500"/>
      <c r="X151" s="498"/>
      <c r="Y151" s="500"/>
      <c r="Z151" s="498"/>
      <c r="AA151" s="500"/>
      <c r="AB151" s="498"/>
      <c r="AC151" s="500"/>
      <c r="AD151" s="498"/>
      <c r="AE151" s="500"/>
      <c r="AG151" s="500"/>
      <c r="AH151" s="498"/>
      <c r="AI151" s="500"/>
      <c r="AJ151" s="498"/>
      <c r="AK151" s="1066"/>
      <c r="AO151" s="498"/>
    </row>
    <row r="152" spans="1:41" s="499" customFormat="1" ht="12.75" hidden="1" customHeight="1">
      <c r="A152" s="498"/>
      <c r="B152" s="392"/>
      <c r="C152" s="409" t="s">
        <v>411</v>
      </c>
      <c r="D152" s="1070" t="str">
        <f>IF(J=0,"0",VLOOKUP($AK$147,Klima!$B$151:$N$166,7))</f>
        <v>0</v>
      </c>
      <c r="E152" s="411">
        <f t="shared" si="9"/>
        <v>0</v>
      </c>
      <c r="F152" s="44"/>
      <c r="G152" s="44"/>
      <c r="H152" s="580"/>
      <c r="I152" s="582"/>
      <c r="J152" s="581"/>
      <c r="K152" s="584"/>
      <c r="L152" s="581"/>
      <c r="M152" s="584"/>
      <c r="N152" s="581"/>
      <c r="O152" s="584"/>
      <c r="P152" s="44"/>
      <c r="Q152" s="632"/>
      <c r="S152" s="633"/>
      <c r="T152" s="1068"/>
      <c r="U152" s="500"/>
      <c r="V152" s="498"/>
      <c r="W152" s="500"/>
      <c r="X152" s="498"/>
      <c r="Y152" s="500"/>
      <c r="Z152" s="498"/>
      <c r="AA152" s="500"/>
      <c r="AB152" s="498"/>
      <c r="AC152" s="500"/>
      <c r="AD152" s="498"/>
      <c r="AE152" s="500"/>
      <c r="AG152" s="500"/>
      <c r="AH152" s="498"/>
      <c r="AI152" s="500"/>
      <c r="AJ152" s="498"/>
      <c r="AK152" s="1066"/>
      <c r="AO152" s="498"/>
    </row>
    <row r="153" spans="1:41" s="499" customFormat="1" ht="12.75" hidden="1" customHeight="1">
      <c r="A153" s="498"/>
      <c r="B153" s="392"/>
      <c r="C153" s="409" t="s">
        <v>221</v>
      </c>
      <c r="D153" s="1070" t="str">
        <f>IF(J=0,"0",VLOOKUP($AK$147,Klima!$B$151:$N$166,8))</f>
        <v>0</v>
      </c>
      <c r="E153" s="411">
        <f t="shared" si="9"/>
        <v>0</v>
      </c>
      <c r="F153" s="44"/>
      <c r="G153" s="44"/>
      <c r="H153" s="580"/>
      <c r="I153" s="582"/>
      <c r="J153" s="581"/>
      <c r="K153" s="584"/>
      <c r="L153" s="581"/>
      <c r="M153" s="584"/>
      <c r="N153" s="581"/>
      <c r="O153" s="584"/>
      <c r="P153" s="44"/>
      <c r="Q153" s="632"/>
      <c r="S153" s="633"/>
      <c r="T153" s="1068"/>
      <c r="U153" s="500"/>
      <c r="V153" s="498"/>
      <c r="W153" s="500"/>
      <c r="X153" s="498"/>
      <c r="Y153" s="500"/>
      <c r="Z153" s="498"/>
      <c r="AA153" s="500"/>
      <c r="AB153" s="498"/>
      <c r="AC153" s="500"/>
      <c r="AD153" s="498"/>
      <c r="AE153" s="500"/>
      <c r="AG153" s="500"/>
      <c r="AH153" s="498"/>
      <c r="AI153" s="500"/>
      <c r="AJ153" s="498"/>
      <c r="AK153" s="1066"/>
      <c r="AO153" s="498"/>
    </row>
    <row r="154" spans="1:41" s="499" customFormat="1" ht="12.75" hidden="1" customHeight="1">
      <c r="A154" s="498"/>
      <c r="B154" s="392"/>
      <c r="C154" s="409" t="s">
        <v>138</v>
      </c>
      <c r="D154" s="1070" t="str">
        <f>IF(J=0,"0",VLOOKUP($AK$147,Klima!$B$151:$N$166,9))</f>
        <v>0</v>
      </c>
      <c r="E154" s="411">
        <f t="shared" si="9"/>
        <v>0</v>
      </c>
      <c r="F154" s="44"/>
      <c r="G154" s="44"/>
      <c r="H154" s="580"/>
      <c r="I154" s="582"/>
      <c r="J154" s="581"/>
      <c r="K154" s="584"/>
      <c r="L154" s="581"/>
      <c r="M154" s="584"/>
      <c r="N154" s="581"/>
      <c r="O154" s="584"/>
      <c r="P154" s="44"/>
      <c r="Q154" s="632"/>
      <c r="S154" s="633"/>
      <c r="T154" s="1068"/>
      <c r="U154" s="500"/>
      <c r="V154" s="498"/>
      <c r="W154" s="500"/>
      <c r="X154" s="498"/>
      <c r="Y154" s="500"/>
      <c r="Z154" s="498"/>
      <c r="AA154" s="500"/>
      <c r="AB154" s="498"/>
      <c r="AC154" s="500"/>
      <c r="AD154" s="498"/>
      <c r="AE154" s="500"/>
      <c r="AG154" s="500"/>
      <c r="AH154" s="498"/>
      <c r="AI154" s="500"/>
      <c r="AJ154" s="498"/>
      <c r="AK154" s="1066"/>
      <c r="AO154" s="498"/>
    </row>
    <row r="155" spans="1:41" s="499" customFormat="1" ht="12.75" hidden="1" customHeight="1">
      <c r="A155" s="498"/>
      <c r="B155" s="392"/>
      <c r="C155" s="409" t="s">
        <v>139</v>
      </c>
      <c r="D155" s="1070" t="str">
        <f>IF(J=0,"0",VLOOKUP($AK$147,Klima!$B$151:$N$166,10))</f>
        <v>0</v>
      </c>
      <c r="E155" s="411">
        <f t="shared" si="9"/>
        <v>0</v>
      </c>
      <c r="F155" s="44"/>
      <c r="G155" s="44"/>
      <c r="H155" s="580"/>
      <c r="I155" s="582"/>
      <c r="J155" s="581"/>
      <c r="K155" s="584"/>
      <c r="L155" s="581"/>
      <c r="M155" s="584"/>
      <c r="N155" s="581"/>
      <c r="O155" s="584"/>
      <c r="P155" s="44"/>
      <c r="Q155" s="632"/>
      <c r="S155" s="633"/>
      <c r="T155" s="1068"/>
      <c r="U155" s="500"/>
      <c r="V155" s="498"/>
      <c r="W155" s="500"/>
      <c r="X155" s="498"/>
      <c r="Y155" s="500"/>
      <c r="Z155" s="498"/>
      <c r="AA155" s="500"/>
      <c r="AB155" s="498"/>
      <c r="AC155" s="500"/>
      <c r="AD155" s="498"/>
      <c r="AE155" s="500"/>
      <c r="AG155" s="500"/>
      <c r="AH155" s="498"/>
      <c r="AI155" s="500"/>
      <c r="AJ155" s="498"/>
      <c r="AK155" s="1066"/>
      <c r="AO155" s="498"/>
    </row>
    <row r="156" spans="1:41" s="499" customFormat="1" ht="12.75" hidden="1" customHeight="1">
      <c r="A156" s="498"/>
      <c r="B156" s="392"/>
      <c r="C156" s="409" t="s">
        <v>269</v>
      </c>
      <c r="D156" s="1070" t="str">
        <f>IF(J=0,"0",VLOOKUP($AK$147,Klima!$B$151:$N$166,11))</f>
        <v>0</v>
      </c>
      <c r="E156" s="411">
        <f t="shared" si="9"/>
        <v>0</v>
      </c>
      <c r="F156" s="44"/>
      <c r="G156" s="44"/>
      <c r="H156" s="580"/>
      <c r="I156" s="582"/>
      <c r="J156" s="581"/>
      <c r="K156" s="584"/>
      <c r="L156" s="581"/>
      <c r="M156" s="584"/>
      <c r="N156" s="581"/>
      <c r="O156" s="584"/>
      <c r="P156" s="44"/>
      <c r="Q156" s="632"/>
      <c r="S156" s="633"/>
      <c r="T156" s="1068"/>
      <c r="U156" s="500"/>
      <c r="V156" s="498"/>
      <c r="W156" s="500"/>
      <c r="X156" s="498"/>
      <c r="Y156" s="500"/>
      <c r="Z156" s="498"/>
      <c r="AA156" s="500"/>
      <c r="AB156" s="498"/>
      <c r="AC156" s="500"/>
      <c r="AD156" s="498"/>
      <c r="AE156" s="500"/>
      <c r="AG156" s="500"/>
      <c r="AH156" s="498"/>
      <c r="AI156" s="500"/>
      <c r="AJ156" s="498"/>
      <c r="AK156" s="1066"/>
      <c r="AO156" s="498"/>
    </row>
    <row r="157" spans="1:41" s="499" customFormat="1" ht="12.75" hidden="1" customHeight="1">
      <c r="A157" s="498"/>
      <c r="B157" s="392"/>
      <c r="C157" s="409" t="s">
        <v>366</v>
      </c>
      <c r="D157" s="1070" t="str">
        <f>IF(J=0,"0",VLOOKUP($AK$147,Klima!$B$151:$N$166,12))</f>
        <v>0</v>
      </c>
      <c r="E157" s="411">
        <f t="shared" si="9"/>
        <v>0</v>
      </c>
      <c r="F157" s="44"/>
      <c r="G157" s="44"/>
      <c r="H157" s="580"/>
      <c r="I157" s="582"/>
      <c r="J157" s="581"/>
      <c r="K157" s="584"/>
      <c r="L157" s="581"/>
      <c r="M157" s="584"/>
      <c r="N157" s="581"/>
      <c r="O157" s="584"/>
      <c r="P157" s="44"/>
      <c r="Q157" s="632"/>
      <c r="S157" s="633"/>
      <c r="T157" s="1068"/>
      <c r="U157" s="500"/>
      <c r="V157" s="498"/>
      <c r="W157" s="500"/>
      <c r="X157" s="498"/>
      <c r="Y157" s="500"/>
      <c r="Z157" s="498"/>
      <c r="AA157" s="500"/>
      <c r="AB157" s="498"/>
      <c r="AC157" s="500"/>
      <c r="AD157" s="498"/>
      <c r="AE157" s="500"/>
      <c r="AG157" s="500"/>
      <c r="AH157" s="498"/>
      <c r="AI157" s="500"/>
      <c r="AJ157" s="498"/>
      <c r="AK157" s="1066"/>
      <c r="AO157" s="498"/>
    </row>
    <row r="158" spans="1:41" s="499" customFormat="1" ht="12.75" hidden="1" customHeight="1">
      <c r="A158" s="498"/>
      <c r="B158" s="392"/>
      <c r="C158" s="409" t="s">
        <v>465</v>
      </c>
      <c r="D158" s="1070" t="str">
        <f>IF(J=0,"0",VLOOKUP($AK$147,Klima!$B$151:$N$166,13))</f>
        <v>0</v>
      </c>
      <c r="E158" s="411">
        <f t="shared" si="9"/>
        <v>0</v>
      </c>
      <c r="F158" s="44"/>
      <c r="G158" s="44"/>
      <c r="H158" s="580"/>
      <c r="I158" s="582"/>
      <c r="J158" s="581"/>
      <c r="K158" s="584"/>
      <c r="L158" s="581"/>
      <c r="M158" s="584"/>
      <c r="N158" s="581"/>
      <c r="O158" s="584"/>
      <c r="P158" s="44"/>
      <c r="Q158" s="632"/>
      <c r="S158" s="633"/>
      <c r="T158" s="1068"/>
      <c r="U158" s="500"/>
      <c r="V158" s="498"/>
      <c r="W158" s="500"/>
      <c r="X158" s="498"/>
      <c r="Y158" s="500"/>
      <c r="Z158" s="498"/>
      <c r="AA158" s="500"/>
      <c r="AB158" s="498"/>
      <c r="AC158" s="500"/>
      <c r="AD158" s="498"/>
      <c r="AE158" s="500"/>
      <c r="AG158" s="500"/>
      <c r="AH158" s="498"/>
      <c r="AI158" s="500"/>
      <c r="AJ158" s="498"/>
      <c r="AK158" s="1066"/>
      <c r="AO158" s="498"/>
    </row>
    <row r="159" spans="1:41" ht="12.75" customHeight="1">
      <c r="A159" s="37"/>
      <c r="B159" s="392"/>
      <c r="C159" s="409">
        <f>Bauteile!B418</f>
        <v>0</v>
      </c>
      <c r="D159" s="1071"/>
      <c r="E159" s="394">
        <f>Bauteile!D418</f>
        <v>0</v>
      </c>
      <c r="F159" s="394">
        <f>Bauteile!F418</f>
        <v>0</v>
      </c>
      <c r="G159" s="394" t="str">
        <f>IF(Bauteile!G418="","0",Bauteile!G418)</f>
        <v>0</v>
      </c>
      <c r="H159" s="1013">
        <f>Bauteile!H418</f>
        <v>0</v>
      </c>
      <c r="I159" s="410">
        <f>IF(H_11=0,1,IF(K=0,"0",IF(H_11&lt;=1,H_11,VLOOKUP(H_11,Daten!$A$101:$N$171,AK159))))</f>
        <v>1</v>
      </c>
      <c r="J159" s="581">
        <f>Bauteile!I418</f>
        <v>0</v>
      </c>
      <c r="K159" s="410" t="str">
        <f>IF(K=0,"0",VLOOKUP(Ü_11,Daten!$A$177:$N$252,AK159))</f>
        <v>0</v>
      </c>
      <c r="L159" s="581">
        <f>Bauteile!J418</f>
        <v>0</v>
      </c>
      <c r="M159" s="410" t="str">
        <f>IF(K=0,"0",VLOOKUP(S_11,Daten!$A$258:$N$333,AK159))</f>
        <v>0</v>
      </c>
      <c r="N159" s="581">
        <f>Bauteile!K418</f>
        <v>0</v>
      </c>
      <c r="O159" s="410">
        <f>IF(AK159&gt;5,"1.00",VLOOKUP(S_111,Daten!$A$258:$N$333,AK159))</f>
        <v>0</v>
      </c>
      <c r="P159" s="394">
        <f>Bauteile!C418</f>
        <v>0</v>
      </c>
      <c r="Q159" s="631" t="str">
        <f>IF(K=0,"0",SUM(E160:E171))</f>
        <v>0</v>
      </c>
      <c r="S159" s="85"/>
      <c r="T159" s="36"/>
      <c r="U159" s="40">
        <f>IF(K="SO",1,0)</f>
        <v>0</v>
      </c>
      <c r="V159" s="40">
        <f>IF(K="SSO",2,0)</f>
        <v>0</v>
      </c>
      <c r="W159" s="40">
        <f>IF(K="S",3,0)</f>
        <v>0</v>
      </c>
      <c r="X159" s="40">
        <f>IF(K="SSW",4,0)</f>
        <v>0</v>
      </c>
      <c r="Y159" s="40">
        <f>IF(K="SW",1,0)</f>
        <v>0</v>
      </c>
      <c r="Z159" s="40">
        <f>IF(K="WSW",5,0)</f>
        <v>0</v>
      </c>
      <c r="AA159" s="40">
        <f>IF(K="W",6,0)</f>
        <v>0</v>
      </c>
      <c r="AB159" s="40">
        <f>IF(K="WNW",7,0)</f>
        <v>0</v>
      </c>
      <c r="AC159" s="40">
        <f>IF(K="NW",8,0)</f>
        <v>0</v>
      </c>
      <c r="AD159" s="40">
        <f>IF(K="NNW",9,0)</f>
        <v>0</v>
      </c>
      <c r="AE159" s="40">
        <f>IF(K="N",10,0)</f>
        <v>0</v>
      </c>
      <c r="AF159" s="40">
        <f>IF(K="NNO",11,0)</f>
        <v>0</v>
      </c>
      <c r="AG159" s="40">
        <f>IF(K="NO",8,0)</f>
        <v>0</v>
      </c>
      <c r="AH159" s="40">
        <f>IF(K="ONO",12,0)</f>
        <v>0</v>
      </c>
      <c r="AI159" s="40">
        <f>IF(K="O",6,0)</f>
        <v>0</v>
      </c>
      <c r="AJ159" s="40">
        <f>IF(K="OSO",13,0)</f>
        <v>0</v>
      </c>
      <c r="AK159" s="1065">
        <f>MAX(U159:AJ159)+1</f>
        <v>1</v>
      </c>
      <c r="AO159" s="37"/>
    </row>
    <row r="160" spans="1:41" s="499" customFormat="1" ht="12.75" hidden="1" customHeight="1">
      <c r="A160" s="498"/>
      <c r="B160" s="392"/>
      <c r="C160" s="409" t="s">
        <v>49</v>
      </c>
      <c r="D160" s="1070" t="str">
        <f>IF(K=0,"0",VLOOKUP($AK$160,Klima!$B$151:$N$166,2))</f>
        <v>0</v>
      </c>
      <c r="E160" s="411">
        <f t="shared" ref="E160:E171" si="10">D160*$E$159*$F$159*0.9*$G$159*$I$159*$K$159*$M$159*$O$159/$F$22</f>
        <v>0</v>
      </c>
      <c r="F160" s="44"/>
      <c r="G160" s="44"/>
      <c r="H160" s="580"/>
      <c r="I160" s="582"/>
      <c r="J160" s="581"/>
      <c r="K160" s="584"/>
      <c r="L160" s="581"/>
      <c r="M160" s="584"/>
      <c r="N160" s="581"/>
      <c r="O160" s="584"/>
      <c r="P160" s="44"/>
      <c r="Q160" s="632"/>
      <c r="S160" s="633"/>
      <c r="T160" s="1068"/>
      <c r="U160" s="40">
        <f>IF(K="SO",1,0)</f>
        <v>0</v>
      </c>
      <c r="V160" s="40">
        <f>IF(K="SSO",2,0)</f>
        <v>0</v>
      </c>
      <c r="W160" s="40">
        <f>IF(K="S",3,0)</f>
        <v>0</v>
      </c>
      <c r="X160" s="40">
        <f>IF(K="SSW",4,0)</f>
        <v>0</v>
      </c>
      <c r="Y160" s="40">
        <f>IF(K="SW",5,0)</f>
        <v>0</v>
      </c>
      <c r="Z160" s="40">
        <f>IF(K="WSW",6,0)</f>
        <v>0</v>
      </c>
      <c r="AA160" s="40">
        <f>IF(K="W",7,0)</f>
        <v>0</v>
      </c>
      <c r="AB160" s="40">
        <f>IF(K="WNW",8,0)</f>
        <v>0</v>
      </c>
      <c r="AC160" s="40">
        <f>IF(K="NW",9,0)</f>
        <v>0</v>
      </c>
      <c r="AD160" s="40">
        <f>IF(K="NNW",10,0)</f>
        <v>0</v>
      </c>
      <c r="AE160" s="40">
        <f>IF(K="N",11,0)</f>
        <v>0</v>
      </c>
      <c r="AF160" s="40">
        <f>IF(K="NNO",12,0)</f>
        <v>0</v>
      </c>
      <c r="AG160" s="40">
        <f>IF(K="NO",13,0)</f>
        <v>0</v>
      </c>
      <c r="AH160" s="40">
        <f>IF(K="ONO",14,0)</f>
        <v>0</v>
      </c>
      <c r="AI160" s="40">
        <f>IF(K="O",15,0)</f>
        <v>0</v>
      </c>
      <c r="AJ160" s="40">
        <f>IF(K="OSO",16,0)</f>
        <v>0</v>
      </c>
      <c r="AK160" s="1065">
        <f>MAX(U160:AJ160)</f>
        <v>0</v>
      </c>
      <c r="AO160" s="498"/>
    </row>
    <row r="161" spans="1:41" s="499" customFormat="1" ht="12.75" hidden="1" customHeight="1">
      <c r="A161" s="498"/>
      <c r="B161" s="392"/>
      <c r="C161" s="409" t="s">
        <v>554</v>
      </c>
      <c r="D161" s="1070" t="str">
        <f>IF(K=0,"0",VLOOKUP($AK$160,Klima!$B$151:$N$166,3))</f>
        <v>0</v>
      </c>
      <c r="E161" s="411">
        <f t="shared" si="10"/>
        <v>0</v>
      </c>
      <c r="F161" s="44"/>
      <c r="G161" s="44"/>
      <c r="H161" s="580"/>
      <c r="I161" s="582"/>
      <c r="J161" s="581"/>
      <c r="K161" s="584"/>
      <c r="L161" s="581"/>
      <c r="M161" s="584"/>
      <c r="N161" s="581"/>
      <c r="O161" s="584"/>
      <c r="P161" s="44"/>
      <c r="Q161" s="632"/>
      <c r="S161" s="633"/>
      <c r="T161" s="1068"/>
      <c r="U161" s="500"/>
      <c r="V161" s="498"/>
      <c r="W161" s="500"/>
      <c r="X161" s="498"/>
      <c r="Y161" s="500"/>
      <c r="Z161" s="498"/>
      <c r="AA161" s="500"/>
      <c r="AB161" s="498"/>
      <c r="AC161" s="500"/>
      <c r="AD161" s="498"/>
      <c r="AE161" s="500"/>
      <c r="AG161" s="500"/>
      <c r="AH161" s="498"/>
      <c r="AI161" s="500"/>
      <c r="AJ161" s="498"/>
      <c r="AK161" s="1066"/>
      <c r="AO161" s="498"/>
    </row>
    <row r="162" spans="1:41" s="499" customFormat="1" ht="12.75" hidden="1" customHeight="1">
      <c r="A162" s="498"/>
      <c r="B162" s="392"/>
      <c r="C162" s="409" t="s">
        <v>306</v>
      </c>
      <c r="D162" s="1070" t="str">
        <f>IF(K=0,"0",VLOOKUP($AK$160,Klima!$B$151:$N$166,4))</f>
        <v>0</v>
      </c>
      <c r="E162" s="411">
        <f t="shared" si="10"/>
        <v>0</v>
      </c>
      <c r="F162" s="44"/>
      <c r="G162" s="44"/>
      <c r="H162" s="580"/>
      <c r="I162" s="582"/>
      <c r="J162" s="581"/>
      <c r="K162" s="584"/>
      <c r="L162" s="581"/>
      <c r="M162" s="584"/>
      <c r="N162" s="581"/>
      <c r="O162" s="584"/>
      <c r="P162" s="44"/>
      <c r="Q162" s="632"/>
      <c r="S162" s="633"/>
      <c r="T162" s="1068"/>
      <c r="U162" s="500"/>
      <c r="V162" s="498"/>
      <c r="W162" s="500"/>
      <c r="X162" s="498"/>
      <c r="Y162" s="500"/>
      <c r="Z162" s="498"/>
      <c r="AA162" s="500"/>
      <c r="AB162" s="498"/>
      <c r="AC162" s="500"/>
      <c r="AD162" s="498"/>
      <c r="AE162" s="500"/>
      <c r="AG162" s="500"/>
      <c r="AH162" s="498"/>
      <c r="AI162" s="500"/>
      <c r="AJ162" s="498"/>
      <c r="AK162" s="1066"/>
      <c r="AO162" s="498"/>
    </row>
    <row r="163" spans="1:41" s="499" customFormat="1" ht="12.75" hidden="1" customHeight="1">
      <c r="A163" s="498"/>
      <c r="B163" s="392"/>
      <c r="C163" s="409" t="s">
        <v>409</v>
      </c>
      <c r="D163" s="1070" t="str">
        <f>IF(K=0,"0",VLOOKUP($AK$160,Klima!$B$151:$N$166,5))</f>
        <v>0</v>
      </c>
      <c r="E163" s="411">
        <f t="shared" si="10"/>
        <v>0</v>
      </c>
      <c r="F163" s="44"/>
      <c r="G163" s="44"/>
      <c r="H163" s="580"/>
      <c r="I163" s="582"/>
      <c r="J163" s="581"/>
      <c r="K163" s="584"/>
      <c r="L163" s="581"/>
      <c r="M163" s="584"/>
      <c r="N163" s="581"/>
      <c r="O163" s="584"/>
      <c r="P163" s="44"/>
      <c r="Q163" s="632"/>
      <c r="S163" s="633"/>
      <c r="T163" s="1068"/>
      <c r="U163" s="500"/>
      <c r="V163" s="498"/>
      <c r="W163" s="500"/>
      <c r="X163" s="498"/>
      <c r="Y163" s="500"/>
      <c r="Z163" s="498"/>
      <c r="AA163" s="500"/>
      <c r="AB163" s="498"/>
      <c r="AC163" s="500"/>
      <c r="AD163" s="498"/>
      <c r="AE163" s="500"/>
      <c r="AG163" s="500"/>
      <c r="AH163" s="498"/>
      <c r="AI163" s="500"/>
      <c r="AJ163" s="498"/>
      <c r="AK163" s="1066"/>
      <c r="AO163" s="498"/>
    </row>
    <row r="164" spans="1:41" s="499" customFormat="1" ht="12.75" hidden="1" customHeight="1">
      <c r="A164" s="498"/>
      <c r="B164" s="392"/>
      <c r="C164" s="409" t="s">
        <v>410</v>
      </c>
      <c r="D164" s="1070" t="str">
        <f>IF(K=0,"0",VLOOKUP($AK$160,Klima!$B$151:$N$166,6))</f>
        <v>0</v>
      </c>
      <c r="E164" s="411">
        <f t="shared" si="10"/>
        <v>0</v>
      </c>
      <c r="F164" s="44"/>
      <c r="G164" s="44"/>
      <c r="H164" s="580"/>
      <c r="I164" s="582"/>
      <c r="J164" s="581"/>
      <c r="K164" s="584"/>
      <c r="L164" s="581"/>
      <c r="M164" s="584"/>
      <c r="N164" s="581"/>
      <c r="O164" s="584"/>
      <c r="P164" s="44"/>
      <c r="Q164" s="632"/>
      <c r="S164" s="633"/>
      <c r="T164" s="1068"/>
      <c r="U164" s="500"/>
      <c r="V164" s="498"/>
      <c r="W164" s="500"/>
      <c r="X164" s="498"/>
      <c r="Y164" s="500"/>
      <c r="Z164" s="498"/>
      <c r="AA164" s="500"/>
      <c r="AB164" s="498"/>
      <c r="AC164" s="500"/>
      <c r="AD164" s="498"/>
      <c r="AE164" s="500"/>
      <c r="AG164" s="500"/>
      <c r="AH164" s="498"/>
      <c r="AI164" s="500"/>
      <c r="AJ164" s="498"/>
      <c r="AK164" s="1066"/>
      <c r="AO164" s="498"/>
    </row>
    <row r="165" spans="1:41" s="499" customFormat="1" ht="12.75" hidden="1" customHeight="1">
      <c r="A165" s="498"/>
      <c r="B165" s="392"/>
      <c r="C165" s="409" t="s">
        <v>411</v>
      </c>
      <c r="D165" s="1070" t="str">
        <f>IF(K=0,"0",VLOOKUP($AK$160,Klima!$B$151:$N$166,7))</f>
        <v>0</v>
      </c>
      <c r="E165" s="411">
        <f t="shared" si="10"/>
        <v>0</v>
      </c>
      <c r="F165" s="44"/>
      <c r="G165" s="44"/>
      <c r="H165" s="580"/>
      <c r="I165" s="582"/>
      <c r="J165" s="581"/>
      <c r="K165" s="584"/>
      <c r="L165" s="581"/>
      <c r="M165" s="584"/>
      <c r="N165" s="581"/>
      <c r="O165" s="584"/>
      <c r="P165" s="44"/>
      <c r="Q165" s="632"/>
      <c r="S165" s="633"/>
      <c r="T165" s="1068"/>
      <c r="U165" s="500"/>
      <c r="V165" s="498"/>
      <c r="W165" s="500"/>
      <c r="X165" s="498"/>
      <c r="Y165" s="500"/>
      <c r="Z165" s="498"/>
      <c r="AA165" s="500"/>
      <c r="AB165" s="498"/>
      <c r="AC165" s="500"/>
      <c r="AD165" s="498"/>
      <c r="AE165" s="500"/>
      <c r="AG165" s="500"/>
      <c r="AH165" s="498"/>
      <c r="AI165" s="500"/>
      <c r="AJ165" s="498"/>
      <c r="AK165" s="1066"/>
      <c r="AO165" s="498"/>
    </row>
    <row r="166" spans="1:41" s="499" customFormat="1" ht="12.75" hidden="1" customHeight="1">
      <c r="A166" s="498"/>
      <c r="B166" s="392"/>
      <c r="C166" s="409" t="s">
        <v>221</v>
      </c>
      <c r="D166" s="1070" t="str">
        <f>IF(K=0,"0",VLOOKUP($AK$160,Klima!$B$151:$N$166,8))</f>
        <v>0</v>
      </c>
      <c r="E166" s="411">
        <f t="shared" si="10"/>
        <v>0</v>
      </c>
      <c r="F166" s="44"/>
      <c r="G166" s="44"/>
      <c r="H166" s="580"/>
      <c r="I166" s="582"/>
      <c r="J166" s="581"/>
      <c r="K166" s="584"/>
      <c r="L166" s="581"/>
      <c r="M166" s="584"/>
      <c r="N166" s="581"/>
      <c r="O166" s="584"/>
      <c r="P166" s="44"/>
      <c r="Q166" s="632"/>
      <c r="S166" s="633"/>
      <c r="T166" s="1068"/>
      <c r="U166" s="500"/>
      <c r="V166" s="498"/>
      <c r="W166" s="500"/>
      <c r="X166" s="498"/>
      <c r="Y166" s="500"/>
      <c r="Z166" s="498"/>
      <c r="AA166" s="500"/>
      <c r="AB166" s="498"/>
      <c r="AC166" s="500"/>
      <c r="AD166" s="498"/>
      <c r="AE166" s="500"/>
      <c r="AG166" s="500"/>
      <c r="AH166" s="498"/>
      <c r="AI166" s="500"/>
      <c r="AJ166" s="498"/>
      <c r="AK166" s="1066"/>
      <c r="AO166" s="498"/>
    </row>
    <row r="167" spans="1:41" s="499" customFormat="1" ht="12.75" hidden="1" customHeight="1">
      <c r="A167" s="498"/>
      <c r="B167" s="392"/>
      <c r="C167" s="409" t="s">
        <v>138</v>
      </c>
      <c r="D167" s="1070" t="str">
        <f>IF(K=0,"0",VLOOKUP($AK$160,Klima!$B$151:$N$166,9))</f>
        <v>0</v>
      </c>
      <c r="E167" s="411">
        <f t="shared" si="10"/>
        <v>0</v>
      </c>
      <c r="F167" s="44"/>
      <c r="G167" s="44"/>
      <c r="H167" s="580"/>
      <c r="I167" s="582"/>
      <c r="J167" s="581"/>
      <c r="K167" s="584"/>
      <c r="L167" s="581"/>
      <c r="M167" s="584"/>
      <c r="N167" s="581"/>
      <c r="O167" s="584"/>
      <c r="P167" s="44"/>
      <c r="Q167" s="632"/>
      <c r="S167" s="633"/>
      <c r="T167" s="1068"/>
      <c r="U167" s="500"/>
      <c r="V167" s="498"/>
      <c r="W167" s="500"/>
      <c r="X167" s="498"/>
      <c r="Y167" s="500"/>
      <c r="Z167" s="498"/>
      <c r="AA167" s="500"/>
      <c r="AB167" s="498"/>
      <c r="AC167" s="500"/>
      <c r="AD167" s="498"/>
      <c r="AE167" s="500"/>
      <c r="AG167" s="500"/>
      <c r="AH167" s="498"/>
      <c r="AI167" s="500"/>
      <c r="AJ167" s="498"/>
      <c r="AK167" s="1066"/>
      <c r="AO167" s="498"/>
    </row>
    <row r="168" spans="1:41" s="499" customFormat="1" ht="12.75" hidden="1" customHeight="1">
      <c r="A168" s="498"/>
      <c r="B168" s="392"/>
      <c r="C168" s="409" t="s">
        <v>139</v>
      </c>
      <c r="D168" s="1070" t="str">
        <f>IF(K=0,"0",VLOOKUP($AK$160,Klima!$B$151:$N$166,10))</f>
        <v>0</v>
      </c>
      <c r="E168" s="411">
        <f t="shared" si="10"/>
        <v>0</v>
      </c>
      <c r="F168" s="44"/>
      <c r="G168" s="44"/>
      <c r="H168" s="580"/>
      <c r="I168" s="582"/>
      <c r="J168" s="581"/>
      <c r="K168" s="584"/>
      <c r="L168" s="581"/>
      <c r="M168" s="584"/>
      <c r="N168" s="581"/>
      <c r="O168" s="584"/>
      <c r="P168" s="44"/>
      <c r="Q168" s="632"/>
      <c r="S168" s="633"/>
      <c r="T168" s="1068"/>
      <c r="U168" s="500"/>
      <c r="V168" s="498"/>
      <c r="W168" s="500"/>
      <c r="X168" s="498"/>
      <c r="Y168" s="500"/>
      <c r="Z168" s="498"/>
      <c r="AA168" s="500"/>
      <c r="AB168" s="498"/>
      <c r="AC168" s="500"/>
      <c r="AD168" s="498"/>
      <c r="AE168" s="500"/>
      <c r="AG168" s="500"/>
      <c r="AH168" s="498"/>
      <c r="AI168" s="500"/>
      <c r="AJ168" s="498"/>
      <c r="AK168" s="1066"/>
      <c r="AO168" s="498"/>
    </row>
    <row r="169" spans="1:41" s="499" customFormat="1" ht="12.75" hidden="1" customHeight="1">
      <c r="A169" s="498"/>
      <c r="B169" s="392"/>
      <c r="C169" s="409" t="s">
        <v>269</v>
      </c>
      <c r="D169" s="1070" t="str">
        <f>IF(K=0,"0",VLOOKUP($AK$160,Klima!$B$151:$N$166,11))</f>
        <v>0</v>
      </c>
      <c r="E169" s="411">
        <f t="shared" si="10"/>
        <v>0</v>
      </c>
      <c r="F169" s="44"/>
      <c r="G169" s="44"/>
      <c r="H169" s="580"/>
      <c r="I169" s="582"/>
      <c r="J169" s="581"/>
      <c r="K169" s="584"/>
      <c r="L169" s="581"/>
      <c r="M169" s="584"/>
      <c r="N169" s="581"/>
      <c r="O169" s="584"/>
      <c r="P169" s="44"/>
      <c r="Q169" s="632"/>
      <c r="S169" s="633"/>
      <c r="T169" s="1068"/>
      <c r="U169" s="500"/>
      <c r="V169" s="498"/>
      <c r="W169" s="500"/>
      <c r="X169" s="498"/>
      <c r="Y169" s="500"/>
      <c r="Z169" s="498"/>
      <c r="AA169" s="500"/>
      <c r="AB169" s="498"/>
      <c r="AC169" s="500"/>
      <c r="AD169" s="498"/>
      <c r="AE169" s="500"/>
      <c r="AG169" s="500"/>
      <c r="AH169" s="498"/>
      <c r="AI169" s="500"/>
      <c r="AJ169" s="498"/>
      <c r="AK169" s="1066"/>
      <c r="AO169" s="498"/>
    </row>
    <row r="170" spans="1:41" s="499" customFormat="1" ht="12.75" hidden="1" customHeight="1">
      <c r="A170" s="498"/>
      <c r="B170" s="392"/>
      <c r="C170" s="409" t="s">
        <v>366</v>
      </c>
      <c r="D170" s="1070" t="str">
        <f>IF(K=0,"0",VLOOKUP($AK$160,Klima!$B$151:$N$166,12))</f>
        <v>0</v>
      </c>
      <c r="E170" s="411">
        <f t="shared" si="10"/>
        <v>0</v>
      </c>
      <c r="F170" s="44"/>
      <c r="G170" s="44"/>
      <c r="H170" s="580"/>
      <c r="I170" s="582"/>
      <c r="J170" s="581"/>
      <c r="K170" s="584"/>
      <c r="L170" s="581"/>
      <c r="M170" s="584"/>
      <c r="N170" s="581"/>
      <c r="O170" s="584"/>
      <c r="P170" s="44"/>
      <c r="Q170" s="632"/>
      <c r="S170" s="633"/>
      <c r="T170" s="1068"/>
      <c r="U170" s="500"/>
      <c r="V170" s="498"/>
      <c r="W170" s="500"/>
      <c r="X170" s="498"/>
      <c r="Y170" s="500"/>
      <c r="Z170" s="498"/>
      <c r="AA170" s="500"/>
      <c r="AB170" s="498"/>
      <c r="AC170" s="500"/>
      <c r="AD170" s="498"/>
      <c r="AE170" s="500"/>
      <c r="AG170" s="500"/>
      <c r="AH170" s="498"/>
      <c r="AI170" s="500"/>
      <c r="AJ170" s="498"/>
      <c r="AK170" s="1066"/>
      <c r="AO170" s="498"/>
    </row>
    <row r="171" spans="1:41" s="499" customFormat="1" ht="12.75" hidden="1" customHeight="1">
      <c r="A171" s="498"/>
      <c r="B171" s="392"/>
      <c r="C171" s="409" t="s">
        <v>465</v>
      </c>
      <c r="D171" s="1070" t="str">
        <f>IF(K=0,"0",VLOOKUP($AK$160,Klima!$B$151:$N$166,13))</f>
        <v>0</v>
      </c>
      <c r="E171" s="411">
        <f t="shared" si="10"/>
        <v>0</v>
      </c>
      <c r="F171" s="44"/>
      <c r="G171" s="44"/>
      <c r="H171" s="580"/>
      <c r="I171" s="582"/>
      <c r="J171" s="581"/>
      <c r="K171" s="584"/>
      <c r="L171" s="581"/>
      <c r="M171" s="584"/>
      <c r="N171" s="581"/>
      <c r="O171" s="584"/>
      <c r="P171" s="44"/>
      <c r="Q171" s="632"/>
      <c r="S171" s="633"/>
      <c r="T171" s="1068"/>
      <c r="U171" s="500"/>
      <c r="V171" s="498"/>
      <c r="W171" s="500"/>
      <c r="X171" s="498"/>
      <c r="Y171" s="500"/>
      <c r="Z171" s="498"/>
      <c r="AA171" s="500"/>
      <c r="AB171" s="498"/>
      <c r="AC171" s="500"/>
      <c r="AD171" s="498"/>
      <c r="AE171" s="500"/>
      <c r="AG171" s="500"/>
      <c r="AH171" s="498"/>
      <c r="AI171" s="500"/>
      <c r="AJ171" s="498"/>
      <c r="AK171" s="1066"/>
      <c r="AO171" s="498"/>
    </row>
    <row r="172" spans="1:41" ht="12.75" customHeight="1">
      <c r="A172" s="37"/>
      <c r="B172" s="392"/>
      <c r="C172" s="409">
        <f>Bauteile!B432</f>
        <v>0</v>
      </c>
      <c r="D172" s="1071"/>
      <c r="E172" s="394">
        <f>Bauteile!D432</f>
        <v>0</v>
      </c>
      <c r="F172" s="394">
        <f>Bauteile!F432</f>
        <v>0</v>
      </c>
      <c r="G172" s="394" t="str">
        <f>IF(Bauteile!G432="","0",Bauteile!G432)</f>
        <v>0</v>
      </c>
      <c r="H172" s="1013">
        <f>Bauteile!H432</f>
        <v>0</v>
      </c>
      <c r="I172" s="410">
        <f>IF(H_12=0,1,IF(L=0,"0",IF(H_12&lt;=1,H_12,VLOOKUP(H_12,Daten!$A$101:$N$171,AK172))))</f>
        <v>1</v>
      </c>
      <c r="J172" s="581">
        <f>Bauteile!I432</f>
        <v>0</v>
      </c>
      <c r="K172" s="410" t="str">
        <f>IF(L=0,"0",VLOOKUP(Ü_12,Daten!$A$177:$N$252,AK172))</f>
        <v>0</v>
      </c>
      <c r="L172" s="581">
        <f>Bauteile!J432</f>
        <v>0</v>
      </c>
      <c r="M172" s="410" t="str">
        <f>IF(L=0,"0",VLOOKUP(S_12,Daten!$A$258:$N$333,AK172))</f>
        <v>0</v>
      </c>
      <c r="N172" s="581">
        <f>Bauteile!K432</f>
        <v>0</v>
      </c>
      <c r="O172" s="410">
        <f>IF(AK172&gt;5,"1.00",VLOOKUP(S_112,Daten!$A$258:$N$333,AK172))</f>
        <v>0</v>
      </c>
      <c r="P172" s="394">
        <f>Bauteile!C432</f>
        <v>0</v>
      </c>
      <c r="Q172" s="631" t="str">
        <f>IF(L=0,"0",SUM(E173:E184))</f>
        <v>0</v>
      </c>
      <c r="S172" s="85"/>
      <c r="T172" s="36"/>
      <c r="U172" s="40">
        <f>IF(L="SO",1,0)</f>
        <v>0</v>
      </c>
      <c r="V172" s="40">
        <f>IF(L="SSO",2,0)</f>
        <v>0</v>
      </c>
      <c r="W172" s="40">
        <f>IF(L="S",3,0)</f>
        <v>0</v>
      </c>
      <c r="X172" s="40">
        <f>IF(L="SSW",4,0)</f>
        <v>0</v>
      </c>
      <c r="Y172" s="40">
        <f>IF(L="SW",1,0)</f>
        <v>0</v>
      </c>
      <c r="Z172" s="40">
        <f>IF(L="WSW",5,0)</f>
        <v>0</v>
      </c>
      <c r="AA172" s="40">
        <f>IF(L="W",6,0)</f>
        <v>0</v>
      </c>
      <c r="AB172" s="40">
        <f>IF(L="WNW",7,0)</f>
        <v>0</v>
      </c>
      <c r="AC172" s="40">
        <f>IF(L="NW",8,0)</f>
        <v>0</v>
      </c>
      <c r="AD172" s="40">
        <f>IF(L="NNW",9,0)</f>
        <v>0</v>
      </c>
      <c r="AE172" s="40">
        <f>IF(L="N",10,0)</f>
        <v>0</v>
      </c>
      <c r="AF172" s="40">
        <f>IF(L="NNO",11,0)</f>
        <v>0</v>
      </c>
      <c r="AG172" s="40">
        <f>IF(L="NO",8,0)</f>
        <v>0</v>
      </c>
      <c r="AH172" s="40">
        <f>IF(L="ONO",12,0)</f>
        <v>0</v>
      </c>
      <c r="AI172" s="40">
        <f>IF(L="O",6,0)</f>
        <v>0</v>
      </c>
      <c r="AJ172" s="40">
        <f>IF(L="OSO",13,0)</f>
        <v>0</v>
      </c>
      <c r="AK172" s="1065">
        <f>MAX(U172:AJ172)+1</f>
        <v>1</v>
      </c>
      <c r="AO172" s="37"/>
    </row>
    <row r="173" spans="1:41" s="499" customFormat="1" ht="12.75" hidden="1" customHeight="1">
      <c r="A173" s="498"/>
      <c r="B173" s="392"/>
      <c r="C173" s="409" t="s">
        <v>49</v>
      </c>
      <c r="D173" s="1070" t="str">
        <f>IF(L=0,"0",VLOOKUP($AK$173,Klima!$B$151:$N$166,2))</f>
        <v>0</v>
      </c>
      <c r="E173" s="411">
        <f t="shared" ref="E173:E184" si="11">D173*$E$172*$F$172*0.9*$G$172*$I$172*$K$172*$M$172*$O$172/$F$22</f>
        <v>0</v>
      </c>
      <c r="F173" s="44"/>
      <c r="G173" s="44"/>
      <c r="H173" s="580"/>
      <c r="I173" s="582"/>
      <c r="J173" s="581"/>
      <c r="K173" s="584"/>
      <c r="L173" s="581"/>
      <c r="M173" s="584"/>
      <c r="N173" s="581"/>
      <c r="O173" s="584"/>
      <c r="P173" s="44"/>
      <c r="Q173" s="632"/>
      <c r="S173" s="633"/>
      <c r="T173" s="1068"/>
      <c r="U173" s="40">
        <f>IF(L="SO",1,0)</f>
        <v>0</v>
      </c>
      <c r="V173" s="40">
        <f>IF(L="SSO",2,0)</f>
        <v>0</v>
      </c>
      <c r="W173" s="40">
        <f>IF(L="S",3,0)</f>
        <v>0</v>
      </c>
      <c r="X173" s="40">
        <f>IF(L="SSW",4,0)</f>
        <v>0</v>
      </c>
      <c r="Y173" s="40">
        <f>IF(L="SW",5,0)</f>
        <v>0</v>
      </c>
      <c r="Z173" s="40">
        <f>IF(L="WSW",6,0)</f>
        <v>0</v>
      </c>
      <c r="AA173" s="40">
        <f>IF(L="W",7,0)</f>
        <v>0</v>
      </c>
      <c r="AB173" s="40">
        <f>IF(L="WNW",8,0)</f>
        <v>0</v>
      </c>
      <c r="AC173" s="40">
        <f>IF(L="NW",9,0)</f>
        <v>0</v>
      </c>
      <c r="AD173" s="40">
        <f>IF(L="NNW",10,0)</f>
        <v>0</v>
      </c>
      <c r="AE173" s="40">
        <f>IF(L="N",11,0)</f>
        <v>0</v>
      </c>
      <c r="AF173" s="40">
        <f>IF(L="NNO",12,0)</f>
        <v>0</v>
      </c>
      <c r="AG173" s="40">
        <f>IF(L="NO",13,0)</f>
        <v>0</v>
      </c>
      <c r="AH173" s="40">
        <f>IF(L="ONO",14,0)</f>
        <v>0</v>
      </c>
      <c r="AI173" s="40">
        <f>IF(L="O",15,0)</f>
        <v>0</v>
      </c>
      <c r="AJ173" s="40">
        <f>IF(L="OSO",16,0)</f>
        <v>0</v>
      </c>
      <c r="AK173" s="1065">
        <f>MAX(U173:AJ173)</f>
        <v>0</v>
      </c>
      <c r="AO173" s="498"/>
    </row>
    <row r="174" spans="1:41" s="499" customFormat="1" ht="12.75" hidden="1" customHeight="1">
      <c r="A174" s="498"/>
      <c r="B174" s="392"/>
      <c r="C174" s="409" t="s">
        <v>554</v>
      </c>
      <c r="D174" s="1070" t="str">
        <f>IF(L=0,"0",VLOOKUP($AK$173,Klima!$B$151:$N$166,3))</f>
        <v>0</v>
      </c>
      <c r="E174" s="411">
        <f t="shared" si="11"/>
        <v>0</v>
      </c>
      <c r="F174" s="44"/>
      <c r="G174" s="44"/>
      <c r="H174" s="580"/>
      <c r="I174" s="582"/>
      <c r="J174" s="581"/>
      <c r="K174" s="584"/>
      <c r="L174" s="581"/>
      <c r="M174" s="584"/>
      <c r="N174" s="581"/>
      <c r="O174" s="584"/>
      <c r="P174" s="44"/>
      <c r="Q174" s="632"/>
      <c r="S174" s="633"/>
      <c r="T174" s="1068"/>
      <c r="U174" s="500"/>
      <c r="V174" s="498"/>
      <c r="W174" s="500"/>
      <c r="X174" s="498"/>
      <c r="Y174" s="500"/>
      <c r="Z174" s="498"/>
      <c r="AA174" s="500"/>
      <c r="AB174" s="498"/>
      <c r="AC174" s="500"/>
      <c r="AD174" s="498"/>
      <c r="AE174" s="500"/>
      <c r="AG174" s="500"/>
      <c r="AH174" s="498"/>
      <c r="AI174" s="500"/>
      <c r="AJ174" s="498"/>
      <c r="AK174" s="1066"/>
      <c r="AO174" s="498"/>
    </row>
    <row r="175" spans="1:41" s="499" customFormat="1" ht="12.75" hidden="1" customHeight="1">
      <c r="A175" s="498"/>
      <c r="B175" s="392"/>
      <c r="C175" s="409" t="s">
        <v>306</v>
      </c>
      <c r="D175" s="1070" t="str">
        <f>IF(L=0,"0",VLOOKUP($AK$173,Klima!$B$151:$N$166,4))</f>
        <v>0</v>
      </c>
      <c r="E175" s="411">
        <f t="shared" si="11"/>
        <v>0</v>
      </c>
      <c r="F175" s="44"/>
      <c r="G175" s="44"/>
      <c r="H175" s="580"/>
      <c r="I175" s="582"/>
      <c r="J175" s="581"/>
      <c r="K175" s="584"/>
      <c r="L175" s="581"/>
      <c r="M175" s="584"/>
      <c r="N175" s="581"/>
      <c r="O175" s="584"/>
      <c r="P175" s="44"/>
      <c r="Q175" s="632"/>
      <c r="S175" s="633"/>
      <c r="T175" s="1068"/>
      <c r="U175" s="500"/>
      <c r="V175" s="498"/>
      <c r="W175" s="500"/>
      <c r="X175" s="498"/>
      <c r="Y175" s="500"/>
      <c r="Z175" s="498"/>
      <c r="AA175" s="500"/>
      <c r="AB175" s="498"/>
      <c r="AC175" s="500"/>
      <c r="AD175" s="498"/>
      <c r="AE175" s="500"/>
      <c r="AG175" s="500"/>
      <c r="AH175" s="498"/>
      <c r="AI175" s="500"/>
      <c r="AJ175" s="498"/>
      <c r="AK175" s="1066"/>
      <c r="AO175" s="498"/>
    </row>
    <row r="176" spans="1:41" s="499" customFormat="1" ht="12.75" hidden="1" customHeight="1">
      <c r="A176" s="498"/>
      <c r="B176" s="392"/>
      <c r="C176" s="409" t="s">
        <v>409</v>
      </c>
      <c r="D176" s="1070" t="str">
        <f>IF(L=0,"0",VLOOKUP($AK$173,Klima!$B$151:$N$166,5))</f>
        <v>0</v>
      </c>
      <c r="E176" s="411">
        <f t="shared" si="11"/>
        <v>0</v>
      </c>
      <c r="F176" s="44"/>
      <c r="G176" s="44"/>
      <c r="H176" s="580"/>
      <c r="I176" s="582"/>
      <c r="J176" s="581"/>
      <c r="K176" s="584"/>
      <c r="L176" s="581"/>
      <c r="M176" s="584"/>
      <c r="N176" s="581"/>
      <c r="O176" s="584"/>
      <c r="P176" s="44"/>
      <c r="Q176" s="632"/>
      <c r="S176" s="633"/>
      <c r="T176" s="1068"/>
      <c r="U176" s="500"/>
      <c r="V176" s="498"/>
      <c r="W176" s="500"/>
      <c r="X176" s="498"/>
      <c r="Y176" s="500"/>
      <c r="Z176" s="498"/>
      <c r="AA176" s="500"/>
      <c r="AB176" s="498"/>
      <c r="AC176" s="500"/>
      <c r="AD176" s="498"/>
      <c r="AE176" s="500"/>
      <c r="AG176" s="500"/>
      <c r="AH176" s="498"/>
      <c r="AI176" s="500"/>
      <c r="AJ176" s="498"/>
      <c r="AK176" s="1066"/>
      <c r="AO176" s="498"/>
    </row>
    <row r="177" spans="1:41" s="499" customFormat="1" ht="12.75" hidden="1" customHeight="1">
      <c r="A177" s="498"/>
      <c r="B177" s="392"/>
      <c r="C177" s="409" t="s">
        <v>410</v>
      </c>
      <c r="D177" s="1070" t="str">
        <f>IF(L=0,"0",VLOOKUP($AK$173,Klima!$B$151:$N$166,6))</f>
        <v>0</v>
      </c>
      <c r="E177" s="411">
        <f t="shared" si="11"/>
        <v>0</v>
      </c>
      <c r="F177" s="44"/>
      <c r="G177" s="44"/>
      <c r="H177" s="580"/>
      <c r="I177" s="582"/>
      <c r="J177" s="581"/>
      <c r="K177" s="584"/>
      <c r="L177" s="581"/>
      <c r="M177" s="584"/>
      <c r="N177" s="581"/>
      <c r="O177" s="584"/>
      <c r="P177" s="44"/>
      <c r="Q177" s="632"/>
      <c r="S177" s="633"/>
      <c r="T177" s="1068"/>
      <c r="U177" s="500"/>
      <c r="V177" s="498"/>
      <c r="W177" s="500"/>
      <c r="X177" s="498"/>
      <c r="Y177" s="500"/>
      <c r="Z177" s="498"/>
      <c r="AA177" s="500"/>
      <c r="AB177" s="498"/>
      <c r="AC177" s="500"/>
      <c r="AD177" s="498"/>
      <c r="AE177" s="500"/>
      <c r="AG177" s="500"/>
      <c r="AH177" s="498"/>
      <c r="AI177" s="500"/>
      <c r="AJ177" s="498"/>
      <c r="AK177" s="1066"/>
      <c r="AO177" s="498"/>
    </row>
    <row r="178" spans="1:41" s="499" customFormat="1" ht="12.75" hidden="1" customHeight="1">
      <c r="A178" s="498"/>
      <c r="B178" s="392"/>
      <c r="C178" s="409" t="s">
        <v>411</v>
      </c>
      <c r="D178" s="1070" t="str">
        <f>IF(L=0,"0",VLOOKUP($AK$173,Klima!$B$151:$N$166,7))</f>
        <v>0</v>
      </c>
      <c r="E178" s="411">
        <f t="shared" si="11"/>
        <v>0</v>
      </c>
      <c r="F178" s="44"/>
      <c r="G178" s="44"/>
      <c r="H178" s="580"/>
      <c r="I178" s="582"/>
      <c r="J178" s="581"/>
      <c r="K178" s="584"/>
      <c r="L178" s="581"/>
      <c r="M178" s="584"/>
      <c r="N178" s="581"/>
      <c r="O178" s="584"/>
      <c r="P178" s="44"/>
      <c r="Q178" s="632"/>
      <c r="S178" s="633"/>
      <c r="T178" s="1068"/>
      <c r="U178" s="500"/>
      <c r="V178" s="498"/>
      <c r="W178" s="500"/>
      <c r="X178" s="498"/>
      <c r="Y178" s="500"/>
      <c r="Z178" s="498"/>
      <c r="AA178" s="500"/>
      <c r="AB178" s="498"/>
      <c r="AC178" s="500"/>
      <c r="AD178" s="498"/>
      <c r="AE178" s="500"/>
      <c r="AG178" s="500"/>
      <c r="AH178" s="498"/>
      <c r="AI178" s="500"/>
      <c r="AJ178" s="498"/>
      <c r="AK178" s="1066"/>
      <c r="AO178" s="498"/>
    </row>
    <row r="179" spans="1:41" s="499" customFormat="1" ht="12.75" hidden="1" customHeight="1">
      <c r="A179" s="498"/>
      <c r="B179" s="392"/>
      <c r="C179" s="409" t="s">
        <v>221</v>
      </c>
      <c r="D179" s="1070" t="str">
        <f>IF(L=0,"0",VLOOKUP($AK$173,Klima!$B$151:$N$166,8))</f>
        <v>0</v>
      </c>
      <c r="E179" s="411">
        <f t="shared" si="11"/>
        <v>0</v>
      </c>
      <c r="F179" s="44"/>
      <c r="G179" s="44"/>
      <c r="H179" s="580"/>
      <c r="I179" s="582"/>
      <c r="J179" s="581"/>
      <c r="K179" s="584"/>
      <c r="L179" s="581"/>
      <c r="M179" s="584"/>
      <c r="N179" s="581"/>
      <c r="O179" s="584"/>
      <c r="P179" s="44"/>
      <c r="Q179" s="632"/>
      <c r="S179" s="633"/>
      <c r="T179" s="1068"/>
      <c r="U179" s="500"/>
      <c r="V179" s="498"/>
      <c r="W179" s="500"/>
      <c r="X179" s="498"/>
      <c r="Y179" s="500"/>
      <c r="Z179" s="498"/>
      <c r="AA179" s="500"/>
      <c r="AB179" s="498"/>
      <c r="AC179" s="500"/>
      <c r="AD179" s="498"/>
      <c r="AE179" s="500"/>
      <c r="AG179" s="500"/>
      <c r="AH179" s="498"/>
      <c r="AI179" s="500"/>
      <c r="AJ179" s="498"/>
      <c r="AK179" s="1066"/>
      <c r="AO179" s="498"/>
    </row>
    <row r="180" spans="1:41" s="499" customFormat="1" ht="12.75" hidden="1" customHeight="1">
      <c r="A180" s="498"/>
      <c r="B180" s="392"/>
      <c r="C180" s="409" t="s">
        <v>138</v>
      </c>
      <c r="D180" s="1070" t="str">
        <f>IF(L=0,"0",VLOOKUP($AK$173,Klima!$B$151:$N$166,9))</f>
        <v>0</v>
      </c>
      <c r="E180" s="411">
        <f t="shared" si="11"/>
        <v>0</v>
      </c>
      <c r="F180" s="44"/>
      <c r="G180" s="44"/>
      <c r="H180" s="580"/>
      <c r="I180" s="582"/>
      <c r="J180" s="581"/>
      <c r="K180" s="584"/>
      <c r="L180" s="581"/>
      <c r="M180" s="584"/>
      <c r="N180" s="581"/>
      <c r="O180" s="584"/>
      <c r="P180" s="44"/>
      <c r="Q180" s="632"/>
      <c r="S180" s="633"/>
      <c r="T180" s="1068"/>
      <c r="U180" s="500"/>
      <c r="V180" s="498"/>
      <c r="W180" s="500"/>
      <c r="X180" s="498"/>
      <c r="Y180" s="500"/>
      <c r="Z180" s="498"/>
      <c r="AA180" s="500"/>
      <c r="AB180" s="498"/>
      <c r="AC180" s="500"/>
      <c r="AD180" s="498"/>
      <c r="AE180" s="500"/>
      <c r="AG180" s="500"/>
      <c r="AH180" s="498"/>
      <c r="AI180" s="500"/>
      <c r="AJ180" s="498"/>
      <c r="AK180" s="1066"/>
      <c r="AO180" s="498"/>
    </row>
    <row r="181" spans="1:41" s="499" customFormat="1" ht="12.75" hidden="1" customHeight="1">
      <c r="A181" s="498"/>
      <c r="B181" s="392"/>
      <c r="C181" s="409" t="s">
        <v>139</v>
      </c>
      <c r="D181" s="1070" t="str">
        <f>IF(L=0,"0",VLOOKUP($AK$173,Klima!$B$151:$N$166,10))</f>
        <v>0</v>
      </c>
      <c r="E181" s="411">
        <f t="shared" si="11"/>
        <v>0</v>
      </c>
      <c r="F181" s="44"/>
      <c r="G181" s="44"/>
      <c r="H181" s="580"/>
      <c r="I181" s="582"/>
      <c r="J181" s="581"/>
      <c r="K181" s="584"/>
      <c r="L181" s="581"/>
      <c r="M181" s="584"/>
      <c r="N181" s="581"/>
      <c r="O181" s="584"/>
      <c r="P181" s="44"/>
      <c r="Q181" s="632"/>
      <c r="S181" s="633"/>
      <c r="T181" s="1068"/>
      <c r="U181" s="500"/>
      <c r="V181" s="498"/>
      <c r="W181" s="500"/>
      <c r="X181" s="498"/>
      <c r="Y181" s="500"/>
      <c r="Z181" s="498"/>
      <c r="AA181" s="500"/>
      <c r="AB181" s="498"/>
      <c r="AC181" s="500"/>
      <c r="AD181" s="498"/>
      <c r="AE181" s="500"/>
      <c r="AG181" s="500"/>
      <c r="AH181" s="498"/>
      <c r="AI181" s="500"/>
      <c r="AJ181" s="498"/>
      <c r="AK181" s="1066"/>
      <c r="AO181" s="498"/>
    </row>
    <row r="182" spans="1:41" s="499" customFormat="1" ht="12.75" hidden="1" customHeight="1">
      <c r="A182" s="498"/>
      <c r="B182" s="392"/>
      <c r="C182" s="409" t="s">
        <v>269</v>
      </c>
      <c r="D182" s="1070" t="str">
        <f>IF(L=0,"0",VLOOKUP($AK$173,Klima!$B$151:$N$166,11))</f>
        <v>0</v>
      </c>
      <c r="E182" s="411">
        <f t="shared" si="11"/>
        <v>0</v>
      </c>
      <c r="F182" s="44"/>
      <c r="G182" s="44"/>
      <c r="H182" s="580"/>
      <c r="I182" s="582"/>
      <c r="J182" s="581"/>
      <c r="K182" s="584"/>
      <c r="L182" s="581"/>
      <c r="M182" s="584"/>
      <c r="N182" s="581"/>
      <c r="O182" s="584"/>
      <c r="P182" s="44"/>
      <c r="Q182" s="632"/>
      <c r="S182" s="633"/>
      <c r="T182" s="1068"/>
      <c r="U182" s="500"/>
      <c r="V182" s="498"/>
      <c r="W182" s="500"/>
      <c r="X182" s="498"/>
      <c r="Y182" s="500"/>
      <c r="Z182" s="498"/>
      <c r="AA182" s="500"/>
      <c r="AB182" s="498"/>
      <c r="AC182" s="500"/>
      <c r="AD182" s="498"/>
      <c r="AE182" s="500"/>
      <c r="AG182" s="500"/>
      <c r="AH182" s="498"/>
      <c r="AI182" s="500"/>
      <c r="AJ182" s="498"/>
      <c r="AK182" s="1066"/>
      <c r="AO182" s="498"/>
    </row>
    <row r="183" spans="1:41" s="499" customFormat="1" ht="12.75" hidden="1" customHeight="1">
      <c r="A183" s="498"/>
      <c r="B183" s="392"/>
      <c r="C183" s="409" t="s">
        <v>366</v>
      </c>
      <c r="D183" s="1070" t="str">
        <f>IF(L=0,"0",VLOOKUP($AK$173,Klima!$B$151:$N$166,12))</f>
        <v>0</v>
      </c>
      <c r="E183" s="411">
        <f t="shared" si="11"/>
        <v>0</v>
      </c>
      <c r="F183" s="44"/>
      <c r="G183" s="44"/>
      <c r="H183" s="580"/>
      <c r="I183" s="582"/>
      <c r="J183" s="581"/>
      <c r="K183" s="584"/>
      <c r="L183" s="581"/>
      <c r="M183" s="584"/>
      <c r="N183" s="581"/>
      <c r="O183" s="584"/>
      <c r="P183" s="44"/>
      <c r="Q183" s="632"/>
      <c r="S183" s="633"/>
      <c r="T183" s="1068"/>
      <c r="U183" s="500"/>
      <c r="V183" s="498"/>
      <c r="W183" s="500"/>
      <c r="X183" s="498"/>
      <c r="Y183" s="500"/>
      <c r="Z183" s="498"/>
      <c r="AA183" s="500"/>
      <c r="AB183" s="498"/>
      <c r="AC183" s="500"/>
      <c r="AD183" s="498"/>
      <c r="AE183" s="500"/>
      <c r="AG183" s="500"/>
      <c r="AH183" s="498"/>
      <c r="AI183" s="500"/>
      <c r="AJ183" s="498"/>
      <c r="AK183" s="1066"/>
      <c r="AO183" s="498"/>
    </row>
    <row r="184" spans="1:41" s="499" customFormat="1" ht="12.75" hidden="1" customHeight="1">
      <c r="A184" s="498"/>
      <c r="B184" s="392"/>
      <c r="C184" s="409" t="s">
        <v>465</v>
      </c>
      <c r="D184" s="1070" t="str">
        <f>IF(L=0,"0",VLOOKUP($AK$173,Klima!$B$151:$N$166,13))</f>
        <v>0</v>
      </c>
      <c r="E184" s="411">
        <f t="shared" si="11"/>
        <v>0</v>
      </c>
      <c r="F184" s="44"/>
      <c r="G184" s="44"/>
      <c r="H184" s="580"/>
      <c r="I184" s="582"/>
      <c r="J184" s="581"/>
      <c r="K184" s="584"/>
      <c r="L184" s="581"/>
      <c r="M184" s="584"/>
      <c r="N184" s="581"/>
      <c r="O184" s="584"/>
      <c r="P184" s="44"/>
      <c r="Q184" s="632"/>
      <c r="S184" s="633"/>
      <c r="T184" s="1068"/>
      <c r="U184" s="500"/>
      <c r="V184" s="498"/>
      <c r="W184" s="500"/>
      <c r="X184" s="498"/>
      <c r="Y184" s="500"/>
      <c r="Z184" s="498"/>
      <c r="AA184" s="500"/>
      <c r="AB184" s="498"/>
      <c r="AC184" s="500"/>
      <c r="AD184" s="498"/>
      <c r="AE184" s="500"/>
      <c r="AG184" s="500"/>
      <c r="AH184" s="498"/>
      <c r="AI184" s="500"/>
      <c r="AJ184" s="498"/>
      <c r="AK184" s="1066"/>
      <c r="AO184" s="498"/>
    </row>
    <row r="185" spans="1:41" ht="12.75" customHeight="1">
      <c r="A185" s="37"/>
      <c r="B185" s="392"/>
      <c r="C185" s="409">
        <f>Bauteile!B446</f>
        <v>0</v>
      </c>
      <c r="D185" s="1071"/>
      <c r="E185" s="394">
        <f>Bauteile!D446</f>
        <v>0</v>
      </c>
      <c r="F185" s="394">
        <f>Bauteile!F446</f>
        <v>0</v>
      </c>
      <c r="G185" s="394" t="str">
        <f>IF(Bauteile!G446="","0",Bauteile!G446)</f>
        <v>0</v>
      </c>
      <c r="H185" s="1013">
        <f>Bauteile!H446</f>
        <v>0</v>
      </c>
      <c r="I185" s="410">
        <f>IF(H_13=0,1,IF(M=0,"0",IF(H_13&lt;=1,H_13,VLOOKUP(H_13,Daten!$A$101:$N$171,AK185))))</f>
        <v>1</v>
      </c>
      <c r="J185" s="581">
        <f>Bauteile!I446</f>
        <v>0</v>
      </c>
      <c r="K185" s="410" t="str">
        <f>IF(M=0,"0",VLOOKUP(Ü_13,Daten!$A$177:$N$252,AK185))</f>
        <v>0</v>
      </c>
      <c r="L185" s="581">
        <f>Bauteile!J446</f>
        <v>0</v>
      </c>
      <c r="M185" s="410" t="str">
        <f>IF(M=0,"0",VLOOKUP(S_13,Daten!$A$258:$N$333,AK185))</f>
        <v>0</v>
      </c>
      <c r="N185" s="581">
        <f>Bauteile!K446</f>
        <v>0</v>
      </c>
      <c r="O185" s="410">
        <f>IF(AK185&gt;5,"1.00",VLOOKUP(S_113,Daten!$A$258:$N$333,AK185))</f>
        <v>0</v>
      </c>
      <c r="P185" s="394">
        <f>Bauteile!C446</f>
        <v>0</v>
      </c>
      <c r="Q185" s="631" t="str">
        <f>IF(M=0,"0",SUM(E186:E197))</f>
        <v>0</v>
      </c>
      <c r="S185" s="85"/>
      <c r="T185" s="36"/>
      <c r="U185" s="40">
        <f>IF(M="SO",1,0)</f>
        <v>0</v>
      </c>
      <c r="V185" s="40">
        <f>IF(M="SSO",2,0)</f>
        <v>0</v>
      </c>
      <c r="W185" s="40">
        <f>IF(M="S",3,0)</f>
        <v>0</v>
      </c>
      <c r="X185" s="40">
        <f>IF(M="SSW",4,0)</f>
        <v>0</v>
      </c>
      <c r="Y185" s="40">
        <f>IF(M="SW",1,0)</f>
        <v>0</v>
      </c>
      <c r="Z185" s="40">
        <f>IF(M="WSW",5,0)</f>
        <v>0</v>
      </c>
      <c r="AA185" s="40">
        <f>IF(M="W",6,0)</f>
        <v>0</v>
      </c>
      <c r="AB185" s="40">
        <f>IF(M="WNW",7,0)</f>
        <v>0</v>
      </c>
      <c r="AC185" s="40">
        <f>IF(M="NW",8,0)</f>
        <v>0</v>
      </c>
      <c r="AD185" s="40">
        <f>IF(M="NNW",9,0)</f>
        <v>0</v>
      </c>
      <c r="AE185" s="40">
        <f>IF(M="N",10,0)</f>
        <v>0</v>
      </c>
      <c r="AF185" s="40">
        <f>IF(M="NNO",11,0)</f>
        <v>0</v>
      </c>
      <c r="AG185" s="40">
        <f>IF(M="NO",8,0)</f>
        <v>0</v>
      </c>
      <c r="AH185" s="40">
        <f>IF(M="ONO",12,0)</f>
        <v>0</v>
      </c>
      <c r="AI185" s="40">
        <f>IF(M="O",6,0)</f>
        <v>0</v>
      </c>
      <c r="AJ185" s="40">
        <f>IF(M="OSO",13,0)</f>
        <v>0</v>
      </c>
      <c r="AK185" s="1065">
        <f>MAX(U185:AJ185)+1</f>
        <v>1</v>
      </c>
      <c r="AO185" s="37"/>
    </row>
    <row r="186" spans="1:41" s="499" customFormat="1" ht="12.75" hidden="1" customHeight="1">
      <c r="A186" s="498"/>
      <c r="B186" s="392"/>
      <c r="C186" s="409" t="s">
        <v>49</v>
      </c>
      <c r="D186" s="1070" t="str">
        <f>IF(M=0,"0",VLOOKUP($AK$186,Klima!$B$151:$N$166,2))</f>
        <v>0</v>
      </c>
      <c r="E186" s="411">
        <f t="shared" ref="E186:E197" si="12">D186*$E$185*$F$185*0.9*$G$185*$I$185*$K$185*$M$185*$O$185/$F$22</f>
        <v>0</v>
      </c>
      <c r="F186" s="44"/>
      <c r="G186" s="44"/>
      <c r="H186" s="580"/>
      <c r="I186" s="582"/>
      <c r="J186" s="581"/>
      <c r="K186" s="584"/>
      <c r="L186" s="581"/>
      <c r="M186" s="584"/>
      <c r="N186" s="581"/>
      <c r="O186" s="584"/>
      <c r="P186" s="44"/>
      <c r="Q186" s="632"/>
      <c r="S186" s="633"/>
      <c r="T186" s="1068"/>
      <c r="U186" s="40">
        <f>IF(M="SO",1,0)</f>
        <v>0</v>
      </c>
      <c r="V186" s="40">
        <f>IF(M="SSO",2,0)</f>
        <v>0</v>
      </c>
      <c r="W186" s="40">
        <f>IF(M="S",3,0)</f>
        <v>0</v>
      </c>
      <c r="X186" s="40">
        <f>IF(M="SSW",4,0)</f>
        <v>0</v>
      </c>
      <c r="Y186" s="40">
        <f>IF(M="SW",5,0)</f>
        <v>0</v>
      </c>
      <c r="Z186" s="40">
        <f>IF(M="WSW",6,0)</f>
        <v>0</v>
      </c>
      <c r="AA186" s="40">
        <f>IF(M="W",7,0)</f>
        <v>0</v>
      </c>
      <c r="AB186" s="40">
        <f>IF(M="WNW",8,0)</f>
        <v>0</v>
      </c>
      <c r="AC186" s="40">
        <f>IF(M="NW",9,0)</f>
        <v>0</v>
      </c>
      <c r="AD186" s="40">
        <f>IF(M="NNW",10,0)</f>
        <v>0</v>
      </c>
      <c r="AE186" s="40">
        <f>IF(M="N",11,0)</f>
        <v>0</v>
      </c>
      <c r="AF186" s="40">
        <f>IF(M="NNO",12,0)</f>
        <v>0</v>
      </c>
      <c r="AG186" s="40">
        <f>IF(M="NO",13,0)</f>
        <v>0</v>
      </c>
      <c r="AH186" s="40">
        <f>IF(M="ONO",14,0)</f>
        <v>0</v>
      </c>
      <c r="AI186" s="40">
        <f>IF(M="O",15,0)</f>
        <v>0</v>
      </c>
      <c r="AJ186" s="40">
        <f>IF(M="OSO",16,0)</f>
        <v>0</v>
      </c>
      <c r="AK186" s="1065">
        <f>MAX(U186:AJ186)</f>
        <v>0</v>
      </c>
      <c r="AO186" s="498"/>
    </row>
    <row r="187" spans="1:41" s="499" customFormat="1" ht="12.75" hidden="1" customHeight="1">
      <c r="A187" s="498"/>
      <c r="B187" s="392"/>
      <c r="C187" s="409" t="s">
        <v>554</v>
      </c>
      <c r="D187" s="1070" t="str">
        <f>IF(M=0,"0",VLOOKUP($AK$186,Klima!$B$151:$N$166,3))</f>
        <v>0</v>
      </c>
      <c r="E187" s="411">
        <f t="shared" si="12"/>
        <v>0</v>
      </c>
      <c r="F187" s="44"/>
      <c r="G187" s="44"/>
      <c r="H187" s="580"/>
      <c r="I187" s="582"/>
      <c r="J187" s="581"/>
      <c r="K187" s="584"/>
      <c r="L187" s="581"/>
      <c r="M187" s="584"/>
      <c r="N187" s="581"/>
      <c r="O187" s="584"/>
      <c r="P187" s="44"/>
      <c r="Q187" s="632"/>
      <c r="S187" s="633"/>
      <c r="T187" s="1068"/>
      <c r="U187" s="500"/>
      <c r="V187" s="498"/>
      <c r="W187" s="500"/>
      <c r="X187" s="498"/>
      <c r="Y187" s="500"/>
      <c r="Z187" s="498"/>
      <c r="AA187" s="500"/>
      <c r="AB187" s="498"/>
      <c r="AC187" s="500"/>
      <c r="AD187" s="498"/>
      <c r="AE187" s="500"/>
      <c r="AG187" s="500"/>
      <c r="AH187" s="498"/>
      <c r="AI187" s="500"/>
      <c r="AJ187" s="498"/>
      <c r="AK187" s="1066"/>
      <c r="AO187" s="498"/>
    </row>
    <row r="188" spans="1:41" s="499" customFormat="1" ht="12.75" hidden="1" customHeight="1">
      <c r="A188" s="498"/>
      <c r="B188" s="392"/>
      <c r="C188" s="409" t="s">
        <v>306</v>
      </c>
      <c r="D188" s="1070" t="str">
        <f>IF(M=0,"0",VLOOKUP($AK$186,Klima!$B$151:$N$166,4))</f>
        <v>0</v>
      </c>
      <c r="E188" s="411">
        <f t="shared" si="12"/>
        <v>0</v>
      </c>
      <c r="F188" s="44"/>
      <c r="G188" s="44"/>
      <c r="H188" s="580"/>
      <c r="I188" s="582"/>
      <c r="J188" s="581"/>
      <c r="K188" s="584"/>
      <c r="L188" s="581"/>
      <c r="M188" s="584"/>
      <c r="N188" s="581"/>
      <c r="O188" s="584"/>
      <c r="P188" s="44"/>
      <c r="Q188" s="632"/>
      <c r="S188" s="633"/>
      <c r="T188" s="1068"/>
      <c r="U188" s="500"/>
      <c r="V188" s="498"/>
      <c r="W188" s="500"/>
      <c r="X188" s="498"/>
      <c r="Y188" s="500"/>
      <c r="Z188" s="498"/>
      <c r="AA188" s="500"/>
      <c r="AB188" s="498"/>
      <c r="AC188" s="500"/>
      <c r="AD188" s="498"/>
      <c r="AE188" s="500"/>
      <c r="AG188" s="500"/>
      <c r="AH188" s="498"/>
      <c r="AI188" s="500"/>
      <c r="AJ188" s="498"/>
      <c r="AK188" s="1066"/>
      <c r="AO188" s="498"/>
    </row>
    <row r="189" spans="1:41" s="499" customFormat="1" ht="12.75" hidden="1" customHeight="1">
      <c r="A189" s="498"/>
      <c r="B189" s="392"/>
      <c r="C189" s="409" t="s">
        <v>409</v>
      </c>
      <c r="D189" s="1070" t="str">
        <f>IF(M=0,"0",VLOOKUP($AK$186,Klima!$B$151:$N$166,5))</f>
        <v>0</v>
      </c>
      <c r="E189" s="411">
        <f t="shared" si="12"/>
        <v>0</v>
      </c>
      <c r="F189" s="44"/>
      <c r="G189" s="44"/>
      <c r="H189" s="580"/>
      <c r="I189" s="582"/>
      <c r="J189" s="581"/>
      <c r="K189" s="584"/>
      <c r="L189" s="581"/>
      <c r="M189" s="584"/>
      <c r="N189" s="581"/>
      <c r="O189" s="584"/>
      <c r="P189" s="44"/>
      <c r="Q189" s="632"/>
      <c r="S189" s="633"/>
      <c r="T189" s="1068"/>
      <c r="U189" s="500"/>
      <c r="V189" s="498"/>
      <c r="W189" s="500"/>
      <c r="X189" s="498"/>
      <c r="Y189" s="500"/>
      <c r="Z189" s="498"/>
      <c r="AA189" s="500"/>
      <c r="AB189" s="498"/>
      <c r="AC189" s="500"/>
      <c r="AD189" s="498"/>
      <c r="AE189" s="500"/>
      <c r="AG189" s="500"/>
      <c r="AH189" s="498"/>
      <c r="AI189" s="500"/>
      <c r="AJ189" s="498"/>
      <c r="AK189" s="1066"/>
      <c r="AO189" s="498"/>
    </row>
    <row r="190" spans="1:41" s="499" customFormat="1" ht="12.75" hidden="1" customHeight="1">
      <c r="A190" s="498"/>
      <c r="B190" s="392"/>
      <c r="C190" s="409" t="s">
        <v>410</v>
      </c>
      <c r="D190" s="1070" t="str">
        <f>IF(M=0,"0",VLOOKUP($AK$186,Klima!$B$151:$N$166,6))</f>
        <v>0</v>
      </c>
      <c r="E190" s="411">
        <f t="shared" si="12"/>
        <v>0</v>
      </c>
      <c r="F190" s="44"/>
      <c r="G190" s="44"/>
      <c r="H190" s="580"/>
      <c r="I190" s="582"/>
      <c r="J190" s="581"/>
      <c r="K190" s="584"/>
      <c r="L190" s="581"/>
      <c r="M190" s="584"/>
      <c r="N190" s="581"/>
      <c r="O190" s="584"/>
      <c r="P190" s="44"/>
      <c r="Q190" s="632"/>
      <c r="S190" s="633"/>
      <c r="T190" s="1068"/>
      <c r="U190" s="500"/>
      <c r="V190" s="498"/>
      <c r="W190" s="500"/>
      <c r="X190" s="498"/>
      <c r="Y190" s="500"/>
      <c r="Z190" s="498"/>
      <c r="AA190" s="500"/>
      <c r="AB190" s="498"/>
      <c r="AC190" s="500"/>
      <c r="AD190" s="498"/>
      <c r="AE190" s="500"/>
      <c r="AG190" s="500"/>
      <c r="AH190" s="498"/>
      <c r="AI190" s="500"/>
      <c r="AJ190" s="498"/>
      <c r="AK190" s="1066"/>
      <c r="AO190" s="498"/>
    </row>
    <row r="191" spans="1:41" s="499" customFormat="1" ht="12.75" hidden="1" customHeight="1">
      <c r="A191" s="498"/>
      <c r="B191" s="392"/>
      <c r="C191" s="409" t="s">
        <v>411</v>
      </c>
      <c r="D191" s="1070" t="str">
        <f>IF(M=0,"0",VLOOKUP($AK$186,Klima!$B$151:$N$166,7))</f>
        <v>0</v>
      </c>
      <c r="E191" s="411">
        <f t="shared" si="12"/>
        <v>0</v>
      </c>
      <c r="F191" s="44"/>
      <c r="G191" s="44"/>
      <c r="H191" s="580"/>
      <c r="I191" s="582"/>
      <c r="J191" s="581"/>
      <c r="K191" s="584"/>
      <c r="L191" s="581"/>
      <c r="M191" s="584"/>
      <c r="N191" s="581"/>
      <c r="O191" s="584"/>
      <c r="P191" s="44"/>
      <c r="Q191" s="632"/>
      <c r="S191" s="633"/>
      <c r="T191" s="1068"/>
      <c r="U191" s="500"/>
      <c r="V191" s="498"/>
      <c r="W191" s="500"/>
      <c r="X191" s="498"/>
      <c r="Y191" s="500"/>
      <c r="Z191" s="498"/>
      <c r="AA191" s="500"/>
      <c r="AB191" s="498"/>
      <c r="AC191" s="500"/>
      <c r="AD191" s="498"/>
      <c r="AE191" s="500"/>
      <c r="AG191" s="500"/>
      <c r="AH191" s="498"/>
      <c r="AI191" s="500"/>
      <c r="AJ191" s="498"/>
      <c r="AK191" s="1066"/>
      <c r="AO191" s="498"/>
    </row>
    <row r="192" spans="1:41" s="499" customFormat="1" ht="12.75" hidden="1" customHeight="1">
      <c r="A192" s="498"/>
      <c r="B192" s="392"/>
      <c r="C192" s="409" t="s">
        <v>221</v>
      </c>
      <c r="D192" s="1070" t="str">
        <f>IF(M=0,"0",VLOOKUP($AK$186,Klima!$B$151:$N$166,8))</f>
        <v>0</v>
      </c>
      <c r="E192" s="411">
        <f t="shared" si="12"/>
        <v>0</v>
      </c>
      <c r="F192" s="44"/>
      <c r="G192" s="44"/>
      <c r="H192" s="580"/>
      <c r="I192" s="582"/>
      <c r="J192" s="581"/>
      <c r="K192" s="584"/>
      <c r="L192" s="581"/>
      <c r="M192" s="584"/>
      <c r="N192" s="581"/>
      <c r="O192" s="584"/>
      <c r="P192" s="44"/>
      <c r="Q192" s="632"/>
      <c r="S192" s="633"/>
      <c r="T192" s="1068"/>
      <c r="U192" s="500"/>
      <c r="V192" s="498"/>
      <c r="W192" s="500"/>
      <c r="X192" s="498"/>
      <c r="Y192" s="500"/>
      <c r="Z192" s="498"/>
      <c r="AA192" s="500"/>
      <c r="AB192" s="498"/>
      <c r="AC192" s="500"/>
      <c r="AD192" s="498"/>
      <c r="AE192" s="500"/>
      <c r="AG192" s="500"/>
      <c r="AH192" s="498"/>
      <c r="AI192" s="500"/>
      <c r="AJ192" s="498"/>
      <c r="AK192" s="1066"/>
      <c r="AO192" s="498"/>
    </row>
    <row r="193" spans="1:41" s="499" customFormat="1" ht="12.75" hidden="1" customHeight="1">
      <c r="A193" s="498"/>
      <c r="B193" s="392"/>
      <c r="C193" s="409" t="s">
        <v>138</v>
      </c>
      <c r="D193" s="1070" t="str">
        <f>IF(M=0,"0",VLOOKUP($AK$186,Klima!$B$151:$N$166,9))</f>
        <v>0</v>
      </c>
      <c r="E193" s="411">
        <f t="shared" si="12"/>
        <v>0</v>
      </c>
      <c r="F193" s="44"/>
      <c r="G193" s="44"/>
      <c r="H193" s="580"/>
      <c r="I193" s="582"/>
      <c r="J193" s="581"/>
      <c r="K193" s="584"/>
      <c r="L193" s="581"/>
      <c r="M193" s="584"/>
      <c r="N193" s="581"/>
      <c r="O193" s="584"/>
      <c r="P193" s="44"/>
      <c r="Q193" s="632"/>
      <c r="S193" s="633"/>
      <c r="T193" s="1068"/>
      <c r="U193" s="500"/>
      <c r="V193" s="498"/>
      <c r="W193" s="500"/>
      <c r="X193" s="498"/>
      <c r="Y193" s="500"/>
      <c r="Z193" s="498"/>
      <c r="AA193" s="500"/>
      <c r="AB193" s="498"/>
      <c r="AC193" s="500"/>
      <c r="AD193" s="498"/>
      <c r="AE193" s="500"/>
      <c r="AG193" s="500"/>
      <c r="AH193" s="498"/>
      <c r="AI193" s="500"/>
      <c r="AJ193" s="498"/>
      <c r="AK193" s="1066"/>
      <c r="AO193" s="498"/>
    </row>
    <row r="194" spans="1:41" s="499" customFormat="1" ht="12.75" hidden="1" customHeight="1">
      <c r="A194" s="498"/>
      <c r="B194" s="392"/>
      <c r="C194" s="409" t="s">
        <v>139</v>
      </c>
      <c r="D194" s="1070" t="str">
        <f>IF(M=0,"0",VLOOKUP($AK$186,Klima!$B$151:$N$166,10))</f>
        <v>0</v>
      </c>
      <c r="E194" s="411">
        <f t="shared" si="12"/>
        <v>0</v>
      </c>
      <c r="F194" s="44"/>
      <c r="G194" s="44"/>
      <c r="H194" s="580"/>
      <c r="I194" s="582"/>
      <c r="J194" s="581"/>
      <c r="K194" s="584"/>
      <c r="L194" s="581"/>
      <c r="M194" s="584"/>
      <c r="N194" s="581"/>
      <c r="O194" s="584"/>
      <c r="P194" s="44"/>
      <c r="Q194" s="632"/>
      <c r="S194" s="633"/>
      <c r="T194" s="1068"/>
      <c r="U194" s="500"/>
      <c r="V194" s="498"/>
      <c r="W194" s="500"/>
      <c r="X194" s="498"/>
      <c r="Y194" s="500"/>
      <c r="Z194" s="498"/>
      <c r="AA194" s="500"/>
      <c r="AB194" s="498"/>
      <c r="AC194" s="500"/>
      <c r="AD194" s="498"/>
      <c r="AE194" s="500"/>
      <c r="AG194" s="500"/>
      <c r="AH194" s="498"/>
      <c r="AI194" s="500"/>
      <c r="AJ194" s="498"/>
      <c r="AK194" s="1066"/>
      <c r="AO194" s="498"/>
    </row>
    <row r="195" spans="1:41" s="499" customFormat="1" ht="12.75" hidden="1" customHeight="1">
      <c r="A195" s="498"/>
      <c r="B195" s="392"/>
      <c r="C195" s="409" t="s">
        <v>269</v>
      </c>
      <c r="D195" s="1070" t="str">
        <f>IF(M=0,"0",VLOOKUP($AK$186,Klima!$B$151:$N$166,11))</f>
        <v>0</v>
      </c>
      <c r="E195" s="411">
        <f t="shared" si="12"/>
        <v>0</v>
      </c>
      <c r="F195" s="44"/>
      <c r="G195" s="44"/>
      <c r="H195" s="580"/>
      <c r="I195" s="582"/>
      <c r="J195" s="581"/>
      <c r="K195" s="584"/>
      <c r="L195" s="581"/>
      <c r="M195" s="584"/>
      <c r="N195" s="581"/>
      <c r="O195" s="584"/>
      <c r="P195" s="44"/>
      <c r="Q195" s="632"/>
      <c r="S195" s="633"/>
      <c r="T195" s="1068"/>
      <c r="U195" s="500"/>
      <c r="V195" s="498"/>
      <c r="W195" s="500"/>
      <c r="X195" s="498"/>
      <c r="Y195" s="500"/>
      <c r="Z195" s="498"/>
      <c r="AA195" s="500"/>
      <c r="AB195" s="498"/>
      <c r="AC195" s="500"/>
      <c r="AD195" s="498"/>
      <c r="AE195" s="500"/>
      <c r="AG195" s="500"/>
      <c r="AH195" s="498"/>
      <c r="AI195" s="500"/>
      <c r="AJ195" s="498"/>
      <c r="AK195" s="1066"/>
      <c r="AO195" s="498"/>
    </row>
    <row r="196" spans="1:41" s="499" customFormat="1" ht="12.75" hidden="1" customHeight="1">
      <c r="A196" s="498"/>
      <c r="B196" s="392"/>
      <c r="C196" s="409" t="s">
        <v>366</v>
      </c>
      <c r="D196" s="1070" t="str">
        <f>IF(M=0,"0",VLOOKUP($AK$186,Klima!$B$151:$N$166,12))</f>
        <v>0</v>
      </c>
      <c r="E196" s="411">
        <f t="shared" si="12"/>
        <v>0</v>
      </c>
      <c r="F196" s="44"/>
      <c r="G196" s="44"/>
      <c r="H196" s="580"/>
      <c r="I196" s="582"/>
      <c r="J196" s="581"/>
      <c r="K196" s="584"/>
      <c r="L196" s="581"/>
      <c r="M196" s="584"/>
      <c r="N196" s="581"/>
      <c r="O196" s="584"/>
      <c r="P196" s="44"/>
      <c r="Q196" s="632"/>
      <c r="S196" s="633"/>
      <c r="T196" s="1068"/>
      <c r="U196" s="500"/>
      <c r="V196" s="498"/>
      <c r="W196" s="500"/>
      <c r="X196" s="498"/>
      <c r="Y196" s="500"/>
      <c r="Z196" s="498"/>
      <c r="AA196" s="500"/>
      <c r="AB196" s="498"/>
      <c r="AC196" s="500"/>
      <c r="AD196" s="498"/>
      <c r="AE196" s="500"/>
      <c r="AG196" s="500"/>
      <c r="AH196" s="498"/>
      <c r="AI196" s="500"/>
      <c r="AJ196" s="498"/>
      <c r="AK196" s="1066"/>
      <c r="AO196" s="498"/>
    </row>
    <row r="197" spans="1:41" s="499" customFormat="1" ht="12.75" hidden="1" customHeight="1">
      <c r="A197" s="498"/>
      <c r="B197" s="392"/>
      <c r="C197" s="409" t="s">
        <v>465</v>
      </c>
      <c r="D197" s="1070" t="str">
        <f>IF(M=0,"0",VLOOKUP($AK$186,Klima!$B$151:$N$166,13))</f>
        <v>0</v>
      </c>
      <c r="E197" s="411">
        <f t="shared" si="12"/>
        <v>0</v>
      </c>
      <c r="F197" s="44"/>
      <c r="G197" s="44"/>
      <c r="H197" s="580"/>
      <c r="I197" s="582"/>
      <c r="J197" s="581"/>
      <c r="K197" s="584"/>
      <c r="L197" s="581"/>
      <c r="M197" s="584"/>
      <c r="N197" s="581"/>
      <c r="O197" s="584"/>
      <c r="P197" s="44"/>
      <c r="Q197" s="632"/>
      <c r="S197" s="633"/>
      <c r="T197" s="1068"/>
      <c r="U197" s="500"/>
      <c r="V197" s="498"/>
      <c r="W197" s="500"/>
      <c r="X197" s="498"/>
      <c r="Y197" s="500"/>
      <c r="Z197" s="498"/>
      <c r="AA197" s="500"/>
      <c r="AB197" s="498"/>
      <c r="AC197" s="500"/>
      <c r="AD197" s="498"/>
      <c r="AE197" s="500"/>
      <c r="AG197" s="500"/>
      <c r="AH197" s="498"/>
      <c r="AI197" s="500"/>
      <c r="AJ197" s="498"/>
      <c r="AK197" s="1066"/>
      <c r="AO197" s="498"/>
    </row>
    <row r="198" spans="1:41" ht="12.75" customHeight="1">
      <c r="A198" s="37"/>
      <c r="B198" s="392"/>
      <c r="C198" s="409">
        <f>Bauteile!B460</f>
        <v>0</v>
      </c>
      <c r="D198" s="1071"/>
      <c r="E198" s="394">
        <f>Bauteile!D460</f>
        <v>0</v>
      </c>
      <c r="F198" s="394">
        <f>Bauteile!F460</f>
        <v>0</v>
      </c>
      <c r="G198" s="394" t="str">
        <f>IF(Bauteile!G460="","0",Bauteile!G460)</f>
        <v>0</v>
      </c>
      <c r="H198" s="1013">
        <f>Bauteile!H460</f>
        <v>0</v>
      </c>
      <c r="I198" s="410">
        <f>IF(H_14=0,1,IF(N=0,"0",IF(H_14&lt;=1,H_14,VLOOKUP(H_14,Daten!$A$101:$N$171,AK198))))</f>
        <v>1</v>
      </c>
      <c r="J198" s="581">
        <f>Bauteile!I460</f>
        <v>0</v>
      </c>
      <c r="K198" s="410" t="str">
        <f>IF(N=0,"0",VLOOKUP(Ü_14,Daten!$A$177:$N$252,AK198))</f>
        <v>0</v>
      </c>
      <c r="L198" s="581">
        <f>Bauteile!J460</f>
        <v>0</v>
      </c>
      <c r="M198" s="410" t="str">
        <f>IF(N=0,"0",VLOOKUP(S_14,Daten!$A$258:$N$333,AK198))</f>
        <v>0</v>
      </c>
      <c r="N198" s="581">
        <f>Bauteile!K460</f>
        <v>0</v>
      </c>
      <c r="O198" s="410">
        <f>IF(AK198&gt;5,"1.00",VLOOKUP(S_114,Daten!$A$258:$N$333,AK198))</f>
        <v>0</v>
      </c>
      <c r="P198" s="394">
        <f>Bauteile!C460</f>
        <v>0</v>
      </c>
      <c r="Q198" s="631" t="str">
        <f>IF(N=0,"0",SUM(E199:E210))</f>
        <v>0</v>
      </c>
      <c r="S198" s="85"/>
      <c r="T198" s="36"/>
      <c r="U198" s="40">
        <f>IF(N="SO",1,0)</f>
        <v>0</v>
      </c>
      <c r="V198" s="40">
        <f>IF(N="SSO",2,0)</f>
        <v>0</v>
      </c>
      <c r="W198" s="40">
        <f>IF(N="S",3,0)</f>
        <v>0</v>
      </c>
      <c r="X198" s="40">
        <f>IF(N="SSW",4,0)</f>
        <v>0</v>
      </c>
      <c r="Y198" s="40">
        <f>IF(N="SW",1,0)</f>
        <v>0</v>
      </c>
      <c r="Z198" s="40">
        <f>IF(N="WSW",5,0)</f>
        <v>0</v>
      </c>
      <c r="AA198" s="40">
        <f>IF(N="W",6,0)</f>
        <v>0</v>
      </c>
      <c r="AB198" s="40">
        <f>IF(N="WNW",7,0)</f>
        <v>0</v>
      </c>
      <c r="AC198" s="40">
        <f>IF(N="NW",8,0)</f>
        <v>0</v>
      </c>
      <c r="AD198" s="40">
        <f>IF(N="NNW",9,0)</f>
        <v>0</v>
      </c>
      <c r="AE198" s="40">
        <f>IF(N="N",10,0)</f>
        <v>0</v>
      </c>
      <c r="AF198" s="40">
        <f>IF(N="NNO",11,0)</f>
        <v>0</v>
      </c>
      <c r="AG198" s="40">
        <f>IF(N="NO",8,0)</f>
        <v>0</v>
      </c>
      <c r="AH198" s="40">
        <f>IF(N="ONO",12,0)</f>
        <v>0</v>
      </c>
      <c r="AI198" s="40">
        <f>IF(N="O",6,0)</f>
        <v>0</v>
      </c>
      <c r="AJ198" s="40">
        <f>IF(N="OSO",13,0)</f>
        <v>0</v>
      </c>
      <c r="AK198" s="1065">
        <f>MAX(U198:AJ198)+1</f>
        <v>1</v>
      </c>
      <c r="AO198" s="37"/>
    </row>
    <row r="199" spans="1:41" s="499" customFormat="1" ht="12.75" hidden="1" customHeight="1">
      <c r="A199" s="498"/>
      <c r="B199" s="392"/>
      <c r="C199" s="409" t="s">
        <v>49</v>
      </c>
      <c r="D199" s="1070" t="str">
        <f>IF(N=0,"0",VLOOKUP($AK$199,Klima!$B$151:$N$166,2))</f>
        <v>0</v>
      </c>
      <c r="E199" s="411">
        <f t="shared" ref="E199:E210" si="13">D199*$E$198*$F$198*0.9*$G$198*$I$198*$K$198*$M$198*$O$198/$F$22</f>
        <v>0</v>
      </c>
      <c r="F199" s="44"/>
      <c r="G199" s="44"/>
      <c r="H199" s="580"/>
      <c r="I199" s="582"/>
      <c r="J199" s="581"/>
      <c r="K199" s="584"/>
      <c r="L199" s="581"/>
      <c r="M199" s="584"/>
      <c r="N199" s="581"/>
      <c r="O199" s="584"/>
      <c r="P199" s="44"/>
      <c r="Q199" s="632"/>
      <c r="S199" s="633"/>
      <c r="T199" s="1068"/>
      <c r="U199" s="40">
        <f>IF(N="SO",1,0)</f>
        <v>0</v>
      </c>
      <c r="V199" s="40">
        <f>IF(N="SSO",2,0)</f>
        <v>0</v>
      </c>
      <c r="W199" s="40">
        <f>IF(N="S",3,0)</f>
        <v>0</v>
      </c>
      <c r="X199" s="40">
        <f>IF(N="SSW",4,0)</f>
        <v>0</v>
      </c>
      <c r="Y199" s="40">
        <f>IF(N="SW",5,0)</f>
        <v>0</v>
      </c>
      <c r="Z199" s="40">
        <f>IF(N="WSW",6,0)</f>
        <v>0</v>
      </c>
      <c r="AA199" s="40">
        <f>IF(N="W",7,0)</f>
        <v>0</v>
      </c>
      <c r="AB199" s="40">
        <f>IF(N="WNW",8,0)</f>
        <v>0</v>
      </c>
      <c r="AC199" s="40">
        <f>IF(N="NW",9,0)</f>
        <v>0</v>
      </c>
      <c r="AD199" s="40">
        <f>IF(N="NNW",10,0)</f>
        <v>0</v>
      </c>
      <c r="AE199" s="40">
        <f>IF(N="N",11,0)</f>
        <v>0</v>
      </c>
      <c r="AF199" s="40">
        <f>IF(N="NNO",12,0)</f>
        <v>0</v>
      </c>
      <c r="AG199" s="40">
        <f>IF(N="NO",13,0)</f>
        <v>0</v>
      </c>
      <c r="AH199" s="40">
        <f>IF(N="ONO",14,0)</f>
        <v>0</v>
      </c>
      <c r="AI199" s="40">
        <f>IF(N="O",15,0)</f>
        <v>0</v>
      </c>
      <c r="AJ199" s="40">
        <f>IF(N="OSO",16,0)</f>
        <v>0</v>
      </c>
      <c r="AK199" s="1065">
        <f>MAX(U199:AJ199)</f>
        <v>0</v>
      </c>
      <c r="AO199" s="498"/>
    </row>
    <row r="200" spans="1:41" s="499" customFormat="1" ht="12.75" hidden="1" customHeight="1">
      <c r="A200" s="498"/>
      <c r="B200" s="392"/>
      <c r="C200" s="409" t="s">
        <v>554</v>
      </c>
      <c r="D200" s="1070" t="str">
        <f>IF(N=0,"0",VLOOKUP($AK$199,Klima!$B$151:$N$166,3))</f>
        <v>0</v>
      </c>
      <c r="E200" s="411">
        <f t="shared" si="13"/>
        <v>0</v>
      </c>
      <c r="F200" s="44"/>
      <c r="G200" s="44"/>
      <c r="H200" s="580"/>
      <c r="I200" s="582"/>
      <c r="J200" s="581"/>
      <c r="K200" s="584"/>
      <c r="L200" s="581"/>
      <c r="M200" s="584"/>
      <c r="N200" s="581"/>
      <c r="O200" s="584"/>
      <c r="P200" s="44"/>
      <c r="Q200" s="632"/>
      <c r="S200" s="633"/>
      <c r="T200" s="1068"/>
      <c r="U200" s="500"/>
      <c r="V200" s="498"/>
      <c r="W200" s="500"/>
      <c r="X200" s="498"/>
      <c r="Y200" s="500"/>
      <c r="Z200" s="498"/>
      <c r="AA200" s="500"/>
      <c r="AB200" s="498"/>
      <c r="AC200" s="500"/>
      <c r="AD200" s="498"/>
      <c r="AE200" s="500"/>
      <c r="AG200" s="500"/>
      <c r="AH200" s="498"/>
      <c r="AI200" s="500"/>
      <c r="AJ200" s="498"/>
      <c r="AK200" s="1066"/>
      <c r="AO200" s="498"/>
    </row>
    <row r="201" spans="1:41" s="499" customFormat="1" ht="12.75" hidden="1" customHeight="1">
      <c r="A201" s="498"/>
      <c r="B201" s="392"/>
      <c r="C201" s="409" t="s">
        <v>306</v>
      </c>
      <c r="D201" s="1070" t="str">
        <f>IF(N=0,"0",VLOOKUP($AK$199,Klima!$B$151:$N$166,4))</f>
        <v>0</v>
      </c>
      <c r="E201" s="411">
        <f t="shared" si="13"/>
        <v>0</v>
      </c>
      <c r="F201" s="44"/>
      <c r="G201" s="44"/>
      <c r="H201" s="580"/>
      <c r="I201" s="582"/>
      <c r="J201" s="581"/>
      <c r="K201" s="584"/>
      <c r="L201" s="581"/>
      <c r="M201" s="584"/>
      <c r="N201" s="581"/>
      <c r="O201" s="584"/>
      <c r="P201" s="44"/>
      <c r="Q201" s="632"/>
      <c r="S201" s="633"/>
      <c r="T201" s="1068"/>
      <c r="U201" s="500"/>
      <c r="V201" s="498"/>
      <c r="W201" s="500"/>
      <c r="X201" s="498"/>
      <c r="Y201" s="500"/>
      <c r="Z201" s="498"/>
      <c r="AA201" s="500"/>
      <c r="AB201" s="498"/>
      <c r="AC201" s="500"/>
      <c r="AD201" s="498"/>
      <c r="AE201" s="500"/>
      <c r="AG201" s="500"/>
      <c r="AH201" s="498"/>
      <c r="AI201" s="500"/>
      <c r="AJ201" s="498"/>
      <c r="AK201" s="1066"/>
      <c r="AO201" s="498"/>
    </row>
    <row r="202" spans="1:41" s="499" customFormat="1" ht="12.75" hidden="1" customHeight="1">
      <c r="A202" s="498"/>
      <c r="B202" s="392"/>
      <c r="C202" s="409" t="s">
        <v>409</v>
      </c>
      <c r="D202" s="1070" t="str">
        <f>IF(N=0,"0",VLOOKUP($AK$199,Klima!$B$151:$N$166,5))</f>
        <v>0</v>
      </c>
      <c r="E202" s="411">
        <f t="shared" si="13"/>
        <v>0</v>
      </c>
      <c r="F202" s="44"/>
      <c r="G202" s="44"/>
      <c r="H202" s="580"/>
      <c r="I202" s="582"/>
      <c r="J202" s="581"/>
      <c r="K202" s="584"/>
      <c r="L202" s="581"/>
      <c r="M202" s="584"/>
      <c r="N202" s="581"/>
      <c r="O202" s="584"/>
      <c r="P202" s="44"/>
      <c r="Q202" s="632"/>
      <c r="S202" s="633"/>
      <c r="T202" s="1068"/>
      <c r="U202" s="500"/>
      <c r="V202" s="498"/>
      <c r="W202" s="500"/>
      <c r="X202" s="498"/>
      <c r="Y202" s="500"/>
      <c r="Z202" s="498"/>
      <c r="AA202" s="500"/>
      <c r="AB202" s="498"/>
      <c r="AC202" s="500"/>
      <c r="AD202" s="498"/>
      <c r="AE202" s="500"/>
      <c r="AG202" s="500"/>
      <c r="AH202" s="498"/>
      <c r="AI202" s="500"/>
      <c r="AJ202" s="498"/>
      <c r="AK202" s="1066"/>
      <c r="AO202" s="498"/>
    </row>
    <row r="203" spans="1:41" s="499" customFormat="1" ht="12.75" hidden="1" customHeight="1">
      <c r="A203" s="498"/>
      <c r="B203" s="392"/>
      <c r="C203" s="409" t="s">
        <v>410</v>
      </c>
      <c r="D203" s="1070" t="str">
        <f>IF(N=0,"0",VLOOKUP($AK$199,Klima!$B$151:$N$166,6))</f>
        <v>0</v>
      </c>
      <c r="E203" s="411">
        <f t="shared" si="13"/>
        <v>0</v>
      </c>
      <c r="F203" s="44"/>
      <c r="G203" s="44"/>
      <c r="H203" s="580"/>
      <c r="I203" s="582"/>
      <c r="J203" s="581"/>
      <c r="K203" s="584"/>
      <c r="L203" s="581"/>
      <c r="M203" s="584"/>
      <c r="N203" s="581"/>
      <c r="O203" s="584"/>
      <c r="P203" s="44"/>
      <c r="Q203" s="632"/>
      <c r="S203" s="633"/>
      <c r="T203" s="1068"/>
      <c r="U203" s="500"/>
      <c r="V203" s="498"/>
      <c r="W203" s="500"/>
      <c r="X203" s="498"/>
      <c r="Y203" s="500"/>
      <c r="Z203" s="498"/>
      <c r="AA203" s="500"/>
      <c r="AB203" s="498"/>
      <c r="AC203" s="500"/>
      <c r="AD203" s="498"/>
      <c r="AE203" s="500"/>
      <c r="AG203" s="500"/>
      <c r="AH203" s="498"/>
      <c r="AI203" s="500"/>
      <c r="AJ203" s="498"/>
      <c r="AK203" s="1066"/>
      <c r="AO203" s="498"/>
    </row>
    <row r="204" spans="1:41" s="499" customFormat="1" ht="12.75" hidden="1" customHeight="1">
      <c r="A204" s="498"/>
      <c r="B204" s="392"/>
      <c r="C204" s="409" t="s">
        <v>411</v>
      </c>
      <c r="D204" s="1070" t="str">
        <f>IF(N=0,"0",VLOOKUP($AK$199,Klima!$B$151:$N$166,7))</f>
        <v>0</v>
      </c>
      <c r="E204" s="411">
        <f t="shared" si="13"/>
        <v>0</v>
      </c>
      <c r="F204" s="44"/>
      <c r="G204" s="44"/>
      <c r="H204" s="580"/>
      <c r="I204" s="582"/>
      <c r="J204" s="581"/>
      <c r="K204" s="584"/>
      <c r="L204" s="581"/>
      <c r="M204" s="584"/>
      <c r="N204" s="581"/>
      <c r="O204" s="584"/>
      <c r="P204" s="44"/>
      <c r="Q204" s="632"/>
      <c r="S204" s="633"/>
      <c r="T204" s="1068"/>
      <c r="U204" s="500"/>
      <c r="V204" s="498"/>
      <c r="W204" s="500"/>
      <c r="X204" s="498"/>
      <c r="Y204" s="500"/>
      <c r="Z204" s="498"/>
      <c r="AA204" s="500"/>
      <c r="AB204" s="498"/>
      <c r="AC204" s="500"/>
      <c r="AD204" s="498"/>
      <c r="AE204" s="500"/>
      <c r="AG204" s="500"/>
      <c r="AH204" s="498"/>
      <c r="AI204" s="500"/>
      <c r="AJ204" s="498"/>
      <c r="AK204" s="1066"/>
      <c r="AO204" s="498"/>
    </row>
    <row r="205" spans="1:41" s="499" customFormat="1" ht="12.75" hidden="1" customHeight="1">
      <c r="A205" s="498"/>
      <c r="B205" s="392"/>
      <c r="C205" s="409" t="s">
        <v>221</v>
      </c>
      <c r="D205" s="1070" t="str">
        <f>IF(N=0,"0",VLOOKUP($AK$199,Klima!$B$151:$N$166,8))</f>
        <v>0</v>
      </c>
      <c r="E205" s="411">
        <f t="shared" si="13"/>
        <v>0</v>
      </c>
      <c r="F205" s="44"/>
      <c r="G205" s="44"/>
      <c r="H205" s="580"/>
      <c r="I205" s="582"/>
      <c r="J205" s="581"/>
      <c r="K205" s="584"/>
      <c r="L205" s="581"/>
      <c r="M205" s="584"/>
      <c r="N205" s="581"/>
      <c r="O205" s="584"/>
      <c r="P205" s="44"/>
      <c r="Q205" s="632"/>
      <c r="S205" s="633"/>
      <c r="T205" s="1068"/>
      <c r="U205" s="500"/>
      <c r="V205" s="498"/>
      <c r="W205" s="500"/>
      <c r="X205" s="498"/>
      <c r="Y205" s="500"/>
      <c r="Z205" s="498"/>
      <c r="AA205" s="500"/>
      <c r="AB205" s="498"/>
      <c r="AC205" s="500"/>
      <c r="AD205" s="498"/>
      <c r="AE205" s="500"/>
      <c r="AG205" s="500"/>
      <c r="AH205" s="498"/>
      <c r="AI205" s="500"/>
      <c r="AJ205" s="498"/>
      <c r="AK205" s="1066"/>
      <c r="AO205" s="498"/>
    </row>
    <row r="206" spans="1:41" s="499" customFormat="1" ht="12.75" hidden="1" customHeight="1">
      <c r="A206" s="498"/>
      <c r="B206" s="392"/>
      <c r="C206" s="409" t="s">
        <v>138</v>
      </c>
      <c r="D206" s="1070" t="str">
        <f>IF(N=0,"0",VLOOKUP($AK$199,Klima!$B$151:$N$166,9))</f>
        <v>0</v>
      </c>
      <c r="E206" s="411">
        <f t="shared" si="13"/>
        <v>0</v>
      </c>
      <c r="F206" s="44"/>
      <c r="G206" s="44"/>
      <c r="H206" s="580"/>
      <c r="I206" s="582"/>
      <c r="J206" s="581"/>
      <c r="K206" s="584"/>
      <c r="L206" s="581"/>
      <c r="M206" s="584"/>
      <c r="N206" s="581"/>
      <c r="O206" s="584"/>
      <c r="P206" s="44"/>
      <c r="Q206" s="632"/>
      <c r="S206" s="633"/>
      <c r="T206" s="1068"/>
      <c r="U206" s="500"/>
      <c r="V206" s="498"/>
      <c r="W206" s="500"/>
      <c r="X206" s="498"/>
      <c r="Y206" s="500"/>
      <c r="Z206" s="498"/>
      <c r="AA206" s="500"/>
      <c r="AB206" s="498"/>
      <c r="AC206" s="500"/>
      <c r="AD206" s="498"/>
      <c r="AE206" s="500"/>
      <c r="AG206" s="500"/>
      <c r="AH206" s="498"/>
      <c r="AI206" s="500"/>
      <c r="AJ206" s="498"/>
      <c r="AK206" s="1066"/>
      <c r="AO206" s="498"/>
    </row>
    <row r="207" spans="1:41" s="499" customFormat="1" ht="12.75" hidden="1" customHeight="1">
      <c r="A207" s="498"/>
      <c r="B207" s="392"/>
      <c r="C207" s="409" t="s">
        <v>139</v>
      </c>
      <c r="D207" s="1070" t="str">
        <f>IF(N=0,"0",VLOOKUP($AK$199,Klima!$B$151:$N$166,10))</f>
        <v>0</v>
      </c>
      <c r="E207" s="411">
        <f t="shared" si="13"/>
        <v>0</v>
      </c>
      <c r="F207" s="44"/>
      <c r="G207" s="44"/>
      <c r="H207" s="580"/>
      <c r="I207" s="582"/>
      <c r="J207" s="581"/>
      <c r="K207" s="584"/>
      <c r="L207" s="581"/>
      <c r="M207" s="584"/>
      <c r="N207" s="581"/>
      <c r="O207" s="584"/>
      <c r="P207" s="44"/>
      <c r="Q207" s="632"/>
      <c r="S207" s="633"/>
      <c r="T207" s="1068"/>
      <c r="U207" s="500"/>
      <c r="V207" s="498"/>
      <c r="W207" s="500"/>
      <c r="X207" s="498"/>
      <c r="Y207" s="500"/>
      <c r="Z207" s="498"/>
      <c r="AA207" s="500"/>
      <c r="AB207" s="498"/>
      <c r="AC207" s="500"/>
      <c r="AD207" s="498"/>
      <c r="AE207" s="500"/>
      <c r="AG207" s="500"/>
      <c r="AH207" s="498"/>
      <c r="AI207" s="500"/>
      <c r="AJ207" s="498"/>
      <c r="AK207" s="1066"/>
      <c r="AO207" s="498"/>
    </row>
    <row r="208" spans="1:41" s="499" customFormat="1" ht="12.75" hidden="1" customHeight="1">
      <c r="A208" s="498"/>
      <c r="B208" s="392"/>
      <c r="C208" s="409" t="s">
        <v>269</v>
      </c>
      <c r="D208" s="1070" t="str">
        <f>IF(N=0,"0",VLOOKUP($AK$199,Klima!$B$151:$N$166,11))</f>
        <v>0</v>
      </c>
      <c r="E208" s="411">
        <f t="shared" si="13"/>
        <v>0</v>
      </c>
      <c r="F208" s="44"/>
      <c r="G208" s="44"/>
      <c r="H208" s="580"/>
      <c r="I208" s="582"/>
      <c r="J208" s="581"/>
      <c r="K208" s="584"/>
      <c r="L208" s="581"/>
      <c r="M208" s="584"/>
      <c r="N208" s="581"/>
      <c r="O208" s="584"/>
      <c r="P208" s="44"/>
      <c r="Q208" s="632"/>
      <c r="S208" s="633"/>
      <c r="T208" s="1068"/>
      <c r="U208" s="500"/>
      <c r="V208" s="498"/>
      <c r="W208" s="500"/>
      <c r="X208" s="498"/>
      <c r="Y208" s="500"/>
      <c r="Z208" s="498"/>
      <c r="AA208" s="500"/>
      <c r="AB208" s="498"/>
      <c r="AC208" s="500"/>
      <c r="AD208" s="498"/>
      <c r="AE208" s="500"/>
      <c r="AG208" s="500"/>
      <c r="AH208" s="498"/>
      <c r="AI208" s="500"/>
      <c r="AJ208" s="498"/>
      <c r="AK208" s="1066"/>
      <c r="AO208" s="498"/>
    </row>
    <row r="209" spans="1:41" s="499" customFormat="1" ht="12.75" hidden="1" customHeight="1">
      <c r="A209" s="498"/>
      <c r="B209" s="392"/>
      <c r="C209" s="409" t="s">
        <v>366</v>
      </c>
      <c r="D209" s="1070" t="str">
        <f>IF(N=0,"0",VLOOKUP($AK$199,Klima!$B$151:$N$166,12))</f>
        <v>0</v>
      </c>
      <c r="E209" s="411">
        <f t="shared" si="13"/>
        <v>0</v>
      </c>
      <c r="F209" s="44"/>
      <c r="G209" s="44"/>
      <c r="H209" s="580"/>
      <c r="I209" s="582"/>
      <c r="J209" s="581"/>
      <c r="K209" s="584"/>
      <c r="L209" s="581"/>
      <c r="M209" s="584"/>
      <c r="N209" s="581"/>
      <c r="O209" s="584"/>
      <c r="P209" s="44"/>
      <c r="Q209" s="632"/>
      <c r="S209" s="633"/>
      <c r="T209" s="1068"/>
      <c r="U209" s="500"/>
      <c r="V209" s="498"/>
      <c r="W209" s="500"/>
      <c r="X209" s="498"/>
      <c r="Y209" s="500"/>
      <c r="Z209" s="498"/>
      <c r="AA209" s="500"/>
      <c r="AB209" s="498"/>
      <c r="AC209" s="500"/>
      <c r="AD209" s="498"/>
      <c r="AE209" s="500"/>
      <c r="AG209" s="500"/>
      <c r="AH209" s="498"/>
      <c r="AI209" s="500"/>
      <c r="AJ209" s="498"/>
      <c r="AK209" s="1066"/>
      <c r="AO209" s="498"/>
    </row>
    <row r="210" spans="1:41" s="499" customFormat="1" ht="12.75" hidden="1" customHeight="1">
      <c r="A210" s="498"/>
      <c r="B210" s="392"/>
      <c r="C210" s="409" t="s">
        <v>465</v>
      </c>
      <c r="D210" s="1070" t="str">
        <f>IF(N=0,"0",VLOOKUP($AK$199,Klima!$B$151:$N$166,13))</f>
        <v>0</v>
      </c>
      <c r="E210" s="411">
        <f t="shared" si="13"/>
        <v>0</v>
      </c>
      <c r="F210" s="44"/>
      <c r="G210" s="44"/>
      <c r="H210" s="580"/>
      <c r="I210" s="582"/>
      <c r="J210" s="581"/>
      <c r="K210" s="584"/>
      <c r="L210" s="581"/>
      <c r="M210" s="584"/>
      <c r="N210" s="581"/>
      <c r="O210" s="584"/>
      <c r="P210" s="44"/>
      <c r="Q210" s="632"/>
      <c r="S210" s="633"/>
      <c r="T210" s="1068"/>
      <c r="U210" s="500"/>
      <c r="V210" s="498"/>
      <c r="W210" s="500"/>
      <c r="X210" s="498"/>
      <c r="Y210" s="500"/>
      <c r="Z210" s="498"/>
      <c r="AA210" s="500"/>
      <c r="AB210" s="498"/>
      <c r="AC210" s="500"/>
      <c r="AD210" s="498"/>
      <c r="AE210" s="500"/>
      <c r="AG210" s="500"/>
      <c r="AH210" s="498"/>
      <c r="AI210" s="500"/>
      <c r="AJ210" s="498"/>
      <c r="AK210" s="1066"/>
      <c r="AO210" s="498"/>
    </row>
    <row r="211" spans="1:41" ht="12.75" customHeight="1">
      <c r="A211" s="37"/>
      <c r="B211" s="392"/>
      <c r="C211" s="409">
        <f>Bauteile!B474</f>
        <v>0</v>
      </c>
      <c r="D211" s="1071"/>
      <c r="E211" s="394">
        <f>Bauteile!D474</f>
        <v>0</v>
      </c>
      <c r="F211" s="394">
        <f>Bauteile!F474</f>
        <v>0</v>
      </c>
      <c r="G211" s="394" t="str">
        <f>IF(Bauteile!G474="","0",Bauteile!G474)</f>
        <v>0</v>
      </c>
      <c r="H211" s="1013">
        <f>Bauteile!H474</f>
        <v>0</v>
      </c>
      <c r="I211" s="410">
        <f>IF(H_15=0,1,IF(O=0,"0",IF(H_15&lt;=1,H_15,VLOOKUP(H_15,Daten!$A$101:$N$171,AK211))))</f>
        <v>1</v>
      </c>
      <c r="J211" s="581">
        <f>Bauteile!I474</f>
        <v>0</v>
      </c>
      <c r="K211" s="410" t="str">
        <f>IF(O=0,"0",VLOOKUP(Ü_15,Daten!$A$177:$N$252,AK211))</f>
        <v>0</v>
      </c>
      <c r="L211" s="581">
        <f>Bauteile!J474</f>
        <v>0</v>
      </c>
      <c r="M211" s="410" t="str">
        <f>IF(O=0,"0",VLOOKUP(S_15,Daten!$A$258:$N$333,AK211))</f>
        <v>0</v>
      </c>
      <c r="N211" s="581">
        <f>Bauteile!K474</f>
        <v>0</v>
      </c>
      <c r="O211" s="410">
        <f>IF(AK211&gt;5,"1.00",VLOOKUP(S_115,Daten!$A$258:$N$333,AK211))</f>
        <v>0</v>
      </c>
      <c r="P211" s="394">
        <f>Bauteile!C474</f>
        <v>0</v>
      </c>
      <c r="Q211" s="631" t="str">
        <f>IF(O=0,"0",SUM(E212:E223))</f>
        <v>0</v>
      </c>
      <c r="S211" s="85"/>
      <c r="T211" s="36"/>
      <c r="U211" s="40">
        <f>IF(O="SO",1,0)</f>
        <v>0</v>
      </c>
      <c r="V211" s="40">
        <f>IF(O="SSO",2,0)</f>
        <v>0</v>
      </c>
      <c r="W211" s="40">
        <f>IF(O="S",3,0)</f>
        <v>0</v>
      </c>
      <c r="X211" s="40">
        <f>IF(O="SSW",4,0)</f>
        <v>0</v>
      </c>
      <c r="Y211" s="40">
        <f>IF(O="SW",1,0)</f>
        <v>0</v>
      </c>
      <c r="Z211" s="40">
        <f>IF(O="WSW",5,0)</f>
        <v>0</v>
      </c>
      <c r="AA211" s="40">
        <f>IF(O="W",6,0)</f>
        <v>0</v>
      </c>
      <c r="AB211" s="40">
        <f>IF(O="WNW",7,0)</f>
        <v>0</v>
      </c>
      <c r="AC211" s="40">
        <f>IF(O="NW",8,0)</f>
        <v>0</v>
      </c>
      <c r="AD211" s="40">
        <f>IF(O="NNW",9,0)</f>
        <v>0</v>
      </c>
      <c r="AE211" s="40">
        <f>IF(O="N",10,0)</f>
        <v>0</v>
      </c>
      <c r="AF211" s="40">
        <f>IF(O="NNO",11,0)</f>
        <v>0</v>
      </c>
      <c r="AG211" s="40">
        <f>IF(O="NO",8,0)</f>
        <v>0</v>
      </c>
      <c r="AH211" s="40">
        <f>IF(O="ONO",12,0)</f>
        <v>0</v>
      </c>
      <c r="AI211" s="40">
        <f>IF(O="O",6,0)</f>
        <v>0</v>
      </c>
      <c r="AJ211" s="40">
        <f>IF(O="OSO",13,0)</f>
        <v>0</v>
      </c>
      <c r="AK211" s="1065">
        <f>MAX(U211:AJ211)+1</f>
        <v>1</v>
      </c>
      <c r="AO211" s="37"/>
    </row>
    <row r="212" spans="1:41" s="499" customFormat="1" ht="12.75" hidden="1" customHeight="1">
      <c r="A212" s="498"/>
      <c r="B212" s="392"/>
      <c r="C212" s="409" t="s">
        <v>49</v>
      </c>
      <c r="D212" s="1070" t="str">
        <f>IF(O=0,"0",VLOOKUP($AK$212,Klima!$B$151:$N$166,2))</f>
        <v>0</v>
      </c>
      <c r="E212" s="411">
        <f t="shared" ref="E212:E223" si="14">D212*$E$211*$F$211*0.9*$G$211*$I$211*$K$211*$M$211*$O$211/$F$22</f>
        <v>0</v>
      </c>
      <c r="F212" s="44"/>
      <c r="G212" s="44"/>
      <c r="H212" s="580"/>
      <c r="I212" s="582"/>
      <c r="J212" s="581"/>
      <c r="K212" s="584"/>
      <c r="L212" s="581"/>
      <c r="M212" s="584"/>
      <c r="N212" s="581"/>
      <c r="O212" s="584"/>
      <c r="P212" s="44"/>
      <c r="Q212" s="632"/>
      <c r="S212" s="633"/>
      <c r="T212" s="1068"/>
      <c r="U212" s="40">
        <f>IF(O="SO",1,0)</f>
        <v>0</v>
      </c>
      <c r="V212" s="40">
        <f>IF(O="SSO",2,0)</f>
        <v>0</v>
      </c>
      <c r="W212" s="40">
        <f>IF(O="S",3,0)</f>
        <v>0</v>
      </c>
      <c r="X212" s="40">
        <f>IF(O="SSW",4,0)</f>
        <v>0</v>
      </c>
      <c r="Y212" s="40">
        <f>IF(O="SW",5,0)</f>
        <v>0</v>
      </c>
      <c r="Z212" s="40">
        <f>IF(O="WSW",6,0)</f>
        <v>0</v>
      </c>
      <c r="AA212" s="40">
        <f>IF(O="W",7,0)</f>
        <v>0</v>
      </c>
      <c r="AB212" s="40">
        <f>IF(O="WNW",8,0)</f>
        <v>0</v>
      </c>
      <c r="AC212" s="40">
        <f>IF(O="NW",9,0)</f>
        <v>0</v>
      </c>
      <c r="AD212" s="40">
        <f>IF(O="NNW",10,0)</f>
        <v>0</v>
      </c>
      <c r="AE212" s="40">
        <f>IF(O="N",11,0)</f>
        <v>0</v>
      </c>
      <c r="AF212" s="40">
        <f>IF(O="NNO",12,0)</f>
        <v>0</v>
      </c>
      <c r="AG212" s="40">
        <f>IF(O="NO",13,0)</f>
        <v>0</v>
      </c>
      <c r="AH212" s="40">
        <f>IF(O="ONO",14,0)</f>
        <v>0</v>
      </c>
      <c r="AI212" s="40">
        <f>IF(O="O",15,0)</f>
        <v>0</v>
      </c>
      <c r="AJ212" s="40">
        <f>IF(O="OSO",16,0)</f>
        <v>0</v>
      </c>
      <c r="AK212" s="1065">
        <f>MAX(U212:AJ212)</f>
        <v>0</v>
      </c>
      <c r="AO212" s="498"/>
    </row>
    <row r="213" spans="1:41" s="499" customFormat="1" ht="12.75" hidden="1" customHeight="1">
      <c r="A213" s="498"/>
      <c r="B213" s="392"/>
      <c r="C213" s="409" t="s">
        <v>554</v>
      </c>
      <c r="D213" s="1070" t="str">
        <f>IF(O=0,"0",VLOOKUP($AK$212,Klima!$B$151:$N$166,3))</f>
        <v>0</v>
      </c>
      <c r="E213" s="411">
        <f t="shared" si="14"/>
        <v>0</v>
      </c>
      <c r="F213" s="44"/>
      <c r="G213" s="44"/>
      <c r="H213" s="580"/>
      <c r="I213" s="582"/>
      <c r="J213" s="581"/>
      <c r="K213" s="584"/>
      <c r="L213" s="581"/>
      <c r="M213" s="584"/>
      <c r="N213" s="581"/>
      <c r="O213" s="584"/>
      <c r="P213" s="44"/>
      <c r="Q213" s="632"/>
      <c r="S213" s="633"/>
      <c r="T213" s="1068"/>
      <c r="U213" s="500"/>
      <c r="V213" s="498"/>
      <c r="W213" s="500"/>
      <c r="X213" s="498"/>
      <c r="Y213" s="500"/>
      <c r="Z213" s="498"/>
      <c r="AA213" s="500"/>
      <c r="AB213" s="498"/>
      <c r="AC213" s="500"/>
      <c r="AD213" s="498"/>
      <c r="AE213" s="500"/>
      <c r="AG213" s="500"/>
      <c r="AH213" s="498"/>
      <c r="AI213" s="500"/>
      <c r="AJ213" s="498"/>
      <c r="AK213" s="1066"/>
      <c r="AO213" s="498"/>
    </row>
    <row r="214" spans="1:41" s="499" customFormat="1" ht="12.75" hidden="1" customHeight="1">
      <c r="A214" s="498"/>
      <c r="B214" s="392"/>
      <c r="C214" s="409" t="s">
        <v>306</v>
      </c>
      <c r="D214" s="1070" t="str">
        <f>IF(O=0,"0",VLOOKUP($AK$212,Klima!$B$151:$N$166,4))</f>
        <v>0</v>
      </c>
      <c r="E214" s="411">
        <f t="shared" si="14"/>
        <v>0</v>
      </c>
      <c r="F214" s="44"/>
      <c r="G214" s="44"/>
      <c r="H214" s="580"/>
      <c r="I214" s="582"/>
      <c r="J214" s="581"/>
      <c r="K214" s="584"/>
      <c r="L214" s="581"/>
      <c r="M214" s="584"/>
      <c r="N214" s="581"/>
      <c r="O214" s="584"/>
      <c r="P214" s="44"/>
      <c r="Q214" s="632"/>
      <c r="S214" s="633"/>
      <c r="T214" s="1068"/>
      <c r="U214" s="500"/>
      <c r="V214" s="498"/>
      <c r="W214" s="500"/>
      <c r="X214" s="498"/>
      <c r="Y214" s="500"/>
      <c r="Z214" s="498"/>
      <c r="AA214" s="500"/>
      <c r="AB214" s="498"/>
      <c r="AC214" s="500"/>
      <c r="AD214" s="498"/>
      <c r="AE214" s="500"/>
      <c r="AG214" s="500"/>
      <c r="AH214" s="498"/>
      <c r="AI214" s="500"/>
      <c r="AJ214" s="498"/>
      <c r="AK214" s="1066"/>
      <c r="AO214" s="498"/>
    </row>
    <row r="215" spans="1:41" s="499" customFormat="1" ht="12.75" hidden="1" customHeight="1">
      <c r="A215" s="498"/>
      <c r="B215" s="392"/>
      <c r="C215" s="409" t="s">
        <v>409</v>
      </c>
      <c r="D215" s="1070" t="str">
        <f>IF(O=0,"0",VLOOKUP($AK$212,Klima!$B$151:$N$166,5))</f>
        <v>0</v>
      </c>
      <c r="E215" s="411">
        <f t="shared" si="14"/>
        <v>0</v>
      </c>
      <c r="F215" s="44"/>
      <c r="G215" s="44"/>
      <c r="H215" s="580"/>
      <c r="I215" s="582"/>
      <c r="J215" s="581"/>
      <c r="K215" s="584"/>
      <c r="L215" s="581"/>
      <c r="M215" s="584"/>
      <c r="N215" s="581"/>
      <c r="O215" s="584"/>
      <c r="P215" s="44"/>
      <c r="Q215" s="632"/>
      <c r="S215" s="633"/>
      <c r="T215" s="1068"/>
      <c r="U215" s="500"/>
      <c r="V215" s="498"/>
      <c r="W215" s="500"/>
      <c r="X215" s="498"/>
      <c r="Y215" s="500"/>
      <c r="Z215" s="498"/>
      <c r="AA215" s="500"/>
      <c r="AB215" s="498"/>
      <c r="AC215" s="500"/>
      <c r="AD215" s="498"/>
      <c r="AE215" s="500"/>
      <c r="AG215" s="500"/>
      <c r="AH215" s="498"/>
      <c r="AI215" s="500"/>
      <c r="AJ215" s="498"/>
      <c r="AK215" s="1066"/>
      <c r="AO215" s="498"/>
    </row>
    <row r="216" spans="1:41" s="499" customFormat="1" ht="12.75" hidden="1" customHeight="1">
      <c r="A216" s="498"/>
      <c r="B216" s="392"/>
      <c r="C216" s="409" t="s">
        <v>410</v>
      </c>
      <c r="D216" s="1070" t="str">
        <f>IF(O=0,"0",VLOOKUP($AK$212,Klima!$B$151:$N$166,6))</f>
        <v>0</v>
      </c>
      <c r="E216" s="411">
        <f t="shared" si="14"/>
        <v>0</v>
      </c>
      <c r="F216" s="44"/>
      <c r="G216" s="44"/>
      <c r="H216" s="580"/>
      <c r="I216" s="582"/>
      <c r="J216" s="581"/>
      <c r="K216" s="584"/>
      <c r="L216" s="581"/>
      <c r="M216" s="584"/>
      <c r="N216" s="581"/>
      <c r="O216" s="584"/>
      <c r="P216" s="44"/>
      <c r="Q216" s="632"/>
      <c r="S216" s="633"/>
      <c r="T216" s="1068"/>
      <c r="U216" s="500"/>
      <c r="V216" s="498"/>
      <c r="W216" s="500"/>
      <c r="X216" s="498"/>
      <c r="Y216" s="500"/>
      <c r="Z216" s="498"/>
      <c r="AA216" s="500"/>
      <c r="AB216" s="498"/>
      <c r="AC216" s="500"/>
      <c r="AD216" s="498"/>
      <c r="AE216" s="500"/>
      <c r="AG216" s="500"/>
      <c r="AH216" s="498"/>
      <c r="AI216" s="500"/>
      <c r="AJ216" s="498"/>
      <c r="AK216" s="1066"/>
      <c r="AO216" s="498"/>
    </row>
    <row r="217" spans="1:41" s="499" customFormat="1" ht="12.75" hidden="1" customHeight="1">
      <c r="A217" s="498"/>
      <c r="B217" s="392"/>
      <c r="C217" s="409" t="s">
        <v>411</v>
      </c>
      <c r="D217" s="1070" t="str">
        <f>IF(O=0,"0",VLOOKUP($AK$212,Klima!$B$151:$N$166,7))</f>
        <v>0</v>
      </c>
      <c r="E217" s="411">
        <f t="shared" si="14"/>
        <v>0</v>
      </c>
      <c r="F217" s="44"/>
      <c r="G217" s="44"/>
      <c r="H217" s="580"/>
      <c r="I217" s="582"/>
      <c r="J217" s="581"/>
      <c r="K217" s="584"/>
      <c r="L217" s="581"/>
      <c r="M217" s="584"/>
      <c r="N217" s="581"/>
      <c r="O217" s="584"/>
      <c r="P217" s="44"/>
      <c r="Q217" s="632"/>
      <c r="S217" s="633"/>
      <c r="T217" s="1068"/>
      <c r="U217" s="500"/>
      <c r="V217" s="498"/>
      <c r="W217" s="500"/>
      <c r="X217" s="498"/>
      <c r="Y217" s="500"/>
      <c r="Z217" s="498"/>
      <c r="AA217" s="500"/>
      <c r="AB217" s="498"/>
      <c r="AC217" s="500"/>
      <c r="AD217" s="498"/>
      <c r="AE217" s="500"/>
      <c r="AG217" s="500"/>
      <c r="AH217" s="498"/>
      <c r="AI217" s="500"/>
      <c r="AJ217" s="498"/>
      <c r="AK217" s="1066"/>
      <c r="AO217" s="498"/>
    </row>
    <row r="218" spans="1:41" s="499" customFormat="1" ht="12.75" hidden="1" customHeight="1">
      <c r="A218" s="498"/>
      <c r="B218" s="392"/>
      <c r="C218" s="409" t="s">
        <v>221</v>
      </c>
      <c r="D218" s="1070" t="str">
        <f>IF(O=0,"0",VLOOKUP($AK$212,Klima!$B$151:$N$166,8))</f>
        <v>0</v>
      </c>
      <c r="E218" s="411">
        <f t="shared" si="14"/>
        <v>0</v>
      </c>
      <c r="F218" s="44"/>
      <c r="G218" s="44"/>
      <c r="H218" s="580"/>
      <c r="I218" s="582"/>
      <c r="J218" s="581"/>
      <c r="K218" s="584"/>
      <c r="L218" s="581"/>
      <c r="M218" s="584"/>
      <c r="N218" s="581"/>
      <c r="O218" s="584"/>
      <c r="P218" s="44"/>
      <c r="Q218" s="632"/>
      <c r="S218" s="633"/>
      <c r="T218" s="1068"/>
      <c r="U218" s="500"/>
      <c r="V218" s="498"/>
      <c r="W218" s="500"/>
      <c r="X218" s="498"/>
      <c r="Y218" s="500"/>
      <c r="Z218" s="498"/>
      <c r="AA218" s="500"/>
      <c r="AB218" s="498"/>
      <c r="AC218" s="500"/>
      <c r="AD218" s="498"/>
      <c r="AE218" s="500"/>
      <c r="AG218" s="500"/>
      <c r="AH218" s="498"/>
      <c r="AI218" s="500"/>
      <c r="AJ218" s="498"/>
      <c r="AK218" s="1066"/>
      <c r="AO218" s="498"/>
    </row>
    <row r="219" spans="1:41" s="499" customFormat="1" ht="12.75" hidden="1" customHeight="1">
      <c r="A219" s="498"/>
      <c r="B219" s="392"/>
      <c r="C219" s="409" t="s">
        <v>138</v>
      </c>
      <c r="D219" s="1070" t="str">
        <f>IF(O=0,"0",VLOOKUP($AK$212,Klima!$B$151:$N$166,9))</f>
        <v>0</v>
      </c>
      <c r="E219" s="411">
        <f t="shared" si="14"/>
        <v>0</v>
      </c>
      <c r="F219" s="44"/>
      <c r="G219" s="44"/>
      <c r="H219" s="580"/>
      <c r="I219" s="582"/>
      <c r="J219" s="581"/>
      <c r="K219" s="584"/>
      <c r="L219" s="581"/>
      <c r="M219" s="584"/>
      <c r="N219" s="581"/>
      <c r="O219" s="584"/>
      <c r="P219" s="44"/>
      <c r="Q219" s="632"/>
      <c r="S219" s="633"/>
      <c r="T219" s="1068"/>
      <c r="U219" s="500"/>
      <c r="V219" s="498"/>
      <c r="W219" s="500"/>
      <c r="X219" s="498"/>
      <c r="Y219" s="500"/>
      <c r="Z219" s="498"/>
      <c r="AA219" s="500"/>
      <c r="AB219" s="498"/>
      <c r="AC219" s="500"/>
      <c r="AD219" s="498"/>
      <c r="AE219" s="500"/>
      <c r="AG219" s="500"/>
      <c r="AH219" s="498"/>
      <c r="AI219" s="500"/>
      <c r="AJ219" s="498"/>
      <c r="AK219" s="1066"/>
      <c r="AO219" s="498"/>
    </row>
    <row r="220" spans="1:41" s="499" customFormat="1" ht="12.75" hidden="1" customHeight="1">
      <c r="A220" s="498"/>
      <c r="B220" s="392"/>
      <c r="C220" s="409" t="s">
        <v>139</v>
      </c>
      <c r="D220" s="1070" t="str">
        <f>IF(O=0,"0",VLOOKUP($AK$212,Klima!$B$151:$N$166,10))</f>
        <v>0</v>
      </c>
      <c r="E220" s="411">
        <f t="shared" si="14"/>
        <v>0</v>
      </c>
      <c r="F220" s="44"/>
      <c r="G220" s="44"/>
      <c r="H220" s="580"/>
      <c r="I220" s="582"/>
      <c r="J220" s="581"/>
      <c r="K220" s="584"/>
      <c r="L220" s="581"/>
      <c r="M220" s="584"/>
      <c r="N220" s="581"/>
      <c r="O220" s="584"/>
      <c r="P220" s="44"/>
      <c r="Q220" s="632"/>
      <c r="S220" s="633"/>
      <c r="T220" s="1068"/>
      <c r="U220" s="500"/>
      <c r="V220" s="498"/>
      <c r="W220" s="500"/>
      <c r="X220" s="498"/>
      <c r="Y220" s="500"/>
      <c r="Z220" s="498"/>
      <c r="AA220" s="500"/>
      <c r="AB220" s="498"/>
      <c r="AC220" s="500"/>
      <c r="AD220" s="498"/>
      <c r="AE220" s="500"/>
      <c r="AG220" s="500"/>
      <c r="AH220" s="498"/>
      <c r="AI220" s="500"/>
      <c r="AJ220" s="498"/>
      <c r="AK220" s="1066"/>
      <c r="AO220" s="498"/>
    </row>
    <row r="221" spans="1:41" s="499" customFormat="1" ht="12.75" hidden="1" customHeight="1">
      <c r="A221" s="498"/>
      <c r="B221" s="392"/>
      <c r="C221" s="409" t="s">
        <v>269</v>
      </c>
      <c r="D221" s="1070" t="str">
        <f>IF(O=0,"0",VLOOKUP($AK$212,Klima!$B$151:$N$166,11))</f>
        <v>0</v>
      </c>
      <c r="E221" s="411">
        <f t="shared" si="14"/>
        <v>0</v>
      </c>
      <c r="F221" s="44"/>
      <c r="G221" s="44"/>
      <c r="H221" s="580"/>
      <c r="I221" s="582"/>
      <c r="J221" s="581"/>
      <c r="K221" s="584"/>
      <c r="L221" s="581"/>
      <c r="M221" s="584"/>
      <c r="N221" s="581"/>
      <c r="O221" s="584"/>
      <c r="P221" s="44"/>
      <c r="Q221" s="632"/>
      <c r="S221" s="633"/>
      <c r="T221" s="1068"/>
      <c r="U221" s="500"/>
      <c r="V221" s="498"/>
      <c r="W221" s="500"/>
      <c r="X221" s="498"/>
      <c r="Y221" s="500"/>
      <c r="Z221" s="498"/>
      <c r="AA221" s="500"/>
      <c r="AB221" s="498"/>
      <c r="AC221" s="500"/>
      <c r="AD221" s="498"/>
      <c r="AE221" s="500"/>
      <c r="AG221" s="500"/>
      <c r="AH221" s="498"/>
      <c r="AI221" s="500"/>
      <c r="AJ221" s="498"/>
      <c r="AK221" s="1066"/>
      <c r="AO221" s="498"/>
    </row>
    <row r="222" spans="1:41" s="499" customFormat="1" ht="12.75" hidden="1" customHeight="1">
      <c r="A222" s="498"/>
      <c r="B222" s="392"/>
      <c r="C222" s="409" t="s">
        <v>366</v>
      </c>
      <c r="D222" s="1070" t="str">
        <f>IF(O=0,"0",VLOOKUP($AK$212,Klima!$B$151:$N$166,12))</f>
        <v>0</v>
      </c>
      <c r="E222" s="411">
        <f t="shared" si="14"/>
        <v>0</v>
      </c>
      <c r="F222" s="44"/>
      <c r="G222" s="44"/>
      <c r="H222" s="580"/>
      <c r="I222" s="582"/>
      <c r="J222" s="581"/>
      <c r="K222" s="584"/>
      <c r="L222" s="581"/>
      <c r="M222" s="584"/>
      <c r="N222" s="581"/>
      <c r="O222" s="584"/>
      <c r="P222" s="44"/>
      <c r="Q222" s="632"/>
      <c r="S222" s="633"/>
      <c r="T222" s="1068"/>
      <c r="U222" s="500"/>
      <c r="V222" s="498"/>
      <c r="W222" s="500"/>
      <c r="X222" s="498"/>
      <c r="Y222" s="500"/>
      <c r="Z222" s="498"/>
      <c r="AA222" s="500"/>
      <c r="AB222" s="498"/>
      <c r="AC222" s="500"/>
      <c r="AD222" s="498"/>
      <c r="AE222" s="500"/>
      <c r="AG222" s="500"/>
      <c r="AH222" s="498"/>
      <c r="AI222" s="500"/>
      <c r="AJ222" s="498"/>
      <c r="AK222" s="1066"/>
      <c r="AO222" s="498"/>
    </row>
    <row r="223" spans="1:41" s="499" customFormat="1" ht="12.75" hidden="1" customHeight="1">
      <c r="A223" s="498"/>
      <c r="B223" s="392"/>
      <c r="C223" s="409" t="s">
        <v>465</v>
      </c>
      <c r="D223" s="1070" t="str">
        <f>IF(O=0,"0",VLOOKUP($AK$212,Klima!$B$151:$N$166,13))</f>
        <v>0</v>
      </c>
      <c r="E223" s="411">
        <f t="shared" si="14"/>
        <v>0</v>
      </c>
      <c r="F223" s="44"/>
      <c r="G223" s="44"/>
      <c r="H223" s="580"/>
      <c r="I223" s="582"/>
      <c r="J223" s="581"/>
      <c r="K223" s="584"/>
      <c r="L223" s="581"/>
      <c r="M223" s="584"/>
      <c r="N223" s="581"/>
      <c r="O223" s="584"/>
      <c r="P223" s="44"/>
      <c r="Q223" s="632"/>
      <c r="S223" s="633"/>
      <c r="T223" s="1068"/>
      <c r="U223" s="500"/>
      <c r="V223" s="498"/>
      <c r="W223" s="500"/>
      <c r="X223" s="498"/>
      <c r="Y223" s="500"/>
      <c r="Z223" s="498"/>
      <c r="AA223" s="500"/>
      <c r="AB223" s="498"/>
      <c r="AC223" s="500"/>
      <c r="AD223" s="498"/>
      <c r="AE223" s="500"/>
      <c r="AG223" s="500"/>
      <c r="AH223" s="498"/>
      <c r="AI223" s="500"/>
      <c r="AJ223" s="498"/>
      <c r="AK223" s="1066"/>
      <c r="AO223" s="498"/>
    </row>
    <row r="224" spans="1:41" ht="12.75" customHeight="1">
      <c r="A224" s="37"/>
      <c r="B224" s="392"/>
      <c r="C224" s="409">
        <f>Bauteile!B488</f>
        <v>0</v>
      </c>
      <c r="D224" s="1071"/>
      <c r="E224" s="394">
        <f>Bauteile!D488</f>
        <v>0</v>
      </c>
      <c r="F224" s="394">
        <f>Bauteile!F488</f>
        <v>0</v>
      </c>
      <c r="G224" s="394" t="str">
        <f>IF(Bauteile!G488="","0",Bauteile!G488)</f>
        <v>0</v>
      </c>
      <c r="H224" s="1013">
        <f>Bauteile!H488</f>
        <v>0</v>
      </c>
      <c r="I224" s="410">
        <f>IF(H_16=0,1,IF(P=0,"0",IF(H_16&lt;=1,H_16,VLOOKUP(H_16,Daten!$A$101:$N$171,AK224))))</f>
        <v>1</v>
      </c>
      <c r="J224" s="581">
        <f>Bauteile!I488</f>
        <v>0</v>
      </c>
      <c r="K224" s="410" t="str">
        <f>IF(P=0,"0",VLOOKUP(Ü_16,Daten!$A$177:$N$252,AK224))</f>
        <v>0</v>
      </c>
      <c r="L224" s="581">
        <f>Bauteile!J488</f>
        <v>0</v>
      </c>
      <c r="M224" s="410" t="str">
        <f>IF(P=0,"0",VLOOKUP(S_16,Daten!$A$258:$N$333,AK224))</f>
        <v>0</v>
      </c>
      <c r="N224" s="581">
        <f>Bauteile!K488</f>
        <v>0</v>
      </c>
      <c r="O224" s="410">
        <f>IF(AK224&gt;5,"1.00",VLOOKUP(S_116,Daten!$A$258:$N$333,AK224))</f>
        <v>0</v>
      </c>
      <c r="P224" s="394">
        <f>Bauteile!C488</f>
        <v>0</v>
      </c>
      <c r="Q224" s="631" t="str">
        <f>IF(P=0,"0",SUM(E225:E236))</f>
        <v>0</v>
      </c>
      <c r="S224" s="85"/>
      <c r="T224" s="36"/>
      <c r="U224" s="40">
        <f>IF(P="SO",1,0)</f>
        <v>0</v>
      </c>
      <c r="V224" s="40">
        <f>IF(P="SSO",2,0)</f>
        <v>0</v>
      </c>
      <c r="W224" s="40">
        <f>IF(P="S",3,0)</f>
        <v>0</v>
      </c>
      <c r="X224" s="40">
        <f>IF(P="SSW",4,0)</f>
        <v>0</v>
      </c>
      <c r="Y224" s="40">
        <f>IF(P="SW",1,0)</f>
        <v>0</v>
      </c>
      <c r="Z224" s="40">
        <f>IF(P="WSW",5,0)</f>
        <v>0</v>
      </c>
      <c r="AA224" s="40">
        <f>IF(P="W",6,0)</f>
        <v>0</v>
      </c>
      <c r="AB224" s="40">
        <f>IF(P="WNW",7,0)</f>
        <v>0</v>
      </c>
      <c r="AC224" s="40">
        <f>IF(P="NW",8,0)</f>
        <v>0</v>
      </c>
      <c r="AD224" s="40">
        <f>IF(P="NNW",9,0)</f>
        <v>0</v>
      </c>
      <c r="AE224" s="40">
        <f>IF(P="N",10,0)</f>
        <v>0</v>
      </c>
      <c r="AF224" s="40">
        <f>IF(P="NNO",11,0)</f>
        <v>0</v>
      </c>
      <c r="AG224" s="40">
        <f>IF(P="NO",8,0)</f>
        <v>0</v>
      </c>
      <c r="AH224" s="40">
        <f>IF(P="ONO",12,0)</f>
        <v>0</v>
      </c>
      <c r="AI224" s="40">
        <f>IF(P="O",6,0)</f>
        <v>0</v>
      </c>
      <c r="AJ224" s="40">
        <f>IF(P="OSO",13,0)</f>
        <v>0</v>
      </c>
      <c r="AK224" s="1065">
        <f>MAX(U224:AJ224)+1</f>
        <v>1</v>
      </c>
      <c r="AO224" s="37"/>
    </row>
    <row r="225" spans="1:41" s="499" customFormat="1" ht="12.75" hidden="1" customHeight="1">
      <c r="A225" s="498"/>
      <c r="B225" s="392"/>
      <c r="C225" s="409" t="s">
        <v>49</v>
      </c>
      <c r="D225" s="1070" t="str">
        <f>IF(P=0,"0",VLOOKUP($AK$225,Klima!$B$151:$N$166,2))</f>
        <v>0</v>
      </c>
      <c r="E225" s="411">
        <f t="shared" ref="E225:E236" si="15">D225*$E$224*$F$224*0.9*$G$224*$I$224*$K$224*$M$224*$O$224/$F$22</f>
        <v>0</v>
      </c>
      <c r="F225" s="44"/>
      <c r="G225" s="44"/>
      <c r="H225" s="580"/>
      <c r="I225" s="582"/>
      <c r="J225" s="581"/>
      <c r="K225" s="584"/>
      <c r="L225" s="581"/>
      <c r="M225" s="584"/>
      <c r="N225" s="581"/>
      <c r="O225" s="584"/>
      <c r="P225" s="44"/>
      <c r="Q225" s="632"/>
      <c r="S225" s="633"/>
      <c r="T225" s="1068"/>
      <c r="U225" s="40">
        <f>IF(P="SO",1,0)</f>
        <v>0</v>
      </c>
      <c r="V225" s="40">
        <f>IF(P="SSO",2,0)</f>
        <v>0</v>
      </c>
      <c r="W225" s="40">
        <f>IF(P="S",3,0)</f>
        <v>0</v>
      </c>
      <c r="X225" s="40">
        <f>IF(P="SSW",4,0)</f>
        <v>0</v>
      </c>
      <c r="Y225" s="40">
        <f>IF(P="SW",5,0)</f>
        <v>0</v>
      </c>
      <c r="Z225" s="40">
        <f>IF(P="WSW",6,0)</f>
        <v>0</v>
      </c>
      <c r="AA225" s="40">
        <f>IF(P="W",7,0)</f>
        <v>0</v>
      </c>
      <c r="AB225" s="40">
        <f>IF(P="WNW",8,0)</f>
        <v>0</v>
      </c>
      <c r="AC225" s="40">
        <f>IF(P="NW",9,0)</f>
        <v>0</v>
      </c>
      <c r="AD225" s="40">
        <f>IF(P="NNW",10,0)</f>
        <v>0</v>
      </c>
      <c r="AE225" s="40">
        <f>IF(P="N",11,0)</f>
        <v>0</v>
      </c>
      <c r="AF225" s="40">
        <f>IF(P="NNO",12,0)</f>
        <v>0</v>
      </c>
      <c r="AG225" s="40">
        <f>IF(P="NO",13,0)</f>
        <v>0</v>
      </c>
      <c r="AH225" s="40">
        <f>IF(P="ONO",14,0)</f>
        <v>0</v>
      </c>
      <c r="AI225" s="40">
        <f>IF(P="O",15,0)</f>
        <v>0</v>
      </c>
      <c r="AJ225" s="40">
        <f>IF(P="OSO",16,0)</f>
        <v>0</v>
      </c>
      <c r="AK225" s="1065">
        <f>MAX(U225:AJ225)</f>
        <v>0</v>
      </c>
      <c r="AO225" s="498"/>
    </row>
    <row r="226" spans="1:41" s="499" customFormat="1" ht="12.75" hidden="1" customHeight="1">
      <c r="A226" s="498"/>
      <c r="B226" s="392"/>
      <c r="C226" s="409" t="s">
        <v>554</v>
      </c>
      <c r="D226" s="1070" t="str">
        <f>IF(P=0,"0",VLOOKUP($AK$225,Klima!$B$151:$N$166,3))</f>
        <v>0</v>
      </c>
      <c r="E226" s="411">
        <f t="shared" si="15"/>
        <v>0</v>
      </c>
      <c r="F226" s="44"/>
      <c r="G226" s="44"/>
      <c r="H226" s="580"/>
      <c r="I226" s="582"/>
      <c r="J226" s="581"/>
      <c r="K226" s="584"/>
      <c r="L226" s="581"/>
      <c r="M226" s="584"/>
      <c r="N226" s="581"/>
      <c r="O226" s="584"/>
      <c r="P226" s="44"/>
      <c r="Q226" s="632"/>
      <c r="S226" s="633"/>
      <c r="T226" s="1068"/>
      <c r="U226" s="500"/>
      <c r="V226" s="498"/>
      <c r="W226" s="500"/>
      <c r="X226" s="498"/>
      <c r="Y226" s="500"/>
      <c r="Z226" s="498"/>
      <c r="AA226" s="500"/>
      <c r="AB226" s="498"/>
      <c r="AC226" s="500"/>
      <c r="AD226" s="498"/>
      <c r="AE226" s="500"/>
      <c r="AG226" s="500"/>
      <c r="AH226" s="498"/>
      <c r="AI226" s="500"/>
      <c r="AJ226" s="498"/>
      <c r="AK226" s="1066"/>
      <c r="AO226" s="498"/>
    </row>
    <row r="227" spans="1:41" s="499" customFormat="1" ht="12.75" hidden="1" customHeight="1">
      <c r="A227" s="498"/>
      <c r="B227" s="392"/>
      <c r="C227" s="409" t="s">
        <v>306</v>
      </c>
      <c r="D227" s="1070" t="str">
        <f>IF(P=0,"0",VLOOKUP($AK$225,Klima!$B$151:$N$166,4))</f>
        <v>0</v>
      </c>
      <c r="E227" s="411">
        <f t="shared" si="15"/>
        <v>0</v>
      </c>
      <c r="F227" s="44"/>
      <c r="G227" s="44"/>
      <c r="H227" s="580"/>
      <c r="I227" s="582"/>
      <c r="J227" s="581"/>
      <c r="K227" s="584"/>
      <c r="L227" s="581"/>
      <c r="M227" s="584"/>
      <c r="N227" s="581"/>
      <c r="O227" s="584"/>
      <c r="P227" s="44"/>
      <c r="Q227" s="632"/>
      <c r="S227" s="633"/>
      <c r="T227" s="1068"/>
      <c r="U227" s="500"/>
      <c r="V227" s="498"/>
      <c r="W227" s="500"/>
      <c r="X227" s="498"/>
      <c r="Y227" s="500"/>
      <c r="Z227" s="498"/>
      <c r="AA227" s="500"/>
      <c r="AB227" s="498"/>
      <c r="AC227" s="500"/>
      <c r="AD227" s="498"/>
      <c r="AE227" s="500"/>
      <c r="AG227" s="500"/>
      <c r="AH227" s="498"/>
      <c r="AI227" s="500"/>
      <c r="AJ227" s="498"/>
      <c r="AK227" s="1066"/>
      <c r="AO227" s="498"/>
    </row>
    <row r="228" spans="1:41" s="499" customFormat="1" ht="12.75" hidden="1" customHeight="1">
      <c r="A228" s="498"/>
      <c r="B228" s="392"/>
      <c r="C228" s="409" t="s">
        <v>409</v>
      </c>
      <c r="D228" s="1070" t="str">
        <f>IF(P=0,"0",VLOOKUP($AK$225,Klima!$B$151:$N$166,5))</f>
        <v>0</v>
      </c>
      <c r="E228" s="411">
        <f t="shared" si="15"/>
        <v>0</v>
      </c>
      <c r="F228" s="44"/>
      <c r="G228" s="44"/>
      <c r="H228" s="580"/>
      <c r="I228" s="582"/>
      <c r="J228" s="581"/>
      <c r="K228" s="584"/>
      <c r="L228" s="581"/>
      <c r="M228" s="584"/>
      <c r="N228" s="581"/>
      <c r="O228" s="584"/>
      <c r="P228" s="44"/>
      <c r="Q228" s="632"/>
      <c r="S228" s="633"/>
      <c r="T228" s="1068"/>
      <c r="U228" s="500"/>
      <c r="V228" s="498"/>
      <c r="W228" s="500"/>
      <c r="X228" s="498"/>
      <c r="Y228" s="500"/>
      <c r="Z228" s="498"/>
      <c r="AA228" s="500"/>
      <c r="AB228" s="498"/>
      <c r="AC228" s="500"/>
      <c r="AD228" s="498"/>
      <c r="AE228" s="500"/>
      <c r="AG228" s="500"/>
      <c r="AH228" s="498"/>
      <c r="AI228" s="500"/>
      <c r="AJ228" s="498"/>
      <c r="AK228" s="1066"/>
      <c r="AO228" s="498"/>
    </row>
    <row r="229" spans="1:41" s="499" customFormat="1" ht="12.75" hidden="1" customHeight="1">
      <c r="A229" s="498"/>
      <c r="B229" s="392"/>
      <c r="C229" s="409" t="s">
        <v>410</v>
      </c>
      <c r="D229" s="1070" t="str">
        <f>IF(P=0,"0",VLOOKUP($AK$225,Klima!$B$151:$N$166,6))</f>
        <v>0</v>
      </c>
      <c r="E229" s="411">
        <f t="shared" si="15"/>
        <v>0</v>
      </c>
      <c r="F229" s="44"/>
      <c r="G229" s="44"/>
      <c r="H229" s="580"/>
      <c r="I229" s="582"/>
      <c r="J229" s="581"/>
      <c r="K229" s="584"/>
      <c r="L229" s="581"/>
      <c r="M229" s="584"/>
      <c r="N229" s="581"/>
      <c r="O229" s="584"/>
      <c r="P229" s="44"/>
      <c r="Q229" s="632"/>
      <c r="S229" s="633"/>
      <c r="T229" s="1068"/>
      <c r="U229" s="500"/>
      <c r="V229" s="498"/>
      <c r="W229" s="500"/>
      <c r="X229" s="498"/>
      <c r="Y229" s="500"/>
      <c r="Z229" s="498"/>
      <c r="AA229" s="500"/>
      <c r="AB229" s="498"/>
      <c r="AC229" s="500"/>
      <c r="AD229" s="498"/>
      <c r="AE229" s="500"/>
      <c r="AG229" s="500"/>
      <c r="AH229" s="498"/>
      <c r="AI229" s="500"/>
      <c r="AJ229" s="498"/>
      <c r="AK229" s="1066"/>
      <c r="AO229" s="498"/>
    </row>
    <row r="230" spans="1:41" s="499" customFormat="1" ht="12.75" hidden="1" customHeight="1">
      <c r="A230" s="498"/>
      <c r="B230" s="392"/>
      <c r="C230" s="409" t="s">
        <v>411</v>
      </c>
      <c r="D230" s="1070" t="str">
        <f>IF(P=0,"0",VLOOKUP($AK$225,Klima!$B$151:$N$166,7))</f>
        <v>0</v>
      </c>
      <c r="E230" s="411">
        <f t="shared" si="15"/>
        <v>0</v>
      </c>
      <c r="F230" s="44"/>
      <c r="G230" s="44"/>
      <c r="H230" s="580"/>
      <c r="I230" s="582"/>
      <c r="J230" s="581"/>
      <c r="K230" s="584"/>
      <c r="L230" s="581"/>
      <c r="M230" s="584"/>
      <c r="N230" s="581"/>
      <c r="O230" s="584"/>
      <c r="P230" s="44"/>
      <c r="Q230" s="632"/>
      <c r="S230" s="633"/>
      <c r="T230" s="1068"/>
      <c r="U230" s="500"/>
      <c r="V230" s="498"/>
      <c r="W230" s="500"/>
      <c r="X230" s="498"/>
      <c r="Y230" s="500"/>
      <c r="Z230" s="498"/>
      <c r="AA230" s="500"/>
      <c r="AB230" s="498"/>
      <c r="AC230" s="500"/>
      <c r="AD230" s="498"/>
      <c r="AE230" s="500"/>
      <c r="AG230" s="500"/>
      <c r="AH230" s="498"/>
      <c r="AI230" s="500"/>
      <c r="AJ230" s="498"/>
      <c r="AK230" s="1066"/>
      <c r="AO230" s="498"/>
    </row>
    <row r="231" spans="1:41" s="499" customFormat="1" ht="12.75" hidden="1" customHeight="1">
      <c r="A231" s="498"/>
      <c r="B231" s="392"/>
      <c r="C231" s="409" t="s">
        <v>221</v>
      </c>
      <c r="D231" s="1070" t="str">
        <f>IF(P=0,"0",VLOOKUP($AK$225,Klima!$B$151:$N$166,8))</f>
        <v>0</v>
      </c>
      <c r="E231" s="411">
        <f t="shared" si="15"/>
        <v>0</v>
      </c>
      <c r="F231" s="44"/>
      <c r="G231" s="44"/>
      <c r="H231" s="580"/>
      <c r="I231" s="582"/>
      <c r="J231" s="581"/>
      <c r="K231" s="584"/>
      <c r="L231" s="581"/>
      <c r="M231" s="584"/>
      <c r="N231" s="581"/>
      <c r="O231" s="584"/>
      <c r="P231" s="44"/>
      <c r="Q231" s="632"/>
      <c r="S231" s="633"/>
      <c r="T231" s="1068"/>
      <c r="U231" s="500"/>
      <c r="V231" s="498"/>
      <c r="W231" s="500"/>
      <c r="X231" s="498"/>
      <c r="Y231" s="500"/>
      <c r="Z231" s="498"/>
      <c r="AA231" s="500"/>
      <c r="AB231" s="498"/>
      <c r="AC231" s="500"/>
      <c r="AD231" s="498"/>
      <c r="AE231" s="500"/>
      <c r="AG231" s="500"/>
      <c r="AH231" s="498"/>
      <c r="AI231" s="500"/>
      <c r="AJ231" s="498"/>
      <c r="AK231" s="1066"/>
      <c r="AO231" s="498"/>
    </row>
    <row r="232" spans="1:41" s="499" customFormat="1" ht="12.75" hidden="1" customHeight="1">
      <c r="A232" s="498"/>
      <c r="B232" s="392"/>
      <c r="C232" s="409" t="s">
        <v>138</v>
      </c>
      <c r="D232" s="1070" t="str">
        <f>IF(P=0,"0",VLOOKUP($AK$225,Klima!$B$151:$N$166,9))</f>
        <v>0</v>
      </c>
      <c r="E232" s="411">
        <f t="shared" si="15"/>
        <v>0</v>
      </c>
      <c r="F232" s="44"/>
      <c r="G232" s="44"/>
      <c r="H232" s="580"/>
      <c r="I232" s="582"/>
      <c r="J232" s="581"/>
      <c r="K232" s="584"/>
      <c r="L232" s="581"/>
      <c r="M232" s="584"/>
      <c r="N232" s="581"/>
      <c r="O232" s="584"/>
      <c r="P232" s="44"/>
      <c r="Q232" s="632"/>
      <c r="S232" s="633"/>
      <c r="T232" s="1068"/>
      <c r="U232" s="500"/>
      <c r="V232" s="498"/>
      <c r="W232" s="500"/>
      <c r="X232" s="498"/>
      <c r="Y232" s="500"/>
      <c r="Z232" s="498"/>
      <c r="AA232" s="500"/>
      <c r="AB232" s="498"/>
      <c r="AC232" s="500"/>
      <c r="AD232" s="498"/>
      <c r="AE232" s="500"/>
      <c r="AG232" s="500"/>
      <c r="AH232" s="498"/>
      <c r="AI232" s="500"/>
      <c r="AJ232" s="498"/>
      <c r="AK232" s="1066"/>
      <c r="AO232" s="498"/>
    </row>
    <row r="233" spans="1:41" s="499" customFormat="1" ht="12.75" hidden="1" customHeight="1">
      <c r="A233" s="498"/>
      <c r="B233" s="392"/>
      <c r="C233" s="409" t="s">
        <v>139</v>
      </c>
      <c r="D233" s="1070" t="str">
        <f>IF(P=0,"0",VLOOKUP($AK$225,Klima!$B$151:$N$166,10))</f>
        <v>0</v>
      </c>
      <c r="E233" s="411">
        <f t="shared" si="15"/>
        <v>0</v>
      </c>
      <c r="F233" s="44"/>
      <c r="G233" s="44"/>
      <c r="H233" s="580"/>
      <c r="I233" s="582"/>
      <c r="J233" s="581"/>
      <c r="K233" s="584"/>
      <c r="L233" s="581"/>
      <c r="M233" s="584"/>
      <c r="N233" s="581"/>
      <c r="O233" s="584"/>
      <c r="P233" s="44"/>
      <c r="Q233" s="632"/>
      <c r="S233" s="633"/>
      <c r="T233" s="1068"/>
      <c r="U233" s="500"/>
      <c r="V233" s="498"/>
      <c r="W233" s="500"/>
      <c r="X233" s="498"/>
      <c r="Y233" s="500"/>
      <c r="Z233" s="498"/>
      <c r="AA233" s="500"/>
      <c r="AB233" s="498"/>
      <c r="AC233" s="500"/>
      <c r="AD233" s="498"/>
      <c r="AE233" s="500"/>
      <c r="AG233" s="500"/>
      <c r="AH233" s="498"/>
      <c r="AI233" s="500"/>
      <c r="AJ233" s="498"/>
      <c r="AK233" s="1066"/>
      <c r="AO233" s="498"/>
    </row>
    <row r="234" spans="1:41" s="499" customFormat="1" ht="12.75" hidden="1" customHeight="1">
      <c r="A234" s="498"/>
      <c r="B234" s="392"/>
      <c r="C234" s="409" t="s">
        <v>269</v>
      </c>
      <c r="D234" s="1070" t="str">
        <f>IF(P=0,"0",VLOOKUP($AK$225,Klima!$B$151:$N$166,11))</f>
        <v>0</v>
      </c>
      <c r="E234" s="411">
        <f t="shared" si="15"/>
        <v>0</v>
      </c>
      <c r="F234" s="44"/>
      <c r="G234" s="44"/>
      <c r="H234" s="580"/>
      <c r="I234" s="582"/>
      <c r="J234" s="581"/>
      <c r="K234" s="584"/>
      <c r="L234" s="581"/>
      <c r="M234" s="584"/>
      <c r="N234" s="581"/>
      <c r="O234" s="584"/>
      <c r="P234" s="44"/>
      <c r="Q234" s="632"/>
      <c r="S234" s="633"/>
      <c r="T234" s="1068"/>
      <c r="U234" s="500"/>
      <c r="V234" s="498"/>
      <c r="W234" s="500"/>
      <c r="X234" s="498"/>
      <c r="Y234" s="500"/>
      <c r="Z234" s="498"/>
      <c r="AA234" s="500"/>
      <c r="AB234" s="498"/>
      <c r="AC234" s="500"/>
      <c r="AD234" s="498"/>
      <c r="AE234" s="500"/>
      <c r="AG234" s="500"/>
      <c r="AH234" s="498"/>
      <c r="AI234" s="500"/>
      <c r="AJ234" s="498"/>
      <c r="AK234" s="1066"/>
      <c r="AO234" s="498"/>
    </row>
    <row r="235" spans="1:41" s="499" customFormat="1" ht="12.75" hidden="1" customHeight="1">
      <c r="A235" s="498"/>
      <c r="B235" s="392"/>
      <c r="C235" s="409" t="s">
        <v>366</v>
      </c>
      <c r="D235" s="1070" t="str">
        <f>IF(P=0,"0",VLOOKUP($AK$225,Klima!$B$151:$N$166,12))</f>
        <v>0</v>
      </c>
      <c r="E235" s="411">
        <f t="shared" si="15"/>
        <v>0</v>
      </c>
      <c r="F235" s="44"/>
      <c r="G235" s="44"/>
      <c r="H235" s="580"/>
      <c r="I235" s="582"/>
      <c r="J235" s="581"/>
      <c r="K235" s="584"/>
      <c r="L235" s="581"/>
      <c r="M235" s="584"/>
      <c r="N235" s="581"/>
      <c r="O235" s="584"/>
      <c r="P235" s="44"/>
      <c r="Q235" s="632"/>
      <c r="S235" s="633"/>
      <c r="T235" s="1068"/>
      <c r="U235" s="500"/>
      <c r="V235" s="498"/>
      <c r="W235" s="500"/>
      <c r="X235" s="498"/>
      <c r="Y235" s="500"/>
      <c r="Z235" s="498"/>
      <c r="AA235" s="500"/>
      <c r="AB235" s="498"/>
      <c r="AC235" s="500"/>
      <c r="AD235" s="498"/>
      <c r="AE235" s="500"/>
      <c r="AG235" s="500"/>
      <c r="AH235" s="498"/>
      <c r="AI235" s="500"/>
      <c r="AJ235" s="498"/>
      <c r="AK235" s="1066"/>
      <c r="AO235" s="498"/>
    </row>
    <row r="236" spans="1:41" s="499" customFormat="1" ht="12.75" hidden="1" customHeight="1">
      <c r="A236" s="498"/>
      <c r="B236" s="392"/>
      <c r="C236" s="409" t="s">
        <v>465</v>
      </c>
      <c r="D236" s="1070" t="str">
        <f>IF(P=0,"0",VLOOKUP($AK$225,Klima!$B$151:$N$166,13))</f>
        <v>0</v>
      </c>
      <c r="E236" s="411">
        <f t="shared" si="15"/>
        <v>0</v>
      </c>
      <c r="F236" s="44"/>
      <c r="G236" s="44"/>
      <c r="H236" s="580"/>
      <c r="I236" s="582"/>
      <c r="J236" s="581"/>
      <c r="K236" s="584"/>
      <c r="L236" s="581"/>
      <c r="M236" s="584"/>
      <c r="N236" s="581"/>
      <c r="O236" s="584"/>
      <c r="P236" s="44"/>
      <c r="Q236" s="632"/>
      <c r="S236" s="633"/>
      <c r="T236" s="1068"/>
      <c r="U236" s="500"/>
      <c r="V236" s="498"/>
      <c r="W236" s="500"/>
      <c r="X236" s="498"/>
      <c r="Y236" s="500"/>
      <c r="Z236" s="498"/>
      <c r="AA236" s="500"/>
      <c r="AB236" s="498"/>
      <c r="AC236" s="500"/>
      <c r="AD236" s="498"/>
      <c r="AE236" s="500"/>
      <c r="AG236" s="500"/>
      <c r="AH236" s="498"/>
      <c r="AI236" s="500"/>
      <c r="AJ236" s="498"/>
      <c r="AK236" s="1066"/>
      <c r="AO236" s="498"/>
    </row>
    <row r="237" spans="1:41" s="499" customFormat="1" ht="12.75" customHeight="1">
      <c r="A237" s="498"/>
      <c r="B237" s="392"/>
      <c r="C237" s="409">
        <f>Bauteile!B502</f>
        <v>0</v>
      </c>
      <c r="D237" s="1070"/>
      <c r="E237" s="394">
        <f>Bauteile!D502</f>
        <v>0</v>
      </c>
      <c r="F237" s="394">
        <f>Bauteile!F502</f>
        <v>0</v>
      </c>
      <c r="G237" s="394" t="str">
        <f>IF(Bauteile!G502="","0",Bauteile!G502)</f>
        <v>0</v>
      </c>
      <c r="H237" s="1013">
        <f>Bauteile!H502</f>
        <v>0</v>
      </c>
      <c r="I237" s="410">
        <f>IF(H_17=0,1,IF(Q=0,"0",IF(H_17&lt;=1,H_17,VLOOKUP(H_17,Daten!$A$101:$N$171,AK237))))</f>
        <v>1</v>
      </c>
      <c r="J237" s="581">
        <f>Bauteile!I502</f>
        <v>0</v>
      </c>
      <c r="K237" s="410" t="str">
        <f>IF(Q=0,"0",VLOOKUP(Ü_17,Daten!$A$177:$N$252,AK237))</f>
        <v>0</v>
      </c>
      <c r="L237" s="581">
        <f>Bauteile!J502</f>
        <v>0</v>
      </c>
      <c r="M237" s="410" t="str">
        <f>IF(Q=0,"0",VLOOKUP(S_17,Daten!$A$258:$N$333,AK237))</f>
        <v>0</v>
      </c>
      <c r="N237" s="581">
        <f>Bauteile!K502</f>
        <v>0</v>
      </c>
      <c r="O237" s="410">
        <f>IF(AK237&gt;5,"1.00",VLOOKUP(S_117,Daten!$A$258:$N$333,AK237))</f>
        <v>0</v>
      </c>
      <c r="P237" s="394">
        <f>Bauteile!C502</f>
        <v>0</v>
      </c>
      <c r="Q237" s="631" t="str">
        <f>IF(Q=0,"0",SUM(E238:E249))</f>
        <v>0</v>
      </c>
      <c r="S237" s="634"/>
      <c r="T237" s="772"/>
      <c r="U237" s="40">
        <f>IF(Q="SO",1,0)</f>
        <v>0</v>
      </c>
      <c r="V237" s="40">
        <f>IF(Q="SSO",2,0)</f>
        <v>0</v>
      </c>
      <c r="W237" s="40">
        <f>IF(Q="S",3,0)</f>
        <v>0</v>
      </c>
      <c r="X237" s="40">
        <f>IF(Q="SSW",4,0)</f>
        <v>0</v>
      </c>
      <c r="Y237" s="40">
        <f>IF(Q="SW",1,0)</f>
        <v>0</v>
      </c>
      <c r="Z237" s="40">
        <f>IF(Q="WSW",5,0)</f>
        <v>0</v>
      </c>
      <c r="AA237" s="40">
        <f>IF(Q="W",6,0)</f>
        <v>0</v>
      </c>
      <c r="AB237" s="40">
        <f>IF(Q="WNW",7,0)</f>
        <v>0</v>
      </c>
      <c r="AC237" s="40">
        <f>IF(Q="NW",8,0)</f>
        <v>0</v>
      </c>
      <c r="AD237" s="40">
        <f>IF(Q="NNW",9,0)</f>
        <v>0</v>
      </c>
      <c r="AE237" s="40">
        <f>IF(Q="N",10,0)</f>
        <v>0</v>
      </c>
      <c r="AF237" s="40">
        <f>IF(Q="NNO",11,0)</f>
        <v>0</v>
      </c>
      <c r="AG237" s="40">
        <f>IF(Q="NO",8,0)</f>
        <v>0</v>
      </c>
      <c r="AH237" s="40">
        <f>IF(Q="ONO",12,0)</f>
        <v>0</v>
      </c>
      <c r="AI237" s="40">
        <f>IF(Q="O",6,0)</f>
        <v>0</v>
      </c>
      <c r="AJ237" s="40">
        <f>IF(Q="OSO",13,0)</f>
        <v>0</v>
      </c>
      <c r="AK237" s="1065">
        <f>MAX(U237:AJ237)+1</f>
        <v>1</v>
      </c>
      <c r="AO237" s="498"/>
    </row>
    <row r="238" spans="1:41" s="499" customFormat="1" ht="12.75" hidden="1" customHeight="1">
      <c r="A238" s="498"/>
      <c r="B238" s="392"/>
      <c r="C238" s="409" t="s">
        <v>49</v>
      </c>
      <c r="D238" s="1070" t="str">
        <f>IF(Q=0,"0",VLOOKUP($AK$238,Klima!$B$151:$N$166,2))</f>
        <v>0</v>
      </c>
      <c r="E238" s="411">
        <f t="shared" ref="E238:E249" si="16">D238*$E$237*$F$237*0.9*$G$237*$I$237*$K$237*$M$237*$O$237/$F$22</f>
        <v>0</v>
      </c>
      <c r="F238" s="44"/>
      <c r="G238" s="44"/>
      <c r="H238" s="580"/>
      <c r="I238" s="582"/>
      <c r="J238" s="581"/>
      <c r="K238" s="584"/>
      <c r="L238" s="581"/>
      <c r="M238" s="584"/>
      <c r="N238" s="581"/>
      <c r="O238" s="584"/>
      <c r="P238" s="44"/>
      <c r="Q238" s="632"/>
      <c r="S238" s="633"/>
      <c r="T238" s="1068"/>
      <c r="U238" s="40">
        <f>IF(Q="SO",1,0)</f>
        <v>0</v>
      </c>
      <c r="V238" s="40">
        <f>IF(Q="SSO",2,0)</f>
        <v>0</v>
      </c>
      <c r="W238" s="40">
        <f>IF(Q="S",3,0)</f>
        <v>0</v>
      </c>
      <c r="X238" s="40">
        <f>IF(Q="SSW",4,0)</f>
        <v>0</v>
      </c>
      <c r="Y238" s="40">
        <f>IF(Q="SW",5,0)</f>
        <v>0</v>
      </c>
      <c r="Z238" s="40">
        <f>IF(Q="WSW",6,0)</f>
        <v>0</v>
      </c>
      <c r="AA238" s="40">
        <f>IF(Q="W",7,0)</f>
        <v>0</v>
      </c>
      <c r="AB238" s="40">
        <f>IF(Q="WNW",8,0)</f>
        <v>0</v>
      </c>
      <c r="AC238" s="40">
        <f>IF(Q="NW",9,0)</f>
        <v>0</v>
      </c>
      <c r="AD238" s="40">
        <f>IF(Q="NNW",10,0)</f>
        <v>0</v>
      </c>
      <c r="AE238" s="40">
        <f>IF(Q="N",11,0)</f>
        <v>0</v>
      </c>
      <c r="AF238" s="40">
        <f>IF(Q="NNO",12,0)</f>
        <v>0</v>
      </c>
      <c r="AG238" s="40">
        <f>IF(Q="NO",13,0)</f>
        <v>0</v>
      </c>
      <c r="AH238" s="40">
        <f>IF(Q="ONO",14,0)</f>
        <v>0</v>
      </c>
      <c r="AI238" s="40">
        <f>IF(Q="O",15,0)</f>
        <v>0</v>
      </c>
      <c r="AJ238" s="40">
        <f>IF(Q="OSO",16,0)</f>
        <v>0</v>
      </c>
      <c r="AK238" s="1065">
        <f>MAX(U238:AJ238)</f>
        <v>0</v>
      </c>
      <c r="AO238" s="498"/>
    </row>
    <row r="239" spans="1:41" s="499" customFormat="1" ht="12.75" hidden="1" customHeight="1">
      <c r="A239" s="498"/>
      <c r="B239" s="392"/>
      <c r="C239" s="409" t="s">
        <v>554</v>
      </c>
      <c r="D239" s="1070" t="str">
        <f>IF(Q=0,"0",VLOOKUP($AK$238,Klima!$B$151:$N$166,3))</f>
        <v>0</v>
      </c>
      <c r="E239" s="411">
        <f t="shared" si="16"/>
        <v>0</v>
      </c>
      <c r="F239" s="44"/>
      <c r="G239" s="44"/>
      <c r="H239" s="580"/>
      <c r="I239" s="582"/>
      <c r="J239" s="581"/>
      <c r="K239" s="584"/>
      <c r="L239" s="581"/>
      <c r="M239" s="584"/>
      <c r="N239" s="581"/>
      <c r="O239" s="584"/>
      <c r="P239" s="44"/>
      <c r="Q239" s="632"/>
      <c r="S239" s="633"/>
      <c r="T239" s="1068"/>
      <c r="U239" s="500"/>
      <c r="V239" s="498"/>
      <c r="W239" s="500"/>
      <c r="X239" s="498"/>
      <c r="Y239" s="500"/>
      <c r="Z239" s="498"/>
      <c r="AA239" s="500"/>
      <c r="AB239" s="498"/>
      <c r="AC239" s="500"/>
      <c r="AD239" s="498"/>
      <c r="AE239" s="500"/>
      <c r="AG239" s="500"/>
      <c r="AH239" s="498"/>
      <c r="AI239" s="500"/>
      <c r="AJ239" s="498"/>
      <c r="AK239" s="1066"/>
      <c r="AO239" s="498"/>
    </row>
    <row r="240" spans="1:41" s="499" customFormat="1" ht="12.75" hidden="1" customHeight="1">
      <c r="A240" s="498"/>
      <c r="B240" s="392"/>
      <c r="C240" s="409" t="s">
        <v>306</v>
      </c>
      <c r="D240" s="1070" t="str">
        <f>IF(Q=0,"0",VLOOKUP($AK$238,Klima!$B$151:$N$166,4))</f>
        <v>0</v>
      </c>
      <c r="E240" s="411">
        <f t="shared" si="16"/>
        <v>0</v>
      </c>
      <c r="F240" s="44"/>
      <c r="G240" s="44"/>
      <c r="H240" s="580"/>
      <c r="I240" s="582"/>
      <c r="J240" s="581"/>
      <c r="K240" s="584"/>
      <c r="L240" s="581"/>
      <c r="M240" s="584"/>
      <c r="N240" s="581"/>
      <c r="O240" s="584"/>
      <c r="P240" s="44"/>
      <c r="Q240" s="632"/>
      <c r="S240" s="633"/>
      <c r="T240" s="1068"/>
      <c r="U240" s="500"/>
      <c r="V240" s="498"/>
      <c r="W240" s="500"/>
      <c r="X240" s="498"/>
      <c r="Y240" s="500"/>
      <c r="Z240" s="498"/>
      <c r="AA240" s="500"/>
      <c r="AB240" s="498"/>
      <c r="AC240" s="500"/>
      <c r="AD240" s="498"/>
      <c r="AE240" s="500"/>
      <c r="AG240" s="500"/>
      <c r="AH240" s="498"/>
      <c r="AI240" s="500"/>
      <c r="AJ240" s="498"/>
      <c r="AK240" s="1066"/>
      <c r="AO240" s="498"/>
    </row>
    <row r="241" spans="1:41" s="499" customFormat="1" ht="12.75" hidden="1" customHeight="1">
      <c r="A241" s="498"/>
      <c r="B241" s="392"/>
      <c r="C241" s="409" t="s">
        <v>409</v>
      </c>
      <c r="D241" s="1070" t="str">
        <f>IF(Q=0,"0",VLOOKUP($AK$238,Klima!$B$151:$N$166,5))</f>
        <v>0</v>
      </c>
      <c r="E241" s="411">
        <f t="shared" si="16"/>
        <v>0</v>
      </c>
      <c r="F241" s="44"/>
      <c r="G241" s="44"/>
      <c r="H241" s="580"/>
      <c r="I241" s="582"/>
      <c r="J241" s="581"/>
      <c r="K241" s="584"/>
      <c r="L241" s="581"/>
      <c r="M241" s="584"/>
      <c r="N241" s="581"/>
      <c r="O241" s="584"/>
      <c r="P241" s="44"/>
      <c r="Q241" s="632"/>
      <c r="S241" s="633"/>
      <c r="T241" s="1068"/>
      <c r="U241" s="500"/>
      <c r="V241" s="498"/>
      <c r="W241" s="500"/>
      <c r="X241" s="498"/>
      <c r="Y241" s="500"/>
      <c r="Z241" s="498"/>
      <c r="AA241" s="500"/>
      <c r="AB241" s="498"/>
      <c r="AC241" s="500"/>
      <c r="AD241" s="498"/>
      <c r="AE241" s="500"/>
      <c r="AG241" s="500"/>
      <c r="AH241" s="498"/>
      <c r="AI241" s="500"/>
      <c r="AJ241" s="498"/>
      <c r="AK241" s="1066"/>
      <c r="AO241" s="498"/>
    </row>
    <row r="242" spans="1:41" s="499" customFormat="1" ht="12.75" hidden="1" customHeight="1">
      <c r="A242" s="498"/>
      <c r="B242" s="392"/>
      <c r="C242" s="409" t="s">
        <v>410</v>
      </c>
      <c r="D242" s="1070" t="str">
        <f>IF(Q=0,"0",VLOOKUP($AK$238,Klima!$B$151:$N$166,6))</f>
        <v>0</v>
      </c>
      <c r="E242" s="411">
        <f t="shared" si="16"/>
        <v>0</v>
      </c>
      <c r="F242" s="44"/>
      <c r="G242" s="44"/>
      <c r="H242" s="580"/>
      <c r="I242" s="582"/>
      <c r="J242" s="581"/>
      <c r="K242" s="584"/>
      <c r="L242" s="581"/>
      <c r="M242" s="584"/>
      <c r="N242" s="581"/>
      <c r="O242" s="584"/>
      <c r="P242" s="44"/>
      <c r="Q242" s="632"/>
      <c r="S242" s="633"/>
      <c r="T242" s="1068"/>
      <c r="U242" s="500"/>
      <c r="V242" s="498"/>
      <c r="W242" s="500"/>
      <c r="X242" s="498"/>
      <c r="Y242" s="500"/>
      <c r="Z242" s="498"/>
      <c r="AA242" s="500"/>
      <c r="AB242" s="498"/>
      <c r="AC242" s="500"/>
      <c r="AD242" s="498"/>
      <c r="AE242" s="500"/>
      <c r="AG242" s="500"/>
      <c r="AH242" s="498"/>
      <c r="AI242" s="500"/>
      <c r="AJ242" s="498"/>
      <c r="AK242" s="1066"/>
      <c r="AO242" s="498"/>
    </row>
    <row r="243" spans="1:41" s="499" customFormat="1" ht="12.75" hidden="1" customHeight="1">
      <c r="A243" s="498"/>
      <c r="B243" s="392"/>
      <c r="C243" s="409" t="s">
        <v>411</v>
      </c>
      <c r="D243" s="1070" t="str">
        <f>IF(Q=0,"0",VLOOKUP($AK$238,Klima!$B$151:$N$166,7))</f>
        <v>0</v>
      </c>
      <c r="E243" s="411">
        <f t="shared" si="16"/>
        <v>0</v>
      </c>
      <c r="F243" s="44"/>
      <c r="G243" s="44"/>
      <c r="H243" s="580"/>
      <c r="I243" s="582"/>
      <c r="J243" s="581"/>
      <c r="K243" s="584"/>
      <c r="L243" s="581"/>
      <c r="M243" s="584"/>
      <c r="N243" s="581"/>
      <c r="O243" s="584"/>
      <c r="P243" s="44"/>
      <c r="Q243" s="632"/>
      <c r="S243" s="633"/>
      <c r="T243" s="1068"/>
      <c r="U243" s="500"/>
      <c r="V243" s="498"/>
      <c r="W243" s="500"/>
      <c r="X243" s="498"/>
      <c r="Y243" s="500"/>
      <c r="Z243" s="498"/>
      <c r="AA243" s="500"/>
      <c r="AB243" s="498"/>
      <c r="AC243" s="500"/>
      <c r="AD243" s="498"/>
      <c r="AE243" s="500"/>
      <c r="AG243" s="500"/>
      <c r="AH243" s="498"/>
      <c r="AI243" s="500"/>
      <c r="AJ243" s="498"/>
      <c r="AK243" s="1066"/>
      <c r="AO243" s="498"/>
    </row>
    <row r="244" spans="1:41" s="499" customFormat="1" ht="12.75" hidden="1" customHeight="1">
      <c r="A244" s="498"/>
      <c r="B244" s="392"/>
      <c r="C244" s="409" t="s">
        <v>221</v>
      </c>
      <c r="D244" s="1070" t="str">
        <f>IF(Q=0,"0",VLOOKUP($AK$238,Klima!$B$151:$N$166,8))</f>
        <v>0</v>
      </c>
      <c r="E244" s="411">
        <f t="shared" si="16"/>
        <v>0</v>
      </c>
      <c r="F244" s="44"/>
      <c r="G244" s="44"/>
      <c r="H244" s="580"/>
      <c r="I244" s="582"/>
      <c r="J244" s="581"/>
      <c r="K244" s="584"/>
      <c r="L244" s="581"/>
      <c r="M244" s="584"/>
      <c r="N244" s="581"/>
      <c r="O244" s="584"/>
      <c r="P244" s="44"/>
      <c r="Q244" s="632"/>
      <c r="S244" s="633"/>
      <c r="T244" s="1068"/>
      <c r="U244" s="500"/>
      <c r="V244" s="498"/>
      <c r="W244" s="500"/>
      <c r="X244" s="498"/>
      <c r="Y244" s="500"/>
      <c r="Z244" s="498"/>
      <c r="AA244" s="500"/>
      <c r="AB244" s="498"/>
      <c r="AC244" s="500"/>
      <c r="AD244" s="498"/>
      <c r="AE244" s="500"/>
      <c r="AG244" s="500"/>
      <c r="AH244" s="498"/>
      <c r="AI244" s="500"/>
      <c r="AJ244" s="498"/>
      <c r="AK244" s="1066"/>
      <c r="AO244" s="498"/>
    </row>
    <row r="245" spans="1:41" s="499" customFormat="1" ht="12.75" hidden="1" customHeight="1">
      <c r="A245" s="498"/>
      <c r="B245" s="392"/>
      <c r="C245" s="409" t="s">
        <v>138</v>
      </c>
      <c r="D245" s="1070" t="str">
        <f>IF(Q=0,"0",VLOOKUP($AK$238,Klima!$B$151:$N$166,9))</f>
        <v>0</v>
      </c>
      <c r="E245" s="411">
        <f t="shared" si="16"/>
        <v>0</v>
      </c>
      <c r="F245" s="44"/>
      <c r="G245" s="44"/>
      <c r="H245" s="580"/>
      <c r="I245" s="582"/>
      <c r="J245" s="581"/>
      <c r="K245" s="584"/>
      <c r="L245" s="581"/>
      <c r="M245" s="584"/>
      <c r="N245" s="581"/>
      <c r="O245" s="584"/>
      <c r="P245" s="44"/>
      <c r="Q245" s="632"/>
      <c r="S245" s="633"/>
      <c r="T245" s="1068"/>
      <c r="U245" s="500"/>
      <c r="V245" s="498"/>
      <c r="W245" s="500"/>
      <c r="X245" s="498"/>
      <c r="Y245" s="500"/>
      <c r="Z245" s="498"/>
      <c r="AA245" s="500"/>
      <c r="AB245" s="498"/>
      <c r="AC245" s="500"/>
      <c r="AD245" s="498"/>
      <c r="AE245" s="500"/>
      <c r="AG245" s="500"/>
      <c r="AH245" s="498"/>
      <c r="AI245" s="500"/>
      <c r="AJ245" s="498"/>
      <c r="AK245" s="1066"/>
      <c r="AO245" s="498"/>
    </row>
    <row r="246" spans="1:41" s="499" customFormat="1" ht="12.75" hidden="1" customHeight="1">
      <c r="A246" s="498"/>
      <c r="B246" s="392"/>
      <c r="C246" s="409" t="s">
        <v>139</v>
      </c>
      <c r="D246" s="1070" t="str">
        <f>IF(Q=0,"0",VLOOKUP($AK$238,Klima!$B$151:$N$166,10))</f>
        <v>0</v>
      </c>
      <c r="E246" s="411">
        <f t="shared" si="16"/>
        <v>0</v>
      </c>
      <c r="F246" s="44"/>
      <c r="G246" s="44"/>
      <c r="H246" s="580"/>
      <c r="I246" s="582"/>
      <c r="J246" s="581"/>
      <c r="K246" s="584"/>
      <c r="L246" s="581"/>
      <c r="M246" s="584"/>
      <c r="N246" s="581"/>
      <c r="O246" s="584"/>
      <c r="P246" s="44"/>
      <c r="Q246" s="632"/>
      <c r="S246" s="633"/>
      <c r="T246" s="1068"/>
      <c r="U246" s="500"/>
      <c r="V246" s="498"/>
      <c r="W246" s="500"/>
      <c r="X246" s="498"/>
      <c r="Y246" s="500"/>
      <c r="Z246" s="498"/>
      <c r="AA246" s="500"/>
      <c r="AB246" s="498"/>
      <c r="AC246" s="500"/>
      <c r="AD246" s="498"/>
      <c r="AE246" s="500"/>
      <c r="AG246" s="500"/>
      <c r="AH246" s="498"/>
      <c r="AI246" s="500"/>
      <c r="AJ246" s="498"/>
      <c r="AK246" s="1066"/>
      <c r="AO246" s="498"/>
    </row>
    <row r="247" spans="1:41" s="499" customFormat="1" ht="12.75" hidden="1" customHeight="1">
      <c r="A247" s="498"/>
      <c r="B247" s="392"/>
      <c r="C247" s="409" t="s">
        <v>269</v>
      </c>
      <c r="D247" s="1070" t="str">
        <f>IF(Q=0,"0",VLOOKUP($AK$238,Klima!$B$151:$N$166,11))</f>
        <v>0</v>
      </c>
      <c r="E247" s="411">
        <f t="shared" si="16"/>
        <v>0</v>
      </c>
      <c r="F247" s="44"/>
      <c r="G247" s="44"/>
      <c r="H247" s="580"/>
      <c r="I247" s="582"/>
      <c r="J247" s="581"/>
      <c r="K247" s="584"/>
      <c r="L247" s="581"/>
      <c r="M247" s="584"/>
      <c r="N247" s="581"/>
      <c r="O247" s="584"/>
      <c r="P247" s="44"/>
      <c r="Q247" s="632"/>
      <c r="S247" s="633"/>
      <c r="T247" s="1068"/>
      <c r="U247" s="500"/>
      <c r="V247" s="498"/>
      <c r="W247" s="500"/>
      <c r="X247" s="498"/>
      <c r="Y247" s="500"/>
      <c r="Z247" s="498"/>
      <c r="AA247" s="500"/>
      <c r="AB247" s="498"/>
      <c r="AC247" s="500"/>
      <c r="AD247" s="498"/>
      <c r="AE247" s="500"/>
      <c r="AG247" s="500"/>
      <c r="AH247" s="498"/>
      <c r="AI247" s="500"/>
      <c r="AJ247" s="498"/>
      <c r="AK247" s="1066"/>
      <c r="AO247" s="498"/>
    </row>
    <row r="248" spans="1:41" s="499" customFormat="1" ht="12.75" hidden="1" customHeight="1">
      <c r="A248" s="498"/>
      <c r="B248" s="392"/>
      <c r="C248" s="409" t="s">
        <v>366</v>
      </c>
      <c r="D248" s="1070" t="str">
        <f>IF(Q=0,"0",VLOOKUP($AK$238,Klima!$B$151:$N$166,12))</f>
        <v>0</v>
      </c>
      <c r="E248" s="411">
        <f t="shared" si="16"/>
        <v>0</v>
      </c>
      <c r="F248" s="44"/>
      <c r="G248" s="44"/>
      <c r="H248" s="580"/>
      <c r="I248" s="582"/>
      <c r="J248" s="581"/>
      <c r="K248" s="584"/>
      <c r="L248" s="581"/>
      <c r="M248" s="584"/>
      <c r="N248" s="581"/>
      <c r="O248" s="584"/>
      <c r="P248" s="44"/>
      <c r="Q248" s="632"/>
      <c r="S248" s="633"/>
      <c r="T248" s="1068"/>
      <c r="U248" s="500"/>
      <c r="V248" s="498"/>
      <c r="W248" s="500"/>
      <c r="X248" s="498"/>
      <c r="Y248" s="500"/>
      <c r="Z248" s="498"/>
      <c r="AA248" s="500"/>
      <c r="AB248" s="498"/>
      <c r="AC248" s="500"/>
      <c r="AD248" s="498"/>
      <c r="AE248" s="500"/>
      <c r="AG248" s="500"/>
      <c r="AH248" s="498"/>
      <c r="AI248" s="500"/>
      <c r="AJ248" s="498"/>
      <c r="AK248" s="1066"/>
      <c r="AO248" s="498"/>
    </row>
    <row r="249" spans="1:41" s="499" customFormat="1" ht="12.75" hidden="1" customHeight="1">
      <c r="A249" s="498"/>
      <c r="B249" s="392"/>
      <c r="C249" s="409" t="s">
        <v>465</v>
      </c>
      <c r="D249" s="1070" t="str">
        <f>IF(Q=0,"0",VLOOKUP($AK$238,Klima!$B$151:$N$166,13))</f>
        <v>0</v>
      </c>
      <c r="E249" s="411">
        <f t="shared" si="16"/>
        <v>0</v>
      </c>
      <c r="F249" s="44"/>
      <c r="G249" s="44"/>
      <c r="H249" s="580"/>
      <c r="I249" s="582"/>
      <c r="J249" s="581"/>
      <c r="K249" s="584"/>
      <c r="L249" s="581"/>
      <c r="M249" s="584"/>
      <c r="N249" s="581"/>
      <c r="O249" s="584"/>
      <c r="P249" s="44"/>
      <c r="Q249" s="632"/>
      <c r="S249" s="633"/>
      <c r="T249" s="1068"/>
      <c r="U249" s="500"/>
      <c r="V249" s="498"/>
      <c r="W249" s="500"/>
      <c r="X249" s="498"/>
      <c r="Y249" s="500"/>
      <c r="Z249" s="498"/>
      <c r="AA249" s="500"/>
      <c r="AB249" s="498"/>
      <c r="AC249" s="500"/>
      <c r="AD249" s="498"/>
      <c r="AE249" s="500"/>
      <c r="AG249" s="500"/>
      <c r="AH249" s="498"/>
      <c r="AI249" s="500"/>
      <c r="AJ249" s="498"/>
      <c r="AK249" s="1065"/>
      <c r="AO249" s="498"/>
    </row>
    <row r="250" spans="1:41" s="499" customFormat="1" ht="12.75" customHeight="1">
      <c r="A250" s="498"/>
      <c r="B250" s="392"/>
      <c r="C250" s="409">
        <f>Bauteile!B516</f>
        <v>0</v>
      </c>
      <c r="D250" s="1070"/>
      <c r="E250" s="394">
        <f>Bauteile!D516</f>
        <v>0</v>
      </c>
      <c r="F250" s="394">
        <f>Bauteile!F516</f>
        <v>0</v>
      </c>
      <c r="G250" s="394" t="str">
        <f>IF(Bauteile!G516="","0",Bauteile!G516)</f>
        <v>0</v>
      </c>
      <c r="H250" s="1013">
        <f>Bauteile!H516</f>
        <v>0</v>
      </c>
      <c r="I250" s="410">
        <f>IF(H_18=0,1,IF(R_1=0,"0",IF(H_18&lt;=1,H_18,VLOOKUP(H_18,Daten!$A$101:$N$171,AK250))))</f>
        <v>1</v>
      </c>
      <c r="J250" s="581">
        <f>Bauteile!I516</f>
        <v>0</v>
      </c>
      <c r="K250" s="410" t="str">
        <f>IF(R_1=0,"0",VLOOKUP(Ü_18,Daten!$A$177:$N$252,AK250))</f>
        <v>0</v>
      </c>
      <c r="L250" s="581">
        <f>Bauteile!J516</f>
        <v>0</v>
      </c>
      <c r="M250" s="410" t="str">
        <f>IF(R_1=0,"0",VLOOKUP(S_18,Daten!$A$258:$N$333,AK250))</f>
        <v>0</v>
      </c>
      <c r="N250" s="581">
        <f>Bauteile!K516</f>
        <v>0</v>
      </c>
      <c r="O250" s="410">
        <f>IF(AK250&gt;5,"1.00",VLOOKUP(S_118,Daten!$A$258:$N$333,AK250))</f>
        <v>0</v>
      </c>
      <c r="P250" s="394">
        <f>Bauteile!C516</f>
        <v>0</v>
      </c>
      <c r="Q250" s="631" t="str">
        <f>IF(R_1=0,"0",SUM(E251:E262))</f>
        <v>0</v>
      </c>
      <c r="S250" s="634"/>
      <c r="T250" s="772"/>
      <c r="U250" s="40">
        <f>IF(R_1="SO",1,0)</f>
        <v>0</v>
      </c>
      <c r="V250" s="40">
        <f>IF(R_1="SSO",2,0)</f>
        <v>0</v>
      </c>
      <c r="W250" s="40">
        <f>IF(R_1="S",3,0)</f>
        <v>0</v>
      </c>
      <c r="X250" s="40">
        <f>IF(R_1="SSW",4,0)</f>
        <v>0</v>
      </c>
      <c r="Y250" s="40">
        <f>IF(R_1="SW",1,0)</f>
        <v>0</v>
      </c>
      <c r="Z250" s="40">
        <f>IF(R_1="WSW",5,0)</f>
        <v>0</v>
      </c>
      <c r="AA250" s="40">
        <f>IF(R_1="W",6,0)</f>
        <v>0</v>
      </c>
      <c r="AB250" s="40">
        <f>IF(R_1="WNW",7,0)</f>
        <v>0</v>
      </c>
      <c r="AC250" s="40">
        <f>IF(R_1="NW",8,0)</f>
        <v>0</v>
      </c>
      <c r="AD250" s="40">
        <f>IF(R_1="NNW",9,0)</f>
        <v>0</v>
      </c>
      <c r="AE250" s="40">
        <f>IF(R_1="N",10,0)</f>
        <v>0</v>
      </c>
      <c r="AF250" s="40">
        <f>IF(R_1="NNO",11,0)</f>
        <v>0</v>
      </c>
      <c r="AG250" s="40">
        <f>IF(R_1="NO",8,0)</f>
        <v>0</v>
      </c>
      <c r="AH250" s="40">
        <f>IF(R_1="ONO",12,0)</f>
        <v>0</v>
      </c>
      <c r="AI250" s="40">
        <f>IF(R_1="O",6,0)</f>
        <v>0</v>
      </c>
      <c r="AJ250" s="40">
        <f>IF(R_1="OSO",13,0)</f>
        <v>0</v>
      </c>
      <c r="AK250" s="1065">
        <f>MAX(U250:AJ250)+1</f>
        <v>1</v>
      </c>
      <c r="AO250" s="498"/>
    </row>
    <row r="251" spans="1:41" s="499" customFormat="1" ht="12.75" hidden="1" customHeight="1">
      <c r="A251" s="498"/>
      <c r="B251" s="392"/>
      <c r="C251" s="642" t="s">
        <v>49</v>
      </c>
      <c r="D251" s="1070" t="str">
        <f>IF(R_1=0,"0",VLOOKUP($AK$251,Klima!$B$151:$N$166,2))</f>
        <v>0</v>
      </c>
      <c r="E251" s="411">
        <f t="shared" ref="E251:E262" si="17">D251*$E$250*$F$250*0.9*$G$250*$I$250*$K$250*$M$250*$O$250/$F$22</f>
        <v>0</v>
      </c>
      <c r="F251" s="44"/>
      <c r="G251" s="44"/>
      <c r="H251" s="580"/>
      <c r="I251" s="582"/>
      <c r="J251" s="581"/>
      <c r="K251" s="584"/>
      <c r="L251" s="581"/>
      <c r="M251" s="584"/>
      <c r="N251" s="581"/>
      <c r="O251" s="584"/>
      <c r="P251" s="44"/>
      <c r="Q251" s="632"/>
      <c r="S251" s="633"/>
      <c r="T251" s="1068"/>
      <c r="U251" s="40">
        <f>IF(R_1="SO",1,0)</f>
        <v>0</v>
      </c>
      <c r="V251" s="40">
        <f>IF(R_1="SSO",2,0)</f>
        <v>0</v>
      </c>
      <c r="W251" s="40">
        <f>IF(R_1="S",3,0)</f>
        <v>0</v>
      </c>
      <c r="X251" s="40">
        <f>IF(R_1="SSW",4,0)</f>
        <v>0</v>
      </c>
      <c r="Y251" s="40">
        <f>IF(R_1="SW",5,0)</f>
        <v>0</v>
      </c>
      <c r="Z251" s="40">
        <f>IF(R_1="WSW",6,0)</f>
        <v>0</v>
      </c>
      <c r="AA251" s="40">
        <f>IF(R_1="W",7,0)</f>
        <v>0</v>
      </c>
      <c r="AB251" s="40">
        <f>IF(R_1="WNW",8,0)</f>
        <v>0</v>
      </c>
      <c r="AC251" s="40">
        <f>IF(R_1="NW",9,0)</f>
        <v>0</v>
      </c>
      <c r="AD251" s="40">
        <f>IF(R_1="NNW",10,0)</f>
        <v>0</v>
      </c>
      <c r="AE251" s="40">
        <f>IF(R_1="N",11,0)</f>
        <v>0</v>
      </c>
      <c r="AF251" s="40">
        <f>IF(R_1="NNO",12,0)</f>
        <v>0</v>
      </c>
      <c r="AG251" s="40">
        <f>IF(R_1="NO",13,0)</f>
        <v>0</v>
      </c>
      <c r="AH251" s="40">
        <f>IF(R_1="ONO",14,0)</f>
        <v>0</v>
      </c>
      <c r="AI251" s="40">
        <f>IF(R_1="O",15,0)</f>
        <v>0</v>
      </c>
      <c r="AJ251" s="40">
        <f>IF(R_1="OSO",16,0)</f>
        <v>0</v>
      </c>
      <c r="AK251" s="1065">
        <f>MAX(U251:AJ251)</f>
        <v>0</v>
      </c>
      <c r="AO251" s="498"/>
    </row>
    <row r="252" spans="1:41" s="499" customFormat="1" ht="12.75" hidden="1" customHeight="1">
      <c r="A252" s="498"/>
      <c r="B252" s="392"/>
      <c r="C252" s="642" t="s">
        <v>554</v>
      </c>
      <c r="D252" s="1070" t="str">
        <f>IF(R_1=0,"0",VLOOKUP($AK$251,Klima!$B$151:$N$166,3))</f>
        <v>0</v>
      </c>
      <c r="E252" s="411">
        <f t="shared" si="17"/>
        <v>0</v>
      </c>
      <c r="F252" s="44"/>
      <c r="G252" s="44"/>
      <c r="H252" s="580"/>
      <c r="I252" s="582"/>
      <c r="J252" s="581"/>
      <c r="K252" s="584"/>
      <c r="L252" s="581"/>
      <c r="M252" s="584"/>
      <c r="N252" s="581"/>
      <c r="O252" s="584"/>
      <c r="P252" s="44"/>
      <c r="Q252" s="632"/>
      <c r="S252" s="633"/>
      <c r="T252" s="1068"/>
      <c r="U252" s="500"/>
      <c r="V252" s="498"/>
      <c r="W252" s="500"/>
      <c r="X252" s="498"/>
      <c r="Y252" s="500"/>
      <c r="Z252" s="498"/>
      <c r="AA252" s="500"/>
      <c r="AB252" s="498"/>
      <c r="AC252" s="500"/>
      <c r="AD252" s="498"/>
      <c r="AE252" s="500"/>
      <c r="AG252" s="500"/>
      <c r="AH252" s="498"/>
      <c r="AI252" s="500"/>
      <c r="AJ252" s="498"/>
      <c r="AK252" s="1066"/>
      <c r="AO252" s="498"/>
    </row>
    <row r="253" spans="1:41" s="499" customFormat="1" ht="12.75" hidden="1" customHeight="1">
      <c r="A253" s="498"/>
      <c r="B253" s="392"/>
      <c r="C253" s="642" t="s">
        <v>306</v>
      </c>
      <c r="D253" s="1070" t="str">
        <f>IF(R_1=0,"0",VLOOKUP($AK$251,Klima!$B$151:$N$166,4))</f>
        <v>0</v>
      </c>
      <c r="E253" s="411">
        <f t="shared" si="17"/>
        <v>0</v>
      </c>
      <c r="F253" s="44"/>
      <c r="G253" s="44"/>
      <c r="H253" s="580"/>
      <c r="I253" s="582"/>
      <c r="J253" s="581"/>
      <c r="K253" s="584"/>
      <c r="L253" s="581"/>
      <c r="M253" s="584"/>
      <c r="N253" s="581"/>
      <c r="O253" s="584"/>
      <c r="P253" s="44"/>
      <c r="Q253" s="632"/>
      <c r="S253" s="633"/>
      <c r="T253" s="1068"/>
      <c r="U253" s="500"/>
      <c r="V253" s="498"/>
      <c r="W253" s="500"/>
      <c r="X253" s="498"/>
      <c r="Y253" s="500"/>
      <c r="Z253" s="498"/>
      <c r="AA253" s="500"/>
      <c r="AB253" s="498"/>
      <c r="AC253" s="500"/>
      <c r="AD253" s="498"/>
      <c r="AE253" s="500"/>
      <c r="AG253" s="500"/>
      <c r="AH253" s="498"/>
      <c r="AI253" s="500"/>
      <c r="AJ253" s="498"/>
      <c r="AK253" s="1066"/>
      <c r="AO253" s="498"/>
    </row>
    <row r="254" spans="1:41" s="499" customFormat="1" ht="12.75" hidden="1" customHeight="1">
      <c r="A254" s="498"/>
      <c r="B254" s="392"/>
      <c r="C254" s="642" t="s">
        <v>409</v>
      </c>
      <c r="D254" s="1070" t="str">
        <f>IF(R_1=0,"0",VLOOKUP($AK$251,Klima!$B$151:$N$166,5))</f>
        <v>0</v>
      </c>
      <c r="E254" s="411">
        <f t="shared" si="17"/>
        <v>0</v>
      </c>
      <c r="F254" s="44"/>
      <c r="G254" s="44"/>
      <c r="H254" s="580"/>
      <c r="I254" s="582"/>
      <c r="J254" s="581"/>
      <c r="K254" s="584"/>
      <c r="L254" s="581"/>
      <c r="M254" s="584"/>
      <c r="N254" s="581"/>
      <c r="O254" s="584"/>
      <c r="P254" s="44"/>
      <c r="Q254" s="632"/>
      <c r="S254" s="633"/>
      <c r="T254" s="1068"/>
      <c r="U254" s="500"/>
      <c r="V254" s="498"/>
      <c r="W254" s="500"/>
      <c r="X254" s="498"/>
      <c r="Y254" s="500"/>
      <c r="Z254" s="498"/>
      <c r="AA254" s="500"/>
      <c r="AB254" s="498"/>
      <c r="AC254" s="500"/>
      <c r="AD254" s="498"/>
      <c r="AE254" s="500"/>
      <c r="AG254" s="500"/>
      <c r="AH254" s="498"/>
      <c r="AI254" s="500"/>
      <c r="AJ254" s="498"/>
      <c r="AK254" s="1066"/>
      <c r="AO254" s="498"/>
    </row>
    <row r="255" spans="1:41" s="499" customFormat="1" ht="12.75" hidden="1" customHeight="1">
      <c r="A255" s="498"/>
      <c r="B255" s="392"/>
      <c r="C255" s="642" t="s">
        <v>410</v>
      </c>
      <c r="D255" s="1070" t="str">
        <f>IF(R_1=0,"0",VLOOKUP($AK$251,Klima!$B$151:$N$166,6))</f>
        <v>0</v>
      </c>
      <c r="E255" s="411">
        <f t="shared" si="17"/>
        <v>0</v>
      </c>
      <c r="F255" s="44"/>
      <c r="G255" s="44"/>
      <c r="H255" s="580"/>
      <c r="I255" s="582"/>
      <c r="J255" s="581"/>
      <c r="K255" s="584"/>
      <c r="L255" s="581"/>
      <c r="M255" s="584"/>
      <c r="N255" s="581"/>
      <c r="O255" s="584"/>
      <c r="P255" s="44"/>
      <c r="Q255" s="632"/>
      <c r="S255" s="633"/>
      <c r="T255" s="1068"/>
      <c r="U255" s="500"/>
      <c r="V255" s="498"/>
      <c r="W255" s="500"/>
      <c r="X255" s="498"/>
      <c r="Y255" s="500"/>
      <c r="Z255" s="498"/>
      <c r="AA255" s="500"/>
      <c r="AB255" s="498"/>
      <c r="AC255" s="500"/>
      <c r="AD255" s="498"/>
      <c r="AE255" s="500"/>
      <c r="AG255" s="500"/>
      <c r="AH255" s="498"/>
      <c r="AI255" s="500"/>
      <c r="AJ255" s="498"/>
      <c r="AK255" s="1066"/>
      <c r="AO255" s="498"/>
    </row>
    <row r="256" spans="1:41" s="499" customFormat="1" ht="12.75" hidden="1" customHeight="1">
      <c r="A256" s="498"/>
      <c r="B256" s="392"/>
      <c r="C256" s="642" t="s">
        <v>411</v>
      </c>
      <c r="D256" s="1070" t="str">
        <f>IF(R_1=0,"0",VLOOKUP($AK$251,Klima!$B$151:$N$166,7))</f>
        <v>0</v>
      </c>
      <c r="E256" s="411">
        <f t="shared" si="17"/>
        <v>0</v>
      </c>
      <c r="F256" s="44"/>
      <c r="G256" s="44"/>
      <c r="H256" s="580"/>
      <c r="I256" s="582"/>
      <c r="J256" s="581"/>
      <c r="K256" s="584"/>
      <c r="L256" s="581"/>
      <c r="M256" s="584"/>
      <c r="N256" s="581"/>
      <c r="O256" s="584"/>
      <c r="P256" s="44"/>
      <c r="Q256" s="632"/>
      <c r="S256" s="633"/>
      <c r="T256" s="1068"/>
      <c r="U256" s="500"/>
      <c r="V256" s="498"/>
      <c r="W256" s="500"/>
      <c r="X256" s="498"/>
      <c r="Y256" s="500"/>
      <c r="Z256" s="498"/>
      <c r="AA256" s="500"/>
      <c r="AB256" s="498"/>
      <c r="AC256" s="500"/>
      <c r="AD256" s="498"/>
      <c r="AE256" s="500"/>
      <c r="AG256" s="500"/>
      <c r="AH256" s="498"/>
      <c r="AI256" s="500"/>
      <c r="AJ256" s="498"/>
      <c r="AK256" s="1066"/>
      <c r="AO256" s="498"/>
    </row>
    <row r="257" spans="1:41" s="499" customFormat="1" ht="12.75" hidden="1" customHeight="1">
      <c r="A257" s="498"/>
      <c r="B257" s="392"/>
      <c r="C257" s="642" t="s">
        <v>221</v>
      </c>
      <c r="D257" s="1070" t="str">
        <f>IF(R_1=0,"0",VLOOKUP($AK$251,Klima!$B$151:$N$166,8))</f>
        <v>0</v>
      </c>
      <c r="E257" s="411">
        <f t="shared" si="17"/>
        <v>0</v>
      </c>
      <c r="F257" s="44"/>
      <c r="G257" s="44"/>
      <c r="H257" s="580"/>
      <c r="I257" s="582"/>
      <c r="J257" s="581"/>
      <c r="K257" s="584"/>
      <c r="L257" s="581"/>
      <c r="M257" s="584"/>
      <c r="N257" s="581"/>
      <c r="O257" s="584"/>
      <c r="P257" s="44"/>
      <c r="Q257" s="632"/>
      <c r="S257" s="633"/>
      <c r="T257" s="1068"/>
      <c r="U257" s="500"/>
      <c r="V257" s="498"/>
      <c r="W257" s="500"/>
      <c r="X257" s="498"/>
      <c r="Y257" s="500"/>
      <c r="Z257" s="498"/>
      <c r="AA257" s="500"/>
      <c r="AB257" s="498"/>
      <c r="AC257" s="500"/>
      <c r="AD257" s="498"/>
      <c r="AE257" s="500"/>
      <c r="AG257" s="500"/>
      <c r="AH257" s="498"/>
      <c r="AI257" s="500"/>
      <c r="AJ257" s="498"/>
      <c r="AK257" s="1066"/>
      <c r="AO257" s="498"/>
    </row>
    <row r="258" spans="1:41" s="499" customFormat="1" ht="12.75" hidden="1" customHeight="1">
      <c r="A258" s="498"/>
      <c r="B258" s="392"/>
      <c r="C258" s="642" t="s">
        <v>138</v>
      </c>
      <c r="D258" s="1070" t="str">
        <f>IF(R_1=0,"0",VLOOKUP($AK$251,Klima!$B$151:$N$166,9))</f>
        <v>0</v>
      </c>
      <c r="E258" s="411">
        <f t="shared" si="17"/>
        <v>0</v>
      </c>
      <c r="F258" s="44"/>
      <c r="G258" s="44"/>
      <c r="H258" s="580"/>
      <c r="I258" s="582"/>
      <c r="J258" s="581"/>
      <c r="K258" s="584"/>
      <c r="L258" s="581"/>
      <c r="M258" s="584"/>
      <c r="N258" s="581"/>
      <c r="O258" s="584"/>
      <c r="P258" s="44"/>
      <c r="Q258" s="632"/>
      <c r="S258" s="633"/>
      <c r="T258" s="1068"/>
      <c r="U258" s="500"/>
      <c r="V258" s="498"/>
      <c r="W258" s="500"/>
      <c r="X258" s="498"/>
      <c r="Y258" s="500"/>
      <c r="Z258" s="498"/>
      <c r="AA258" s="500"/>
      <c r="AB258" s="498"/>
      <c r="AC258" s="500"/>
      <c r="AD258" s="498"/>
      <c r="AE258" s="500"/>
      <c r="AG258" s="500"/>
      <c r="AH258" s="498"/>
      <c r="AI258" s="500"/>
      <c r="AJ258" s="498"/>
      <c r="AK258" s="1066"/>
      <c r="AO258" s="498"/>
    </row>
    <row r="259" spans="1:41" s="499" customFormat="1" ht="12.75" hidden="1" customHeight="1">
      <c r="A259" s="498"/>
      <c r="B259" s="392"/>
      <c r="C259" s="642" t="s">
        <v>139</v>
      </c>
      <c r="D259" s="1070" t="str">
        <f>IF(R_1=0,"0",VLOOKUP($AK$251,Klima!$B$151:$N$166,10))</f>
        <v>0</v>
      </c>
      <c r="E259" s="411">
        <f t="shared" si="17"/>
        <v>0</v>
      </c>
      <c r="F259" s="44"/>
      <c r="G259" s="44"/>
      <c r="H259" s="580"/>
      <c r="I259" s="582"/>
      <c r="J259" s="581"/>
      <c r="K259" s="584"/>
      <c r="L259" s="581"/>
      <c r="M259" s="584"/>
      <c r="N259" s="581"/>
      <c r="O259" s="584"/>
      <c r="P259" s="44"/>
      <c r="Q259" s="632"/>
      <c r="S259" s="633"/>
      <c r="T259" s="1068"/>
      <c r="U259" s="500"/>
      <c r="V259" s="498"/>
      <c r="W259" s="500"/>
      <c r="X259" s="498"/>
      <c r="Y259" s="500"/>
      <c r="Z259" s="498"/>
      <c r="AA259" s="500"/>
      <c r="AB259" s="498"/>
      <c r="AC259" s="500"/>
      <c r="AD259" s="498"/>
      <c r="AE259" s="500"/>
      <c r="AG259" s="500"/>
      <c r="AH259" s="498"/>
      <c r="AI259" s="500"/>
      <c r="AJ259" s="498"/>
      <c r="AK259" s="1066"/>
      <c r="AO259" s="498"/>
    </row>
    <row r="260" spans="1:41" s="499" customFormat="1" ht="12.75" hidden="1" customHeight="1">
      <c r="A260" s="498"/>
      <c r="B260" s="392"/>
      <c r="C260" s="642" t="s">
        <v>269</v>
      </c>
      <c r="D260" s="1070" t="str">
        <f>IF(R_1=0,"0",VLOOKUP($AK$251,Klima!$B$151:$N$166,11))</f>
        <v>0</v>
      </c>
      <c r="E260" s="411">
        <f t="shared" si="17"/>
        <v>0</v>
      </c>
      <c r="F260" s="44"/>
      <c r="G260" s="44"/>
      <c r="H260" s="580"/>
      <c r="I260" s="582"/>
      <c r="J260" s="581"/>
      <c r="K260" s="584"/>
      <c r="L260" s="581"/>
      <c r="M260" s="584"/>
      <c r="N260" s="581"/>
      <c r="O260" s="584"/>
      <c r="P260" s="44"/>
      <c r="Q260" s="632"/>
      <c r="S260" s="633"/>
      <c r="T260" s="1068"/>
      <c r="U260" s="500"/>
      <c r="V260" s="498"/>
      <c r="W260" s="500"/>
      <c r="X260" s="498"/>
      <c r="Y260" s="500"/>
      <c r="Z260" s="498"/>
      <c r="AA260" s="500"/>
      <c r="AB260" s="498"/>
      <c r="AC260" s="500"/>
      <c r="AD260" s="498"/>
      <c r="AE260" s="500"/>
      <c r="AG260" s="500"/>
      <c r="AH260" s="498"/>
      <c r="AI260" s="500"/>
      <c r="AJ260" s="498"/>
      <c r="AK260" s="1066"/>
      <c r="AO260" s="498"/>
    </row>
    <row r="261" spans="1:41" s="499" customFormat="1" ht="12.75" hidden="1" customHeight="1">
      <c r="A261" s="498"/>
      <c r="B261" s="392"/>
      <c r="C261" s="642" t="s">
        <v>366</v>
      </c>
      <c r="D261" s="1070" t="str">
        <f>IF(R_1=0,"0",VLOOKUP($AK$251,Klima!$B$151:$N$166,12))</f>
        <v>0</v>
      </c>
      <c r="E261" s="411">
        <f t="shared" si="17"/>
        <v>0</v>
      </c>
      <c r="F261" s="44"/>
      <c r="G261" s="44"/>
      <c r="H261" s="580"/>
      <c r="I261" s="582"/>
      <c r="J261" s="581"/>
      <c r="K261" s="584"/>
      <c r="L261" s="581"/>
      <c r="M261" s="584"/>
      <c r="N261" s="581"/>
      <c r="O261" s="584"/>
      <c r="P261" s="44"/>
      <c r="Q261" s="632"/>
      <c r="S261" s="633"/>
      <c r="T261" s="1068"/>
      <c r="U261" s="500"/>
      <c r="V261" s="498"/>
      <c r="W261" s="500"/>
      <c r="X261" s="498"/>
      <c r="Y261" s="500"/>
      <c r="Z261" s="498"/>
      <c r="AA261" s="500"/>
      <c r="AB261" s="498"/>
      <c r="AC261" s="500"/>
      <c r="AD261" s="498"/>
      <c r="AE261" s="500"/>
      <c r="AG261" s="500"/>
      <c r="AH261" s="498"/>
      <c r="AI261" s="500"/>
      <c r="AJ261" s="498"/>
      <c r="AK261" s="1066"/>
      <c r="AO261" s="498"/>
    </row>
    <row r="262" spans="1:41" s="499" customFormat="1" ht="12.75" hidden="1" customHeight="1">
      <c r="A262" s="498"/>
      <c r="B262" s="392"/>
      <c r="C262" s="642" t="s">
        <v>465</v>
      </c>
      <c r="D262" s="1070" t="str">
        <f>IF(R_1=0,"0",VLOOKUP($AK$251,Klima!$B$151:$N$166,13))</f>
        <v>0</v>
      </c>
      <c r="E262" s="411">
        <f t="shared" si="17"/>
        <v>0</v>
      </c>
      <c r="F262" s="44"/>
      <c r="G262" s="44"/>
      <c r="H262" s="580"/>
      <c r="I262" s="582"/>
      <c r="J262" s="581"/>
      <c r="K262" s="584"/>
      <c r="L262" s="581"/>
      <c r="M262" s="584"/>
      <c r="N262" s="581"/>
      <c r="O262" s="584"/>
      <c r="P262" s="44"/>
      <c r="Q262" s="632"/>
      <c r="S262" s="633"/>
      <c r="T262" s="1068"/>
      <c r="U262" s="500"/>
      <c r="V262" s="498"/>
      <c r="W262" s="500"/>
      <c r="X262" s="498"/>
      <c r="Y262" s="500"/>
      <c r="Z262" s="498"/>
      <c r="AA262" s="500"/>
      <c r="AB262" s="498"/>
      <c r="AC262" s="500"/>
      <c r="AD262" s="498"/>
      <c r="AE262" s="500"/>
      <c r="AG262" s="500"/>
      <c r="AH262" s="498"/>
      <c r="AI262" s="500"/>
      <c r="AJ262" s="498"/>
      <c r="AK262" s="1066"/>
      <c r="AO262" s="498"/>
    </row>
    <row r="263" spans="1:41" s="499" customFormat="1" ht="12.75" customHeight="1">
      <c r="A263" s="498"/>
      <c r="B263" s="392"/>
      <c r="C263" s="409">
        <f>Bauteile!B530</f>
        <v>0</v>
      </c>
      <c r="D263" s="1070"/>
      <c r="E263" s="394">
        <f>Bauteile!D530</f>
        <v>0</v>
      </c>
      <c r="F263" s="394">
        <f>Bauteile!F530</f>
        <v>0</v>
      </c>
      <c r="G263" s="394" t="str">
        <f>IF(Bauteile!G530="","0",Bauteile!G530)</f>
        <v>0</v>
      </c>
      <c r="H263" s="1013">
        <f>Bauteile!H530</f>
        <v>0</v>
      </c>
      <c r="I263" s="410">
        <f>IF(H_19=0,1,IF(T=0,"0",IF(H_19&lt;=1,H_19,VLOOKUP(H_19,Daten!$A$101:$N$171,AK263))))</f>
        <v>1</v>
      </c>
      <c r="J263" s="581">
        <f>Bauteile!I530</f>
        <v>0</v>
      </c>
      <c r="K263" s="410" t="str">
        <f>IF(T=0,"0",VLOOKUP(Ü_19,Daten!$A$177:$N$252,AK263))</f>
        <v>0</v>
      </c>
      <c r="L263" s="581">
        <f>Bauteile!J530</f>
        <v>0</v>
      </c>
      <c r="M263" s="410" t="str">
        <f>IF(T=0,"0",VLOOKUP(S_19,Daten!$A$258:$N$333,AK263))</f>
        <v>0</v>
      </c>
      <c r="N263" s="581">
        <f>Bauteile!K530</f>
        <v>0</v>
      </c>
      <c r="O263" s="410">
        <f>IF(AK263&gt;5,"1.00",VLOOKUP(S_119,Daten!$A$258:$N$333,AK263))</f>
        <v>0</v>
      </c>
      <c r="P263" s="394">
        <f>Bauteile!C530</f>
        <v>0</v>
      </c>
      <c r="Q263" s="631" t="str">
        <f>IF(T=0,"0",SUM(E264:E275))</f>
        <v>0</v>
      </c>
      <c r="S263" s="634"/>
      <c r="T263" s="772"/>
      <c r="U263" s="40">
        <f>IF(T="SO",1,0)</f>
        <v>0</v>
      </c>
      <c r="V263" s="40">
        <f>IF(T="SSO",2,0)</f>
        <v>0</v>
      </c>
      <c r="W263" s="40">
        <f>IF(T="S",3,0)</f>
        <v>0</v>
      </c>
      <c r="X263" s="40">
        <f>IF(T="SSW",4,0)</f>
        <v>0</v>
      </c>
      <c r="Y263" s="40">
        <f>IF(T="SW",1,0)</f>
        <v>0</v>
      </c>
      <c r="Z263" s="40">
        <f>IF(T="WSW",5,0)</f>
        <v>0</v>
      </c>
      <c r="AA263" s="40">
        <f>IF(T="W",6,0)</f>
        <v>0</v>
      </c>
      <c r="AB263" s="40">
        <f>IF(T="WNW",7,0)</f>
        <v>0</v>
      </c>
      <c r="AC263" s="40">
        <f>IF(T="NW",8,0)</f>
        <v>0</v>
      </c>
      <c r="AD263" s="40">
        <f>IF(T="NNW",9,0)</f>
        <v>0</v>
      </c>
      <c r="AE263" s="40">
        <f>IF(T="N",10,0)</f>
        <v>0</v>
      </c>
      <c r="AF263" s="40">
        <f>IF(T="NNO",11,0)</f>
        <v>0</v>
      </c>
      <c r="AG263" s="40">
        <f>IF(T="NO",8,0)</f>
        <v>0</v>
      </c>
      <c r="AH263" s="40">
        <f>IF(T="ONO",12,0)</f>
        <v>0</v>
      </c>
      <c r="AI263" s="40">
        <f>IF(T="O",6,0)</f>
        <v>0</v>
      </c>
      <c r="AJ263" s="40">
        <f>IF(T="OSO",13,0)</f>
        <v>0</v>
      </c>
      <c r="AK263" s="1065">
        <f>MAX(U263:AJ263)+1</f>
        <v>1</v>
      </c>
      <c r="AO263" s="498"/>
    </row>
    <row r="264" spans="1:41" s="499" customFormat="1" ht="12.75" hidden="1" customHeight="1">
      <c r="A264" s="498"/>
      <c r="B264" s="392"/>
      <c r="C264" s="642" t="s">
        <v>49</v>
      </c>
      <c r="D264" s="1070" t="str">
        <f>IF(T=0,"0",VLOOKUP($AK$264,Klima!$B$151:$N$166,2))</f>
        <v>0</v>
      </c>
      <c r="E264" s="411">
        <f t="shared" ref="E264:E275" si="18">D264*$E$263*$F$263*0.9*$G$263*$I$263*$K$263*$M$263*$O$263/$F$22</f>
        <v>0</v>
      </c>
      <c r="F264" s="44"/>
      <c r="G264" s="44"/>
      <c r="H264" s="580"/>
      <c r="I264" s="582"/>
      <c r="J264" s="581"/>
      <c r="K264" s="584"/>
      <c r="L264" s="581"/>
      <c r="M264" s="584"/>
      <c r="N264" s="581"/>
      <c r="O264" s="584"/>
      <c r="P264" s="44"/>
      <c r="Q264" s="632"/>
      <c r="S264" s="633"/>
      <c r="T264" s="1068"/>
      <c r="U264" s="40">
        <f>IF(T="SO",1,0)</f>
        <v>0</v>
      </c>
      <c r="V264" s="40">
        <f>IF(T="SSO",2,0)</f>
        <v>0</v>
      </c>
      <c r="W264" s="40">
        <f>IF(T="S",3,0)</f>
        <v>0</v>
      </c>
      <c r="X264" s="40">
        <f>IF(T="SSW",4,0)</f>
        <v>0</v>
      </c>
      <c r="Y264" s="40">
        <f>IF(T="SW",5,0)</f>
        <v>0</v>
      </c>
      <c r="Z264" s="40">
        <f>IF(T="WSW",6,0)</f>
        <v>0</v>
      </c>
      <c r="AA264" s="40">
        <f>IF(T="W",7,0)</f>
        <v>0</v>
      </c>
      <c r="AB264" s="40">
        <f>IF(T="WNW",8,0)</f>
        <v>0</v>
      </c>
      <c r="AC264" s="40">
        <f>IF(T="NW",9,0)</f>
        <v>0</v>
      </c>
      <c r="AD264" s="40">
        <f>IF(T="NNW",10,0)</f>
        <v>0</v>
      </c>
      <c r="AE264" s="40">
        <f>IF(T="N",11,0)</f>
        <v>0</v>
      </c>
      <c r="AF264" s="40">
        <f>IF(T="NNO",12,0)</f>
        <v>0</v>
      </c>
      <c r="AG264" s="40">
        <f>IF(T="NO",13,0)</f>
        <v>0</v>
      </c>
      <c r="AH264" s="40">
        <f>IF(T="ONO",14,0)</f>
        <v>0</v>
      </c>
      <c r="AI264" s="40">
        <f>IF(T="O",15,0)</f>
        <v>0</v>
      </c>
      <c r="AJ264" s="40">
        <f>IF(T="OSO",16,0)</f>
        <v>0</v>
      </c>
      <c r="AK264" s="1065">
        <f>MAX(U264:AJ264)</f>
        <v>0</v>
      </c>
      <c r="AO264" s="498"/>
    </row>
    <row r="265" spans="1:41" s="499" customFormat="1" ht="12.75" hidden="1" customHeight="1">
      <c r="A265" s="498"/>
      <c r="B265" s="392"/>
      <c r="C265" s="642" t="s">
        <v>554</v>
      </c>
      <c r="D265" s="1070" t="str">
        <f>IF(T=0,"0",VLOOKUP($AK$264,Klima!$B$151:$N$166,3))</f>
        <v>0</v>
      </c>
      <c r="E265" s="411">
        <f t="shared" si="18"/>
        <v>0</v>
      </c>
      <c r="F265" s="44"/>
      <c r="G265" s="44"/>
      <c r="H265" s="580"/>
      <c r="I265" s="582"/>
      <c r="J265" s="581"/>
      <c r="K265" s="584"/>
      <c r="L265" s="581"/>
      <c r="M265" s="584"/>
      <c r="N265" s="581"/>
      <c r="O265" s="584"/>
      <c r="P265" s="44"/>
      <c r="Q265" s="632"/>
      <c r="S265" s="633"/>
      <c r="T265" s="1068"/>
      <c r="U265" s="500"/>
      <c r="V265" s="498"/>
      <c r="W265" s="500"/>
      <c r="X265" s="498"/>
      <c r="Y265" s="500"/>
      <c r="Z265" s="498"/>
      <c r="AA265" s="500"/>
      <c r="AB265" s="498"/>
      <c r="AC265" s="500"/>
      <c r="AD265" s="498"/>
      <c r="AE265" s="500"/>
      <c r="AG265" s="500"/>
      <c r="AH265" s="498"/>
      <c r="AI265" s="500"/>
      <c r="AJ265" s="498"/>
      <c r="AK265" s="1066"/>
      <c r="AO265" s="498"/>
    </row>
    <row r="266" spans="1:41" s="499" customFormat="1" ht="12.75" hidden="1" customHeight="1">
      <c r="A266" s="498"/>
      <c r="B266" s="392"/>
      <c r="C266" s="642" t="s">
        <v>306</v>
      </c>
      <c r="D266" s="1070" t="str">
        <f>IF(T=0,"0",VLOOKUP($AK$264,Klima!$B$151:$N$166,4))</f>
        <v>0</v>
      </c>
      <c r="E266" s="411">
        <f t="shared" si="18"/>
        <v>0</v>
      </c>
      <c r="F266" s="44"/>
      <c r="G266" s="44"/>
      <c r="H266" s="580"/>
      <c r="I266" s="582"/>
      <c r="J266" s="581"/>
      <c r="K266" s="584"/>
      <c r="L266" s="581"/>
      <c r="M266" s="584"/>
      <c r="N266" s="581"/>
      <c r="O266" s="584"/>
      <c r="P266" s="44"/>
      <c r="Q266" s="632"/>
      <c r="S266" s="633"/>
      <c r="T266" s="1068"/>
      <c r="U266" s="500"/>
      <c r="V266" s="498"/>
      <c r="W266" s="500"/>
      <c r="X266" s="498"/>
      <c r="Y266" s="500"/>
      <c r="Z266" s="498"/>
      <c r="AA266" s="500"/>
      <c r="AB266" s="498"/>
      <c r="AC266" s="500"/>
      <c r="AD266" s="498"/>
      <c r="AE266" s="500"/>
      <c r="AG266" s="500"/>
      <c r="AH266" s="498"/>
      <c r="AI266" s="500"/>
      <c r="AJ266" s="498"/>
      <c r="AK266" s="1066"/>
      <c r="AO266" s="498"/>
    </row>
    <row r="267" spans="1:41" s="499" customFormat="1" ht="12.75" hidden="1" customHeight="1">
      <c r="A267" s="498"/>
      <c r="B267" s="392"/>
      <c r="C267" s="642" t="s">
        <v>409</v>
      </c>
      <c r="D267" s="1070" t="str">
        <f>IF(T=0,"0",VLOOKUP($AK$264,Klima!$B$151:$N$166,5))</f>
        <v>0</v>
      </c>
      <c r="E267" s="411">
        <f t="shared" si="18"/>
        <v>0</v>
      </c>
      <c r="F267" s="44"/>
      <c r="G267" s="44"/>
      <c r="H267" s="580"/>
      <c r="I267" s="582"/>
      <c r="J267" s="581"/>
      <c r="K267" s="584"/>
      <c r="L267" s="581"/>
      <c r="M267" s="584"/>
      <c r="N267" s="581"/>
      <c r="O267" s="584"/>
      <c r="P267" s="44"/>
      <c r="Q267" s="632"/>
      <c r="S267" s="633"/>
      <c r="T267" s="1068"/>
      <c r="U267" s="500"/>
      <c r="V267" s="498"/>
      <c r="W267" s="500"/>
      <c r="X267" s="498"/>
      <c r="Y267" s="500"/>
      <c r="Z267" s="498"/>
      <c r="AA267" s="500"/>
      <c r="AB267" s="498"/>
      <c r="AC267" s="500"/>
      <c r="AD267" s="498"/>
      <c r="AE267" s="500"/>
      <c r="AG267" s="500"/>
      <c r="AH267" s="498"/>
      <c r="AI267" s="500"/>
      <c r="AJ267" s="498"/>
      <c r="AK267" s="1066"/>
      <c r="AO267" s="498"/>
    </row>
    <row r="268" spans="1:41" s="499" customFormat="1" ht="12.75" hidden="1" customHeight="1">
      <c r="A268" s="498"/>
      <c r="B268" s="392"/>
      <c r="C268" s="642" t="s">
        <v>410</v>
      </c>
      <c r="D268" s="1070" t="str">
        <f>IF(T=0,"0",VLOOKUP($AK$264,Klima!$B$151:$N$166,6))</f>
        <v>0</v>
      </c>
      <c r="E268" s="411">
        <f t="shared" si="18"/>
        <v>0</v>
      </c>
      <c r="F268" s="44"/>
      <c r="G268" s="44"/>
      <c r="H268" s="580"/>
      <c r="I268" s="582"/>
      <c r="J268" s="581"/>
      <c r="K268" s="584"/>
      <c r="L268" s="581"/>
      <c r="M268" s="584"/>
      <c r="N268" s="581"/>
      <c r="O268" s="584"/>
      <c r="P268" s="44"/>
      <c r="Q268" s="632"/>
      <c r="S268" s="633"/>
      <c r="T268" s="1068"/>
      <c r="U268" s="500"/>
      <c r="V268" s="498"/>
      <c r="W268" s="500"/>
      <c r="X268" s="498"/>
      <c r="Y268" s="500"/>
      <c r="Z268" s="498"/>
      <c r="AA268" s="500"/>
      <c r="AB268" s="498"/>
      <c r="AC268" s="500"/>
      <c r="AD268" s="498"/>
      <c r="AE268" s="500"/>
      <c r="AG268" s="500"/>
      <c r="AH268" s="498"/>
      <c r="AI268" s="500"/>
      <c r="AJ268" s="498"/>
      <c r="AK268" s="1066"/>
      <c r="AO268" s="498"/>
    </row>
    <row r="269" spans="1:41" s="499" customFormat="1" ht="12.75" hidden="1" customHeight="1">
      <c r="A269" s="498"/>
      <c r="B269" s="392"/>
      <c r="C269" s="642" t="s">
        <v>411</v>
      </c>
      <c r="D269" s="1070" t="str">
        <f>IF(T=0,"0",VLOOKUP($AK$264,Klima!$B$151:$N$166,7))</f>
        <v>0</v>
      </c>
      <c r="E269" s="411">
        <f t="shared" si="18"/>
        <v>0</v>
      </c>
      <c r="F269" s="44"/>
      <c r="G269" s="44"/>
      <c r="H269" s="580"/>
      <c r="I269" s="582"/>
      <c r="J269" s="581"/>
      <c r="K269" s="584"/>
      <c r="L269" s="581"/>
      <c r="M269" s="584"/>
      <c r="N269" s="581"/>
      <c r="O269" s="584"/>
      <c r="P269" s="44"/>
      <c r="Q269" s="632"/>
      <c r="S269" s="633"/>
      <c r="T269" s="1068"/>
      <c r="U269" s="500"/>
      <c r="V269" s="498"/>
      <c r="W269" s="500"/>
      <c r="X269" s="498"/>
      <c r="Y269" s="500"/>
      <c r="Z269" s="498"/>
      <c r="AA269" s="500"/>
      <c r="AB269" s="498"/>
      <c r="AC269" s="500"/>
      <c r="AD269" s="498"/>
      <c r="AE269" s="500"/>
      <c r="AG269" s="500"/>
      <c r="AH269" s="498"/>
      <c r="AI269" s="500"/>
      <c r="AJ269" s="498"/>
      <c r="AK269" s="1066"/>
      <c r="AO269" s="498"/>
    </row>
    <row r="270" spans="1:41" s="499" customFormat="1" ht="12.75" hidden="1" customHeight="1">
      <c r="A270" s="498"/>
      <c r="B270" s="392"/>
      <c r="C270" s="642" t="s">
        <v>221</v>
      </c>
      <c r="D270" s="1070" t="str">
        <f>IF(T=0,"0",VLOOKUP($AK$264,Klima!$B$151:$N$166,8))</f>
        <v>0</v>
      </c>
      <c r="E270" s="411">
        <f t="shared" si="18"/>
        <v>0</v>
      </c>
      <c r="F270" s="44"/>
      <c r="G270" s="44"/>
      <c r="H270" s="580"/>
      <c r="I270" s="582"/>
      <c r="J270" s="581"/>
      <c r="K270" s="584"/>
      <c r="L270" s="581"/>
      <c r="M270" s="584"/>
      <c r="N270" s="581"/>
      <c r="O270" s="584"/>
      <c r="P270" s="44"/>
      <c r="Q270" s="632"/>
      <c r="S270" s="633"/>
      <c r="T270" s="1068"/>
      <c r="U270" s="500"/>
      <c r="V270" s="498"/>
      <c r="W270" s="500"/>
      <c r="X270" s="498"/>
      <c r="Y270" s="500"/>
      <c r="Z270" s="498"/>
      <c r="AA270" s="500"/>
      <c r="AB270" s="498"/>
      <c r="AC270" s="500"/>
      <c r="AD270" s="498"/>
      <c r="AE270" s="500"/>
      <c r="AG270" s="500"/>
      <c r="AH270" s="498"/>
      <c r="AI270" s="500"/>
      <c r="AJ270" s="498"/>
      <c r="AK270" s="1066"/>
      <c r="AO270" s="498"/>
    </row>
    <row r="271" spans="1:41" s="499" customFormat="1" ht="12.75" hidden="1" customHeight="1">
      <c r="A271" s="498"/>
      <c r="B271" s="392"/>
      <c r="C271" s="642" t="s">
        <v>138</v>
      </c>
      <c r="D271" s="1070" t="str">
        <f>IF(T=0,"0",VLOOKUP($AK$264,Klima!$B$151:$N$166,9))</f>
        <v>0</v>
      </c>
      <c r="E271" s="411">
        <f t="shared" si="18"/>
        <v>0</v>
      </c>
      <c r="F271" s="44"/>
      <c r="G271" s="44"/>
      <c r="H271" s="580"/>
      <c r="I271" s="582"/>
      <c r="J271" s="581"/>
      <c r="K271" s="584"/>
      <c r="L271" s="581"/>
      <c r="M271" s="584"/>
      <c r="N271" s="581"/>
      <c r="O271" s="584"/>
      <c r="P271" s="44"/>
      <c r="Q271" s="632"/>
      <c r="S271" s="633"/>
      <c r="T271" s="1068"/>
      <c r="U271" s="500"/>
      <c r="V271" s="498"/>
      <c r="W271" s="500"/>
      <c r="X271" s="498"/>
      <c r="Y271" s="500"/>
      <c r="Z271" s="498"/>
      <c r="AA271" s="500"/>
      <c r="AB271" s="498"/>
      <c r="AC271" s="500"/>
      <c r="AD271" s="498"/>
      <c r="AE271" s="500"/>
      <c r="AG271" s="500"/>
      <c r="AH271" s="498"/>
      <c r="AI271" s="500"/>
      <c r="AJ271" s="498"/>
      <c r="AK271" s="1066"/>
      <c r="AO271" s="498"/>
    </row>
    <row r="272" spans="1:41" s="499" customFormat="1" ht="12.75" hidden="1" customHeight="1">
      <c r="A272" s="498"/>
      <c r="B272" s="392"/>
      <c r="C272" s="642" t="s">
        <v>139</v>
      </c>
      <c r="D272" s="1070" t="str">
        <f>IF(T=0,"0",VLOOKUP($AK$264,Klima!$B$151:$N$166,10))</f>
        <v>0</v>
      </c>
      <c r="E272" s="411">
        <f t="shared" si="18"/>
        <v>0</v>
      </c>
      <c r="F272" s="44"/>
      <c r="G272" s="44"/>
      <c r="H272" s="580"/>
      <c r="I272" s="582"/>
      <c r="J272" s="581"/>
      <c r="K272" s="584"/>
      <c r="L272" s="581"/>
      <c r="M272" s="584"/>
      <c r="N272" s="581"/>
      <c r="O272" s="584"/>
      <c r="P272" s="44"/>
      <c r="Q272" s="632"/>
      <c r="S272" s="633"/>
      <c r="T272" s="1068"/>
      <c r="U272" s="500"/>
      <c r="V272" s="498"/>
      <c r="W272" s="500"/>
      <c r="X272" s="498"/>
      <c r="Y272" s="500"/>
      <c r="Z272" s="498"/>
      <c r="AA272" s="500"/>
      <c r="AB272" s="498"/>
      <c r="AC272" s="500"/>
      <c r="AD272" s="498"/>
      <c r="AE272" s="500"/>
      <c r="AG272" s="500"/>
      <c r="AH272" s="498"/>
      <c r="AI272" s="500"/>
      <c r="AJ272" s="498"/>
      <c r="AK272" s="1066"/>
      <c r="AO272" s="498"/>
    </row>
    <row r="273" spans="1:41" s="499" customFormat="1" ht="12.75" hidden="1" customHeight="1">
      <c r="A273" s="498"/>
      <c r="B273" s="392"/>
      <c r="C273" s="642" t="s">
        <v>269</v>
      </c>
      <c r="D273" s="1070" t="str">
        <f>IF(T=0,"0",VLOOKUP($AK$264,Klima!$B$151:$N$166,11))</f>
        <v>0</v>
      </c>
      <c r="E273" s="411">
        <f t="shared" si="18"/>
        <v>0</v>
      </c>
      <c r="F273" s="44"/>
      <c r="G273" s="44"/>
      <c r="H273" s="580"/>
      <c r="I273" s="582"/>
      <c r="J273" s="581"/>
      <c r="K273" s="584"/>
      <c r="L273" s="581"/>
      <c r="M273" s="584"/>
      <c r="N273" s="581"/>
      <c r="O273" s="584"/>
      <c r="P273" s="44"/>
      <c r="Q273" s="632"/>
      <c r="S273" s="633"/>
      <c r="T273" s="1068"/>
      <c r="U273" s="500"/>
      <c r="V273" s="498"/>
      <c r="W273" s="500"/>
      <c r="X273" s="498"/>
      <c r="Y273" s="500"/>
      <c r="Z273" s="498"/>
      <c r="AA273" s="500"/>
      <c r="AB273" s="498"/>
      <c r="AC273" s="500"/>
      <c r="AD273" s="498"/>
      <c r="AE273" s="500"/>
      <c r="AG273" s="500"/>
      <c r="AH273" s="498"/>
      <c r="AI273" s="500"/>
      <c r="AJ273" s="498"/>
      <c r="AK273" s="1066"/>
      <c r="AO273" s="498"/>
    </row>
    <row r="274" spans="1:41" s="499" customFormat="1" ht="12.75" hidden="1" customHeight="1">
      <c r="A274" s="498"/>
      <c r="B274" s="392"/>
      <c r="C274" s="642" t="s">
        <v>366</v>
      </c>
      <c r="D274" s="1070" t="str">
        <f>IF(T=0,"0",VLOOKUP($AK$264,Klima!$B$151:$N$166,12))</f>
        <v>0</v>
      </c>
      <c r="E274" s="411">
        <f t="shared" si="18"/>
        <v>0</v>
      </c>
      <c r="F274" s="44"/>
      <c r="G274" s="44"/>
      <c r="H274" s="580"/>
      <c r="I274" s="582"/>
      <c r="J274" s="581"/>
      <c r="K274" s="584"/>
      <c r="L274" s="581"/>
      <c r="M274" s="584"/>
      <c r="N274" s="581"/>
      <c r="O274" s="584"/>
      <c r="P274" s="44"/>
      <c r="Q274" s="632"/>
      <c r="S274" s="633"/>
      <c r="T274" s="1068"/>
      <c r="U274" s="500"/>
      <c r="V274" s="498"/>
      <c r="W274" s="500"/>
      <c r="X274" s="498"/>
      <c r="Y274" s="500"/>
      <c r="Z274" s="498"/>
      <c r="AA274" s="500"/>
      <c r="AB274" s="498"/>
      <c r="AC274" s="500"/>
      <c r="AD274" s="498"/>
      <c r="AE274" s="500"/>
      <c r="AG274" s="500"/>
      <c r="AH274" s="498"/>
      <c r="AI274" s="500"/>
      <c r="AJ274" s="498"/>
      <c r="AK274" s="1066"/>
      <c r="AO274" s="498"/>
    </row>
    <row r="275" spans="1:41" s="499" customFormat="1" ht="12.75" hidden="1" customHeight="1">
      <c r="A275" s="498"/>
      <c r="B275" s="392"/>
      <c r="C275" s="642" t="s">
        <v>465</v>
      </c>
      <c r="D275" s="1070" t="str">
        <f>IF(T=0,"0",VLOOKUP($AK$264,Klima!$B$151:$N$166,13))</f>
        <v>0</v>
      </c>
      <c r="E275" s="411">
        <f t="shared" si="18"/>
        <v>0</v>
      </c>
      <c r="F275" s="44"/>
      <c r="G275" s="44"/>
      <c r="H275" s="580"/>
      <c r="I275" s="582"/>
      <c r="J275" s="581"/>
      <c r="K275" s="584"/>
      <c r="L275" s="581"/>
      <c r="M275" s="584"/>
      <c r="N275" s="581"/>
      <c r="O275" s="584"/>
      <c r="P275" s="44"/>
      <c r="Q275" s="632"/>
      <c r="S275" s="633"/>
      <c r="T275" s="1068"/>
      <c r="U275" s="500"/>
      <c r="V275" s="498"/>
      <c r="W275" s="500"/>
      <c r="X275" s="498"/>
      <c r="Y275" s="500"/>
      <c r="Z275" s="498"/>
      <c r="AA275" s="500"/>
      <c r="AB275" s="498"/>
      <c r="AC275" s="500"/>
      <c r="AD275" s="498"/>
      <c r="AE275" s="500"/>
      <c r="AG275" s="500"/>
      <c r="AH275" s="498"/>
      <c r="AI275" s="500"/>
      <c r="AJ275" s="498"/>
      <c r="AK275" s="1066"/>
      <c r="AO275" s="498"/>
    </row>
    <row r="276" spans="1:41" s="499" customFormat="1" ht="12.75" customHeight="1">
      <c r="A276" s="498"/>
      <c r="B276" s="392"/>
      <c r="C276" s="409">
        <f>Bauteile!B544</f>
        <v>0</v>
      </c>
      <c r="D276" s="1070"/>
      <c r="E276" s="394">
        <f>Bauteile!D544</f>
        <v>0</v>
      </c>
      <c r="F276" s="394">
        <f>Bauteile!F544</f>
        <v>0</v>
      </c>
      <c r="G276" s="394" t="str">
        <f>IF(Bauteile!G544="","0",Bauteile!G544)</f>
        <v>0</v>
      </c>
      <c r="H276" s="1013">
        <f>Bauteile!H544</f>
        <v>0</v>
      </c>
      <c r="I276" s="410">
        <f>IF(H_20=0,1,IF(U=0,"0",IF(H_20&lt;=1,H_20,VLOOKUP(H_20,Daten!$A$101:$N$171,AK276))))</f>
        <v>1</v>
      </c>
      <c r="J276" s="581">
        <f>Bauteile!I544</f>
        <v>0</v>
      </c>
      <c r="K276" s="410" t="str">
        <f>IF(U=0,"0",VLOOKUP(Ü_20,Daten!$A$177:$N$252,AK276))</f>
        <v>0</v>
      </c>
      <c r="L276" s="581">
        <f>Bauteile!J544</f>
        <v>0</v>
      </c>
      <c r="M276" s="410" t="str">
        <f>IF(U=0,"0",VLOOKUP(S_20,Daten!$A$258:$N$333,AK276))</f>
        <v>0</v>
      </c>
      <c r="N276" s="581">
        <f>Bauteile!K544</f>
        <v>0</v>
      </c>
      <c r="O276" s="410">
        <f>IF(AK276&gt;5,"1.00",VLOOKUP(S_120,Daten!$A$258:$N$333,AK276))</f>
        <v>0</v>
      </c>
      <c r="P276" s="394">
        <f>Bauteile!C544</f>
        <v>0</v>
      </c>
      <c r="Q276" s="631" t="str">
        <f>IF(U=0,"0",SUM(E277:E288))</f>
        <v>0</v>
      </c>
      <c r="S276" s="634"/>
      <c r="T276" s="772"/>
      <c r="U276" s="40">
        <f>IF(U="SO",1,0)</f>
        <v>0</v>
      </c>
      <c r="V276" s="40">
        <f>IF(U="SSO",2,0)</f>
        <v>0</v>
      </c>
      <c r="W276" s="40">
        <f>IF(U="S",3,0)</f>
        <v>0</v>
      </c>
      <c r="X276" s="40">
        <f>IF(U="SSW",4,0)</f>
        <v>0</v>
      </c>
      <c r="Y276" s="40">
        <f>IF(U="SW",1,0)</f>
        <v>0</v>
      </c>
      <c r="Z276" s="40">
        <f>IF(U="WSW",5,0)</f>
        <v>0</v>
      </c>
      <c r="AA276" s="40">
        <f>IF(U="W",6,0)</f>
        <v>0</v>
      </c>
      <c r="AB276" s="40">
        <f>IF(U="WNW",7,0)</f>
        <v>0</v>
      </c>
      <c r="AC276" s="40">
        <f>IF(U="NW",8,0)</f>
        <v>0</v>
      </c>
      <c r="AD276" s="40">
        <f>IF(U="NNW",9,0)</f>
        <v>0</v>
      </c>
      <c r="AE276" s="40">
        <f>IF(U="N",10,0)</f>
        <v>0</v>
      </c>
      <c r="AF276" s="40">
        <f>IF(U="NNO",11,0)</f>
        <v>0</v>
      </c>
      <c r="AG276" s="40">
        <f>IF(U="NO",8,0)</f>
        <v>0</v>
      </c>
      <c r="AH276" s="40">
        <f>IF(U="ONO",12,0)</f>
        <v>0</v>
      </c>
      <c r="AI276" s="40">
        <f>IF(U="O",6,0)</f>
        <v>0</v>
      </c>
      <c r="AJ276" s="40">
        <f>IF(U="OSO",13,0)</f>
        <v>0</v>
      </c>
      <c r="AK276" s="1065">
        <f>MAX(U276:AJ276)+1</f>
        <v>1</v>
      </c>
      <c r="AO276" s="498"/>
    </row>
    <row r="277" spans="1:41" s="499" customFormat="1" ht="12.75" hidden="1" customHeight="1">
      <c r="A277" s="498"/>
      <c r="B277" s="392"/>
      <c r="C277" s="642" t="s">
        <v>49</v>
      </c>
      <c r="D277" s="1070" t="str">
        <f>IF(U=0,"0",VLOOKUP($AK$277,Klima!$B$151:$N$166,2))</f>
        <v>0</v>
      </c>
      <c r="E277" s="411">
        <f t="shared" ref="E277:E288" si="19">D277*$E$276*$F$276*0.9*$G$276*$I$276*$K$276*$M$276*$O$276/$F$22</f>
        <v>0</v>
      </c>
      <c r="F277" s="44"/>
      <c r="G277" s="44"/>
      <c r="H277" s="502"/>
      <c r="I277" s="582"/>
      <c r="J277" s="506"/>
      <c r="K277" s="584"/>
      <c r="L277" s="506"/>
      <c r="M277" s="584"/>
      <c r="N277" s="506"/>
      <c r="O277" s="584"/>
      <c r="P277" s="44"/>
      <c r="Q277" s="632"/>
      <c r="S277" s="633"/>
      <c r="T277" s="1068"/>
      <c r="U277" s="40">
        <f>IF(U="SO",1,0)</f>
        <v>0</v>
      </c>
      <c r="V277" s="40">
        <f>IF(U="SSO",2,0)</f>
        <v>0</v>
      </c>
      <c r="W277" s="40">
        <f>IF(U="S",3,0)</f>
        <v>0</v>
      </c>
      <c r="X277" s="40">
        <f>IF(U="SSW",4,0)</f>
        <v>0</v>
      </c>
      <c r="Y277" s="40">
        <f>IF(U="SW",5,0)</f>
        <v>0</v>
      </c>
      <c r="Z277" s="40">
        <f>IF(U="WSW",6,0)</f>
        <v>0</v>
      </c>
      <c r="AA277" s="40">
        <f>IF(U="W",7,0)</f>
        <v>0</v>
      </c>
      <c r="AB277" s="40">
        <f>IF(U="WNW",8,0)</f>
        <v>0</v>
      </c>
      <c r="AC277" s="40">
        <f>IF(U="NW",9,0)</f>
        <v>0</v>
      </c>
      <c r="AD277" s="40">
        <f>IF(U="NNW",10,0)</f>
        <v>0</v>
      </c>
      <c r="AE277" s="40">
        <f>IF(U="N",11,0)</f>
        <v>0</v>
      </c>
      <c r="AF277" s="40">
        <f>IF(U="NNO",12,0)</f>
        <v>0</v>
      </c>
      <c r="AG277" s="40">
        <f>IF(U="NO",13,0)</f>
        <v>0</v>
      </c>
      <c r="AH277" s="40">
        <f>IF(U="ONO",14,0)</f>
        <v>0</v>
      </c>
      <c r="AI277" s="40">
        <f>IF(U="O",15,0)</f>
        <v>0</v>
      </c>
      <c r="AJ277" s="40">
        <f>IF(U="OSO",16,0)</f>
        <v>0</v>
      </c>
      <c r="AK277" s="1065">
        <f>MAX(U277:AJ277)</f>
        <v>0</v>
      </c>
      <c r="AO277" s="498"/>
    </row>
    <row r="278" spans="1:41" s="499" customFormat="1" ht="12.75" hidden="1" customHeight="1">
      <c r="A278" s="498"/>
      <c r="B278" s="392"/>
      <c r="C278" s="642" t="s">
        <v>554</v>
      </c>
      <c r="D278" s="1070" t="str">
        <f>IF(U=0,"0",VLOOKUP($AK$277,Klima!$B$151:$N$166,3))</f>
        <v>0</v>
      </c>
      <c r="E278" s="411">
        <f t="shared" si="19"/>
        <v>0</v>
      </c>
      <c r="F278" s="44"/>
      <c r="G278" s="44"/>
      <c r="H278" s="502"/>
      <c r="I278" s="582"/>
      <c r="J278" s="506"/>
      <c r="K278" s="584"/>
      <c r="L278" s="506"/>
      <c r="M278" s="584"/>
      <c r="N278" s="506"/>
      <c r="O278" s="584"/>
      <c r="P278" s="44"/>
      <c r="Q278" s="632"/>
      <c r="S278" s="633"/>
      <c r="T278" s="1068"/>
      <c r="U278" s="500"/>
      <c r="V278" s="498"/>
      <c r="W278" s="500"/>
      <c r="X278" s="498"/>
      <c r="Y278" s="500"/>
      <c r="Z278" s="498"/>
      <c r="AA278" s="500"/>
      <c r="AB278" s="498"/>
      <c r="AC278" s="500"/>
      <c r="AD278" s="498"/>
      <c r="AE278" s="500"/>
      <c r="AF278" s="500"/>
      <c r="AG278" s="500"/>
      <c r="AH278" s="498"/>
      <c r="AI278" s="500"/>
      <c r="AJ278" s="498"/>
      <c r="AK278" s="1067"/>
      <c r="AO278" s="498"/>
    </row>
    <row r="279" spans="1:41" s="499" customFormat="1" ht="12.75" hidden="1" customHeight="1">
      <c r="A279" s="498"/>
      <c r="B279" s="392"/>
      <c r="C279" s="642" t="s">
        <v>306</v>
      </c>
      <c r="D279" s="1070" t="str">
        <f>IF(U=0,"0",VLOOKUP($AK$277,Klima!$B$151:$N$166,4))</f>
        <v>0</v>
      </c>
      <c r="E279" s="411">
        <f t="shared" si="19"/>
        <v>0</v>
      </c>
      <c r="F279" s="44"/>
      <c r="G279" s="44"/>
      <c r="H279" s="502"/>
      <c r="I279" s="582"/>
      <c r="J279" s="506"/>
      <c r="K279" s="584"/>
      <c r="L279" s="506"/>
      <c r="M279" s="584"/>
      <c r="N279" s="506"/>
      <c r="O279" s="584"/>
      <c r="P279" s="44"/>
      <c r="Q279" s="632"/>
      <c r="S279" s="633"/>
      <c r="T279" s="1068"/>
      <c r="U279" s="500"/>
      <c r="V279" s="498"/>
      <c r="W279" s="500"/>
      <c r="X279" s="498"/>
      <c r="Y279" s="500"/>
      <c r="Z279" s="498"/>
      <c r="AA279" s="500"/>
      <c r="AB279" s="498"/>
      <c r="AC279" s="500"/>
      <c r="AD279" s="498"/>
      <c r="AE279" s="500"/>
      <c r="AF279" s="500"/>
      <c r="AG279" s="500"/>
      <c r="AH279" s="498"/>
      <c r="AI279" s="500"/>
      <c r="AJ279" s="498"/>
      <c r="AK279" s="1067"/>
      <c r="AO279" s="498"/>
    </row>
    <row r="280" spans="1:41" s="499" customFormat="1" ht="12.75" hidden="1" customHeight="1">
      <c r="A280" s="498"/>
      <c r="B280" s="392"/>
      <c r="C280" s="642" t="s">
        <v>409</v>
      </c>
      <c r="D280" s="1070" t="str">
        <f>IF(U=0,"0",VLOOKUP($AK$277,Klima!$B$151:$N$166,5))</f>
        <v>0</v>
      </c>
      <c r="E280" s="411">
        <f t="shared" si="19"/>
        <v>0</v>
      </c>
      <c r="F280" s="44"/>
      <c r="G280" s="44"/>
      <c r="H280" s="502"/>
      <c r="I280" s="582"/>
      <c r="J280" s="506"/>
      <c r="K280" s="584"/>
      <c r="L280" s="506"/>
      <c r="M280" s="584"/>
      <c r="N280" s="506"/>
      <c r="O280" s="584"/>
      <c r="P280" s="44"/>
      <c r="Q280" s="632"/>
      <c r="S280" s="633"/>
      <c r="T280" s="1068"/>
      <c r="U280" s="500"/>
      <c r="V280" s="498"/>
      <c r="W280" s="500"/>
      <c r="X280" s="498"/>
      <c r="Y280" s="500"/>
      <c r="Z280" s="498"/>
      <c r="AA280" s="500"/>
      <c r="AB280" s="498"/>
      <c r="AC280" s="500"/>
      <c r="AD280" s="498"/>
      <c r="AE280" s="500"/>
      <c r="AF280" s="500"/>
      <c r="AG280" s="500"/>
      <c r="AH280" s="498"/>
      <c r="AI280" s="500"/>
      <c r="AJ280" s="498"/>
      <c r="AK280" s="1067"/>
      <c r="AO280" s="498"/>
    </row>
    <row r="281" spans="1:41" s="499" customFormat="1" ht="12.75" hidden="1" customHeight="1">
      <c r="A281" s="498"/>
      <c r="B281" s="392"/>
      <c r="C281" s="642" t="s">
        <v>410</v>
      </c>
      <c r="D281" s="1070" t="str">
        <f>IF(U=0,"0",VLOOKUP($AK$277,Klima!$B$151:$N$166,6))</f>
        <v>0</v>
      </c>
      <c r="E281" s="411">
        <f t="shared" si="19"/>
        <v>0</v>
      </c>
      <c r="F281" s="44"/>
      <c r="G281" s="44"/>
      <c r="H281" s="502"/>
      <c r="I281" s="582"/>
      <c r="J281" s="506"/>
      <c r="K281" s="584"/>
      <c r="L281" s="506"/>
      <c r="M281" s="584"/>
      <c r="N281" s="506"/>
      <c r="O281" s="584"/>
      <c r="P281" s="44"/>
      <c r="Q281" s="632"/>
      <c r="S281" s="633"/>
      <c r="T281" s="1068"/>
      <c r="U281" s="500"/>
      <c r="V281" s="498"/>
      <c r="W281" s="500"/>
      <c r="X281" s="498"/>
      <c r="Y281" s="500"/>
      <c r="Z281" s="498"/>
      <c r="AB281" s="498"/>
      <c r="AC281" s="500"/>
      <c r="AD281" s="498"/>
      <c r="AE281" s="500"/>
      <c r="AF281" s="500"/>
      <c r="AG281" s="500"/>
      <c r="AH281" s="498"/>
      <c r="AI281" s="500"/>
      <c r="AJ281" s="498"/>
      <c r="AK281" s="1067"/>
      <c r="AO281" s="498"/>
    </row>
    <row r="282" spans="1:41" s="499" customFormat="1" ht="12.75" hidden="1" customHeight="1">
      <c r="A282" s="498"/>
      <c r="B282" s="392"/>
      <c r="C282" s="642" t="s">
        <v>411</v>
      </c>
      <c r="D282" s="1070" t="str">
        <f>IF(U=0,"0",VLOOKUP($AK$277,Klima!$B$151:$N$166,7))</f>
        <v>0</v>
      </c>
      <c r="E282" s="411">
        <f t="shared" si="19"/>
        <v>0</v>
      </c>
      <c r="F282" s="44"/>
      <c r="G282" s="44"/>
      <c r="H282" s="502"/>
      <c r="I282" s="582"/>
      <c r="J282" s="506"/>
      <c r="K282" s="584"/>
      <c r="L282" s="506"/>
      <c r="M282" s="584"/>
      <c r="N282" s="506"/>
      <c r="O282" s="584"/>
      <c r="P282" s="44"/>
      <c r="Q282" s="632"/>
      <c r="S282" s="633"/>
      <c r="T282" s="1068"/>
      <c r="U282" s="500"/>
      <c r="V282" s="498"/>
      <c r="W282" s="500"/>
      <c r="X282" s="498"/>
      <c r="Y282" s="500"/>
      <c r="Z282" s="498"/>
      <c r="AB282" s="498"/>
      <c r="AC282" s="500"/>
      <c r="AD282" s="498"/>
      <c r="AE282" s="500"/>
      <c r="AF282" s="500"/>
      <c r="AG282" s="500"/>
      <c r="AH282" s="498"/>
      <c r="AI282" s="500"/>
      <c r="AJ282" s="498"/>
      <c r="AK282" s="1067"/>
      <c r="AO282" s="498"/>
    </row>
    <row r="283" spans="1:41" s="499" customFormat="1" ht="12.75" hidden="1" customHeight="1">
      <c r="A283" s="498"/>
      <c r="B283" s="392"/>
      <c r="C283" s="642" t="s">
        <v>221</v>
      </c>
      <c r="D283" s="1070" t="str">
        <f>IF(U=0,"0",VLOOKUP($AK$277,Klima!$B$151:$N$166,8))</f>
        <v>0</v>
      </c>
      <c r="E283" s="411">
        <f t="shared" si="19"/>
        <v>0</v>
      </c>
      <c r="F283" s="44"/>
      <c r="G283" s="44"/>
      <c r="H283" s="502"/>
      <c r="I283" s="582"/>
      <c r="J283" s="506"/>
      <c r="K283" s="584"/>
      <c r="L283" s="506"/>
      <c r="M283" s="584"/>
      <c r="N283" s="506"/>
      <c r="O283" s="584"/>
      <c r="P283" s="44"/>
      <c r="Q283" s="632"/>
      <c r="S283" s="633"/>
      <c r="T283" s="1068"/>
      <c r="U283" s="500"/>
      <c r="V283" s="498"/>
      <c r="W283" s="500"/>
      <c r="X283" s="498"/>
      <c r="Y283" s="500"/>
      <c r="Z283" s="1067"/>
      <c r="AB283" s="498"/>
      <c r="AC283" s="498"/>
      <c r="AD283" s="498"/>
      <c r="AE283" s="500"/>
      <c r="AF283" s="498"/>
      <c r="AG283" s="498"/>
      <c r="AH283" s="498"/>
      <c r="AI283" s="500"/>
      <c r="AJ283" s="498"/>
      <c r="AN283" s="498"/>
      <c r="AO283" s="498"/>
    </row>
    <row r="284" spans="1:41" s="499" customFormat="1" ht="12.75" hidden="1" customHeight="1">
      <c r="A284" s="498"/>
      <c r="B284" s="392"/>
      <c r="C284" s="642" t="s">
        <v>138</v>
      </c>
      <c r="D284" s="1070" t="str">
        <f>IF(U=0,"0",VLOOKUP($AK$277,Klima!$B$151:$N$166,9))</f>
        <v>0</v>
      </c>
      <c r="E284" s="411">
        <f t="shared" si="19"/>
        <v>0</v>
      </c>
      <c r="F284" s="44"/>
      <c r="G284" s="44"/>
      <c r="H284" s="502"/>
      <c r="I284" s="582"/>
      <c r="J284" s="506"/>
      <c r="K284" s="584"/>
      <c r="L284" s="506"/>
      <c r="M284" s="584"/>
      <c r="N284" s="506"/>
      <c r="O284" s="584"/>
      <c r="P284" s="44"/>
      <c r="Q284" s="632"/>
      <c r="S284" s="633"/>
      <c r="T284" s="1068"/>
      <c r="U284" s="500"/>
      <c r="V284" s="498"/>
      <c r="W284" s="500"/>
      <c r="X284" s="498"/>
      <c r="Y284" s="500"/>
      <c r="Z284" s="1067"/>
      <c r="AB284" s="498"/>
      <c r="AC284" s="498"/>
      <c r="AD284" s="498"/>
      <c r="AE284" s="500"/>
      <c r="AF284" s="498"/>
      <c r="AG284" s="498"/>
      <c r="AH284" s="498"/>
      <c r="AI284" s="500"/>
      <c r="AJ284" s="498"/>
      <c r="AN284" s="498"/>
      <c r="AO284" s="498"/>
    </row>
    <row r="285" spans="1:41" s="499" customFormat="1" ht="12.75" hidden="1" customHeight="1">
      <c r="A285" s="498"/>
      <c r="B285" s="392"/>
      <c r="C285" s="642" t="s">
        <v>139</v>
      </c>
      <c r="D285" s="1070" t="str">
        <f>IF(U=0,"0",VLOOKUP($AK$277,Klima!$B$151:$N$166,10))</f>
        <v>0</v>
      </c>
      <c r="E285" s="411">
        <f t="shared" si="19"/>
        <v>0</v>
      </c>
      <c r="F285" s="44"/>
      <c r="G285" s="44"/>
      <c r="H285" s="502"/>
      <c r="I285" s="582"/>
      <c r="J285" s="506"/>
      <c r="K285" s="584"/>
      <c r="L285" s="506"/>
      <c r="M285" s="584"/>
      <c r="N285" s="506"/>
      <c r="O285" s="584"/>
      <c r="P285" s="44"/>
      <c r="Q285" s="632"/>
      <c r="S285" s="633"/>
      <c r="T285" s="1068"/>
      <c r="U285" s="500"/>
      <c r="V285" s="498"/>
      <c r="W285" s="500"/>
      <c r="X285" s="498"/>
      <c r="Y285" s="500"/>
      <c r="Z285" s="1067"/>
      <c r="AB285" s="498"/>
      <c r="AC285" s="498"/>
      <c r="AE285" s="500"/>
      <c r="AF285" s="498"/>
      <c r="AH285" s="498"/>
      <c r="AI285" s="500"/>
      <c r="AJ285" s="498"/>
      <c r="AM285" s="498"/>
      <c r="AN285" s="498"/>
      <c r="AO285" s="498"/>
    </row>
    <row r="286" spans="1:41" s="499" customFormat="1" ht="12.75" hidden="1" customHeight="1">
      <c r="A286" s="498"/>
      <c r="B286" s="392"/>
      <c r="C286" s="642" t="s">
        <v>269</v>
      </c>
      <c r="D286" s="1070" t="str">
        <f>IF(U=0,"0",VLOOKUP($AK$277,Klima!$B$151:$N$166,11))</f>
        <v>0</v>
      </c>
      <c r="E286" s="411">
        <f t="shared" si="19"/>
        <v>0</v>
      </c>
      <c r="F286" s="44"/>
      <c r="G286" s="44"/>
      <c r="H286" s="502"/>
      <c r="I286" s="582"/>
      <c r="J286" s="506"/>
      <c r="K286" s="584"/>
      <c r="L286" s="506"/>
      <c r="M286" s="584"/>
      <c r="N286" s="506"/>
      <c r="O286" s="584"/>
      <c r="P286" s="44"/>
      <c r="Q286" s="632"/>
      <c r="S286" s="633"/>
      <c r="T286" s="1068"/>
      <c r="U286" s="500"/>
      <c r="V286" s="498"/>
      <c r="W286" s="500"/>
      <c r="X286" s="498"/>
      <c r="Y286" s="500"/>
      <c r="Z286" s="1067"/>
      <c r="AB286" s="498"/>
      <c r="AC286" s="498"/>
      <c r="AE286" s="500"/>
      <c r="AF286" s="498"/>
      <c r="AG286" s="498"/>
      <c r="AH286" s="498"/>
      <c r="AJ286" s="500"/>
      <c r="AM286" s="498"/>
      <c r="AN286" s="498"/>
      <c r="AO286" s="498"/>
    </row>
    <row r="287" spans="1:41" s="499" customFormat="1" ht="12.75" hidden="1" customHeight="1">
      <c r="A287" s="498"/>
      <c r="B287" s="392"/>
      <c r="C287" s="642" t="s">
        <v>366</v>
      </c>
      <c r="D287" s="1070" t="str">
        <f>IF(U=0,"0",VLOOKUP($AK$277,Klima!$B$151:$N$166,12))</f>
        <v>0</v>
      </c>
      <c r="E287" s="411">
        <f t="shared" si="19"/>
        <v>0</v>
      </c>
      <c r="F287" s="44"/>
      <c r="G287" s="44"/>
      <c r="H287" s="502"/>
      <c r="I287" s="582"/>
      <c r="J287" s="506"/>
      <c r="K287" s="584"/>
      <c r="L287" s="506"/>
      <c r="M287" s="584"/>
      <c r="N287" s="506"/>
      <c r="O287" s="584"/>
      <c r="P287" s="44"/>
      <c r="Q287" s="632"/>
      <c r="S287" s="633"/>
      <c r="T287" s="1068"/>
      <c r="U287" s="500"/>
      <c r="V287" s="498"/>
      <c r="W287" s="500"/>
      <c r="X287" s="498"/>
      <c r="Y287" s="500"/>
      <c r="Z287" s="1067"/>
      <c r="AB287" s="498"/>
      <c r="AC287" s="498"/>
      <c r="AE287" s="500"/>
      <c r="AF287" s="500"/>
      <c r="AG287" s="498"/>
      <c r="AH287" s="498"/>
      <c r="AJ287" s="500"/>
      <c r="AM287" s="498"/>
      <c r="AN287" s="498"/>
      <c r="AO287" s="498"/>
    </row>
    <row r="288" spans="1:41" s="499" customFormat="1" ht="12.75" hidden="1" customHeight="1">
      <c r="A288" s="498"/>
      <c r="B288" s="392"/>
      <c r="C288" s="642" t="s">
        <v>465</v>
      </c>
      <c r="D288" s="1070" t="str">
        <f>IF(U=0,"0",VLOOKUP($AK$277,Klima!$B$151:$N$166,13))</f>
        <v>0</v>
      </c>
      <c r="E288" s="411">
        <f t="shared" si="19"/>
        <v>0</v>
      </c>
      <c r="F288" s="44"/>
      <c r="G288" s="44"/>
      <c r="H288" s="502"/>
      <c r="I288" s="582"/>
      <c r="J288" s="506"/>
      <c r="K288" s="584"/>
      <c r="L288" s="506"/>
      <c r="M288" s="584"/>
      <c r="N288" s="506"/>
      <c r="O288" s="584"/>
      <c r="P288" s="44"/>
      <c r="Q288" s="632"/>
      <c r="S288" s="633"/>
      <c r="T288" s="1068"/>
      <c r="U288" s="500"/>
      <c r="V288" s="498"/>
      <c r="W288" s="500"/>
      <c r="X288" s="498"/>
      <c r="Y288" s="500"/>
      <c r="Z288" s="1067"/>
      <c r="AB288" s="498"/>
      <c r="AC288" s="498"/>
      <c r="AE288" s="500"/>
      <c r="AF288" s="500"/>
      <c r="AG288" s="498"/>
      <c r="AH288" s="498"/>
      <c r="AK288" s="500"/>
      <c r="AM288" s="498"/>
      <c r="AN288" s="498"/>
      <c r="AO288" s="498"/>
    </row>
    <row r="289" spans="1:41" s="499" customFormat="1" ht="12.75" customHeight="1">
      <c r="A289" s="498"/>
      <c r="B289" s="392"/>
      <c r="C289" s="642"/>
      <c r="D289" s="1070"/>
      <c r="E289" s="411"/>
      <c r="F289" s="44"/>
      <c r="G289" s="44"/>
      <c r="H289" s="502"/>
      <c r="I289" s="582"/>
      <c r="J289" s="506"/>
      <c r="K289" s="584"/>
      <c r="L289" s="506"/>
      <c r="M289" s="584"/>
      <c r="N289" s="506"/>
      <c r="O289" s="584"/>
      <c r="P289" s="44"/>
      <c r="Q289" s="632"/>
      <c r="S289" s="633"/>
      <c r="T289" s="1068"/>
      <c r="U289" s="500"/>
      <c r="V289" s="498"/>
      <c r="W289" s="500"/>
      <c r="X289" s="498"/>
      <c r="Y289" s="500"/>
      <c r="Z289" s="1067"/>
      <c r="AB289" s="498"/>
      <c r="AE289" s="500"/>
      <c r="AF289" s="500"/>
      <c r="AG289" s="498"/>
      <c r="AH289" s="498"/>
      <c r="AJ289" s="498"/>
      <c r="AK289" s="500"/>
      <c r="AM289" s="498"/>
      <c r="AN289" s="498"/>
      <c r="AO289" s="498"/>
    </row>
    <row r="290" spans="1:41" s="499" customFormat="1" ht="12.75" customHeight="1">
      <c r="A290" s="498"/>
      <c r="B290" s="392"/>
      <c r="C290" s="642">
        <f>Bauteile!B562</f>
        <v>0</v>
      </c>
      <c r="D290" s="1070"/>
      <c r="E290" s="394">
        <f>Bauteile!D562</f>
        <v>0</v>
      </c>
      <c r="F290" s="394">
        <f>Bauteile!F562</f>
        <v>0</v>
      </c>
      <c r="G290" s="394">
        <f>Bauteile!G562</f>
        <v>0</v>
      </c>
      <c r="H290" s="531">
        <f>Bauteile!H562</f>
        <v>0</v>
      </c>
      <c r="I290" s="410" t="str">
        <f>IF(V=0,"0",VLOOKUP(H_21,Daten!$A$101:$N$171,4))</f>
        <v>0</v>
      </c>
      <c r="J290" s="531">
        <f>Bauteile!I562</f>
        <v>0</v>
      </c>
      <c r="K290" s="410" t="str">
        <f>IF(V=0,"0",VLOOKUP(Ü_21,Daten!$A$101:$N$171,7))</f>
        <v>0</v>
      </c>
      <c r="L290" s="531">
        <f>Bauteile!J562</f>
        <v>0</v>
      </c>
      <c r="M290" s="410" t="str">
        <f>IF(V=0,"0",VLOOKUP(S_21,Daten!$A$101:$N$171,7))</f>
        <v>0</v>
      </c>
      <c r="N290" s="531">
        <f>Bauteile!K562</f>
        <v>0</v>
      </c>
      <c r="O290" s="410" t="str">
        <f>IF(V=0,"0",VLOOKUP(S_121,Daten!$A$101:$N$171,11))</f>
        <v>0</v>
      </c>
      <c r="P290" s="394" t="s">
        <v>474</v>
      </c>
      <c r="Q290" s="631" t="str">
        <f>IF(V=0,"0",SUM(E291:E302))</f>
        <v>0</v>
      </c>
      <c r="S290" s="633"/>
      <c r="T290" s="1068"/>
      <c r="U290" s="500"/>
      <c r="V290" s="500"/>
      <c r="W290" s="498"/>
      <c r="X290" s="498"/>
      <c r="Z290" s="1067"/>
      <c r="AB290" s="498"/>
      <c r="AE290" s="500"/>
      <c r="AF290" s="498"/>
      <c r="AG290" s="500"/>
      <c r="AH290" s="498"/>
      <c r="AJ290" s="498"/>
      <c r="AM290" s="498"/>
      <c r="AN290" s="498"/>
      <c r="AO290" s="498"/>
    </row>
    <row r="291" spans="1:41" s="499" customFormat="1" ht="12.75" hidden="1" customHeight="1">
      <c r="A291" s="498"/>
      <c r="B291" s="392"/>
      <c r="C291" s="642" t="s">
        <v>49</v>
      </c>
      <c r="D291" s="1070">
        <f>IF(V_01=0,"0",VLOOKUP(V_01,Klima!$B$150:$N$150,2))</f>
        <v>0</v>
      </c>
      <c r="E291" s="411">
        <f t="shared" ref="E291:E302" si="20">D291*$E$290*$F$290*0.9*$G$290*$I$290*$K$290*$M$290*$O$290/$F$22</f>
        <v>0</v>
      </c>
      <c r="F291" s="44"/>
      <c r="G291" s="44"/>
      <c r="H291" s="502"/>
      <c r="I291" s="583"/>
      <c r="J291" s="506"/>
      <c r="K291" s="584"/>
      <c r="L291" s="506"/>
      <c r="M291" s="584"/>
      <c r="N291" s="506"/>
      <c r="O291" s="584"/>
      <c r="P291" s="44"/>
      <c r="Q291" s="632"/>
      <c r="S291" s="633"/>
      <c r="T291" s="1068"/>
      <c r="U291" s="500"/>
      <c r="V291" s="500"/>
      <c r="W291" s="500"/>
      <c r="X291" s="498"/>
      <c r="Z291" s="1067"/>
      <c r="AB291" s="498"/>
      <c r="AE291" s="498"/>
      <c r="AF291" s="498"/>
      <c r="AG291" s="498"/>
      <c r="AH291" s="500"/>
      <c r="AJ291" s="498"/>
      <c r="AM291" s="498"/>
      <c r="AN291" s="498"/>
      <c r="AO291" s="498"/>
    </row>
    <row r="292" spans="1:41" s="499" customFormat="1" ht="12.75" hidden="1" customHeight="1">
      <c r="A292" s="498"/>
      <c r="B292" s="392"/>
      <c r="C292" s="642" t="s">
        <v>554</v>
      </c>
      <c r="D292" s="1070">
        <f>IF(V_01=0,"0",VLOOKUP(V_01,Klima!$B$150:$N$150,3))</f>
        <v>0</v>
      </c>
      <c r="E292" s="411">
        <f t="shared" si="20"/>
        <v>0</v>
      </c>
      <c r="F292" s="44"/>
      <c r="G292" s="44"/>
      <c r="H292" s="502"/>
      <c r="I292" s="583"/>
      <c r="J292" s="506"/>
      <c r="K292" s="584"/>
      <c r="L292" s="506"/>
      <c r="M292" s="584"/>
      <c r="N292" s="506"/>
      <c r="O292" s="584"/>
      <c r="P292" s="44"/>
      <c r="Q292" s="632"/>
      <c r="S292" s="633"/>
      <c r="T292" s="1068"/>
      <c r="U292" s="500"/>
      <c r="V292" s="500"/>
      <c r="W292" s="500"/>
      <c r="X292" s="498"/>
      <c r="Z292" s="1067"/>
      <c r="AB292" s="498"/>
      <c r="AE292" s="498"/>
      <c r="AF292" s="498"/>
      <c r="AG292" s="498"/>
      <c r="AH292" s="500"/>
      <c r="AJ292" s="498"/>
      <c r="AK292" s="498"/>
      <c r="AM292" s="498"/>
      <c r="AN292" s="498"/>
      <c r="AO292" s="498"/>
    </row>
    <row r="293" spans="1:41" s="499" customFormat="1" ht="12.75" hidden="1" customHeight="1">
      <c r="A293" s="498"/>
      <c r="B293" s="392"/>
      <c r="C293" s="642" t="s">
        <v>306</v>
      </c>
      <c r="D293" s="1070">
        <f>IF(V_01=0,"0",VLOOKUP(V_01,Klima!$B$150:$N$150,4))</f>
        <v>0</v>
      </c>
      <c r="E293" s="411">
        <f t="shared" si="20"/>
        <v>0</v>
      </c>
      <c r="F293" s="44"/>
      <c r="G293" s="44"/>
      <c r="H293" s="502"/>
      <c r="I293" s="583"/>
      <c r="J293" s="506"/>
      <c r="K293" s="584"/>
      <c r="L293" s="506"/>
      <c r="M293" s="584"/>
      <c r="N293" s="506"/>
      <c r="O293" s="584"/>
      <c r="P293" s="44"/>
      <c r="Q293" s="632"/>
      <c r="S293" s="633"/>
      <c r="T293" s="1068"/>
      <c r="U293" s="500"/>
      <c r="V293" s="500"/>
      <c r="W293" s="500"/>
      <c r="X293" s="498"/>
      <c r="Z293" s="1067"/>
      <c r="AB293" s="498"/>
      <c r="AD293" s="498"/>
      <c r="AE293" s="498"/>
      <c r="AF293" s="498"/>
      <c r="AG293" s="500"/>
      <c r="AJ293" s="498"/>
      <c r="AK293" s="498"/>
      <c r="AM293" s="498"/>
      <c r="AN293" s="498"/>
      <c r="AO293" s="498"/>
    </row>
    <row r="294" spans="1:41" s="499" customFormat="1" ht="12.75" hidden="1" customHeight="1">
      <c r="A294" s="498"/>
      <c r="B294" s="392"/>
      <c r="C294" s="642" t="s">
        <v>409</v>
      </c>
      <c r="D294" s="1070">
        <f>IF(V_01=0,"0",VLOOKUP(V_01,Klima!$B$150:$N$150,5))</f>
        <v>0</v>
      </c>
      <c r="E294" s="411">
        <f t="shared" si="20"/>
        <v>0</v>
      </c>
      <c r="F294" s="44"/>
      <c r="G294" s="44"/>
      <c r="H294" s="502"/>
      <c r="I294" s="583"/>
      <c r="J294" s="506"/>
      <c r="K294" s="584"/>
      <c r="L294" s="506"/>
      <c r="M294" s="584"/>
      <c r="N294" s="506"/>
      <c r="O294" s="584"/>
      <c r="P294" s="44"/>
      <c r="Q294" s="632"/>
      <c r="S294" s="633"/>
      <c r="T294" s="1068"/>
      <c r="U294" s="500"/>
      <c r="V294" s="500"/>
      <c r="W294" s="500"/>
      <c r="X294" s="498"/>
      <c r="Z294" s="1067"/>
      <c r="AB294" s="498"/>
      <c r="AD294" s="498"/>
      <c r="AE294" s="498"/>
      <c r="AF294" s="498"/>
      <c r="AG294" s="500"/>
      <c r="AJ294" s="498"/>
      <c r="AK294" s="498"/>
      <c r="AM294" s="498"/>
      <c r="AN294" s="498"/>
      <c r="AO294" s="498"/>
    </row>
    <row r="295" spans="1:41" s="499" customFormat="1" ht="12.75" hidden="1" customHeight="1">
      <c r="A295" s="498"/>
      <c r="B295" s="392"/>
      <c r="C295" s="642" t="s">
        <v>410</v>
      </c>
      <c r="D295" s="1070">
        <f>IF(V_01=0,"0",VLOOKUP(V_01,Klima!$B$150:$N$150,6))</f>
        <v>0</v>
      </c>
      <c r="E295" s="411">
        <f t="shared" si="20"/>
        <v>0</v>
      </c>
      <c r="F295" s="44"/>
      <c r="G295" s="44"/>
      <c r="H295" s="502"/>
      <c r="I295" s="583"/>
      <c r="J295" s="506"/>
      <c r="K295" s="584"/>
      <c r="L295" s="506"/>
      <c r="M295" s="584"/>
      <c r="N295" s="506"/>
      <c r="O295" s="584"/>
      <c r="P295" s="44"/>
      <c r="Q295" s="632"/>
      <c r="S295" s="633"/>
      <c r="T295" s="1068"/>
      <c r="U295" s="500"/>
      <c r="V295" s="500"/>
      <c r="W295" s="500"/>
      <c r="X295" s="498"/>
      <c r="Z295" s="1067"/>
      <c r="AB295" s="498"/>
      <c r="AD295" s="498"/>
      <c r="AE295" s="498"/>
      <c r="AF295" s="498"/>
      <c r="AG295" s="500"/>
      <c r="AJ295" s="498"/>
      <c r="AK295" s="498"/>
      <c r="AM295" s="498"/>
      <c r="AN295" s="498"/>
      <c r="AO295" s="498"/>
    </row>
    <row r="296" spans="1:41" s="499" customFormat="1" ht="12.75" hidden="1" customHeight="1">
      <c r="A296" s="498"/>
      <c r="B296" s="392"/>
      <c r="C296" s="642" t="s">
        <v>411</v>
      </c>
      <c r="D296" s="1070">
        <f>IF(V_01=0,"0",VLOOKUP(V_01,Klima!$B$150:$N$150,7))</f>
        <v>0</v>
      </c>
      <c r="E296" s="411">
        <f t="shared" si="20"/>
        <v>0</v>
      </c>
      <c r="F296" s="44"/>
      <c r="G296" s="44"/>
      <c r="H296" s="502"/>
      <c r="I296" s="583"/>
      <c r="J296" s="506"/>
      <c r="K296" s="584"/>
      <c r="L296" s="506"/>
      <c r="M296" s="584"/>
      <c r="N296" s="506"/>
      <c r="O296" s="584"/>
      <c r="P296" s="44"/>
      <c r="Q296" s="632"/>
      <c r="S296" s="633"/>
      <c r="T296" s="1068"/>
      <c r="U296" s="500"/>
      <c r="V296" s="500"/>
      <c r="W296" s="500"/>
      <c r="X296" s="498"/>
      <c r="Z296" s="1067"/>
      <c r="AB296" s="498"/>
      <c r="AD296" s="498"/>
      <c r="AE296" s="498"/>
      <c r="AF296" s="498"/>
      <c r="AG296" s="500"/>
      <c r="AJ296" s="498"/>
      <c r="AK296" s="498"/>
      <c r="AM296" s="498"/>
      <c r="AN296" s="498"/>
      <c r="AO296" s="498"/>
    </row>
    <row r="297" spans="1:41" s="499" customFormat="1" ht="12.75" hidden="1" customHeight="1">
      <c r="A297" s="498"/>
      <c r="B297" s="392"/>
      <c r="C297" s="642" t="s">
        <v>221</v>
      </c>
      <c r="D297" s="1070">
        <f>IF(V_01=0,"0",VLOOKUP(V_01,Klima!$B$150:$N$150,8))</f>
        <v>0</v>
      </c>
      <c r="E297" s="411">
        <f t="shared" si="20"/>
        <v>0</v>
      </c>
      <c r="F297" s="44"/>
      <c r="G297" s="44"/>
      <c r="H297" s="502"/>
      <c r="I297" s="583"/>
      <c r="J297" s="506"/>
      <c r="K297" s="584"/>
      <c r="L297" s="506"/>
      <c r="M297" s="584"/>
      <c r="N297" s="506"/>
      <c r="O297" s="584"/>
      <c r="P297" s="44"/>
      <c r="Q297" s="632"/>
      <c r="S297" s="633"/>
      <c r="T297" s="1068"/>
      <c r="U297" s="500"/>
      <c r="V297" s="500"/>
      <c r="W297" s="500"/>
      <c r="X297" s="498"/>
      <c r="Z297" s="1067"/>
      <c r="AB297" s="498"/>
      <c r="AD297" s="498"/>
      <c r="AE297" s="498"/>
      <c r="AF297" s="498"/>
      <c r="AG297" s="500"/>
      <c r="AJ297" s="498"/>
      <c r="AK297" s="498"/>
      <c r="AM297" s="498"/>
      <c r="AN297" s="498"/>
      <c r="AO297" s="498"/>
    </row>
    <row r="298" spans="1:41" s="499" customFormat="1" ht="12.75" hidden="1" customHeight="1">
      <c r="A298" s="498"/>
      <c r="B298" s="392"/>
      <c r="C298" s="642" t="s">
        <v>138</v>
      </c>
      <c r="D298" s="1070">
        <f>IF(V_01=0,"0",VLOOKUP(V_01,Klima!$B$150:$N$150,9))</f>
        <v>0</v>
      </c>
      <c r="E298" s="411">
        <f t="shared" si="20"/>
        <v>0</v>
      </c>
      <c r="F298" s="44"/>
      <c r="G298" s="44"/>
      <c r="H298" s="502"/>
      <c r="I298" s="583"/>
      <c r="J298" s="506"/>
      <c r="K298" s="584"/>
      <c r="L298" s="506"/>
      <c r="M298" s="584"/>
      <c r="N298" s="506"/>
      <c r="O298" s="584"/>
      <c r="P298" s="44"/>
      <c r="Q298" s="632"/>
      <c r="S298" s="633"/>
      <c r="T298" s="1068"/>
      <c r="U298" s="500"/>
      <c r="V298" s="500"/>
      <c r="W298" s="500"/>
      <c r="X298" s="498"/>
      <c r="Z298" s="1067"/>
      <c r="AA298" s="498"/>
      <c r="AB298" s="498"/>
      <c r="AC298" s="498"/>
      <c r="AD298" s="500"/>
      <c r="AG298" s="498"/>
      <c r="AH298" s="498"/>
      <c r="AM298" s="498"/>
      <c r="AN298" s="498"/>
      <c r="AO298" s="498"/>
    </row>
    <row r="299" spans="1:41" s="499" customFormat="1" ht="12.75" hidden="1" customHeight="1">
      <c r="A299" s="498"/>
      <c r="B299" s="392"/>
      <c r="C299" s="642" t="s">
        <v>139</v>
      </c>
      <c r="D299" s="1070">
        <f>IF(V_01=0,"0",VLOOKUP(V_01,Klima!$B$150:$N$150,10))</f>
        <v>0</v>
      </c>
      <c r="E299" s="411">
        <f t="shared" si="20"/>
        <v>0</v>
      </c>
      <c r="F299" s="44"/>
      <c r="G299" s="44"/>
      <c r="H299" s="502"/>
      <c r="I299" s="583"/>
      <c r="J299" s="506"/>
      <c r="K299" s="584"/>
      <c r="L299" s="506"/>
      <c r="M299" s="584"/>
      <c r="N299" s="506"/>
      <c r="O299" s="584"/>
      <c r="P299" s="44"/>
      <c r="Q299" s="632"/>
      <c r="S299" s="633"/>
      <c r="T299" s="1068"/>
      <c r="U299" s="500"/>
      <c r="V299" s="500"/>
      <c r="W299" s="500"/>
      <c r="X299" s="498"/>
      <c r="Z299" s="1067"/>
      <c r="AA299" s="498"/>
      <c r="AB299" s="498"/>
      <c r="AC299" s="498"/>
      <c r="AD299" s="500"/>
      <c r="AG299" s="498"/>
      <c r="AH299" s="498"/>
      <c r="AM299" s="498"/>
      <c r="AN299" s="498"/>
      <c r="AO299" s="498"/>
    </row>
    <row r="300" spans="1:41" s="499" customFormat="1" ht="12.75" hidden="1" customHeight="1">
      <c r="A300" s="498"/>
      <c r="B300" s="392"/>
      <c r="C300" s="642" t="s">
        <v>269</v>
      </c>
      <c r="D300" s="1070">
        <f>IF(V_01=0,"0",VLOOKUP(V_01,Klima!$B$150:$N$150,11))</f>
        <v>0</v>
      </c>
      <c r="E300" s="411">
        <f t="shared" si="20"/>
        <v>0</v>
      </c>
      <c r="F300" s="44"/>
      <c r="G300" s="44"/>
      <c r="H300" s="502"/>
      <c r="I300" s="583"/>
      <c r="J300" s="506"/>
      <c r="K300" s="584"/>
      <c r="L300" s="506"/>
      <c r="M300" s="584"/>
      <c r="N300" s="506"/>
      <c r="O300" s="584"/>
      <c r="P300" s="44"/>
      <c r="Q300" s="632"/>
      <c r="S300" s="633"/>
      <c r="T300" s="1068"/>
      <c r="U300" s="500"/>
      <c r="V300" s="500"/>
      <c r="W300" s="500"/>
      <c r="X300" s="498"/>
      <c r="Z300" s="1067"/>
      <c r="AA300" s="498"/>
      <c r="AB300" s="498"/>
      <c r="AC300" s="498"/>
      <c r="AD300" s="500"/>
      <c r="AG300" s="498"/>
      <c r="AH300" s="498"/>
      <c r="AM300" s="498"/>
      <c r="AN300" s="498"/>
      <c r="AO300" s="498"/>
    </row>
    <row r="301" spans="1:41" s="499" customFormat="1" ht="12.75" hidden="1" customHeight="1">
      <c r="A301" s="498"/>
      <c r="B301" s="392"/>
      <c r="C301" s="642" t="s">
        <v>366</v>
      </c>
      <c r="D301" s="1070">
        <f>IF(V_01=0,"0",VLOOKUP(V_01,Klima!$B$150:$N$150,12))</f>
        <v>0</v>
      </c>
      <c r="E301" s="411">
        <f t="shared" si="20"/>
        <v>0</v>
      </c>
      <c r="F301" s="44"/>
      <c r="G301" s="44"/>
      <c r="H301" s="502"/>
      <c r="I301" s="583"/>
      <c r="J301" s="506"/>
      <c r="K301" s="584"/>
      <c r="L301" s="506"/>
      <c r="M301" s="584"/>
      <c r="N301" s="506"/>
      <c r="O301" s="584"/>
      <c r="P301" s="44"/>
      <c r="Q301" s="632"/>
      <c r="S301" s="633"/>
      <c r="T301" s="1068"/>
      <c r="U301" s="500"/>
      <c r="V301" s="500"/>
      <c r="W301" s="500"/>
      <c r="X301" s="498"/>
      <c r="Z301" s="1067"/>
      <c r="AA301" s="498"/>
      <c r="AB301" s="498"/>
      <c r="AC301" s="498"/>
      <c r="AD301" s="500"/>
      <c r="AG301" s="498"/>
      <c r="AH301" s="498"/>
      <c r="AM301" s="498"/>
      <c r="AN301" s="498"/>
      <c r="AO301" s="498"/>
    </row>
    <row r="302" spans="1:41" s="499" customFormat="1" ht="12.75" hidden="1" customHeight="1">
      <c r="A302" s="498"/>
      <c r="B302" s="392"/>
      <c r="C302" s="642" t="s">
        <v>465</v>
      </c>
      <c r="D302" s="1070">
        <f>IF(V_01=0,"0",VLOOKUP(V_01,Klima!$B$150:$N$150,13))</f>
        <v>0</v>
      </c>
      <c r="E302" s="411">
        <f t="shared" si="20"/>
        <v>0</v>
      </c>
      <c r="F302" s="44"/>
      <c r="G302" s="44"/>
      <c r="H302" s="502"/>
      <c r="I302" s="583"/>
      <c r="J302" s="506"/>
      <c r="K302" s="584"/>
      <c r="L302" s="506"/>
      <c r="M302" s="584"/>
      <c r="N302" s="506"/>
      <c r="O302" s="584"/>
      <c r="P302" s="44"/>
      <c r="Q302" s="632"/>
      <c r="S302" s="633"/>
      <c r="T302" s="1068"/>
      <c r="U302" s="500"/>
      <c r="V302" s="500"/>
      <c r="W302" s="500"/>
      <c r="X302" s="498"/>
      <c r="Z302" s="1067"/>
      <c r="AA302" s="498"/>
      <c r="AB302" s="498"/>
      <c r="AC302" s="498"/>
      <c r="AD302" s="500"/>
      <c r="AG302" s="498"/>
      <c r="AH302" s="498"/>
      <c r="AM302" s="498"/>
      <c r="AN302" s="498"/>
      <c r="AO302" s="498"/>
    </row>
    <row r="303" spans="1:41" s="499" customFormat="1" ht="12.75" customHeight="1">
      <c r="A303" s="498"/>
      <c r="B303" s="392"/>
      <c r="C303" s="642">
        <f>Bauteile!B575</f>
        <v>0</v>
      </c>
      <c r="D303" s="394"/>
      <c r="E303" s="394">
        <f>Bauteile!D575</f>
        <v>0</v>
      </c>
      <c r="F303" s="394">
        <f>Bauteile!F575</f>
        <v>0</v>
      </c>
      <c r="G303" s="394">
        <f>Bauteile!G575</f>
        <v>0</v>
      </c>
      <c r="H303" s="531">
        <f>Bauteile!H575</f>
        <v>0</v>
      </c>
      <c r="I303" s="410" t="str">
        <f>IF(W=0,"0",VLOOKUP(H_22,Daten!$A$101:$N$171,4))</f>
        <v>0</v>
      </c>
      <c r="J303" s="531">
        <f>Bauteile!I575</f>
        <v>0</v>
      </c>
      <c r="K303" s="410" t="str">
        <f>IF(W=0,"0",VLOOKUP(Ü_22,Daten!$A$101:$N$171,7))</f>
        <v>0</v>
      </c>
      <c r="L303" s="531">
        <f>Bauteile!J575</f>
        <v>0</v>
      </c>
      <c r="M303" s="410" t="str">
        <f>IF(W=0,"0",VLOOKUP(S_22,Daten!$A$101:$N$171,7))</f>
        <v>0</v>
      </c>
      <c r="N303" s="531">
        <f>Bauteile!K575</f>
        <v>0</v>
      </c>
      <c r="O303" s="410" t="str">
        <f>IF(W=0,"0",VLOOKUP(S_122,Daten!$A$101:$N$171,11))</f>
        <v>0</v>
      </c>
      <c r="P303" s="394" t="s">
        <v>474</v>
      </c>
      <c r="Q303" s="631" t="str">
        <f>IF(W=0,"0",SUM(F304:F315))</f>
        <v>0</v>
      </c>
      <c r="S303" s="633"/>
      <c r="T303" s="1068"/>
      <c r="U303" s="500"/>
      <c r="V303" s="500"/>
      <c r="W303" s="500"/>
      <c r="X303" s="498"/>
      <c r="Z303" s="1067"/>
      <c r="AA303" s="498"/>
      <c r="AB303" s="498"/>
      <c r="AC303" s="498"/>
      <c r="AD303" s="500"/>
      <c r="AG303" s="498"/>
      <c r="AH303" s="498"/>
      <c r="AM303" s="498"/>
      <c r="AN303" s="498"/>
      <c r="AO303" s="498"/>
    </row>
    <row r="304" spans="1:41" s="499" customFormat="1" ht="12.75" hidden="1" customHeight="1">
      <c r="A304" s="498"/>
      <c r="B304" s="392"/>
      <c r="C304" s="393"/>
      <c r="D304" s="403" t="s">
        <v>49</v>
      </c>
      <c r="E304" s="1070">
        <f>IF(V_02=0,"0",VLOOKUP(V_02,Klima!$B$150:$N$150,2))</f>
        <v>0</v>
      </c>
      <c r="F304" s="411">
        <f t="shared" ref="F304:F315" si="21">E304*$E$303*$F$303*0.9*$G$303*$I$303*$K$303*$M$303*$O$303/$F$22</f>
        <v>0</v>
      </c>
      <c r="G304" s="44"/>
      <c r="H304" s="44"/>
      <c r="I304" s="502"/>
      <c r="K304" s="506"/>
      <c r="L304" s="413"/>
      <c r="M304" s="506"/>
      <c r="N304" s="413"/>
      <c r="O304" s="506"/>
      <c r="P304" s="413"/>
      <c r="Q304" s="44"/>
      <c r="R304" s="44"/>
      <c r="S304" s="633"/>
      <c r="T304" s="1068"/>
      <c r="U304" s="500"/>
      <c r="V304" s="500"/>
      <c r="W304" s="500"/>
      <c r="X304" s="498"/>
      <c r="Z304" s="1067"/>
      <c r="AA304" s="498"/>
      <c r="AB304" s="498"/>
      <c r="AC304" s="498"/>
      <c r="AD304" s="500"/>
      <c r="AG304" s="498"/>
      <c r="AH304" s="498"/>
      <c r="AM304" s="498"/>
      <c r="AN304" s="498"/>
      <c r="AO304" s="498"/>
    </row>
    <row r="305" spans="1:41" s="499" customFormat="1" ht="12.75" hidden="1" customHeight="1">
      <c r="A305" s="498"/>
      <c r="B305" s="392"/>
      <c r="C305" s="393"/>
      <c r="D305" s="403" t="s">
        <v>554</v>
      </c>
      <c r="E305" s="1070">
        <f>IF(V_02=0,"0",VLOOKUP(V_02,Klima!$B$150:$N$150,3))</f>
        <v>0</v>
      </c>
      <c r="F305" s="411">
        <f t="shared" si="21"/>
        <v>0</v>
      </c>
      <c r="G305" s="44"/>
      <c r="H305" s="44"/>
      <c r="I305" s="502"/>
      <c r="K305" s="506"/>
      <c r="L305" s="413"/>
      <c r="M305" s="506"/>
      <c r="N305" s="413"/>
      <c r="O305" s="506"/>
      <c r="P305" s="413"/>
      <c r="Q305" s="44"/>
      <c r="R305" s="44"/>
      <c r="S305" s="633"/>
      <c r="T305" s="1068"/>
      <c r="U305" s="500"/>
      <c r="V305" s="500"/>
      <c r="W305" s="500"/>
      <c r="X305" s="498"/>
      <c r="Z305" s="1067"/>
      <c r="AA305" s="500"/>
      <c r="AB305" s="498"/>
      <c r="AC305" s="498"/>
      <c r="AD305" s="500"/>
      <c r="AG305" s="498"/>
      <c r="AH305" s="498"/>
      <c r="AM305" s="498"/>
      <c r="AN305" s="498"/>
      <c r="AO305" s="498"/>
    </row>
    <row r="306" spans="1:41" s="499" customFormat="1" ht="12.75" hidden="1" customHeight="1">
      <c r="A306" s="498"/>
      <c r="B306" s="392"/>
      <c r="C306" s="393"/>
      <c r="D306" s="403" t="s">
        <v>306</v>
      </c>
      <c r="E306" s="1070">
        <f>IF(V_02=0,"0",VLOOKUP(V_02,Klima!$B$150:$N$150,4))</f>
        <v>0</v>
      </c>
      <c r="F306" s="411">
        <f t="shared" si="21"/>
        <v>0</v>
      </c>
      <c r="G306" s="44"/>
      <c r="H306" s="44"/>
      <c r="I306" s="502"/>
      <c r="K306" s="506"/>
      <c r="L306" s="413"/>
      <c r="M306" s="506"/>
      <c r="N306" s="413"/>
      <c r="O306" s="506"/>
      <c r="P306" s="413"/>
      <c r="Q306" s="44"/>
      <c r="R306" s="44"/>
      <c r="S306" s="633"/>
      <c r="T306" s="1068"/>
      <c r="U306" s="500"/>
      <c r="V306" s="500"/>
      <c r="W306" s="500"/>
      <c r="X306" s="498"/>
      <c r="Z306" s="1067"/>
      <c r="AA306" s="500"/>
      <c r="AB306" s="498"/>
      <c r="AC306" s="498"/>
      <c r="AD306" s="500"/>
      <c r="AG306" s="498"/>
      <c r="AH306" s="498"/>
      <c r="AM306" s="498"/>
      <c r="AN306" s="498"/>
      <c r="AO306" s="498"/>
    </row>
    <row r="307" spans="1:41" s="499" customFormat="1" ht="12.75" hidden="1" customHeight="1">
      <c r="A307" s="498"/>
      <c r="B307" s="392"/>
      <c r="C307" s="393"/>
      <c r="D307" s="403" t="s">
        <v>409</v>
      </c>
      <c r="E307" s="1070">
        <f>IF(V_02=0,"0",VLOOKUP(V_02,Klima!$B$150:$N$150,5))</f>
        <v>0</v>
      </c>
      <c r="F307" s="411">
        <f t="shared" si="21"/>
        <v>0</v>
      </c>
      <c r="G307" s="44"/>
      <c r="H307" s="44"/>
      <c r="I307" s="502"/>
      <c r="K307" s="506"/>
      <c r="L307" s="413"/>
      <c r="M307" s="506"/>
      <c r="N307" s="413"/>
      <c r="O307" s="506"/>
      <c r="P307" s="413"/>
      <c r="Q307" s="44"/>
      <c r="R307" s="44"/>
      <c r="S307" s="633"/>
      <c r="T307" s="1068"/>
      <c r="U307" s="500"/>
      <c r="V307" s="500"/>
      <c r="W307" s="500"/>
      <c r="X307" s="498"/>
      <c r="Z307" s="1067"/>
      <c r="AA307" s="500"/>
      <c r="AB307" s="498"/>
      <c r="AC307" s="498"/>
      <c r="AD307" s="500"/>
      <c r="AG307" s="498"/>
      <c r="AH307" s="498"/>
      <c r="AM307" s="498"/>
      <c r="AN307" s="498"/>
      <c r="AO307" s="498"/>
    </row>
    <row r="308" spans="1:41" s="499" customFormat="1" ht="12.75" hidden="1" customHeight="1">
      <c r="A308" s="498"/>
      <c r="B308" s="392"/>
      <c r="C308" s="393"/>
      <c r="D308" s="403" t="s">
        <v>410</v>
      </c>
      <c r="E308" s="1070">
        <f>IF(V_02=0,"0",VLOOKUP(V_02,Klima!$B$150:$N$150,6))</f>
        <v>0</v>
      </c>
      <c r="F308" s="411">
        <f t="shared" si="21"/>
        <v>0</v>
      </c>
      <c r="G308" s="44"/>
      <c r="H308" s="44"/>
      <c r="I308" s="502"/>
      <c r="K308" s="506"/>
      <c r="L308" s="413"/>
      <c r="M308" s="506"/>
      <c r="N308" s="413"/>
      <c r="O308" s="506"/>
      <c r="P308" s="413"/>
      <c r="Q308" s="44"/>
      <c r="R308" s="44"/>
      <c r="S308" s="633"/>
      <c r="T308" s="1068"/>
      <c r="U308" s="500"/>
      <c r="V308" s="500"/>
      <c r="W308" s="500"/>
      <c r="X308" s="498"/>
      <c r="Z308" s="1067"/>
      <c r="AA308" s="500"/>
      <c r="AB308" s="498"/>
      <c r="AC308" s="498"/>
      <c r="AD308" s="500"/>
      <c r="AG308" s="498"/>
      <c r="AH308" s="498"/>
      <c r="AM308" s="498"/>
      <c r="AN308" s="498"/>
      <c r="AO308" s="498"/>
    </row>
    <row r="309" spans="1:41" s="499" customFormat="1" ht="12.75" hidden="1" customHeight="1">
      <c r="A309" s="498"/>
      <c r="B309" s="392"/>
      <c r="C309" s="393"/>
      <c r="D309" s="403" t="s">
        <v>411</v>
      </c>
      <c r="E309" s="1070">
        <f>IF(V_02=0,"0",VLOOKUP(V_02,Klima!$B$150:$N$150,7))</f>
        <v>0</v>
      </c>
      <c r="F309" s="411">
        <f t="shared" si="21"/>
        <v>0</v>
      </c>
      <c r="G309" s="44"/>
      <c r="H309" s="44"/>
      <c r="I309" s="502"/>
      <c r="K309" s="506"/>
      <c r="L309" s="413"/>
      <c r="M309" s="506"/>
      <c r="N309" s="413"/>
      <c r="O309" s="506"/>
      <c r="P309" s="413"/>
      <c r="Q309" s="44"/>
      <c r="R309" s="44"/>
      <c r="S309" s="633"/>
      <c r="T309" s="1068"/>
      <c r="U309" s="500"/>
      <c r="V309" s="500"/>
      <c r="W309" s="500"/>
      <c r="X309" s="498"/>
      <c r="Z309" s="1067"/>
      <c r="AA309" s="500"/>
      <c r="AB309" s="498"/>
      <c r="AC309" s="498"/>
      <c r="AD309" s="500"/>
      <c r="AG309" s="498"/>
      <c r="AH309" s="498"/>
      <c r="AM309" s="498"/>
      <c r="AN309" s="498"/>
      <c r="AO309" s="498"/>
    </row>
    <row r="310" spans="1:41" s="499" customFormat="1" ht="12.75" hidden="1" customHeight="1">
      <c r="A310" s="498"/>
      <c r="B310" s="392"/>
      <c r="C310" s="393"/>
      <c r="D310" s="403" t="s">
        <v>221</v>
      </c>
      <c r="E310" s="1070">
        <f>IF(V_02=0,"0",VLOOKUP(V_02,Klima!$B$150:$N$150,8))</f>
        <v>0</v>
      </c>
      <c r="F310" s="411">
        <f t="shared" si="21"/>
        <v>0</v>
      </c>
      <c r="G310" s="44"/>
      <c r="H310" s="44"/>
      <c r="I310" s="502"/>
      <c r="K310" s="506"/>
      <c r="L310" s="413"/>
      <c r="M310" s="506"/>
      <c r="N310" s="413"/>
      <c r="O310" s="506"/>
      <c r="P310" s="413"/>
      <c r="Q310" s="44"/>
      <c r="R310" s="44"/>
      <c r="S310" s="633"/>
      <c r="T310" s="1068"/>
      <c r="U310" s="500"/>
      <c r="V310" s="500"/>
      <c r="W310" s="500"/>
      <c r="X310" s="498"/>
      <c r="Z310" s="1067"/>
      <c r="AA310" s="500"/>
      <c r="AB310" s="498"/>
      <c r="AC310" s="498"/>
      <c r="AD310" s="500"/>
      <c r="AG310" s="498"/>
      <c r="AH310" s="498"/>
      <c r="AL310" s="498"/>
      <c r="AM310" s="498"/>
      <c r="AN310" s="498"/>
      <c r="AO310" s="498"/>
    </row>
    <row r="311" spans="1:41" s="499" customFormat="1" ht="12.75" hidden="1" customHeight="1">
      <c r="A311" s="498"/>
      <c r="B311" s="392"/>
      <c r="C311" s="393"/>
      <c r="D311" s="403" t="s">
        <v>138</v>
      </c>
      <c r="E311" s="1070">
        <f>IF(V_02=0,"0",VLOOKUP(V_02,Klima!$B$150:$N$150,9))</f>
        <v>0</v>
      </c>
      <c r="F311" s="411">
        <f t="shared" si="21"/>
        <v>0</v>
      </c>
      <c r="G311" s="44"/>
      <c r="H311" s="44"/>
      <c r="I311" s="502"/>
      <c r="K311" s="506"/>
      <c r="L311" s="413"/>
      <c r="M311" s="506"/>
      <c r="N311" s="413"/>
      <c r="O311" s="506"/>
      <c r="P311" s="413"/>
      <c r="Q311" s="44"/>
      <c r="R311" s="44"/>
      <c r="S311" s="633"/>
      <c r="T311" s="1068"/>
      <c r="U311" s="500"/>
      <c r="V311" s="500"/>
      <c r="W311" s="500"/>
      <c r="X311" s="498"/>
      <c r="Z311" s="1067"/>
      <c r="AA311" s="500"/>
      <c r="AB311" s="498"/>
      <c r="AC311" s="498"/>
      <c r="AD311" s="500"/>
      <c r="AG311" s="498"/>
      <c r="AH311" s="498"/>
      <c r="AL311" s="498"/>
      <c r="AM311" s="498"/>
      <c r="AN311" s="498"/>
      <c r="AO311" s="498"/>
    </row>
    <row r="312" spans="1:41" s="499" customFormat="1" ht="12.75" hidden="1" customHeight="1">
      <c r="A312" s="498"/>
      <c r="B312" s="392"/>
      <c r="C312" s="393"/>
      <c r="D312" s="403" t="s">
        <v>139</v>
      </c>
      <c r="E312" s="1070">
        <f>IF(V_02=0,"0",VLOOKUP(V_02,Klima!$B$150:$N$150,10))</f>
        <v>0</v>
      </c>
      <c r="F312" s="411">
        <f t="shared" si="21"/>
        <v>0</v>
      </c>
      <c r="G312" s="44"/>
      <c r="H312" s="44"/>
      <c r="I312" s="502"/>
      <c r="K312" s="506"/>
      <c r="L312" s="413"/>
      <c r="M312" s="506"/>
      <c r="N312" s="413"/>
      <c r="O312" s="506"/>
      <c r="P312" s="413"/>
      <c r="Q312" s="44"/>
      <c r="R312" s="44"/>
      <c r="S312" s="633"/>
      <c r="T312" s="1068"/>
      <c r="U312" s="500"/>
      <c r="V312" s="500"/>
      <c r="W312" s="500"/>
      <c r="X312" s="498"/>
      <c r="Z312" s="1067"/>
      <c r="AA312" s="500"/>
      <c r="AB312" s="498"/>
      <c r="AC312" s="498"/>
      <c r="AG312" s="498"/>
      <c r="AH312" s="498"/>
      <c r="AL312" s="498"/>
      <c r="AM312" s="498"/>
      <c r="AN312" s="498"/>
      <c r="AO312" s="498"/>
    </row>
    <row r="313" spans="1:41" s="499" customFormat="1" ht="12.75" hidden="1" customHeight="1">
      <c r="A313" s="498"/>
      <c r="B313" s="392"/>
      <c r="C313" s="393"/>
      <c r="D313" s="403" t="s">
        <v>269</v>
      </c>
      <c r="E313" s="1070">
        <f>IF(V_02=0,"0",VLOOKUP(V_02,Klima!$B$150:$N$150,11))</f>
        <v>0</v>
      </c>
      <c r="F313" s="411">
        <f t="shared" si="21"/>
        <v>0</v>
      </c>
      <c r="G313" s="44"/>
      <c r="H313" s="44"/>
      <c r="I313" s="502"/>
      <c r="K313" s="506"/>
      <c r="L313" s="413"/>
      <c r="M313" s="506"/>
      <c r="N313" s="413"/>
      <c r="O313" s="506"/>
      <c r="P313" s="413"/>
      <c r="Q313" s="44"/>
      <c r="R313" s="44"/>
      <c r="S313" s="633"/>
      <c r="T313" s="1068"/>
      <c r="U313" s="500"/>
      <c r="V313" s="500"/>
      <c r="W313" s="500"/>
      <c r="X313" s="498"/>
      <c r="Z313" s="1067"/>
      <c r="AA313" s="500"/>
      <c r="AB313" s="498"/>
      <c r="AC313" s="498"/>
      <c r="AG313" s="498"/>
      <c r="AH313" s="498"/>
      <c r="AL313" s="498"/>
      <c r="AM313" s="498"/>
      <c r="AN313" s="498"/>
      <c r="AO313" s="498"/>
    </row>
    <row r="314" spans="1:41" s="499" customFormat="1" ht="12.75" hidden="1" customHeight="1">
      <c r="A314" s="498"/>
      <c r="B314" s="392"/>
      <c r="C314" s="393"/>
      <c r="D314" s="403" t="s">
        <v>366</v>
      </c>
      <c r="E314" s="1070">
        <f>IF(V_02=0,"0",VLOOKUP(V_02,Klima!$B$150:$N$150,12))</f>
        <v>0</v>
      </c>
      <c r="F314" s="411">
        <f t="shared" si="21"/>
        <v>0</v>
      </c>
      <c r="G314" s="44"/>
      <c r="H314" s="44"/>
      <c r="I314" s="502"/>
      <c r="K314" s="506"/>
      <c r="L314" s="413"/>
      <c r="M314" s="506"/>
      <c r="N314" s="413"/>
      <c r="O314" s="506"/>
      <c r="P314" s="413"/>
      <c r="Q314" s="44"/>
      <c r="R314" s="44"/>
      <c r="S314" s="633"/>
      <c r="T314" s="1068"/>
      <c r="U314" s="500"/>
      <c r="V314" s="500"/>
      <c r="W314" s="500"/>
      <c r="X314" s="498"/>
      <c r="Z314" s="1067"/>
      <c r="AA314" s="500"/>
      <c r="AB314" s="498"/>
      <c r="AC314" s="498"/>
      <c r="AG314" s="498"/>
      <c r="AH314" s="498"/>
      <c r="AL314" s="498"/>
      <c r="AM314" s="498"/>
      <c r="AN314" s="498"/>
      <c r="AO314" s="498"/>
    </row>
    <row r="315" spans="1:41" s="499" customFormat="1" ht="12.75" hidden="1" customHeight="1">
      <c r="A315" s="498"/>
      <c r="B315" s="392"/>
      <c r="C315" s="393"/>
      <c r="D315" s="403" t="s">
        <v>465</v>
      </c>
      <c r="E315" s="1070">
        <f>IF(V_02=0,"0",VLOOKUP(V_02,Klima!$B$150:$N$150,13))</f>
        <v>0</v>
      </c>
      <c r="F315" s="411">
        <f t="shared" si="21"/>
        <v>0</v>
      </c>
      <c r="G315" s="44"/>
      <c r="H315" s="44"/>
      <c r="I315" s="502"/>
      <c r="K315" s="506"/>
      <c r="L315" s="413"/>
      <c r="M315" s="506"/>
      <c r="N315" s="413"/>
      <c r="O315" s="506"/>
      <c r="P315" s="413"/>
      <c r="Q315" s="44"/>
      <c r="R315" s="44"/>
      <c r="S315" s="633"/>
      <c r="T315" s="1068"/>
      <c r="U315" s="500"/>
      <c r="V315" s="500"/>
      <c r="W315" s="500"/>
      <c r="X315" s="498"/>
      <c r="Z315" s="1067"/>
      <c r="AA315" s="500"/>
      <c r="AB315" s="498"/>
      <c r="AC315" s="498"/>
      <c r="AG315" s="498"/>
      <c r="AH315" s="498"/>
      <c r="AL315" s="498"/>
      <c r="AM315" s="498"/>
      <c r="AN315" s="498"/>
      <c r="AO315" s="498"/>
    </row>
    <row r="316" spans="1:41" s="499" customFormat="1" ht="9.75" customHeight="1">
      <c r="A316" s="498"/>
      <c r="B316" s="392"/>
      <c r="C316" s="393"/>
      <c r="D316" s="36"/>
      <c r="E316" s="44"/>
      <c r="F316" s="284"/>
      <c r="G316" s="44"/>
      <c r="H316" s="44"/>
      <c r="I316" s="502"/>
      <c r="K316" s="506"/>
      <c r="L316" s="413"/>
      <c r="M316" s="506"/>
      <c r="N316" s="413"/>
      <c r="O316" s="506"/>
      <c r="P316" s="413"/>
      <c r="Q316" s="44"/>
      <c r="R316" s="44"/>
      <c r="S316" s="633"/>
      <c r="T316" s="1068"/>
      <c r="U316" s="500"/>
      <c r="V316" s="500"/>
      <c r="W316" s="500"/>
      <c r="X316" s="498"/>
      <c r="Y316" s="500"/>
      <c r="Z316" s="1067"/>
      <c r="AA316" s="498"/>
      <c r="AB316" s="498"/>
      <c r="AC316" s="500"/>
      <c r="AD316" s="500"/>
      <c r="AE316" s="498"/>
      <c r="AF316" s="498"/>
      <c r="AG316" s="498"/>
      <c r="AL316" s="498"/>
      <c r="AM316" s="498"/>
      <c r="AN316" s="498"/>
      <c r="AO316" s="498"/>
    </row>
    <row r="317" spans="1:41" s="499" customFormat="1" ht="9.75" customHeight="1">
      <c r="A317" s="498"/>
      <c r="B317" s="392"/>
      <c r="C317" s="393"/>
      <c r="D317" s="36"/>
      <c r="E317" s="44"/>
      <c r="F317" s="284"/>
      <c r="G317" s="44"/>
      <c r="H317" s="44"/>
      <c r="I317" s="502"/>
      <c r="K317" s="506"/>
      <c r="L317" s="413"/>
      <c r="M317" s="506"/>
      <c r="N317" s="413"/>
      <c r="O317" s="506"/>
      <c r="P317" s="413"/>
      <c r="Q317" s="44"/>
      <c r="R317" s="44"/>
      <c r="S317" s="633"/>
      <c r="T317" s="1068"/>
      <c r="U317" s="500"/>
      <c r="V317" s="500"/>
      <c r="W317" s="500"/>
      <c r="X317" s="498"/>
      <c r="Y317" s="500"/>
      <c r="Z317" s="1067"/>
      <c r="AA317" s="498"/>
      <c r="AB317" s="498"/>
      <c r="AC317" s="500"/>
      <c r="AD317" s="500"/>
      <c r="AE317" s="498"/>
      <c r="AF317" s="498"/>
      <c r="AG317" s="498"/>
      <c r="AL317" s="498"/>
      <c r="AM317" s="498"/>
      <c r="AN317" s="498"/>
      <c r="AO317" s="498"/>
    </row>
    <row r="318" spans="1:41" s="499" customFormat="1" ht="9.75" customHeight="1">
      <c r="A318" s="498"/>
      <c r="B318" s="392"/>
      <c r="C318" s="393"/>
      <c r="D318" s="36"/>
      <c r="E318" s="44"/>
      <c r="F318" s="284"/>
      <c r="G318" s="44"/>
      <c r="H318" s="44"/>
      <c r="I318" s="502"/>
      <c r="K318" s="506"/>
      <c r="L318" s="413"/>
      <c r="M318" s="506"/>
      <c r="N318" s="413"/>
      <c r="O318" s="506"/>
      <c r="P318" s="413"/>
      <c r="Q318" s="44"/>
      <c r="R318" s="44"/>
      <c r="S318" s="633"/>
      <c r="T318" s="1068"/>
      <c r="U318" s="500"/>
      <c r="V318" s="500"/>
      <c r="W318" s="500"/>
      <c r="X318" s="498"/>
      <c r="Y318" s="500"/>
      <c r="Z318" s="1067"/>
      <c r="AA318" s="498"/>
      <c r="AB318" s="500"/>
      <c r="AC318" s="500"/>
      <c r="AD318" s="500"/>
      <c r="AE318" s="498"/>
      <c r="AF318" s="498"/>
      <c r="AG318" s="498"/>
      <c r="AI318" s="498"/>
      <c r="AL318" s="498"/>
      <c r="AM318" s="498"/>
      <c r="AN318" s="498"/>
      <c r="AO318" s="498"/>
    </row>
    <row r="319" spans="1:41" s="496" customFormat="1" ht="15.75" customHeight="1">
      <c r="A319" s="37"/>
      <c r="B319" s="392"/>
      <c r="C319" s="627" t="s">
        <v>676</v>
      </c>
      <c r="D319" s="393"/>
      <c r="E319" s="393"/>
      <c r="F319" s="411"/>
      <c r="G319" s="394"/>
      <c r="H319" s="394"/>
      <c r="I319" s="503"/>
      <c r="J319" s="14"/>
      <c r="K319" s="506"/>
      <c r="L319" s="413"/>
      <c r="M319" s="506"/>
      <c r="N319" s="413"/>
      <c r="O319" s="506"/>
      <c r="P319" s="639" t="s">
        <v>191</v>
      </c>
      <c r="Q319" s="640">
        <f>SUM(Q29:Q303)</f>
        <v>0</v>
      </c>
      <c r="S319" s="635"/>
      <c r="T319" s="589"/>
      <c r="U319" s="497"/>
      <c r="V319" s="497"/>
      <c r="W319" s="497"/>
      <c r="X319" s="414"/>
      <c r="Y319" s="497"/>
      <c r="Z319" s="39"/>
      <c r="AA319" s="414"/>
      <c r="AB319" s="497"/>
      <c r="AC319" s="497"/>
      <c r="AD319" s="497"/>
      <c r="AE319" s="414"/>
      <c r="AF319" s="414"/>
      <c r="AG319" s="414"/>
      <c r="AI319" s="414"/>
      <c r="AL319" s="414"/>
      <c r="AM319" s="414"/>
      <c r="AN319" s="414"/>
      <c r="AO319" s="414"/>
    </row>
    <row r="320" spans="1:41" ht="7.95" customHeight="1" thickBot="1">
      <c r="A320" s="414"/>
      <c r="B320" s="398"/>
      <c r="C320" s="412"/>
      <c r="D320" s="412"/>
      <c r="E320" s="412"/>
      <c r="F320" s="401"/>
      <c r="G320" s="401"/>
      <c r="H320" s="401"/>
      <c r="I320" s="504"/>
      <c r="J320" s="504"/>
      <c r="K320" s="504"/>
      <c r="L320" s="504"/>
      <c r="M320" s="504"/>
      <c r="N320" s="504"/>
      <c r="O320" s="504"/>
      <c r="P320" s="504"/>
      <c r="Q320" s="401"/>
      <c r="R320" s="412"/>
      <c r="S320" s="83"/>
      <c r="T320" s="36"/>
      <c r="U320" s="40"/>
      <c r="V320" s="40"/>
      <c r="W320" s="40"/>
      <c r="X320" s="37"/>
      <c r="Y320" s="40"/>
      <c r="Z320" s="39"/>
      <c r="AA320" s="37"/>
      <c r="AB320" s="40"/>
      <c r="AC320" s="40"/>
      <c r="AD320" s="40"/>
      <c r="AE320" s="37"/>
      <c r="AF320" s="37"/>
      <c r="AG320" s="37"/>
      <c r="AI320" s="37"/>
      <c r="AL320" s="37"/>
      <c r="AM320" s="37"/>
      <c r="AN320" s="37"/>
      <c r="AO320" s="37"/>
    </row>
    <row r="321" spans="1:41" ht="9.75" customHeight="1">
      <c r="A321" s="37"/>
      <c r="B321" s="37"/>
      <c r="C321" s="37"/>
      <c r="D321" s="37"/>
      <c r="E321" s="37"/>
      <c r="F321" s="40"/>
      <c r="G321" s="40"/>
      <c r="H321" s="40"/>
      <c r="I321" s="505"/>
      <c r="J321" s="40"/>
      <c r="K321" s="506"/>
      <c r="L321" s="413"/>
      <c r="M321" s="506"/>
      <c r="N321" s="413"/>
      <c r="O321" s="506"/>
      <c r="P321" s="413"/>
      <c r="Q321" s="37"/>
      <c r="R321" s="37"/>
      <c r="S321" s="37"/>
      <c r="T321" s="37"/>
      <c r="U321" s="40"/>
      <c r="V321" s="40"/>
      <c r="W321" s="40"/>
      <c r="X321" s="37"/>
      <c r="Y321" s="40"/>
      <c r="Z321" s="39"/>
      <c r="AA321" s="37"/>
      <c r="AB321" s="40"/>
      <c r="AC321" s="40"/>
      <c r="AD321" s="40"/>
      <c r="AE321" s="37"/>
      <c r="AF321" s="37"/>
      <c r="AG321" s="37"/>
      <c r="AI321" s="37"/>
      <c r="AL321" s="37"/>
      <c r="AM321" s="37"/>
      <c r="AN321" s="37"/>
      <c r="AO321" s="37"/>
    </row>
    <row r="322" spans="1:41" ht="9.75" customHeight="1">
      <c r="A322" s="37"/>
      <c r="B322" s="37"/>
      <c r="C322" s="37"/>
      <c r="D322" s="37"/>
      <c r="E322" s="37"/>
      <c r="F322" s="40"/>
      <c r="G322" s="40"/>
      <c r="H322" s="40"/>
      <c r="I322" s="505"/>
      <c r="J322" s="40"/>
      <c r="K322" s="506"/>
      <c r="L322" s="413"/>
      <c r="M322" s="506"/>
      <c r="N322" s="413"/>
      <c r="O322" s="506"/>
      <c r="P322" s="413"/>
      <c r="Q322" s="37"/>
      <c r="R322" s="37"/>
      <c r="S322" s="37"/>
      <c r="T322" s="37"/>
      <c r="U322" s="40"/>
      <c r="V322" s="40"/>
      <c r="W322" s="40"/>
      <c r="X322" s="37"/>
      <c r="Y322" s="40"/>
      <c r="Z322" s="39"/>
      <c r="AA322" s="37"/>
      <c r="AB322" s="40"/>
      <c r="AC322" s="40"/>
      <c r="AD322" s="40"/>
      <c r="AE322" s="37"/>
      <c r="AF322" s="37"/>
      <c r="AG322" s="37"/>
      <c r="AI322" s="37"/>
      <c r="AL322" s="37"/>
      <c r="AM322" s="37"/>
      <c r="AN322" s="37"/>
      <c r="AO322" s="37"/>
    </row>
    <row r="323" spans="1:41" ht="9.75" customHeight="1">
      <c r="A323" s="37"/>
      <c r="B323" s="37"/>
      <c r="C323" s="37"/>
      <c r="D323" s="37"/>
      <c r="E323" s="37"/>
      <c r="F323" s="40"/>
      <c r="G323" s="40"/>
      <c r="H323" s="40"/>
      <c r="I323" s="505"/>
      <c r="J323" s="40"/>
      <c r="K323" s="41"/>
      <c r="L323" s="404"/>
      <c r="M323" s="41"/>
      <c r="N323" s="404"/>
      <c r="O323" s="41"/>
      <c r="P323" s="404"/>
      <c r="Q323" s="40"/>
      <c r="R323" s="40"/>
      <c r="S323" s="40"/>
      <c r="T323" s="40"/>
      <c r="U323" s="40"/>
      <c r="V323" s="40"/>
      <c r="W323" s="37"/>
      <c r="X323" s="37"/>
      <c r="Y323" s="40"/>
      <c r="Z323" s="39"/>
      <c r="AA323" s="37"/>
      <c r="AB323" s="37"/>
      <c r="AC323" s="37"/>
      <c r="AD323" s="37"/>
      <c r="AE323" s="37"/>
      <c r="AF323" s="37"/>
      <c r="AG323" s="37"/>
      <c r="AI323" s="37"/>
      <c r="AL323" s="37"/>
      <c r="AM323" s="37"/>
      <c r="AN323" s="37"/>
      <c r="AO323" s="37"/>
    </row>
    <row r="324" spans="1:41" ht="9.75" customHeight="1">
      <c r="A324" s="37"/>
      <c r="B324" s="37"/>
      <c r="C324" s="37"/>
      <c r="D324" s="37"/>
      <c r="E324" s="37"/>
      <c r="F324" s="40"/>
      <c r="G324" s="40"/>
      <c r="H324" s="40"/>
      <c r="I324" s="505"/>
      <c r="J324" s="40"/>
      <c r="K324" s="41"/>
      <c r="L324" s="404"/>
      <c r="M324" s="41"/>
      <c r="N324" s="404"/>
      <c r="O324" s="41"/>
      <c r="P324" s="404"/>
      <c r="Q324" s="40"/>
      <c r="R324" s="40"/>
      <c r="S324" s="40"/>
      <c r="T324" s="40"/>
      <c r="U324" s="40"/>
      <c r="V324" s="40"/>
      <c r="W324" s="37"/>
      <c r="X324" s="37"/>
      <c r="Y324" s="40"/>
      <c r="Z324" s="39"/>
      <c r="AA324" s="37"/>
      <c r="AB324" s="37"/>
      <c r="AC324" s="37"/>
      <c r="AD324" s="37"/>
      <c r="AE324" s="37"/>
      <c r="AF324" s="37"/>
      <c r="AG324" s="37"/>
      <c r="AI324" s="37"/>
      <c r="AL324" s="37"/>
      <c r="AM324" s="37"/>
      <c r="AN324" s="37"/>
      <c r="AO324" s="37"/>
    </row>
    <row r="325" spans="1:41" ht="9.75" customHeight="1">
      <c r="A325" s="37"/>
      <c r="B325" s="37"/>
      <c r="C325" s="37"/>
      <c r="D325" s="37"/>
      <c r="E325" s="37"/>
      <c r="F325" s="40"/>
      <c r="G325" s="40"/>
      <c r="H325" s="40"/>
      <c r="I325" s="505"/>
      <c r="J325" s="40"/>
      <c r="K325" s="41"/>
      <c r="L325" s="404"/>
      <c r="M325" s="41"/>
      <c r="N325" s="404"/>
      <c r="O325" s="41"/>
      <c r="P325" s="404"/>
      <c r="Q325" s="40"/>
      <c r="R325" s="40"/>
      <c r="S325" s="40"/>
      <c r="T325" s="40"/>
      <c r="U325" s="40"/>
      <c r="V325" s="40"/>
      <c r="W325" s="37"/>
      <c r="X325" s="37"/>
      <c r="Y325" s="40"/>
      <c r="Z325" s="39"/>
      <c r="AA325" s="40"/>
      <c r="AB325" s="37"/>
      <c r="AC325" s="37"/>
      <c r="AD325" s="37"/>
      <c r="AE325" s="37"/>
      <c r="AF325" s="37"/>
      <c r="AG325" s="37"/>
      <c r="AH325" s="37"/>
      <c r="AI325" s="37"/>
      <c r="AL325" s="37"/>
      <c r="AM325" s="37"/>
      <c r="AN325" s="37"/>
      <c r="AO325" s="37"/>
    </row>
    <row r="326" spans="1:41" ht="9.75" customHeight="1">
      <c r="A326" s="37"/>
      <c r="B326" s="37"/>
      <c r="C326" s="37"/>
      <c r="D326" s="37"/>
      <c r="E326" s="37"/>
      <c r="F326" s="40"/>
      <c r="G326" s="40"/>
      <c r="H326" s="40"/>
      <c r="I326" s="505"/>
      <c r="J326" s="40"/>
      <c r="K326" s="41"/>
      <c r="L326" s="404"/>
      <c r="M326" s="41"/>
      <c r="N326" s="404"/>
      <c r="O326" s="41"/>
      <c r="P326" s="404"/>
      <c r="Q326" s="40"/>
      <c r="R326" s="40"/>
      <c r="S326" s="40"/>
      <c r="T326" s="40"/>
      <c r="U326" s="40"/>
      <c r="V326" s="40"/>
      <c r="W326" s="37"/>
      <c r="X326" s="37"/>
      <c r="Y326" s="40"/>
      <c r="Z326" s="39"/>
      <c r="AA326" s="40"/>
      <c r="AB326" s="37"/>
      <c r="AC326" s="37"/>
      <c r="AD326" s="37"/>
      <c r="AE326" s="37"/>
      <c r="AF326" s="37"/>
      <c r="AG326" s="37"/>
      <c r="AH326" s="37"/>
      <c r="AI326" s="37"/>
      <c r="AL326" s="37"/>
      <c r="AM326" s="37"/>
      <c r="AN326" s="37"/>
      <c r="AO326" s="37"/>
    </row>
    <row r="327" spans="1:41" ht="9.75" customHeight="1">
      <c r="A327" s="37"/>
      <c r="B327" s="37"/>
      <c r="C327" s="37"/>
      <c r="D327" s="37"/>
      <c r="E327" s="37"/>
      <c r="F327" s="40"/>
      <c r="G327" s="40"/>
      <c r="H327" s="40"/>
      <c r="I327" s="505"/>
      <c r="J327" s="40"/>
      <c r="K327" s="41"/>
      <c r="L327" s="404"/>
      <c r="M327" s="41"/>
      <c r="N327" s="404"/>
      <c r="O327" s="41"/>
      <c r="P327" s="404"/>
      <c r="Q327" s="40"/>
      <c r="R327" s="40"/>
      <c r="S327" s="40"/>
      <c r="T327" s="40"/>
      <c r="U327" s="40"/>
      <c r="V327" s="40"/>
      <c r="W327" s="37"/>
      <c r="X327" s="37"/>
      <c r="Y327" s="40"/>
      <c r="Z327" s="39"/>
      <c r="AA327" s="40"/>
      <c r="AB327" s="37"/>
      <c r="AC327" s="37"/>
      <c r="AD327" s="37"/>
      <c r="AE327" s="37"/>
      <c r="AF327" s="37"/>
      <c r="AG327" s="37"/>
      <c r="AH327" s="37"/>
      <c r="AI327" s="37"/>
      <c r="AL327" s="37"/>
      <c r="AM327" s="37"/>
      <c r="AN327" s="37"/>
      <c r="AO327" s="37"/>
    </row>
    <row r="328" spans="1:41" ht="9.75" customHeight="1">
      <c r="A328" s="37"/>
      <c r="B328" s="37"/>
      <c r="C328" s="37"/>
      <c r="D328" s="37"/>
      <c r="E328" s="37"/>
      <c r="F328" s="40"/>
      <c r="G328" s="40"/>
      <c r="H328" s="40"/>
      <c r="I328" s="505"/>
      <c r="J328" s="40"/>
      <c r="K328" s="41"/>
      <c r="L328" s="404"/>
      <c r="M328" s="41"/>
      <c r="N328" s="404"/>
      <c r="O328" s="41"/>
      <c r="P328" s="404"/>
      <c r="Q328" s="40"/>
      <c r="R328" s="40"/>
      <c r="S328" s="40"/>
      <c r="T328" s="40"/>
      <c r="U328" s="40"/>
      <c r="V328" s="40"/>
      <c r="W328" s="37"/>
      <c r="X328" s="37"/>
      <c r="Y328" s="40"/>
      <c r="Z328" s="39"/>
      <c r="AA328" s="40"/>
      <c r="AB328" s="37"/>
      <c r="AC328" s="37"/>
      <c r="AD328" s="37"/>
      <c r="AE328" s="37"/>
      <c r="AF328" s="37"/>
      <c r="AG328" s="37"/>
      <c r="AH328" s="37"/>
      <c r="AI328" s="37"/>
      <c r="AL328" s="37"/>
      <c r="AM328" s="37"/>
      <c r="AN328" s="37"/>
      <c r="AO328" s="37"/>
    </row>
    <row r="329" spans="1:41" ht="9.75" customHeight="1">
      <c r="A329" s="37"/>
      <c r="B329" s="37"/>
      <c r="C329" s="37"/>
      <c r="D329" s="37"/>
      <c r="E329" s="37"/>
      <c r="F329" s="40"/>
      <c r="G329" s="40"/>
      <c r="H329" s="40"/>
      <c r="I329" s="505"/>
      <c r="J329" s="40"/>
      <c r="K329" s="41"/>
      <c r="L329" s="404"/>
      <c r="M329" s="41"/>
      <c r="N329" s="404"/>
      <c r="O329" s="41"/>
      <c r="P329" s="404"/>
      <c r="Q329" s="40"/>
      <c r="R329" s="40"/>
      <c r="S329" s="40"/>
      <c r="T329" s="40"/>
      <c r="U329" s="40"/>
      <c r="V329" s="40"/>
      <c r="W329" s="40"/>
      <c r="X329" s="37"/>
      <c r="Y329" s="40"/>
      <c r="Z329" s="39"/>
      <c r="AA329" s="40"/>
      <c r="AB329" s="37"/>
      <c r="AC329" s="37"/>
      <c r="AD329" s="37"/>
      <c r="AE329" s="37"/>
      <c r="AF329" s="37"/>
      <c r="AG329" s="37"/>
      <c r="AH329" s="37"/>
      <c r="AI329" s="37"/>
      <c r="AL329" s="37"/>
      <c r="AM329" s="37"/>
      <c r="AN329" s="37"/>
      <c r="AO329" s="37"/>
    </row>
    <row r="330" spans="1:41" ht="9.75" customHeight="1">
      <c r="A330" s="37"/>
      <c r="B330" s="37"/>
      <c r="C330" s="37"/>
      <c r="D330" s="37"/>
      <c r="E330" s="37"/>
      <c r="F330" s="40"/>
      <c r="G330" s="40"/>
      <c r="H330" s="40"/>
      <c r="I330" s="505"/>
      <c r="J330" s="40"/>
      <c r="K330" s="41"/>
      <c r="L330" s="404"/>
      <c r="M330" s="41"/>
      <c r="N330" s="404"/>
      <c r="O330" s="41"/>
      <c r="P330" s="404"/>
      <c r="Q330" s="40"/>
      <c r="R330" s="40"/>
      <c r="S330" s="40"/>
      <c r="T330" s="40"/>
      <c r="U330" s="40"/>
      <c r="V330" s="40"/>
      <c r="W330" s="40"/>
      <c r="X330" s="37"/>
      <c r="Y330" s="40"/>
      <c r="Z330" s="39"/>
      <c r="AA330" s="40"/>
      <c r="AB330" s="37"/>
      <c r="AC330" s="37"/>
      <c r="AD330" s="37"/>
      <c r="AE330" s="37"/>
      <c r="AF330" s="37"/>
      <c r="AG330" s="37"/>
      <c r="AH330" s="37"/>
      <c r="AI330" s="37"/>
      <c r="AL330" s="37"/>
      <c r="AM330" s="37"/>
      <c r="AN330" s="37"/>
      <c r="AO330" s="37"/>
    </row>
    <row r="331" spans="1:41" ht="9.75" customHeight="1">
      <c r="A331" s="37"/>
      <c r="B331" s="37"/>
      <c r="C331" s="37"/>
      <c r="D331" s="37"/>
      <c r="E331" s="37"/>
      <c r="F331" s="40"/>
      <c r="G331" s="40"/>
      <c r="H331" s="40"/>
      <c r="I331" s="505"/>
      <c r="J331" s="40"/>
      <c r="K331" s="41"/>
      <c r="L331" s="404"/>
      <c r="M331" s="41"/>
      <c r="N331" s="404"/>
      <c r="O331" s="41"/>
      <c r="P331" s="404"/>
      <c r="Q331" s="40"/>
      <c r="R331" s="40"/>
      <c r="S331" s="40"/>
      <c r="T331" s="40"/>
      <c r="U331" s="40"/>
      <c r="V331" s="40"/>
      <c r="W331" s="40"/>
      <c r="X331" s="37"/>
      <c r="Y331" s="40"/>
      <c r="Z331" s="39"/>
      <c r="AA331" s="40"/>
      <c r="AB331" s="37"/>
      <c r="AC331" s="37"/>
      <c r="AD331" s="37"/>
      <c r="AE331" s="37"/>
      <c r="AF331" s="37"/>
      <c r="AG331" s="37"/>
      <c r="AH331" s="37"/>
      <c r="AI331" s="37"/>
      <c r="AL331" s="37"/>
      <c r="AM331" s="37"/>
      <c r="AN331" s="37"/>
      <c r="AO331" s="37"/>
    </row>
    <row r="332" spans="1:41" ht="9.75" customHeight="1">
      <c r="A332" s="37"/>
      <c r="B332" s="37"/>
      <c r="C332" s="37"/>
      <c r="D332" s="37"/>
      <c r="E332" s="37"/>
      <c r="F332" s="40"/>
      <c r="G332" s="40"/>
      <c r="H332" s="40"/>
      <c r="I332" s="505"/>
      <c r="J332" s="40"/>
      <c r="K332" s="41"/>
      <c r="L332" s="404"/>
      <c r="M332" s="41"/>
      <c r="N332" s="404"/>
      <c r="O332" s="41"/>
      <c r="P332" s="404"/>
      <c r="Q332" s="40"/>
      <c r="R332" s="40"/>
      <c r="S332" s="40"/>
      <c r="T332" s="40"/>
      <c r="U332" s="40"/>
      <c r="V332" s="40"/>
      <c r="W332" s="40"/>
      <c r="X332" s="37"/>
      <c r="Y332" s="40"/>
      <c r="Z332" s="39"/>
      <c r="AA332" s="40"/>
      <c r="AB332" s="37"/>
      <c r="AC332" s="37"/>
      <c r="AD332" s="37"/>
      <c r="AE332" s="37"/>
      <c r="AF332" s="37"/>
      <c r="AG332" s="37"/>
      <c r="AH332" s="37"/>
      <c r="AI332" s="37"/>
      <c r="AL332" s="37"/>
      <c r="AM332" s="37"/>
      <c r="AN332" s="37"/>
      <c r="AO332" s="37"/>
    </row>
    <row r="333" spans="1:41" ht="9.75" customHeight="1">
      <c r="A333" s="37"/>
      <c r="B333" s="37"/>
      <c r="C333" s="37"/>
      <c r="D333" s="37"/>
      <c r="E333" s="37"/>
      <c r="F333" s="40"/>
      <c r="G333" s="40"/>
      <c r="H333" s="40"/>
      <c r="I333" s="505"/>
      <c r="J333" s="40"/>
      <c r="K333" s="41"/>
      <c r="L333" s="404"/>
      <c r="M333" s="41"/>
      <c r="N333" s="404"/>
      <c r="O333" s="41"/>
      <c r="P333" s="404"/>
      <c r="Q333" s="40"/>
      <c r="R333" s="40"/>
      <c r="S333" s="40"/>
      <c r="T333" s="40"/>
      <c r="U333" s="40"/>
      <c r="V333" s="40"/>
      <c r="W333" s="40"/>
      <c r="X333" s="37"/>
      <c r="Y333" s="40"/>
      <c r="Z333" s="39"/>
      <c r="AA333" s="40"/>
      <c r="AB333" s="37"/>
      <c r="AC333" s="37"/>
      <c r="AD333" s="37"/>
      <c r="AE333" s="37"/>
      <c r="AF333" s="37"/>
      <c r="AG333" s="37"/>
      <c r="AH333" s="37"/>
      <c r="AI333" s="37"/>
      <c r="AL333" s="37"/>
      <c r="AM333" s="37"/>
      <c r="AN333" s="37"/>
      <c r="AO333" s="37"/>
    </row>
    <row r="334" spans="1:41" ht="9.75" customHeight="1">
      <c r="A334" s="37"/>
      <c r="B334" s="37"/>
      <c r="C334" s="37"/>
      <c r="D334" s="37"/>
      <c r="E334" s="37"/>
      <c r="F334" s="40"/>
      <c r="G334" s="40"/>
      <c r="H334" s="40"/>
      <c r="I334" s="505"/>
      <c r="J334" s="40"/>
      <c r="K334" s="41"/>
      <c r="L334" s="404"/>
      <c r="M334" s="41"/>
      <c r="N334" s="404"/>
      <c r="O334" s="41"/>
      <c r="P334" s="404"/>
      <c r="Q334" s="40"/>
      <c r="R334" s="40"/>
      <c r="S334" s="40"/>
      <c r="T334" s="40"/>
      <c r="U334" s="40"/>
      <c r="V334" s="40"/>
      <c r="W334" s="40"/>
      <c r="X334" s="37"/>
      <c r="Y334" s="40"/>
      <c r="AA334" s="40"/>
      <c r="AB334" s="37"/>
      <c r="AC334" s="37"/>
      <c r="AD334" s="37"/>
      <c r="AE334" s="37"/>
      <c r="AF334" s="37"/>
      <c r="AG334" s="37"/>
      <c r="AH334" s="37"/>
      <c r="AI334" s="37"/>
      <c r="AK334" s="39"/>
      <c r="AL334" s="37"/>
      <c r="AM334" s="37"/>
      <c r="AN334" s="37"/>
      <c r="AO334" s="37"/>
    </row>
    <row r="335" spans="1:41" ht="9.75" customHeight="1">
      <c r="A335" s="37"/>
      <c r="B335" s="37"/>
      <c r="C335" s="37"/>
      <c r="D335" s="37"/>
      <c r="E335" s="37"/>
      <c r="F335" s="40"/>
      <c r="G335" s="40"/>
      <c r="H335" s="40"/>
      <c r="I335" s="505"/>
      <c r="J335" s="40"/>
      <c r="K335" s="41"/>
      <c r="L335" s="404"/>
      <c r="M335" s="41"/>
      <c r="N335" s="404"/>
      <c r="O335" s="41"/>
      <c r="P335" s="404"/>
      <c r="Q335" s="40"/>
      <c r="R335" s="40"/>
      <c r="S335" s="40"/>
      <c r="T335" s="40"/>
      <c r="U335" s="40"/>
      <c r="V335" s="40"/>
      <c r="W335" s="40"/>
      <c r="X335" s="37"/>
      <c r="Y335" s="40"/>
      <c r="AA335" s="40"/>
      <c r="AB335" s="37"/>
      <c r="AC335" s="37"/>
      <c r="AD335" s="37"/>
      <c r="AE335" s="37"/>
      <c r="AF335" s="37"/>
      <c r="AG335" s="37"/>
      <c r="AH335" s="37"/>
      <c r="AI335" s="37"/>
      <c r="AK335" s="39"/>
      <c r="AL335" s="37"/>
      <c r="AM335" s="37"/>
      <c r="AN335" s="37"/>
      <c r="AO335" s="37"/>
    </row>
    <row r="336" spans="1:41" ht="9.75" customHeight="1">
      <c r="A336" s="37"/>
      <c r="B336" s="37"/>
      <c r="C336" s="37"/>
      <c r="D336" s="37"/>
      <c r="E336" s="37"/>
      <c r="F336" s="40"/>
      <c r="G336" s="40"/>
      <c r="H336" s="40"/>
      <c r="I336" s="505"/>
      <c r="J336" s="40"/>
      <c r="K336" s="41"/>
      <c r="L336" s="404"/>
      <c r="M336" s="41"/>
      <c r="N336" s="404"/>
      <c r="O336" s="41"/>
      <c r="P336" s="404"/>
      <c r="Q336" s="40"/>
      <c r="R336" s="40"/>
      <c r="S336" s="40"/>
      <c r="T336" s="40"/>
      <c r="U336" s="40"/>
      <c r="V336" s="40"/>
      <c r="W336" s="40"/>
      <c r="X336" s="37"/>
      <c r="Y336" s="40"/>
      <c r="AA336" s="40"/>
      <c r="AB336" s="37"/>
      <c r="AC336" s="37"/>
      <c r="AD336" s="37"/>
      <c r="AE336" s="37"/>
      <c r="AF336" s="37"/>
      <c r="AG336" s="37"/>
      <c r="AH336" s="37"/>
      <c r="AI336" s="37"/>
      <c r="AK336" s="39"/>
      <c r="AL336" s="37"/>
      <c r="AM336" s="37"/>
      <c r="AN336" s="37"/>
      <c r="AO336" s="37"/>
    </row>
    <row r="337" spans="1:41" ht="9.75" customHeight="1">
      <c r="A337" s="37"/>
      <c r="B337" s="37"/>
      <c r="C337" s="37"/>
      <c r="D337" s="37"/>
      <c r="E337" s="37"/>
      <c r="F337" s="40"/>
      <c r="G337" s="40"/>
      <c r="H337" s="40"/>
      <c r="I337" s="505"/>
      <c r="J337" s="40"/>
      <c r="K337" s="41"/>
      <c r="L337" s="404"/>
      <c r="M337" s="41"/>
      <c r="N337" s="404"/>
      <c r="O337" s="41"/>
      <c r="P337" s="404"/>
      <c r="Q337" s="40"/>
      <c r="R337" s="40"/>
      <c r="S337" s="40"/>
      <c r="T337" s="40"/>
      <c r="U337" s="40"/>
      <c r="V337" s="40"/>
      <c r="W337" s="40"/>
      <c r="X337" s="37"/>
      <c r="Y337" s="40"/>
      <c r="AA337" s="40"/>
      <c r="AB337" s="37"/>
      <c r="AC337" s="37"/>
      <c r="AD337" s="37"/>
      <c r="AE337" s="37"/>
      <c r="AF337" s="37"/>
      <c r="AG337" s="37"/>
      <c r="AH337" s="37"/>
      <c r="AI337" s="37"/>
      <c r="AK337" s="39"/>
      <c r="AL337" s="37"/>
      <c r="AM337" s="37"/>
      <c r="AN337" s="37"/>
      <c r="AO337" s="37"/>
    </row>
    <row r="338" spans="1:41" ht="9.75" customHeight="1">
      <c r="A338" s="37"/>
      <c r="B338" s="37"/>
      <c r="C338" s="37"/>
      <c r="D338" s="37"/>
      <c r="E338" s="37"/>
      <c r="F338" s="40"/>
      <c r="G338" s="40"/>
      <c r="H338" s="40"/>
      <c r="I338" s="505"/>
      <c r="J338" s="40"/>
      <c r="K338" s="41"/>
      <c r="L338" s="404"/>
      <c r="M338" s="41"/>
      <c r="N338" s="404"/>
      <c r="O338" s="41"/>
      <c r="P338" s="404"/>
      <c r="Q338" s="40"/>
      <c r="R338" s="40"/>
      <c r="S338" s="40"/>
      <c r="T338" s="40"/>
      <c r="U338" s="40"/>
      <c r="V338" s="40"/>
      <c r="W338" s="40"/>
      <c r="X338" s="37"/>
      <c r="Y338" s="40"/>
      <c r="AA338" s="40"/>
      <c r="AB338" s="37"/>
      <c r="AC338" s="37"/>
      <c r="AD338" s="37"/>
      <c r="AE338" s="37"/>
      <c r="AF338" s="37"/>
      <c r="AG338" s="37"/>
      <c r="AH338" s="37"/>
      <c r="AI338" s="37"/>
      <c r="AK338" s="39"/>
      <c r="AL338" s="37"/>
      <c r="AM338" s="37"/>
      <c r="AN338" s="37"/>
      <c r="AO338" s="37"/>
    </row>
    <row r="339" spans="1:41" ht="9.75" customHeight="1">
      <c r="A339" s="37"/>
      <c r="B339" s="37"/>
      <c r="C339" s="37"/>
      <c r="D339" s="37"/>
      <c r="E339" s="37"/>
      <c r="F339" s="40"/>
      <c r="G339" s="40"/>
      <c r="H339" s="40"/>
      <c r="I339" s="505"/>
      <c r="J339" s="40"/>
      <c r="K339" s="41"/>
      <c r="L339" s="404"/>
      <c r="M339" s="41"/>
      <c r="N339" s="404"/>
      <c r="O339" s="41"/>
      <c r="P339" s="404"/>
      <c r="Q339" s="40"/>
      <c r="R339" s="40"/>
      <c r="S339" s="40"/>
      <c r="T339" s="40"/>
      <c r="U339" s="40"/>
      <c r="V339" s="40"/>
      <c r="W339" s="40"/>
      <c r="X339" s="37"/>
      <c r="Y339" s="40"/>
      <c r="AA339" s="40"/>
      <c r="AB339" s="37"/>
      <c r="AC339" s="37"/>
      <c r="AD339" s="37"/>
      <c r="AE339" s="37"/>
      <c r="AF339" s="37"/>
      <c r="AG339" s="37"/>
      <c r="AH339" s="37"/>
      <c r="AI339" s="37"/>
      <c r="AK339" s="39"/>
      <c r="AL339" s="37"/>
      <c r="AM339" s="37"/>
      <c r="AN339" s="37"/>
      <c r="AO339" s="37"/>
    </row>
    <row r="340" spans="1:41" ht="9.75" customHeight="1">
      <c r="A340" s="37"/>
      <c r="B340" s="37"/>
      <c r="C340" s="37"/>
      <c r="D340" s="37"/>
      <c r="E340" s="37"/>
      <c r="F340" s="40"/>
      <c r="G340" s="40"/>
      <c r="H340" s="40"/>
      <c r="I340" s="505"/>
      <c r="J340" s="40"/>
      <c r="K340" s="41"/>
      <c r="L340" s="404"/>
      <c r="M340" s="41"/>
      <c r="N340" s="404"/>
      <c r="O340" s="41"/>
      <c r="P340" s="404"/>
      <c r="Q340" s="40"/>
      <c r="R340" s="40"/>
      <c r="S340" s="40"/>
      <c r="T340" s="40"/>
      <c r="U340" s="40"/>
      <c r="V340" s="40"/>
      <c r="W340" s="40"/>
      <c r="X340" s="37"/>
      <c r="Y340" s="40"/>
      <c r="AA340" s="40"/>
      <c r="AB340" s="37"/>
      <c r="AC340" s="37"/>
      <c r="AD340" s="37"/>
      <c r="AE340" s="37"/>
      <c r="AF340" s="37"/>
      <c r="AG340" s="37"/>
      <c r="AH340" s="37"/>
      <c r="AI340" s="37"/>
      <c r="AK340" s="39"/>
      <c r="AL340" s="37"/>
      <c r="AM340" s="37"/>
      <c r="AN340" s="37"/>
      <c r="AO340" s="37"/>
    </row>
    <row r="341" spans="1:41" ht="9.75" customHeight="1">
      <c r="A341" s="37"/>
      <c r="B341" s="37"/>
      <c r="C341" s="37"/>
      <c r="D341" s="37"/>
      <c r="E341" s="37"/>
      <c r="F341" s="40"/>
      <c r="G341" s="40"/>
      <c r="H341" s="40"/>
      <c r="I341" s="505"/>
      <c r="J341" s="40"/>
      <c r="K341" s="41"/>
      <c r="L341" s="404"/>
      <c r="M341" s="41"/>
      <c r="N341" s="404"/>
      <c r="O341" s="41"/>
      <c r="P341" s="404"/>
      <c r="Q341" s="40"/>
      <c r="R341" s="40"/>
      <c r="S341" s="40"/>
      <c r="T341" s="40"/>
      <c r="U341" s="40"/>
      <c r="V341" s="40"/>
      <c r="W341" s="40"/>
      <c r="X341" s="37"/>
      <c r="Y341" s="40"/>
      <c r="AA341" s="40"/>
      <c r="AB341" s="37"/>
      <c r="AC341" s="37"/>
      <c r="AD341" s="37"/>
      <c r="AE341" s="37"/>
      <c r="AF341" s="37"/>
      <c r="AG341" s="37"/>
      <c r="AH341" s="37"/>
      <c r="AI341" s="37"/>
      <c r="AK341" s="39"/>
      <c r="AL341" s="37"/>
      <c r="AM341" s="37"/>
      <c r="AN341" s="37"/>
      <c r="AO341" s="37"/>
    </row>
    <row r="342" spans="1:41" ht="9.75" customHeight="1">
      <c r="A342" s="37"/>
      <c r="B342" s="37"/>
      <c r="C342" s="37"/>
      <c r="D342" s="37"/>
      <c r="E342" s="37"/>
      <c r="F342" s="40"/>
      <c r="G342" s="40"/>
      <c r="H342" s="40"/>
      <c r="I342" s="505"/>
      <c r="J342" s="40"/>
      <c r="K342" s="41"/>
      <c r="L342" s="404"/>
      <c r="M342" s="41"/>
      <c r="N342" s="404"/>
      <c r="O342" s="41"/>
      <c r="P342" s="404"/>
      <c r="Q342" s="40"/>
      <c r="R342" s="40"/>
      <c r="S342" s="40"/>
      <c r="T342" s="40"/>
      <c r="U342" s="40"/>
      <c r="V342" s="40"/>
      <c r="W342" s="40"/>
      <c r="X342" s="37"/>
      <c r="Y342" s="40"/>
      <c r="AA342" s="40"/>
      <c r="AB342" s="37"/>
      <c r="AC342" s="37"/>
      <c r="AD342" s="37"/>
      <c r="AE342" s="37"/>
      <c r="AF342" s="37"/>
      <c r="AG342" s="37"/>
      <c r="AH342" s="37"/>
      <c r="AI342" s="37"/>
      <c r="AK342" s="39"/>
      <c r="AL342" s="37"/>
      <c r="AM342" s="37"/>
      <c r="AN342" s="37"/>
      <c r="AO342" s="37"/>
    </row>
    <row r="343" spans="1:41" ht="9.75" customHeight="1">
      <c r="A343" s="37"/>
      <c r="B343" s="37"/>
      <c r="C343" s="37"/>
      <c r="D343" s="37"/>
      <c r="E343" s="37"/>
      <c r="F343" s="40"/>
      <c r="G343" s="40"/>
      <c r="H343" s="40"/>
      <c r="I343" s="505"/>
      <c r="J343" s="40"/>
      <c r="K343" s="41"/>
      <c r="L343" s="404"/>
      <c r="M343" s="41"/>
      <c r="N343" s="404"/>
      <c r="O343" s="41"/>
      <c r="P343" s="404"/>
      <c r="Q343" s="40"/>
      <c r="R343" s="40"/>
      <c r="S343" s="40"/>
      <c r="T343" s="40"/>
      <c r="U343" s="40"/>
      <c r="V343" s="40"/>
      <c r="W343" s="40"/>
      <c r="X343" s="37"/>
      <c r="Y343" s="40"/>
      <c r="AA343" s="40"/>
      <c r="AB343" s="37"/>
      <c r="AC343" s="37"/>
      <c r="AD343" s="37"/>
      <c r="AE343" s="37"/>
      <c r="AF343" s="37"/>
      <c r="AG343" s="37"/>
      <c r="AH343" s="37"/>
      <c r="AI343" s="37"/>
      <c r="AK343" s="39"/>
      <c r="AL343" s="37"/>
      <c r="AM343" s="37"/>
      <c r="AN343" s="37"/>
      <c r="AO343" s="37"/>
    </row>
    <row r="344" spans="1:41" ht="9.75" customHeight="1">
      <c r="A344" s="37"/>
      <c r="B344" s="37"/>
      <c r="C344" s="37"/>
      <c r="D344" s="37"/>
      <c r="E344" s="37"/>
      <c r="F344" s="40"/>
      <c r="G344" s="40"/>
      <c r="H344" s="40"/>
      <c r="I344" s="505"/>
      <c r="J344" s="40"/>
      <c r="K344" s="41"/>
      <c r="L344" s="404"/>
      <c r="M344" s="41"/>
      <c r="N344" s="404"/>
      <c r="O344" s="41"/>
      <c r="P344" s="404"/>
      <c r="Q344" s="40"/>
      <c r="R344" s="40"/>
      <c r="S344" s="40"/>
      <c r="T344" s="40"/>
      <c r="U344" s="40"/>
      <c r="V344" s="40"/>
      <c r="W344" s="40"/>
      <c r="X344" s="37"/>
      <c r="Y344" s="40"/>
      <c r="Z344" s="40"/>
      <c r="AA344" s="37"/>
      <c r="AB344" s="37"/>
      <c r="AC344" s="37"/>
      <c r="AD344" s="37"/>
      <c r="AE344" s="37"/>
      <c r="AF344" s="37"/>
      <c r="AG344" s="37"/>
      <c r="AH344" s="37"/>
      <c r="AI344" s="37"/>
      <c r="AK344" s="39"/>
      <c r="AL344" s="37"/>
      <c r="AM344" s="37"/>
      <c r="AN344" s="37"/>
      <c r="AO344" s="37"/>
    </row>
    <row r="345" spans="1:41" ht="9.75" customHeight="1">
      <c r="A345" s="37"/>
      <c r="B345" s="37"/>
      <c r="C345" s="37"/>
      <c r="D345" s="37"/>
      <c r="E345" s="37"/>
      <c r="F345" s="40"/>
      <c r="G345" s="40"/>
      <c r="H345" s="40"/>
      <c r="I345" s="505"/>
      <c r="J345" s="40"/>
      <c r="K345" s="41"/>
      <c r="L345" s="404"/>
      <c r="M345" s="41"/>
      <c r="N345" s="404"/>
      <c r="O345" s="41"/>
      <c r="P345" s="404"/>
      <c r="Q345" s="40"/>
      <c r="R345" s="40"/>
      <c r="S345" s="40"/>
      <c r="T345" s="40"/>
      <c r="U345" s="40"/>
      <c r="V345" s="40"/>
      <c r="W345" s="40"/>
      <c r="X345" s="37"/>
      <c r="Y345" s="40"/>
      <c r="Z345" s="40"/>
      <c r="AA345" s="37"/>
      <c r="AB345" s="37"/>
      <c r="AC345" s="37"/>
      <c r="AD345" s="37"/>
      <c r="AE345" s="37"/>
      <c r="AF345" s="37"/>
      <c r="AG345" s="37"/>
      <c r="AH345" s="37"/>
      <c r="AI345" s="37"/>
      <c r="AK345" s="39"/>
      <c r="AL345" s="37"/>
      <c r="AM345" s="37"/>
      <c r="AN345" s="37"/>
      <c r="AO345" s="37"/>
    </row>
    <row r="346" spans="1:41" ht="9.75" customHeight="1">
      <c r="A346" s="37"/>
      <c r="B346" s="37"/>
      <c r="C346" s="37"/>
      <c r="D346" s="37"/>
      <c r="E346" s="37"/>
      <c r="F346" s="40"/>
      <c r="G346" s="40"/>
      <c r="H346" s="40"/>
      <c r="I346" s="505"/>
      <c r="J346" s="40"/>
      <c r="K346" s="41"/>
      <c r="L346" s="404"/>
      <c r="M346" s="41"/>
      <c r="N346" s="404"/>
      <c r="O346" s="41"/>
      <c r="P346" s="404"/>
      <c r="Q346" s="40"/>
      <c r="R346" s="40"/>
      <c r="S346" s="40"/>
      <c r="T346" s="40"/>
      <c r="U346" s="40"/>
      <c r="V346" s="40"/>
      <c r="W346" s="40"/>
      <c r="X346" s="37"/>
      <c r="Y346" s="40"/>
      <c r="Z346" s="40"/>
      <c r="AA346" s="37"/>
      <c r="AB346" s="37"/>
      <c r="AC346" s="37"/>
      <c r="AD346" s="37"/>
      <c r="AE346" s="37"/>
      <c r="AF346" s="37"/>
      <c r="AG346" s="37"/>
      <c r="AH346" s="37"/>
      <c r="AI346" s="37"/>
      <c r="AK346" s="39"/>
      <c r="AL346" s="37"/>
      <c r="AM346" s="37"/>
      <c r="AN346" s="37"/>
      <c r="AO346" s="37"/>
    </row>
    <row r="347" spans="1:41" ht="9.75" customHeight="1">
      <c r="A347" s="37"/>
      <c r="B347" s="37"/>
      <c r="C347" s="37"/>
      <c r="D347" s="37"/>
      <c r="E347" s="37"/>
      <c r="F347" s="40"/>
      <c r="G347" s="40"/>
      <c r="H347" s="40"/>
      <c r="I347" s="505"/>
      <c r="J347" s="40"/>
      <c r="K347" s="41"/>
      <c r="L347" s="404"/>
      <c r="M347" s="41"/>
      <c r="N347" s="404"/>
      <c r="O347" s="41"/>
      <c r="P347" s="404"/>
      <c r="Q347" s="40"/>
      <c r="R347" s="40"/>
      <c r="S347" s="40"/>
      <c r="T347" s="40"/>
      <c r="U347" s="40"/>
      <c r="V347" s="40"/>
      <c r="W347" s="40"/>
      <c r="X347" s="37"/>
      <c r="Y347" s="40"/>
      <c r="Z347" s="40"/>
      <c r="AA347" s="37"/>
      <c r="AB347" s="37"/>
      <c r="AC347" s="37"/>
      <c r="AD347" s="37"/>
      <c r="AE347" s="37"/>
      <c r="AF347" s="37"/>
      <c r="AG347" s="37"/>
      <c r="AH347" s="37"/>
      <c r="AI347" s="37"/>
      <c r="AK347" s="39"/>
      <c r="AL347" s="37"/>
      <c r="AM347" s="37"/>
      <c r="AN347" s="37"/>
      <c r="AO347" s="37"/>
    </row>
    <row r="348" spans="1:41" ht="9.75" customHeight="1">
      <c r="A348" s="37"/>
      <c r="B348" s="37"/>
      <c r="C348" s="37"/>
      <c r="D348" s="37"/>
      <c r="E348" s="37"/>
      <c r="F348" s="40"/>
      <c r="G348" s="40"/>
      <c r="H348" s="40"/>
      <c r="I348" s="505"/>
      <c r="J348" s="40"/>
      <c r="K348" s="41"/>
      <c r="L348" s="404"/>
      <c r="M348" s="41"/>
      <c r="N348" s="404"/>
      <c r="O348" s="41"/>
      <c r="P348" s="404"/>
      <c r="Q348" s="40"/>
      <c r="R348" s="40"/>
      <c r="S348" s="40"/>
      <c r="T348" s="40"/>
      <c r="U348" s="40"/>
      <c r="V348" s="40"/>
      <c r="W348" s="40"/>
      <c r="X348" s="37"/>
      <c r="Y348" s="40"/>
      <c r="Z348" s="40"/>
      <c r="AA348" s="37"/>
      <c r="AB348" s="37"/>
      <c r="AC348" s="37"/>
      <c r="AD348" s="37"/>
      <c r="AE348" s="37"/>
      <c r="AF348" s="37"/>
      <c r="AG348" s="37"/>
      <c r="AH348" s="37"/>
      <c r="AI348" s="37"/>
      <c r="AK348" s="39"/>
      <c r="AL348" s="37"/>
      <c r="AM348" s="37"/>
      <c r="AN348" s="37"/>
      <c r="AO348" s="37"/>
    </row>
    <row r="349" spans="1:41" ht="9.75" customHeight="1">
      <c r="A349" s="37"/>
      <c r="B349" s="37"/>
      <c r="C349" s="37"/>
      <c r="D349" s="37"/>
      <c r="E349" s="37"/>
      <c r="F349" s="40"/>
      <c r="G349" s="40"/>
      <c r="H349" s="40"/>
      <c r="I349" s="505"/>
      <c r="J349" s="40"/>
      <c r="K349" s="41"/>
      <c r="L349" s="404"/>
      <c r="M349" s="41"/>
      <c r="N349" s="404"/>
      <c r="O349" s="41"/>
      <c r="P349" s="404"/>
      <c r="Q349" s="40"/>
      <c r="R349" s="40"/>
      <c r="S349" s="40"/>
      <c r="T349" s="40"/>
      <c r="U349" s="40"/>
      <c r="V349" s="40"/>
      <c r="W349" s="40"/>
      <c r="X349" s="37"/>
      <c r="Y349" s="40"/>
      <c r="Z349" s="40"/>
      <c r="AA349" s="37"/>
      <c r="AB349" s="37"/>
      <c r="AC349" s="37"/>
      <c r="AD349" s="37"/>
      <c r="AE349" s="37"/>
      <c r="AF349" s="37"/>
      <c r="AG349" s="37"/>
      <c r="AH349" s="37"/>
      <c r="AI349" s="37"/>
      <c r="AK349" s="39"/>
      <c r="AL349" s="37"/>
      <c r="AM349" s="37"/>
      <c r="AN349" s="37"/>
      <c r="AO349" s="37"/>
    </row>
    <row r="350" spans="1:41" ht="9.75" customHeight="1">
      <c r="A350" s="37"/>
      <c r="B350" s="37"/>
      <c r="C350" s="37"/>
      <c r="D350" s="37"/>
      <c r="E350" s="37"/>
      <c r="F350" s="40"/>
      <c r="G350" s="40"/>
      <c r="H350" s="40"/>
      <c r="I350" s="505"/>
      <c r="J350" s="40"/>
      <c r="K350" s="41"/>
      <c r="L350" s="404"/>
      <c r="M350" s="41"/>
      <c r="N350" s="404"/>
      <c r="O350" s="41"/>
      <c r="P350" s="404"/>
      <c r="Q350" s="40"/>
      <c r="R350" s="40"/>
      <c r="S350" s="40"/>
      <c r="T350" s="40"/>
      <c r="U350" s="40"/>
      <c r="V350" s="40"/>
      <c r="W350" s="40"/>
      <c r="X350" s="37"/>
      <c r="Y350" s="40"/>
      <c r="Z350" s="40"/>
      <c r="AA350" s="37"/>
      <c r="AB350" s="37"/>
      <c r="AC350" s="37"/>
      <c r="AD350" s="37"/>
      <c r="AE350" s="37"/>
      <c r="AF350" s="37"/>
      <c r="AG350" s="37"/>
      <c r="AH350" s="37"/>
      <c r="AI350" s="37"/>
      <c r="AK350" s="39"/>
      <c r="AL350" s="37"/>
      <c r="AM350" s="37"/>
      <c r="AN350" s="37"/>
      <c r="AO350" s="37"/>
    </row>
    <row r="351" spans="1:41" ht="9.75" customHeight="1">
      <c r="A351" s="37"/>
      <c r="B351" s="37"/>
      <c r="C351" s="37"/>
      <c r="D351" s="37"/>
      <c r="E351" s="37"/>
      <c r="F351" s="40"/>
      <c r="G351" s="40"/>
      <c r="H351" s="40"/>
      <c r="I351" s="505"/>
      <c r="J351" s="40"/>
      <c r="K351" s="41"/>
      <c r="L351" s="404"/>
      <c r="M351" s="41"/>
      <c r="N351" s="404"/>
      <c r="O351" s="41"/>
      <c r="P351" s="404"/>
      <c r="Q351" s="40"/>
      <c r="R351" s="40"/>
      <c r="S351" s="40"/>
      <c r="T351" s="40"/>
      <c r="U351" s="40"/>
      <c r="V351" s="40"/>
      <c r="W351" s="40"/>
      <c r="X351" s="37"/>
      <c r="Y351" s="40"/>
      <c r="Z351" s="40"/>
      <c r="AA351" s="37"/>
      <c r="AB351" s="37"/>
      <c r="AC351" s="37"/>
      <c r="AD351" s="37"/>
      <c r="AE351" s="37"/>
      <c r="AF351" s="37"/>
      <c r="AG351" s="37"/>
      <c r="AH351" s="37"/>
      <c r="AI351" s="37"/>
      <c r="AK351" s="39"/>
      <c r="AL351" s="37"/>
      <c r="AM351" s="37"/>
      <c r="AN351" s="37"/>
      <c r="AO351" s="37"/>
    </row>
    <row r="352" spans="1:41" ht="9.75" customHeight="1">
      <c r="A352" s="37"/>
      <c r="B352" s="37"/>
      <c r="C352" s="37"/>
      <c r="D352" s="37"/>
      <c r="E352" s="37"/>
      <c r="F352" s="40"/>
      <c r="G352" s="40"/>
      <c r="H352" s="40"/>
      <c r="I352" s="505"/>
      <c r="J352" s="40"/>
      <c r="K352" s="41"/>
      <c r="L352" s="404"/>
      <c r="M352" s="41"/>
      <c r="N352" s="404"/>
      <c r="O352" s="41"/>
      <c r="P352" s="404"/>
      <c r="Q352" s="40"/>
      <c r="R352" s="40"/>
      <c r="S352" s="40"/>
      <c r="T352" s="40"/>
      <c r="U352" s="40"/>
      <c r="V352" s="40"/>
      <c r="W352" s="40"/>
      <c r="X352" s="37"/>
      <c r="Y352" s="40"/>
      <c r="Z352" s="40"/>
      <c r="AA352" s="37"/>
      <c r="AB352" s="37"/>
      <c r="AC352" s="37"/>
      <c r="AD352" s="37"/>
      <c r="AE352" s="37"/>
      <c r="AF352" s="37"/>
      <c r="AG352" s="37"/>
      <c r="AH352" s="37"/>
      <c r="AI352" s="37"/>
      <c r="AK352" s="39"/>
      <c r="AL352" s="37"/>
      <c r="AM352" s="37"/>
      <c r="AN352" s="37"/>
      <c r="AO352" s="37"/>
    </row>
    <row r="353" spans="1:41" ht="9.75" customHeight="1">
      <c r="A353" s="37"/>
      <c r="B353" s="37"/>
      <c r="C353" s="37"/>
      <c r="D353" s="37"/>
      <c r="E353" s="37"/>
      <c r="F353" s="40"/>
      <c r="G353" s="40"/>
      <c r="H353" s="40"/>
      <c r="I353" s="505"/>
      <c r="J353" s="40"/>
      <c r="K353" s="41"/>
      <c r="L353" s="404"/>
      <c r="M353" s="41"/>
      <c r="N353" s="404"/>
      <c r="O353" s="41"/>
      <c r="P353" s="404"/>
      <c r="Q353" s="40"/>
      <c r="R353" s="40"/>
      <c r="S353" s="40"/>
      <c r="T353" s="40"/>
      <c r="U353" s="40"/>
      <c r="V353" s="40"/>
      <c r="W353" s="40"/>
      <c r="X353" s="37"/>
      <c r="Y353" s="40"/>
      <c r="Z353" s="40"/>
      <c r="AA353" s="37"/>
      <c r="AB353" s="37"/>
      <c r="AC353" s="37"/>
      <c r="AD353" s="37"/>
      <c r="AE353" s="37"/>
      <c r="AF353" s="37"/>
      <c r="AG353" s="37"/>
      <c r="AH353" s="37"/>
      <c r="AI353" s="37"/>
      <c r="AK353" s="39"/>
      <c r="AL353" s="37"/>
      <c r="AM353" s="37"/>
      <c r="AN353" s="37"/>
      <c r="AO353" s="37"/>
    </row>
    <row r="354" spans="1:41" ht="9.75" customHeight="1">
      <c r="A354" s="37"/>
      <c r="B354" s="37"/>
      <c r="C354" s="37"/>
      <c r="D354" s="37"/>
      <c r="E354" s="37"/>
      <c r="F354" s="40"/>
      <c r="G354" s="40"/>
      <c r="H354" s="40"/>
      <c r="I354" s="505"/>
      <c r="J354" s="40"/>
      <c r="K354" s="41"/>
      <c r="L354" s="404"/>
      <c r="M354" s="41"/>
      <c r="N354" s="404"/>
      <c r="O354" s="41"/>
      <c r="P354" s="404"/>
      <c r="Q354" s="40"/>
      <c r="R354" s="40"/>
      <c r="S354" s="40"/>
      <c r="T354" s="40"/>
      <c r="U354" s="40"/>
      <c r="V354" s="40"/>
      <c r="W354" s="40"/>
      <c r="X354" s="37"/>
      <c r="Y354" s="40"/>
      <c r="Z354" s="40"/>
      <c r="AA354" s="37"/>
      <c r="AB354" s="37"/>
      <c r="AC354" s="37"/>
      <c r="AD354" s="37"/>
      <c r="AE354" s="37"/>
      <c r="AF354" s="37"/>
      <c r="AG354" s="37"/>
      <c r="AH354" s="37"/>
      <c r="AI354" s="37"/>
      <c r="AK354" s="39"/>
      <c r="AL354" s="37"/>
      <c r="AM354" s="37"/>
      <c r="AN354" s="37"/>
      <c r="AO354" s="37"/>
    </row>
    <row r="355" spans="1:41" ht="9.75" customHeight="1">
      <c r="A355" s="37"/>
      <c r="B355" s="37"/>
      <c r="C355" s="37"/>
      <c r="D355" s="37"/>
      <c r="E355" s="37"/>
      <c r="F355" s="40"/>
      <c r="G355" s="40"/>
      <c r="H355" s="40"/>
      <c r="I355" s="505"/>
      <c r="J355" s="40"/>
      <c r="K355" s="41"/>
      <c r="L355" s="404"/>
      <c r="M355" s="41"/>
      <c r="N355" s="404"/>
      <c r="O355" s="41"/>
      <c r="P355" s="404"/>
      <c r="Q355" s="40"/>
      <c r="R355" s="40"/>
      <c r="S355" s="40"/>
      <c r="T355" s="40"/>
      <c r="U355" s="40"/>
      <c r="V355" s="40"/>
      <c r="W355" s="40"/>
      <c r="X355" s="37"/>
      <c r="Y355" s="40"/>
      <c r="Z355" s="40"/>
      <c r="AA355" s="37"/>
      <c r="AB355" s="37"/>
      <c r="AC355" s="37"/>
      <c r="AD355" s="37"/>
      <c r="AE355" s="37"/>
      <c r="AF355" s="37"/>
      <c r="AG355" s="37"/>
      <c r="AH355" s="37"/>
      <c r="AI355" s="37"/>
      <c r="AK355" s="39"/>
      <c r="AL355" s="37"/>
      <c r="AM355" s="37"/>
      <c r="AN355" s="37"/>
      <c r="AO355" s="37"/>
    </row>
    <row r="356" spans="1:41" ht="9.75" customHeight="1">
      <c r="A356" s="37"/>
      <c r="B356" s="37"/>
      <c r="C356" s="37"/>
      <c r="D356" s="37"/>
      <c r="E356" s="37"/>
      <c r="F356" s="40"/>
      <c r="G356" s="40"/>
      <c r="H356" s="40"/>
      <c r="I356" s="505"/>
      <c r="J356" s="40"/>
      <c r="K356" s="41"/>
      <c r="L356" s="404"/>
      <c r="M356" s="41"/>
      <c r="N356" s="404"/>
      <c r="O356" s="41"/>
      <c r="P356" s="404"/>
      <c r="Q356" s="40"/>
      <c r="R356" s="40"/>
      <c r="S356" s="40"/>
      <c r="T356" s="40"/>
      <c r="U356" s="40"/>
      <c r="V356" s="40"/>
      <c r="W356" s="40"/>
      <c r="X356" s="37"/>
      <c r="Y356" s="40"/>
      <c r="Z356" s="40"/>
      <c r="AA356" s="37"/>
      <c r="AB356" s="37"/>
      <c r="AC356" s="37"/>
      <c r="AD356" s="37"/>
      <c r="AE356" s="37"/>
      <c r="AF356" s="37"/>
      <c r="AG356" s="37"/>
      <c r="AH356" s="37"/>
      <c r="AI356" s="37"/>
      <c r="AK356" s="39"/>
      <c r="AL356" s="37"/>
      <c r="AM356" s="37"/>
      <c r="AN356" s="37"/>
      <c r="AO356" s="37"/>
    </row>
    <row r="357" spans="1:41" ht="9.75" customHeight="1">
      <c r="A357" s="37"/>
      <c r="B357" s="37"/>
      <c r="C357" s="37"/>
      <c r="D357" s="37"/>
      <c r="E357" s="37"/>
      <c r="F357" s="40"/>
      <c r="G357" s="40"/>
      <c r="H357" s="40"/>
      <c r="I357" s="505"/>
      <c r="J357" s="40"/>
      <c r="K357" s="41"/>
      <c r="L357" s="404"/>
      <c r="M357" s="41"/>
      <c r="N357" s="404"/>
      <c r="O357" s="41"/>
      <c r="P357" s="404"/>
      <c r="Q357" s="40"/>
      <c r="R357" s="40"/>
      <c r="S357" s="40"/>
      <c r="T357" s="40"/>
      <c r="U357" s="40"/>
      <c r="V357" s="40"/>
      <c r="W357" s="40"/>
      <c r="X357" s="37"/>
      <c r="Y357" s="40"/>
      <c r="Z357" s="37"/>
      <c r="AA357" s="37"/>
      <c r="AB357" s="37"/>
      <c r="AC357" s="37"/>
      <c r="AD357" s="37"/>
      <c r="AE357" s="37"/>
      <c r="AF357" s="37"/>
      <c r="AG357" s="37"/>
      <c r="AH357" s="37"/>
      <c r="AI357" s="37"/>
      <c r="AK357" s="39"/>
      <c r="AL357" s="37"/>
      <c r="AM357" s="37"/>
      <c r="AN357" s="37"/>
      <c r="AO357" s="37"/>
    </row>
    <row r="358" spans="1:41" ht="9.75" customHeight="1">
      <c r="A358" s="37"/>
      <c r="B358" s="37"/>
      <c r="C358" s="37"/>
      <c r="D358" s="37"/>
      <c r="E358" s="37"/>
      <c r="F358" s="40"/>
      <c r="G358" s="40"/>
      <c r="H358" s="40"/>
      <c r="I358" s="505"/>
      <c r="J358" s="40"/>
      <c r="K358" s="41"/>
      <c r="L358" s="404"/>
      <c r="M358" s="41"/>
      <c r="N358" s="404"/>
      <c r="O358" s="41"/>
      <c r="P358" s="404"/>
      <c r="Q358" s="40"/>
      <c r="R358" s="40"/>
      <c r="S358" s="40"/>
      <c r="T358" s="40"/>
      <c r="U358" s="40"/>
      <c r="V358" s="40"/>
      <c r="W358" s="40"/>
      <c r="X358" s="37"/>
      <c r="Y358" s="40"/>
      <c r="Z358" s="37"/>
      <c r="AA358" s="37"/>
      <c r="AB358" s="37"/>
      <c r="AC358" s="37"/>
      <c r="AD358" s="37"/>
      <c r="AE358" s="37"/>
      <c r="AF358" s="37"/>
      <c r="AG358" s="37"/>
      <c r="AH358" s="37"/>
      <c r="AI358" s="37"/>
      <c r="AK358" s="39"/>
      <c r="AL358" s="37"/>
      <c r="AM358" s="37"/>
      <c r="AN358" s="37"/>
      <c r="AO358" s="37"/>
    </row>
    <row r="359" spans="1:41" ht="9.75" customHeight="1">
      <c r="A359" s="37"/>
      <c r="B359" s="37"/>
      <c r="C359" s="37"/>
      <c r="D359" s="37"/>
      <c r="E359" s="37"/>
      <c r="F359" s="40"/>
      <c r="G359" s="40"/>
      <c r="H359" s="40"/>
      <c r="I359" s="505"/>
      <c r="J359" s="40"/>
      <c r="K359" s="41"/>
      <c r="L359" s="404"/>
      <c r="M359" s="41"/>
      <c r="N359" s="404"/>
      <c r="O359" s="41"/>
      <c r="P359" s="404"/>
      <c r="Q359" s="40"/>
      <c r="R359" s="40"/>
      <c r="S359" s="40"/>
      <c r="T359" s="40"/>
      <c r="U359" s="40"/>
      <c r="V359" s="40"/>
      <c r="W359" s="40"/>
      <c r="X359" s="37"/>
      <c r="Y359" s="40"/>
      <c r="Z359" s="37"/>
      <c r="AA359" s="37"/>
      <c r="AB359" s="37"/>
      <c r="AC359" s="37"/>
      <c r="AD359" s="37"/>
      <c r="AE359" s="37"/>
      <c r="AF359" s="37"/>
      <c r="AG359" s="37"/>
      <c r="AH359" s="37"/>
      <c r="AI359" s="37"/>
      <c r="AK359" s="39"/>
      <c r="AL359" s="37"/>
      <c r="AM359" s="37"/>
      <c r="AN359" s="37"/>
      <c r="AO359" s="37"/>
    </row>
    <row r="360" spans="1:41" ht="9.75" customHeight="1">
      <c r="A360" s="37"/>
      <c r="B360" s="37"/>
      <c r="C360" s="37"/>
      <c r="D360" s="37"/>
      <c r="E360" s="37"/>
      <c r="F360" s="40"/>
      <c r="G360" s="40"/>
      <c r="H360" s="40"/>
      <c r="I360" s="505"/>
      <c r="J360" s="40"/>
      <c r="K360" s="41"/>
      <c r="L360" s="404"/>
      <c r="M360" s="41"/>
      <c r="N360" s="404"/>
      <c r="O360" s="41"/>
      <c r="P360" s="404"/>
      <c r="Q360" s="40"/>
      <c r="R360" s="40"/>
      <c r="S360" s="40"/>
      <c r="T360" s="40"/>
      <c r="U360" s="40"/>
      <c r="V360" s="40"/>
      <c r="W360" s="40"/>
      <c r="X360" s="37"/>
      <c r="Y360" s="40"/>
      <c r="Z360" s="37"/>
      <c r="AA360" s="37"/>
      <c r="AB360" s="37"/>
      <c r="AC360" s="37"/>
      <c r="AD360" s="37"/>
      <c r="AE360" s="37"/>
      <c r="AF360" s="37"/>
      <c r="AG360" s="37"/>
      <c r="AH360" s="37"/>
      <c r="AI360" s="37"/>
      <c r="AK360" s="39"/>
      <c r="AL360" s="37"/>
      <c r="AM360" s="37"/>
      <c r="AN360" s="37"/>
      <c r="AO360" s="37"/>
    </row>
    <row r="361" spans="1:41" ht="9.75" customHeight="1">
      <c r="A361" s="37"/>
      <c r="B361" s="37"/>
      <c r="C361" s="37"/>
      <c r="D361" s="37"/>
      <c r="E361" s="37"/>
      <c r="F361" s="40"/>
      <c r="G361" s="40"/>
      <c r="H361" s="40"/>
      <c r="I361" s="505"/>
      <c r="J361" s="40"/>
      <c r="K361" s="41"/>
      <c r="L361" s="404"/>
      <c r="M361" s="41"/>
      <c r="N361" s="404"/>
      <c r="O361" s="41"/>
      <c r="P361" s="404"/>
      <c r="Q361" s="40"/>
      <c r="R361" s="40"/>
      <c r="S361" s="40"/>
      <c r="T361" s="40"/>
      <c r="U361" s="40"/>
      <c r="V361" s="40"/>
      <c r="W361" s="40"/>
      <c r="X361" s="40"/>
      <c r="Y361" s="40"/>
      <c r="Z361" s="37"/>
      <c r="AA361" s="37"/>
      <c r="AB361" s="37"/>
      <c r="AC361" s="37"/>
      <c r="AD361" s="37"/>
      <c r="AE361" s="37"/>
      <c r="AF361" s="37"/>
      <c r="AG361" s="37"/>
      <c r="AH361" s="37"/>
      <c r="AI361" s="37"/>
      <c r="AJ361" s="37"/>
      <c r="AK361" s="39"/>
      <c r="AL361" s="37"/>
      <c r="AM361" s="37"/>
      <c r="AN361" s="37"/>
      <c r="AO361" s="37"/>
    </row>
    <row r="362" spans="1:41" ht="9.75" customHeight="1">
      <c r="A362" s="37"/>
      <c r="B362" s="37"/>
      <c r="C362" s="37"/>
      <c r="D362" s="37"/>
      <c r="E362" s="37"/>
      <c r="F362" s="40"/>
      <c r="G362" s="40"/>
      <c r="H362" s="40"/>
      <c r="I362" s="505"/>
      <c r="J362" s="40"/>
      <c r="K362" s="41"/>
      <c r="L362" s="404"/>
      <c r="M362" s="41"/>
      <c r="N362" s="404"/>
      <c r="O362" s="41"/>
      <c r="P362" s="404"/>
      <c r="Q362" s="40"/>
      <c r="R362" s="40"/>
      <c r="S362" s="40"/>
      <c r="T362" s="40"/>
      <c r="U362" s="40"/>
      <c r="V362" s="40"/>
      <c r="W362" s="40"/>
      <c r="X362" s="40"/>
      <c r="Y362" s="40"/>
      <c r="Z362" s="37"/>
      <c r="AA362" s="37"/>
      <c r="AB362" s="37"/>
      <c r="AC362" s="37"/>
      <c r="AD362" s="37"/>
      <c r="AE362" s="37"/>
      <c r="AF362" s="37"/>
      <c r="AG362" s="37"/>
      <c r="AH362" s="37"/>
      <c r="AI362" s="37"/>
      <c r="AJ362" s="37"/>
      <c r="AK362" s="39"/>
      <c r="AL362" s="37"/>
      <c r="AM362" s="37"/>
      <c r="AN362" s="37"/>
      <c r="AO362" s="37"/>
    </row>
    <row r="363" spans="1:41" ht="9.75" customHeight="1">
      <c r="A363" s="37"/>
      <c r="B363" s="37"/>
      <c r="C363" s="37"/>
      <c r="D363" s="37"/>
      <c r="E363" s="37"/>
      <c r="F363" s="40"/>
      <c r="G363" s="40"/>
      <c r="H363" s="40"/>
      <c r="I363" s="505"/>
      <c r="J363" s="40"/>
      <c r="K363" s="41"/>
      <c r="L363" s="404"/>
      <c r="M363" s="41"/>
      <c r="N363" s="404"/>
      <c r="O363" s="41"/>
      <c r="P363" s="404"/>
      <c r="Q363" s="40"/>
      <c r="R363" s="40"/>
      <c r="S363" s="40"/>
      <c r="T363" s="40"/>
      <c r="U363" s="40"/>
      <c r="V363" s="40"/>
      <c r="W363" s="40"/>
      <c r="X363" s="40"/>
      <c r="Y363" s="40"/>
      <c r="Z363" s="37"/>
      <c r="AA363" s="37"/>
      <c r="AB363" s="37"/>
      <c r="AC363" s="37"/>
      <c r="AD363" s="37"/>
      <c r="AE363" s="37"/>
      <c r="AF363" s="37"/>
      <c r="AG363" s="37"/>
      <c r="AH363" s="37"/>
      <c r="AI363" s="37"/>
      <c r="AJ363" s="37"/>
      <c r="AK363" s="39"/>
      <c r="AL363" s="37"/>
      <c r="AM363" s="37"/>
      <c r="AN363" s="37"/>
      <c r="AO363" s="37"/>
    </row>
    <row r="364" spans="1:41" ht="9.75" customHeight="1">
      <c r="A364" s="37"/>
      <c r="B364" s="37"/>
      <c r="C364" s="37"/>
      <c r="D364" s="37"/>
      <c r="E364" s="37"/>
      <c r="F364" s="40"/>
      <c r="G364" s="40"/>
      <c r="H364" s="40"/>
      <c r="I364" s="505"/>
      <c r="J364" s="40"/>
      <c r="K364" s="41"/>
      <c r="L364" s="404"/>
      <c r="M364" s="41"/>
      <c r="N364" s="404"/>
      <c r="O364" s="41"/>
      <c r="P364" s="404"/>
      <c r="Q364" s="40"/>
      <c r="R364" s="40"/>
      <c r="S364" s="40"/>
      <c r="T364" s="40"/>
      <c r="U364" s="40"/>
      <c r="V364" s="40"/>
      <c r="W364" s="40"/>
      <c r="X364" s="40"/>
      <c r="Y364" s="40"/>
      <c r="Z364" s="37"/>
      <c r="AA364" s="37"/>
      <c r="AB364" s="37"/>
      <c r="AC364" s="37"/>
      <c r="AD364" s="37"/>
      <c r="AE364" s="37"/>
      <c r="AF364" s="37"/>
      <c r="AG364" s="37"/>
      <c r="AH364" s="37"/>
      <c r="AI364" s="37"/>
      <c r="AJ364" s="37"/>
      <c r="AK364" s="39"/>
      <c r="AL364" s="37"/>
      <c r="AM364" s="37"/>
      <c r="AN364" s="37"/>
      <c r="AO364" s="37"/>
    </row>
    <row r="365" spans="1:41" ht="9.75" customHeight="1">
      <c r="A365" s="37"/>
      <c r="B365" s="37"/>
      <c r="C365" s="37"/>
      <c r="D365" s="37"/>
      <c r="E365" s="37"/>
      <c r="F365" s="40"/>
      <c r="G365" s="40"/>
      <c r="H365" s="40"/>
      <c r="I365" s="505"/>
      <c r="J365" s="40"/>
      <c r="K365" s="41"/>
      <c r="L365" s="404"/>
      <c r="M365" s="41"/>
      <c r="N365" s="404"/>
      <c r="O365" s="41"/>
      <c r="P365" s="404"/>
      <c r="Q365" s="40"/>
      <c r="R365" s="40"/>
      <c r="S365" s="40"/>
      <c r="T365" s="40"/>
      <c r="U365" s="40"/>
      <c r="V365" s="40"/>
      <c r="W365" s="40"/>
      <c r="X365" s="40"/>
      <c r="Y365" s="40"/>
      <c r="Z365" s="37"/>
      <c r="AA365" s="37"/>
      <c r="AB365" s="37"/>
      <c r="AC365" s="37"/>
      <c r="AD365" s="37"/>
      <c r="AE365" s="37"/>
      <c r="AF365" s="37"/>
      <c r="AG365" s="37"/>
      <c r="AH365" s="37"/>
      <c r="AI365" s="37"/>
      <c r="AJ365" s="37"/>
      <c r="AK365" s="39"/>
      <c r="AL365" s="37"/>
      <c r="AM365" s="37"/>
      <c r="AN365" s="37"/>
      <c r="AO365" s="37"/>
    </row>
    <row r="366" spans="1:41" ht="9.75" customHeight="1">
      <c r="A366" s="37"/>
      <c r="B366" s="37"/>
      <c r="C366" s="37"/>
      <c r="D366" s="37"/>
      <c r="E366" s="37"/>
      <c r="F366" s="40"/>
      <c r="G366" s="40"/>
      <c r="H366" s="40"/>
      <c r="I366" s="505"/>
      <c r="J366" s="40"/>
      <c r="K366" s="41"/>
      <c r="L366" s="404"/>
      <c r="M366" s="41"/>
      <c r="N366" s="404"/>
      <c r="O366" s="41"/>
      <c r="P366" s="404"/>
      <c r="Q366" s="40"/>
      <c r="R366" s="40"/>
      <c r="S366" s="40"/>
      <c r="T366" s="40"/>
      <c r="U366" s="40"/>
      <c r="V366" s="40"/>
      <c r="W366" s="40"/>
      <c r="X366" s="40"/>
      <c r="Y366" s="40"/>
      <c r="Z366" s="37"/>
      <c r="AA366" s="37"/>
      <c r="AB366" s="37"/>
      <c r="AC366" s="37"/>
      <c r="AD366" s="37"/>
      <c r="AE366" s="37"/>
      <c r="AF366" s="37"/>
      <c r="AG366" s="37"/>
      <c r="AH366" s="37"/>
      <c r="AI366" s="37"/>
      <c r="AJ366" s="37"/>
      <c r="AK366" s="39"/>
      <c r="AL366" s="37"/>
      <c r="AM366" s="37"/>
      <c r="AN366" s="37"/>
      <c r="AO366" s="37"/>
    </row>
    <row r="367" spans="1:41" ht="9.75" customHeight="1">
      <c r="A367" s="37"/>
      <c r="B367" s="37"/>
      <c r="C367" s="37"/>
      <c r="D367" s="37"/>
      <c r="E367" s="37"/>
      <c r="F367" s="40"/>
      <c r="G367" s="40"/>
      <c r="H367" s="40"/>
      <c r="I367" s="505"/>
      <c r="J367" s="40"/>
      <c r="K367" s="41"/>
      <c r="L367" s="404"/>
      <c r="M367" s="41"/>
      <c r="N367" s="404"/>
      <c r="O367" s="41"/>
      <c r="P367" s="404"/>
      <c r="Q367" s="40"/>
      <c r="R367" s="40"/>
      <c r="S367" s="40"/>
      <c r="T367" s="40"/>
      <c r="U367" s="40"/>
      <c r="V367" s="40"/>
      <c r="W367" s="40"/>
      <c r="X367" s="40"/>
      <c r="Y367" s="40"/>
      <c r="Z367" s="37"/>
      <c r="AA367" s="37"/>
      <c r="AB367" s="37"/>
      <c r="AC367" s="37"/>
      <c r="AD367" s="37"/>
      <c r="AE367" s="37"/>
      <c r="AF367" s="37"/>
      <c r="AG367" s="37"/>
      <c r="AH367" s="37"/>
      <c r="AI367" s="37"/>
      <c r="AJ367" s="37"/>
      <c r="AK367" s="39"/>
      <c r="AL367" s="37"/>
      <c r="AM367" s="37"/>
      <c r="AN367" s="37"/>
      <c r="AO367" s="37"/>
    </row>
    <row r="368" spans="1:41" ht="9.75" customHeight="1">
      <c r="A368" s="37"/>
      <c r="B368" s="37"/>
      <c r="C368" s="37"/>
      <c r="D368" s="37"/>
      <c r="E368" s="37"/>
      <c r="F368" s="40"/>
      <c r="G368" s="40"/>
      <c r="H368" s="40"/>
      <c r="I368" s="505"/>
      <c r="J368" s="40"/>
      <c r="K368" s="41"/>
      <c r="L368" s="404"/>
      <c r="M368" s="41"/>
      <c r="N368" s="404"/>
      <c r="O368" s="41"/>
      <c r="P368" s="404"/>
      <c r="Q368" s="40"/>
      <c r="R368" s="40"/>
      <c r="S368" s="40"/>
      <c r="T368" s="40"/>
      <c r="U368" s="40"/>
      <c r="V368" s="40"/>
      <c r="W368" s="40"/>
      <c r="X368" s="40"/>
      <c r="Y368" s="40"/>
      <c r="Z368" s="37"/>
      <c r="AA368" s="37"/>
      <c r="AB368" s="37"/>
      <c r="AC368" s="37"/>
      <c r="AD368" s="37"/>
      <c r="AE368" s="37"/>
      <c r="AF368" s="37"/>
      <c r="AG368" s="37"/>
      <c r="AH368" s="37"/>
      <c r="AI368" s="37"/>
      <c r="AJ368" s="37"/>
      <c r="AK368" s="39"/>
      <c r="AL368" s="37"/>
      <c r="AM368" s="37"/>
      <c r="AN368" s="37"/>
      <c r="AO368" s="37"/>
    </row>
    <row r="369" spans="1:41" ht="9.75" customHeight="1">
      <c r="A369" s="37"/>
      <c r="B369" s="37"/>
      <c r="C369" s="37"/>
      <c r="D369" s="37"/>
      <c r="E369" s="37"/>
      <c r="F369" s="40"/>
      <c r="G369" s="40"/>
      <c r="H369" s="40"/>
      <c r="I369" s="505"/>
      <c r="J369" s="40"/>
      <c r="K369" s="41"/>
      <c r="L369" s="404"/>
      <c r="M369" s="41"/>
      <c r="N369" s="404"/>
      <c r="O369" s="41"/>
      <c r="P369" s="404"/>
      <c r="Q369" s="40"/>
      <c r="R369" s="40"/>
      <c r="S369" s="40"/>
      <c r="T369" s="40"/>
      <c r="U369" s="40"/>
      <c r="V369" s="40"/>
      <c r="W369" s="40"/>
      <c r="X369" s="40"/>
      <c r="Y369" s="40"/>
      <c r="Z369" s="37"/>
      <c r="AA369" s="37"/>
      <c r="AB369" s="37"/>
      <c r="AC369" s="37"/>
      <c r="AD369" s="37"/>
      <c r="AE369" s="37"/>
      <c r="AF369" s="37"/>
      <c r="AG369" s="37"/>
      <c r="AH369" s="37"/>
      <c r="AI369" s="37"/>
      <c r="AJ369" s="37"/>
      <c r="AK369" s="39"/>
      <c r="AL369" s="37"/>
      <c r="AM369" s="37"/>
      <c r="AN369" s="37"/>
      <c r="AO369" s="37"/>
    </row>
    <row r="370" spans="1:41" ht="9.75" customHeight="1">
      <c r="A370" s="37"/>
      <c r="B370" s="37"/>
      <c r="C370" s="37"/>
      <c r="D370" s="37"/>
      <c r="E370" s="37"/>
      <c r="F370" s="40"/>
      <c r="G370" s="40"/>
      <c r="H370" s="40"/>
      <c r="I370" s="505"/>
      <c r="J370" s="40"/>
      <c r="K370" s="41"/>
      <c r="L370" s="404"/>
      <c r="M370" s="41"/>
      <c r="N370" s="404"/>
      <c r="O370" s="41"/>
      <c r="P370" s="404"/>
      <c r="Q370" s="40"/>
      <c r="R370" s="40"/>
      <c r="S370" s="40"/>
      <c r="T370" s="40"/>
      <c r="U370" s="40"/>
      <c r="V370" s="40"/>
      <c r="W370" s="40"/>
      <c r="X370" s="40"/>
      <c r="Y370" s="40"/>
      <c r="Z370" s="37"/>
      <c r="AA370" s="37"/>
      <c r="AB370" s="37"/>
      <c r="AC370" s="37"/>
      <c r="AD370" s="37"/>
      <c r="AE370" s="37"/>
      <c r="AF370" s="37"/>
      <c r="AG370" s="37"/>
      <c r="AH370" s="37"/>
      <c r="AI370" s="37"/>
      <c r="AJ370" s="37"/>
      <c r="AK370" s="39"/>
      <c r="AL370" s="37"/>
      <c r="AM370" s="37"/>
      <c r="AN370" s="37"/>
      <c r="AO370" s="37"/>
    </row>
    <row r="371" spans="1:41" ht="9.75" customHeight="1">
      <c r="A371" s="37"/>
      <c r="B371" s="37"/>
      <c r="C371" s="37"/>
      <c r="D371" s="37"/>
      <c r="E371" s="37"/>
      <c r="F371" s="40"/>
      <c r="G371" s="40"/>
      <c r="H371" s="40"/>
      <c r="I371" s="505"/>
      <c r="J371" s="40"/>
      <c r="K371" s="41"/>
      <c r="L371" s="404"/>
      <c r="M371" s="41"/>
      <c r="N371" s="404"/>
      <c r="O371" s="41"/>
      <c r="P371" s="404"/>
      <c r="Q371" s="40"/>
      <c r="R371" s="40"/>
      <c r="S371" s="40"/>
      <c r="T371" s="40"/>
      <c r="U371" s="40"/>
      <c r="V371" s="40"/>
      <c r="W371" s="40"/>
      <c r="X371" s="40"/>
      <c r="Y371" s="40"/>
      <c r="Z371" s="37"/>
      <c r="AA371" s="37"/>
      <c r="AB371" s="37"/>
      <c r="AC371" s="37"/>
      <c r="AD371" s="37"/>
      <c r="AE371" s="37"/>
      <c r="AF371" s="37"/>
      <c r="AG371" s="37"/>
      <c r="AH371" s="37"/>
      <c r="AI371" s="37"/>
      <c r="AJ371" s="37"/>
      <c r="AK371" s="39"/>
      <c r="AL371" s="37"/>
      <c r="AM371" s="37"/>
      <c r="AN371" s="37"/>
      <c r="AO371" s="37"/>
    </row>
    <row r="372" spans="1:41" ht="9.75" customHeight="1">
      <c r="A372" s="37"/>
      <c r="B372" s="37"/>
      <c r="C372" s="37"/>
      <c r="D372" s="37"/>
      <c r="E372" s="37"/>
      <c r="F372" s="40"/>
      <c r="G372" s="40"/>
      <c r="H372" s="40"/>
      <c r="I372" s="505"/>
      <c r="J372" s="40"/>
      <c r="K372" s="41"/>
      <c r="L372" s="404"/>
      <c r="M372" s="41"/>
      <c r="N372" s="404"/>
      <c r="O372" s="41"/>
      <c r="P372" s="404"/>
      <c r="Q372" s="40"/>
      <c r="R372" s="40"/>
      <c r="S372" s="40"/>
      <c r="T372" s="40"/>
      <c r="U372" s="40"/>
      <c r="V372" s="40"/>
      <c r="W372" s="40"/>
      <c r="X372" s="40"/>
      <c r="Y372" s="40"/>
      <c r="Z372" s="37"/>
      <c r="AA372" s="37"/>
      <c r="AB372" s="37"/>
      <c r="AC372" s="37"/>
      <c r="AD372" s="37"/>
      <c r="AE372" s="37"/>
      <c r="AF372" s="37"/>
      <c r="AG372" s="37"/>
      <c r="AH372" s="37"/>
      <c r="AI372" s="37"/>
      <c r="AJ372" s="37"/>
      <c r="AK372" s="39"/>
      <c r="AL372" s="37"/>
      <c r="AM372" s="37"/>
      <c r="AN372" s="37"/>
      <c r="AO372" s="37"/>
    </row>
    <row r="373" spans="1:41" ht="9.75" customHeight="1">
      <c r="A373" s="37"/>
      <c r="B373" s="37"/>
      <c r="C373" s="37"/>
      <c r="D373" s="37"/>
      <c r="E373" s="37"/>
      <c r="F373" s="40"/>
      <c r="G373" s="40"/>
      <c r="H373" s="40"/>
      <c r="I373" s="505"/>
      <c r="J373" s="40"/>
      <c r="K373" s="41"/>
      <c r="L373" s="404"/>
      <c r="M373" s="41"/>
      <c r="N373" s="404"/>
      <c r="O373" s="41"/>
      <c r="P373" s="404"/>
      <c r="Q373" s="40"/>
      <c r="R373" s="40"/>
      <c r="S373" s="40"/>
      <c r="T373" s="40"/>
      <c r="U373" s="40"/>
      <c r="V373" s="40"/>
      <c r="W373" s="40"/>
      <c r="X373" s="40"/>
      <c r="Y373" s="40"/>
      <c r="Z373" s="37"/>
      <c r="AA373" s="37"/>
      <c r="AB373" s="37"/>
      <c r="AC373" s="37"/>
      <c r="AD373" s="37"/>
      <c r="AE373" s="37"/>
      <c r="AF373" s="37"/>
      <c r="AG373" s="37"/>
      <c r="AH373" s="37"/>
      <c r="AI373" s="37"/>
      <c r="AJ373" s="37"/>
      <c r="AK373" s="39"/>
      <c r="AL373" s="37"/>
      <c r="AM373" s="37"/>
      <c r="AN373" s="37"/>
      <c r="AO373" s="37"/>
    </row>
    <row r="374" spans="1:41" ht="9.75" customHeight="1">
      <c r="A374" s="37"/>
      <c r="B374" s="37"/>
      <c r="C374" s="37"/>
      <c r="D374" s="37"/>
      <c r="E374" s="37"/>
      <c r="F374" s="40"/>
      <c r="G374" s="40"/>
      <c r="H374" s="40"/>
      <c r="I374" s="505"/>
      <c r="J374" s="40"/>
      <c r="K374" s="41"/>
      <c r="L374" s="404"/>
      <c r="M374" s="41"/>
      <c r="N374" s="404"/>
      <c r="O374" s="41"/>
      <c r="P374" s="404"/>
      <c r="Q374" s="40"/>
      <c r="R374" s="40"/>
      <c r="S374" s="40"/>
      <c r="T374" s="40"/>
      <c r="U374" s="40"/>
      <c r="V374" s="40"/>
      <c r="W374" s="40"/>
      <c r="X374" s="40"/>
      <c r="Y374" s="40"/>
      <c r="Z374" s="37"/>
      <c r="AA374" s="37"/>
      <c r="AB374" s="37"/>
      <c r="AC374" s="37"/>
      <c r="AD374" s="37"/>
      <c r="AE374" s="37"/>
      <c r="AF374" s="37"/>
      <c r="AG374" s="37"/>
      <c r="AH374" s="37"/>
      <c r="AI374" s="37"/>
      <c r="AJ374" s="37"/>
      <c r="AK374" s="39"/>
      <c r="AL374" s="37"/>
      <c r="AM374" s="37"/>
      <c r="AN374" s="37"/>
      <c r="AO374" s="37"/>
    </row>
    <row r="375" spans="1:41" ht="9.75" customHeight="1">
      <c r="A375" s="37"/>
      <c r="B375" s="37"/>
      <c r="C375" s="37"/>
      <c r="D375" s="37"/>
      <c r="E375" s="37"/>
      <c r="F375" s="40"/>
      <c r="G375" s="40"/>
      <c r="H375" s="40"/>
      <c r="I375" s="505"/>
      <c r="J375" s="40"/>
      <c r="K375" s="41"/>
      <c r="L375" s="404"/>
      <c r="M375" s="41"/>
      <c r="N375" s="404"/>
      <c r="O375" s="41"/>
      <c r="P375" s="404"/>
      <c r="Q375" s="40"/>
      <c r="R375" s="40"/>
      <c r="S375" s="40"/>
      <c r="T375" s="40"/>
      <c r="U375" s="40"/>
      <c r="V375" s="40"/>
      <c r="W375" s="40"/>
      <c r="X375" s="40"/>
      <c r="Y375" s="40"/>
      <c r="Z375" s="37"/>
      <c r="AA375" s="37"/>
      <c r="AB375" s="37"/>
      <c r="AC375" s="37"/>
      <c r="AD375" s="37"/>
      <c r="AE375" s="37"/>
      <c r="AF375" s="37"/>
      <c r="AG375" s="37"/>
      <c r="AH375" s="37"/>
      <c r="AI375" s="37"/>
      <c r="AJ375" s="37"/>
      <c r="AK375" s="39"/>
      <c r="AL375" s="37"/>
      <c r="AM375" s="37"/>
      <c r="AN375" s="37"/>
      <c r="AO375" s="37"/>
    </row>
    <row r="376" spans="1:41" ht="9.75" customHeight="1">
      <c r="A376" s="37"/>
      <c r="B376" s="37"/>
      <c r="C376" s="37"/>
      <c r="D376" s="37"/>
      <c r="E376" s="37"/>
      <c r="F376" s="40"/>
      <c r="G376" s="40"/>
      <c r="H376" s="40"/>
      <c r="I376" s="505"/>
      <c r="J376" s="40"/>
      <c r="K376" s="41"/>
      <c r="L376" s="404"/>
      <c r="M376" s="41"/>
      <c r="N376" s="404"/>
      <c r="O376" s="41"/>
      <c r="P376" s="404"/>
      <c r="Q376" s="40"/>
      <c r="R376" s="40"/>
      <c r="S376" s="40"/>
      <c r="T376" s="40"/>
      <c r="U376" s="40"/>
      <c r="V376" s="40"/>
      <c r="W376" s="40"/>
      <c r="X376" s="40"/>
      <c r="Y376" s="40"/>
      <c r="Z376" s="37"/>
      <c r="AA376" s="37"/>
      <c r="AB376" s="37"/>
      <c r="AC376" s="37"/>
      <c r="AD376" s="37"/>
      <c r="AE376" s="37"/>
      <c r="AF376" s="37"/>
      <c r="AG376" s="37"/>
      <c r="AH376" s="37"/>
      <c r="AI376" s="37"/>
      <c r="AJ376" s="37"/>
      <c r="AK376" s="39"/>
      <c r="AL376" s="37"/>
      <c r="AM376" s="37"/>
      <c r="AN376" s="37"/>
      <c r="AO376" s="37"/>
    </row>
    <row r="377" spans="1:41" ht="9.75" customHeight="1">
      <c r="A377" s="37"/>
      <c r="B377" s="37"/>
      <c r="C377" s="37"/>
      <c r="D377" s="37"/>
      <c r="E377" s="37"/>
      <c r="F377" s="40"/>
      <c r="G377" s="40"/>
      <c r="H377" s="40"/>
      <c r="I377" s="505"/>
      <c r="J377" s="40"/>
      <c r="K377" s="41"/>
      <c r="L377" s="404"/>
      <c r="M377" s="41"/>
      <c r="N377" s="404"/>
      <c r="O377" s="41"/>
      <c r="P377" s="404"/>
      <c r="Q377" s="40"/>
      <c r="R377" s="40"/>
      <c r="S377" s="40"/>
      <c r="T377" s="40"/>
      <c r="U377" s="40"/>
      <c r="V377" s="40"/>
      <c r="W377" s="40"/>
      <c r="X377" s="40"/>
      <c r="Y377" s="40"/>
      <c r="Z377" s="37"/>
      <c r="AA377" s="37"/>
      <c r="AB377" s="37"/>
      <c r="AC377" s="37"/>
      <c r="AD377" s="37"/>
      <c r="AE377" s="37"/>
      <c r="AF377" s="37"/>
      <c r="AG377" s="37"/>
      <c r="AH377" s="37"/>
      <c r="AI377" s="37"/>
      <c r="AJ377" s="37"/>
      <c r="AK377" s="39"/>
      <c r="AL377" s="37"/>
      <c r="AM377" s="37"/>
      <c r="AN377" s="37"/>
      <c r="AO377" s="37"/>
    </row>
    <row r="378" spans="1:41" ht="9.75" customHeight="1">
      <c r="A378" s="37"/>
      <c r="B378" s="37"/>
      <c r="C378" s="37"/>
      <c r="D378" s="37"/>
      <c r="E378" s="37"/>
      <c r="F378" s="40"/>
      <c r="G378" s="40"/>
      <c r="H378" s="40"/>
      <c r="I378" s="505"/>
      <c r="J378" s="40"/>
      <c r="K378" s="41"/>
      <c r="L378" s="404"/>
      <c r="M378" s="41"/>
      <c r="N378" s="404"/>
      <c r="O378" s="41"/>
      <c r="P378" s="404"/>
      <c r="Q378" s="40"/>
      <c r="R378" s="40"/>
      <c r="S378" s="40"/>
      <c r="T378" s="40"/>
      <c r="U378" s="40"/>
      <c r="V378" s="40"/>
      <c r="W378" s="40"/>
      <c r="X378" s="40"/>
      <c r="Y378" s="40"/>
      <c r="Z378" s="37"/>
      <c r="AA378" s="37"/>
      <c r="AB378" s="37"/>
      <c r="AC378" s="37"/>
      <c r="AD378" s="37"/>
      <c r="AE378" s="37"/>
      <c r="AF378" s="37"/>
      <c r="AG378" s="37"/>
      <c r="AH378" s="37"/>
      <c r="AI378" s="37"/>
      <c r="AJ378" s="37"/>
      <c r="AK378" s="39"/>
      <c r="AL378" s="37"/>
      <c r="AM378" s="37"/>
      <c r="AN378" s="37"/>
      <c r="AO378" s="37"/>
    </row>
    <row r="379" spans="1:41" ht="9.75" customHeight="1">
      <c r="A379" s="37"/>
      <c r="B379" s="37"/>
      <c r="C379" s="37"/>
      <c r="D379" s="37"/>
      <c r="E379" s="37"/>
      <c r="F379" s="40"/>
      <c r="G379" s="40"/>
      <c r="H379" s="40"/>
      <c r="I379" s="505"/>
      <c r="J379" s="40"/>
      <c r="K379" s="41"/>
      <c r="L379" s="404"/>
      <c r="M379" s="41"/>
      <c r="N379" s="404"/>
      <c r="O379" s="41"/>
      <c r="P379" s="404"/>
      <c r="Q379" s="40"/>
      <c r="R379" s="40"/>
      <c r="S379" s="40"/>
      <c r="T379" s="40"/>
      <c r="U379" s="40"/>
      <c r="V379" s="40"/>
      <c r="W379" s="40"/>
      <c r="X379" s="40"/>
      <c r="Y379" s="40"/>
      <c r="Z379" s="37"/>
      <c r="AA379" s="37"/>
      <c r="AB379" s="37"/>
      <c r="AC379" s="37"/>
      <c r="AD379" s="37"/>
      <c r="AE379" s="37"/>
      <c r="AF379" s="37"/>
      <c r="AG379" s="37"/>
      <c r="AH379" s="37"/>
      <c r="AI379" s="37"/>
      <c r="AJ379" s="37"/>
      <c r="AK379" s="39"/>
      <c r="AL379" s="37"/>
      <c r="AM379" s="37"/>
      <c r="AN379" s="37"/>
      <c r="AO379" s="37"/>
    </row>
    <row r="380" spans="1:41" ht="9.75" customHeight="1">
      <c r="A380" s="37"/>
      <c r="B380" s="37"/>
      <c r="C380" s="37"/>
      <c r="D380" s="37"/>
      <c r="E380" s="37"/>
      <c r="F380" s="40"/>
      <c r="G380" s="40"/>
      <c r="H380" s="40"/>
      <c r="I380" s="505"/>
      <c r="J380" s="40"/>
      <c r="K380" s="41"/>
      <c r="L380" s="404"/>
      <c r="M380" s="41"/>
      <c r="N380" s="404"/>
      <c r="O380" s="41"/>
      <c r="P380" s="404"/>
      <c r="Q380" s="40"/>
      <c r="R380" s="40"/>
      <c r="S380" s="40"/>
      <c r="T380" s="40"/>
      <c r="U380" s="40"/>
      <c r="V380" s="40"/>
      <c r="W380" s="40"/>
      <c r="X380" s="40"/>
      <c r="Y380" s="40"/>
      <c r="Z380" s="37"/>
      <c r="AA380" s="37"/>
      <c r="AB380" s="37"/>
      <c r="AC380" s="37"/>
      <c r="AD380" s="37"/>
      <c r="AE380" s="37"/>
      <c r="AF380" s="37"/>
      <c r="AG380" s="37"/>
      <c r="AH380" s="37"/>
      <c r="AI380" s="37"/>
      <c r="AJ380" s="37"/>
      <c r="AK380" s="39"/>
      <c r="AL380" s="37"/>
      <c r="AM380" s="37"/>
      <c r="AN380" s="37"/>
      <c r="AO380" s="37"/>
    </row>
    <row r="381" spans="1:41" ht="9.75" customHeight="1">
      <c r="A381" s="37"/>
      <c r="B381" s="37"/>
      <c r="C381" s="37"/>
      <c r="D381" s="37"/>
      <c r="E381" s="37"/>
      <c r="F381" s="40"/>
      <c r="G381" s="40"/>
      <c r="H381" s="40"/>
      <c r="I381" s="505"/>
      <c r="J381" s="40"/>
      <c r="K381" s="41"/>
      <c r="L381" s="404"/>
      <c r="M381" s="41"/>
      <c r="N381" s="404"/>
      <c r="O381" s="41"/>
      <c r="P381" s="404"/>
      <c r="Q381" s="40"/>
      <c r="R381" s="40"/>
      <c r="S381" s="40"/>
      <c r="T381" s="40"/>
      <c r="U381" s="40"/>
      <c r="V381" s="40"/>
      <c r="W381" s="40"/>
      <c r="X381" s="40"/>
      <c r="Y381" s="40"/>
      <c r="Z381" s="37"/>
      <c r="AA381" s="37"/>
      <c r="AB381" s="37"/>
      <c r="AC381" s="37"/>
      <c r="AD381" s="37"/>
      <c r="AE381" s="37"/>
      <c r="AF381" s="37"/>
      <c r="AG381" s="37"/>
      <c r="AH381" s="37"/>
      <c r="AI381" s="37"/>
      <c r="AJ381" s="37"/>
      <c r="AK381" s="39"/>
      <c r="AL381" s="37"/>
      <c r="AM381" s="37"/>
      <c r="AN381" s="37"/>
      <c r="AO381" s="37"/>
    </row>
    <row r="382" spans="1:41" ht="9.75" customHeight="1">
      <c r="A382" s="37"/>
      <c r="B382" s="37"/>
      <c r="C382" s="37"/>
      <c r="D382" s="37"/>
      <c r="E382" s="37"/>
      <c r="F382" s="40"/>
      <c r="G382" s="40"/>
      <c r="H382" s="40"/>
      <c r="I382" s="505"/>
      <c r="J382" s="40"/>
      <c r="K382" s="41"/>
      <c r="L382" s="404"/>
      <c r="M382" s="41"/>
      <c r="N382" s="404"/>
      <c r="O382" s="41"/>
      <c r="P382" s="404"/>
      <c r="Q382" s="40"/>
      <c r="R382" s="40"/>
      <c r="S382" s="40"/>
      <c r="T382" s="40"/>
      <c r="U382" s="40"/>
      <c r="V382" s="40"/>
      <c r="W382" s="40"/>
      <c r="X382" s="40"/>
      <c r="Y382" s="40"/>
      <c r="Z382" s="37"/>
      <c r="AA382" s="37"/>
      <c r="AB382" s="37"/>
      <c r="AC382" s="37"/>
      <c r="AD382" s="37"/>
      <c r="AE382" s="37"/>
      <c r="AF382" s="37"/>
      <c r="AG382" s="37"/>
      <c r="AH382" s="37"/>
      <c r="AI382" s="37"/>
      <c r="AJ382" s="37"/>
      <c r="AK382" s="39"/>
      <c r="AL382" s="37"/>
      <c r="AM382" s="37"/>
      <c r="AN382" s="37"/>
      <c r="AO382" s="37"/>
    </row>
    <row r="383" spans="1:41" ht="9.75" customHeight="1">
      <c r="A383" s="37"/>
      <c r="B383" s="37"/>
      <c r="C383" s="37"/>
      <c r="D383" s="37"/>
      <c r="E383" s="37"/>
      <c r="F383" s="40"/>
      <c r="G383" s="40"/>
      <c r="H383" s="40"/>
      <c r="I383" s="505"/>
      <c r="J383" s="40"/>
      <c r="K383" s="41"/>
      <c r="L383" s="404"/>
      <c r="M383" s="41"/>
      <c r="N383" s="404"/>
      <c r="O383" s="41"/>
      <c r="P383" s="404"/>
      <c r="Q383" s="40"/>
      <c r="R383" s="40"/>
      <c r="S383" s="40"/>
      <c r="T383" s="40"/>
      <c r="U383" s="40"/>
      <c r="V383" s="40"/>
      <c r="W383" s="40"/>
      <c r="X383" s="40"/>
      <c r="Y383" s="40"/>
      <c r="Z383" s="37"/>
      <c r="AA383" s="37"/>
      <c r="AB383" s="37"/>
      <c r="AC383" s="37"/>
      <c r="AD383" s="37"/>
      <c r="AE383" s="37"/>
      <c r="AF383" s="37"/>
      <c r="AG383" s="37"/>
      <c r="AH383" s="37"/>
      <c r="AI383" s="37"/>
      <c r="AJ383" s="37"/>
      <c r="AK383" s="39"/>
      <c r="AL383" s="37"/>
      <c r="AM383" s="37"/>
      <c r="AN383" s="37"/>
      <c r="AO383" s="37"/>
    </row>
    <row r="384" spans="1:41" ht="9.75" customHeight="1">
      <c r="A384" s="37"/>
      <c r="B384" s="37"/>
      <c r="C384" s="37"/>
      <c r="D384" s="37"/>
      <c r="E384" s="37"/>
      <c r="F384" s="40"/>
      <c r="G384" s="40"/>
      <c r="H384" s="40"/>
      <c r="I384" s="505"/>
      <c r="J384" s="40"/>
      <c r="K384" s="41"/>
      <c r="L384" s="404"/>
      <c r="M384" s="41"/>
      <c r="N384" s="404"/>
      <c r="O384" s="41"/>
      <c r="P384" s="404"/>
      <c r="Q384" s="40"/>
      <c r="R384" s="40"/>
      <c r="S384" s="40"/>
      <c r="T384" s="40"/>
      <c r="U384" s="40"/>
      <c r="V384" s="40"/>
      <c r="W384" s="40"/>
      <c r="X384" s="40"/>
      <c r="Y384" s="40"/>
      <c r="Z384" s="37"/>
      <c r="AA384" s="37"/>
      <c r="AB384" s="37"/>
      <c r="AC384" s="37"/>
      <c r="AD384" s="37"/>
      <c r="AE384" s="37"/>
      <c r="AF384" s="37"/>
      <c r="AG384" s="37"/>
      <c r="AH384" s="37"/>
      <c r="AI384" s="37"/>
      <c r="AJ384" s="37"/>
      <c r="AK384" s="39"/>
      <c r="AL384" s="37"/>
      <c r="AM384" s="37"/>
      <c r="AN384" s="37"/>
      <c r="AO384" s="37"/>
    </row>
    <row r="385" spans="1:41" ht="9.75" customHeight="1">
      <c r="A385" s="37"/>
      <c r="B385" s="37"/>
      <c r="C385" s="37"/>
      <c r="D385" s="37"/>
      <c r="E385" s="37"/>
      <c r="F385" s="40"/>
      <c r="G385" s="40"/>
      <c r="H385" s="40"/>
      <c r="I385" s="505"/>
      <c r="J385" s="40"/>
      <c r="K385" s="41"/>
      <c r="L385" s="404"/>
      <c r="M385" s="41"/>
      <c r="N385" s="404"/>
      <c r="O385" s="41"/>
      <c r="P385" s="404"/>
      <c r="Q385" s="40"/>
      <c r="R385" s="40"/>
      <c r="S385" s="40"/>
      <c r="T385" s="40"/>
      <c r="U385" s="40"/>
      <c r="V385" s="40"/>
      <c r="W385" s="40"/>
      <c r="X385" s="40"/>
      <c r="Y385" s="40"/>
      <c r="Z385" s="37"/>
      <c r="AA385" s="37"/>
      <c r="AB385" s="37"/>
      <c r="AC385" s="37"/>
      <c r="AD385" s="37"/>
      <c r="AE385" s="37"/>
      <c r="AF385" s="37"/>
      <c r="AG385" s="37"/>
      <c r="AH385" s="37"/>
      <c r="AI385" s="37"/>
      <c r="AJ385" s="37"/>
      <c r="AK385" s="39"/>
      <c r="AL385" s="37"/>
      <c r="AM385" s="37"/>
      <c r="AN385" s="37"/>
      <c r="AO385" s="37"/>
    </row>
    <row r="386" spans="1:41" ht="9.75" customHeight="1">
      <c r="A386" s="37"/>
      <c r="B386" s="37"/>
      <c r="C386" s="37"/>
      <c r="D386" s="37"/>
      <c r="E386" s="37"/>
      <c r="F386" s="40"/>
      <c r="G386" s="40"/>
      <c r="H386" s="40"/>
      <c r="I386" s="505"/>
      <c r="J386" s="40"/>
      <c r="K386" s="41"/>
      <c r="L386" s="404"/>
      <c r="M386" s="41"/>
      <c r="N386" s="404"/>
      <c r="O386" s="41"/>
      <c r="P386" s="404"/>
      <c r="Q386" s="40"/>
      <c r="R386" s="40"/>
      <c r="S386" s="40"/>
      <c r="T386" s="40"/>
      <c r="U386" s="40"/>
      <c r="V386" s="40"/>
      <c r="W386" s="40"/>
      <c r="X386" s="40"/>
      <c r="Y386" s="40"/>
      <c r="Z386" s="37"/>
      <c r="AA386" s="37"/>
      <c r="AB386" s="37"/>
      <c r="AC386" s="37"/>
      <c r="AD386" s="37"/>
      <c r="AE386" s="37"/>
      <c r="AF386" s="37"/>
      <c r="AG386" s="37"/>
      <c r="AH386" s="37"/>
      <c r="AI386" s="37"/>
      <c r="AJ386" s="37"/>
      <c r="AK386" s="39"/>
      <c r="AL386" s="37"/>
      <c r="AM386" s="37"/>
      <c r="AN386" s="37"/>
      <c r="AO386" s="37"/>
    </row>
    <row r="387" spans="1:41" ht="9.75" customHeight="1">
      <c r="A387" s="37"/>
      <c r="B387" s="37"/>
      <c r="C387" s="37"/>
      <c r="D387" s="37"/>
      <c r="E387" s="37"/>
      <c r="F387" s="40"/>
      <c r="G387" s="40"/>
      <c r="H387" s="40"/>
      <c r="I387" s="505"/>
      <c r="J387" s="40"/>
      <c r="K387" s="41"/>
      <c r="L387" s="404"/>
      <c r="M387" s="41"/>
      <c r="N387" s="404"/>
      <c r="O387" s="41"/>
      <c r="P387" s="404"/>
      <c r="Q387" s="40"/>
      <c r="R387" s="40"/>
      <c r="S387" s="40"/>
      <c r="T387" s="40"/>
      <c r="U387" s="40"/>
      <c r="V387" s="40"/>
      <c r="W387" s="40"/>
      <c r="X387" s="40"/>
      <c r="Y387" s="40"/>
      <c r="Z387" s="37"/>
      <c r="AA387" s="37"/>
      <c r="AB387" s="37"/>
      <c r="AC387" s="37"/>
      <c r="AD387" s="37"/>
      <c r="AE387" s="37"/>
      <c r="AF387" s="37"/>
      <c r="AG387" s="37"/>
      <c r="AH387" s="37"/>
      <c r="AI387" s="37"/>
      <c r="AJ387" s="37"/>
      <c r="AK387" s="39"/>
      <c r="AL387" s="37"/>
      <c r="AM387" s="37"/>
      <c r="AN387" s="37"/>
      <c r="AO387" s="37"/>
    </row>
    <row r="388" spans="1:41" ht="9.75" customHeight="1">
      <c r="A388" s="37"/>
      <c r="B388" s="37"/>
      <c r="C388" s="37"/>
      <c r="D388" s="37"/>
      <c r="E388" s="37"/>
      <c r="F388" s="40"/>
      <c r="G388" s="40"/>
      <c r="H388" s="40"/>
      <c r="I388" s="505"/>
      <c r="J388" s="40"/>
      <c r="K388" s="41"/>
      <c r="L388" s="404"/>
      <c r="M388" s="41"/>
      <c r="N388" s="404"/>
      <c r="O388" s="41"/>
      <c r="P388" s="404"/>
      <c r="Q388" s="40"/>
      <c r="R388" s="40"/>
      <c r="S388" s="40"/>
      <c r="T388" s="40"/>
      <c r="U388" s="40"/>
      <c r="V388" s="40"/>
      <c r="W388" s="40"/>
      <c r="X388" s="40"/>
      <c r="Y388" s="40"/>
      <c r="Z388" s="37"/>
      <c r="AA388" s="37"/>
      <c r="AB388" s="37"/>
      <c r="AC388" s="37"/>
      <c r="AD388" s="37"/>
      <c r="AE388" s="37"/>
      <c r="AF388" s="37"/>
      <c r="AG388" s="37"/>
      <c r="AH388" s="37"/>
      <c r="AI388" s="37"/>
      <c r="AJ388" s="37"/>
      <c r="AK388" s="39"/>
      <c r="AL388" s="37"/>
      <c r="AM388" s="37"/>
      <c r="AN388" s="37"/>
      <c r="AO388" s="37"/>
    </row>
    <row r="389" spans="1:41" ht="9.75" customHeight="1">
      <c r="A389" s="37"/>
      <c r="B389" s="37"/>
      <c r="C389" s="37"/>
      <c r="D389" s="37"/>
      <c r="E389" s="37"/>
      <c r="F389" s="40"/>
      <c r="G389" s="40"/>
      <c r="H389" s="40"/>
      <c r="I389" s="505"/>
      <c r="J389" s="40"/>
      <c r="K389" s="41"/>
      <c r="L389" s="404"/>
      <c r="M389" s="41"/>
      <c r="N389" s="404"/>
      <c r="O389" s="41"/>
      <c r="P389" s="404"/>
      <c r="Q389" s="40"/>
      <c r="R389" s="40"/>
      <c r="S389" s="40"/>
      <c r="T389" s="40"/>
      <c r="U389" s="40"/>
      <c r="V389" s="40"/>
      <c r="W389" s="40"/>
      <c r="X389" s="40"/>
      <c r="Y389" s="40"/>
      <c r="Z389" s="37"/>
      <c r="AA389" s="37"/>
      <c r="AB389" s="37"/>
      <c r="AC389" s="37"/>
      <c r="AD389" s="37"/>
      <c r="AE389" s="37"/>
      <c r="AF389" s="37"/>
      <c r="AG389" s="37"/>
      <c r="AH389" s="37"/>
      <c r="AI389" s="37"/>
      <c r="AJ389" s="37"/>
      <c r="AK389" s="39"/>
      <c r="AL389" s="37"/>
      <c r="AM389" s="37"/>
      <c r="AN389" s="37"/>
      <c r="AO389" s="37"/>
    </row>
    <row r="390" spans="1:41" ht="9.75" customHeight="1">
      <c r="A390" s="37"/>
      <c r="B390" s="37"/>
      <c r="C390" s="37"/>
      <c r="D390" s="37"/>
      <c r="E390" s="37"/>
      <c r="F390" s="40"/>
      <c r="G390" s="40"/>
      <c r="H390" s="40"/>
      <c r="I390" s="505"/>
      <c r="J390" s="40"/>
      <c r="K390" s="41"/>
      <c r="L390" s="404"/>
      <c r="M390" s="41"/>
      <c r="N390" s="404"/>
      <c r="O390" s="41"/>
      <c r="P390" s="404"/>
      <c r="Q390" s="40"/>
      <c r="R390" s="40"/>
      <c r="S390" s="40"/>
      <c r="T390" s="40"/>
      <c r="U390" s="40"/>
      <c r="V390" s="40"/>
      <c r="W390" s="40"/>
      <c r="X390" s="40"/>
      <c r="Y390" s="40"/>
      <c r="Z390" s="37"/>
      <c r="AA390" s="37"/>
      <c r="AB390" s="37"/>
      <c r="AC390" s="37"/>
      <c r="AD390" s="37"/>
      <c r="AE390" s="37"/>
      <c r="AF390" s="37"/>
      <c r="AG390" s="37"/>
      <c r="AH390" s="37"/>
      <c r="AI390" s="37"/>
      <c r="AJ390" s="37"/>
      <c r="AK390" s="39"/>
      <c r="AL390" s="37"/>
      <c r="AM390" s="37"/>
      <c r="AN390" s="37"/>
      <c r="AO390" s="37"/>
    </row>
    <row r="391" spans="1:41" ht="9.75" customHeight="1">
      <c r="A391" s="37"/>
      <c r="B391" s="37"/>
      <c r="C391" s="37"/>
      <c r="D391" s="37"/>
      <c r="E391" s="37"/>
      <c r="F391" s="40"/>
      <c r="G391" s="40"/>
      <c r="H391" s="40"/>
      <c r="I391" s="40"/>
      <c r="J391" s="40"/>
      <c r="K391" s="41"/>
      <c r="L391" s="404"/>
      <c r="M391" s="41"/>
      <c r="N391" s="404"/>
      <c r="O391" s="41"/>
      <c r="P391" s="404"/>
      <c r="Q391" s="40"/>
      <c r="R391" s="40"/>
      <c r="S391" s="40"/>
      <c r="T391" s="40"/>
      <c r="U391" s="40"/>
      <c r="V391" s="40"/>
      <c r="W391" s="40"/>
      <c r="X391" s="40"/>
      <c r="Y391" s="40"/>
      <c r="Z391" s="37"/>
      <c r="AA391" s="37"/>
      <c r="AB391" s="37"/>
      <c r="AC391" s="37"/>
      <c r="AD391" s="37"/>
      <c r="AE391" s="37"/>
      <c r="AF391" s="37"/>
      <c r="AG391" s="37"/>
      <c r="AH391" s="37"/>
      <c r="AI391" s="37"/>
      <c r="AJ391" s="37"/>
      <c r="AK391" s="39"/>
      <c r="AL391" s="37"/>
      <c r="AM391" s="37"/>
      <c r="AN391" s="37"/>
      <c r="AO391" s="37"/>
    </row>
    <row r="392" spans="1:41" ht="9.75" hidden="1" customHeight="1">
      <c r="A392" s="37"/>
      <c r="B392" s="37"/>
      <c r="C392" s="37" t="s">
        <v>116</v>
      </c>
      <c r="D392" s="585">
        <f>F12</f>
        <v>0</v>
      </c>
      <c r="E392" s="37"/>
      <c r="F392" s="40"/>
      <c r="G392" s="40"/>
      <c r="H392" s="40"/>
      <c r="I392" s="40"/>
      <c r="J392" s="40"/>
      <c r="K392" s="41"/>
      <c r="L392" s="404"/>
      <c r="M392" s="41"/>
      <c r="N392" s="404"/>
      <c r="O392" s="41"/>
      <c r="P392" s="404"/>
      <c r="Q392" s="40"/>
      <c r="R392" s="40"/>
      <c r="S392" s="40"/>
      <c r="T392" s="40"/>
      <c r="U392" s="40"/>
      <c r="V392" s="40"/>
      <c r="W392" s="40"/>
      <c r="X392" s="40"/>
      <c r="Y392" s="40"/>
      <c r="Z392" s="37"/>
      <c r="AA392" s="37"/>
      <c r="AB392" s="37"/>
      <c r="AC392" s="37"/>
      <c r="AD392" s="37"/>
      <c r="AE392" s="37"/>
      <c r="AF392" s="37"/>
      <c r="AG392" s="37"/>
      <c r="AH392" s="37"/>
      <c r="AI392" s="37"/>
      <c r="AJ392" s="37"/>
      <c r="AK392" s="39"/>
      <c r="AL392" s="37"/>
      <c r="AM392" s="37"/>
      <c r="AN392" s="37"/>
      <c r="AO392" s="37"/>
    </row>
    <row r="393" spans="1:41" ht="9.75" hidden="1" customHeight="1">
      <c r="A393" s="37"/>
      <c r="B393" s="37"/>
      <c r="C393" s="37" t="s">
        <v>117</v>
      </c>
      <c r="D393" s="585">
        <f>F23</f>
        <v>0</v>
      </c>
      <c r="E393" s="37"/>
      <c r="F393" s="40"/>
      <c r="G393" s="40"/>
      <c r="H393" s="40"/>
      <c r="I393" s="40"/>
      <c r="J393" s="40"/>
      <c r="K393" s="41"/>
      <c r="L393" s="404"/>
      <c r="M393" s="41"/>
      <c r="N393" s="404"/>
      <c r="O393" s="41"/>
      <c r="P393" s="404"/>
      <c r="Q393" s="40"/>
      <c r="R393" s="40"/>
      <c r="S393" s="40"/>
      <c r="T393" s="40"/>
      <c r="U393" s="40"/>
      <c r="V393" s="40"/>
      <c r="W393" s="40"/>
      <c r="X393" s="40"/>
      <c r="Y393" s="40"/>
      <c r="Z393" s="37"/>
      <c r="AA393" s="37"/>
      <c r="AB393" s="37"/>
      <c r="AC393" s="37"/>
      <c r="AD393" s="37"/>
      <c r="AE393" s="37"/>
      <c r="AF393" s="37"/>
      <c r="AG393" s="37"/>
      <c r="AH393" s="37"/>
      <c r="AI393" s="37"/>
      <c r="AJ393" s="37"/>
      <c r="AK393" s="39"/>
      <c r="AL393" s="37"/>
      <c r="AM393" s="37"/>
      <c r="AN393" s="37"/>
      <c r="AO393" s="37"/>
    </row>
    <row r="394" spans="1:41" ht="9.75" hidden="1" customHeight="1">
      <c r="A394" s="37"/>
      <c r="B394" s="37"/>
      <c r="C394" s="37" t="s">
        <v>118</v>
      </c>
      <c r="D394" s="38">
        <f>Q319</f>
        <v>0</v>
      </c>
      <c r="E394" s="37"/>
      <c r="F394" s="40"/>
      <c r="G394" s="40"/>
      <c r="H394" s="40"/>
      <c r="I394" s="40"/>
      <c r="J394" s="40"/>
      <c r="K394" s="41"/>
      <c r="L394" s="404"/>
      <c r="M394" s="41"/>
      <c r="N394" s="404"/>
      <c r="O394" s="41"/>
      <c r="P394" s="404"/>
      <c r="Q394" s="40"/>
      <c r="R394" s="40"/>
      <c r="S394" s="40"/>
      <c r="T394" s="40"/>
      <c r="U394" s="40"/>
      <c r="V394" s="40"/>
      <c r="W394" s="40"/>
      <c r="X394" s="40"/>
      <c r="Y394" s="40"/>
      <c r="Z394" s="37"/>
      <c r="AA394" s="37"/>
      <c r="AB394" s="37"/>
      <c r="AC394" s="37"/>
      <c r="AD394" s="37"/>
      <c r="AE394" s="37"/>
      <c r="AF394" s="37"/>
      <c r="AG394" s="37"/>
      <c r="AH394" s="37"/>
      <c r="AI394" s="37"/>
      <c r="AJ394" s="37"/>
      <c r="AK394" s="39"/>
      <c r="AL394" s="37"/>
      <c r="AM394" s="37"/>
      <c r="AN394" s="37"/>
      <c r="AO394" s="37"/>
    </row>
    <row r="395" spans="1:41" ht="9.75" customHeight="1">
      <c r="A395" s="37"/>
      <c r="B395" s="37"/>
      <c r="C395" s="37"/>
      <c r="D395" s="37"/>
      <c r="E395" s="37"/>
      <c r="F395" s="40"/>
      <c r="G395" s="40"/>
      <c r="H395" s="40"/>
      <c r="I395" s="40"/>
      <c r="J395" s="40"/>
      <c r="K395" s="41"/>
      <c r="L395" s="404"/>
      <c r="M395" s="41"/>
      <c r="N395" s="404"/>
      <c r="O395" s="41"/>
      <c r="P395" s="404"/>
      <c r="Q395" s="40"/>
      <c r="R395" s="40"/>
      <c r="S395" s="40"/>
      <c r="T395" s="40"/>
      <c r="U395" s="40"/>
      <c r="V395" s="40"/>
      <c r="W395" s="40"/>
      <c r="X395" s="40"/>
      <c r="Y395" s="40"/>
      <c r="Z395" s="37"/>
      <c r="AA395" s="37"/>
      <c r="AB395" s="37"/>
      <c r="AC395" s="37"/>
      <c r="AD395" s="37"/>
      <c r="AE395" s="37"/>
      <c r="AF395" s="37"/>
      <c r="AG395" s="37"/>
      <c r="AH395" s="37"/>
      <c r="AI395" s="37"/>
      <c r="AJ395" s="37"/>
      <c r="AK395" s="39"/>
      <c r="AL395" s="37"/>
      <c r="AM395" s="37"/>
      <c r="AN395" s="37"/>
      <c r="AO395" s="37"/>
    </row>
    <row r="396" spans="1:41" ht="9.75" customHeight="1">
      <c r="A396" s="37"/>
      <c r="B396" s="37"/>
      <c r="C396" s="37"/>
      <c r="D396" s="37"/>
      <c r="E396" s="37"/>
      <c r="F396" s="40"/>
      <c r="G396" s="40"/>
      <c r="H396" s="40"/>
      <c r="I396" s="40"/>
      <c r="J396" s="40"/>
      <c r="K396" s="41"/>
      <c r="L396" s="404"/>
      <c r="M396" s="404"/>
      <c r="N396" s="404"/>
      <c r="O396" s="41"/>
      <c r="P396" s="404"/>
      <c r="Q396" s="40"/>
      <c r="R396" s="40"/>
      <c r="S396" s="40"/>
      <c r="T396" s="40"/>
      <c r="U396" s="40"/>
      <c r="V396" s="40"/>
      <c r="W396" s="40"/>
      <c r="X396" s="40"/>
      <c r="Y396" s="40"/>
      <c r="Z396" s="37"/>
      <c r="AA396" s="37"/>
      <c r="AB396" s="37"/>
      <c r="AC396" s="37"/>
      <c r="AD396" s="37"/>
      <c r="AE396" s="37"/>
      <c r="AF396" s="37"/>
      <c r="AG396" s="37"/>
      <c r="AH396" s="37"/>
      <c r="AI396" s="37"/>
      <c r="AJ396" s="37"/>
      <c r="AK396" s="39"/>
      <c r="AL396" s="37"/>
      <c r="AM396" s="37"/>
      <c r="AN396" s="37"/>
      <c r="AO396" s="37"/>
    </row>
    <row r="397" spans="1:41" ht="9.75" customHeight="1">
      <c r="A397" s="37"/>
      <c r="B397" s="37"/>
      <c r="C397" s="37"/>
      <c r="D397" s="37"/>
      <c r="E397" s="37"/>
      <c r="F397" s="40"/>
      <c r="G397" s="40"/>
      <c r="H397" s="40"/>
      <c r="I397" s="40"/>
      <c r="J397" s="40"/>
      <c r="K397" s="41"/>
      <c r="L397" s="404"/>
      <c r="M397" s="404"/>
      <c r="N397" s="404"/>
      <c r="O397" s="41"/>
      <c r="P397" s="404"/>
      <c r="Q397" s="40"/>
      <c r="R397" s="40"/>
      <c r="S397" s="40"/>
      <c r="T397" s="40"/>
      <c r="U397" s="40"/>
      <c r="V397" s="40"/>
      <c r="W397" s="40"/>
      <c r="X397" s="40"/>
      <c r="Y397" s="40"/>
      <c r="Z397" s="37"/>
      <c r="AA397" s="37"/>
      <c r="AB397" s="37"/>
      <c r="AC397" s="37"/>
      <c r="AD397" s="37"/>
      <c r="AE397" s="37"/>
      <c r="AF397" s="37"/>
      <c r="AG397" s="37"/>
      <c r="AH397" s="37"/>
      <c r="AI397" s="37"/>
      <c r="AJ397" s="37"/>
      <c r="AK397" s="39"/>
      <c r="AL397" s="37"/>
      <c r="AM397" s="37"/>
      <c r="AN397" s="37"/>
      <c r="AO397" s="37"/>
    </row>
    <row r="398" spans="1:41" ht="9.75" customHeight="1">
      <c r="A398" s="37"/>
      <c r="B398" s="37"/>
      <c r="C398" s="37"/>
      <c r="D398" s="37"/>
      <c r="E398" s="37"/>
      <c r="F398" s="40"/>
      <c r="G398" s="40"/>
      <c r="H398" s="40"/>
      <c r="I398" s="40"/>
      <c r="J398" s="40"/>
      <c r="K398" s="41"/>
      <c r="L398" s="404"/>
      <c r="M398" s="404"/>
      <c r="N398" s="404"/>
      <c r="O398" s="41"/>
      <c r="P398" s="404"/>
      <c r="Q398" s="40"/>
      <c r="R398" s="40"/>
      <c r="S398" s="40"/>
      <c r="T398" s="40"/>
      <c r="U398" s="40"/>
      <c r="V398" s="40"/>
      <c r="W398" s="40"/>
      <c r="X398" s="40"/>
      <c r="Y398" s="40"/>
      <c r="Z398" s="37"/>
      <c r="AA398" s="37"/>
      <c r="AB398" s="37"/>
      <c r="AC398" s="37"/>
      <c r="AD398" s="37"/>
      <c r="AE398" s="37"/>
      <c r="AF398" s="37"/>
      <c r="AG398" s="37"/>
      <c r="AH398" s="37"/>
      <c r="AI398" s="37"/>
      <c r="AJ398" s="37"/>
      <c r="AK398" s="39"/>
      <c r="AL398" s="37"/>
      <c r="AM398" s="37"/>
      <c r="AN398" s="37"/>
      <c r="AO398" s="37"/>
    </row>
    <row r="399" spans="1:41" ht="9.75" customHeight="1">
      <c r="A399" s="37"/>
      <c r="B399" s="37"/>
      <c r="C399" s="37"/>
      <c r="D399" s="37"/>
      <c r="E399" s="37"/>
      <c r="F399" s="40"/>
      <c r="G399" s="40"/>
      <c r="H399" s="40"/>
      <c r="I399" s="40"/>
      <c r="J399" s="40"/>
      <c r="K399" s="41"/>
      <c r="L399" s="404"/>
      <c r="M399" s="404"/>
      <c r="N399" s="404"/>
      <c r="O399" s="41"/>
      <c r="P399" s="404"/>
      <c r="Q399" s="40"/>
      <c r="R399" s="40"/>
      <c r="S399" s="40"/>
      <c r="T399" s="40"/>
      <c r="U399" s="40"/>
      <c r="V399" s="40"/>
      <c r="W399" s="40"/>
      <c r="X399" s="40"/>
      <c r="Y399" s="40"/>
      <c r="Z399" s="37"/>
      <c r="AA399" s="37"/>
      <c r="AB399" s="37"/>
      <c r="AC399" s="37"/>
      <c r="AD399" s="37"/>
      <c r="AE399" s="37"/>
      <c r="AF399" s="37"/>
      <c r="AG399" s="37"/>
      <c r="AH399" s="37"/>
      <c r="AI399" s="37"/>
      <c r="AJ399" s="37"/>
      <c r="AK399" s="39"/>
      <c r="AL399" s="37"/>
      <c r="AM399" s="37"/>
      <c r="AN399" s="37"/>
      <c r="AO399" s="37"/>
    </row>
    <row r="400" spans="1:41" ht="9.75" customHeight="1">
      <c r="A400" s="37"/>
      <c r="B400" s="37"/>
      <c r="C400" s="37"/>
      <c r="D400" s="37"/>
      <c r="E400" s="37"/>
      <c r="F400" s="40"/>
      <c r="G400" s="40"/>
      <c r="H400" s="40"/>
      <c r="I400" s="40"/>
      <c r="J400" s="40"/>
      <c r="K400" s="41"/>
      <c r="L400" s="404"/>
      <c r="M400" s="404"/>
      <c r="N400" s="404"/>
      <c r="O400" s="41"/>
      <c r="P400" s="404"/>
      <c r="Q400" s="40"/>
      <c r="R400" s="40"/>
      <c r="S400" s="40"/>
      <c r="T400" s="40"/>
      <c r="U400" s="40"/>
      <c r="V400" s="40"/>
      <c r="W400" s="40"/>
      <c r="X400" s="40"/>
      <c r="Y400" s="40"/>
      <c r="Z400" s="37"/>
      <c r="AA400" s="37"/>
      <c r="AB400" s="37"/>
      <c r="AC400" s="37"/>
      <c r="AD400" s="37"/>
      <c r="AE400" s="37"/>
      <c r="AF400" s="37"/>
      <c r="AG400" s="37"/>
      <c r="AH400" s="37"/>
      <c r="AI400" s="37"/>
      <c r="AJ400" s="37"/>
      <c r="AK400" s="39"/>
      <c r="AL400" s="37"/>
      <c r="AM400" s="37"/>
      <c r="AN400" s="37"/>
      <c r="AO400" s="37"/>
    </row>
    <row r="401" spans="1:41" ht="9.75" customHeight="1">
      <c r="A401" s="37"/>
      <c r="B401" s="37"/>
      <c r="C401" s="37"/>
      <c r="D401" s="37"/>
      <c r="E401" s="37"/>
      <c r="F401" s="40"/>
      <c r="G401" s="40"/>
      <c r="H401" s="40"/>
      <c r="I401" s="40"/>
      <c r="J401" s="40"/>
      <c r="K401" s="41"/>
      <c r="L401" s="404"/>
      <c r="M401" s="404"/>
      <c r="N401" s="404"/>
      <c r="O401" s="404"/>
      <c r="P401" s="404"/>
      <c r="Q401" s="40"/>
      <c r="R401" s="40"/>
      <c r="S401" s="40"/>
      <c r="T401" s="40"/>
      <c r="U401" s="40"/>
      <c r="V401" s="40"/>
      <c r="W401" s="40"/>
      <c r="X401" s="40"/>
      <c r="Y401" s="40"/>
      <c r="Z401" s="37"/>
      <c r="AA401" s="37"/>
      <c r="AB401" s="37"/>
      <c r="AC401" s="37"/>
      <c r="AD401" s="37"/>
      <c r="AE401" s="37"/>
      <c r="AF401" s="37"/>
      <c r="AG401" s="37"/>
      <c r="AH401" s="37"/>
      <c r="AI401" s="37"/>
      <c r="AJ401" s="37"/>
      <c r="AK401" s="39"/>
      <c r="AL401" s="37"/>
      <c r="AM401" s="37"/>
      <c r="AN401" s="37"/>
      <c r="AO401" s="37"/>
    </row>
    <row r="402" spans="1:41" ht="9.75" customHeight="1">
      <c r="A402" s="37"/>
      <c r="B402" s="37"/>
      <c r="C402" s="37"/>
      <c r="D402" s="37"/>
      <c r="E402" s="37"/>
      <c r="F402" s="40"/>
      <c r="G402" s="40"/>
      <c r="H402" s="40"/>
      <c r="I402" s="40"/>
      <c r="J402" s="40"/>
      <c r="K402" s="41"/>
      <c r="L402" s="404"/>
      <c r="M402" s="404"/>
      <c r="N402" s="404"/>
      <c r="O402" s="404"/>
      <c r="P402" s="404"/>
      <c r="Q402" s="40"/>
      <c r="R402" s="40"/>
      <c r="S402" s="40"/>
      <c r="T402" s="40"/>
      <c r="U402" s="40"/>
      <c r="V402" s="40"/>
      <c r="W402" s="40"/>
      <c r="X402" s="40"/>
      <c r="Y402" s="40"/>
      <c r="Z402" s="37"/>
      <c r="AA402" s="37"/>
      <c r="AB402" s="37"/>
      <c r="AC402" s="37"/>
      <c r="AD402" s="37"/>
      <c r="AE402" s="37"/>
      <c r="AF402" s="37"/>
      <c r="AG402" s="37"/>
      <c r="AH402" s="37"/>
      <c r="AI402" s="37"/>
      <c r="AJ402" s="37"/>
      <c r="AK402" s="39"/>
      <c r="AL402" s="37"/>
      <c r="AM402" s="37"/>
      <c r="AN402" s="37"/>
      <c r="AO402" s="37"/>
    </row>
    <row r="403" spans="1:41" ht="9.75" customHeight="1">
      <c r="A403" s="37"/>
      <c r="B403" s="37"/>
      <c r="C403" s="37"/>
      <c r="D403" s="37"/>
      <c r="E403" s="37"/>
      <c r="F403" s="40"/>
      <c r="G403" s="40"/>
      <c r="H403" s="40"/>
      <c r="I403" s="40"/>
      <c r="J403" s="40"/>
      <c r="K403" s="41"/>
      <c r="L403" s="404"/>
      <c r="M403" s="404"/>
      <c r="N403" s="404"/>
      <c r="O403" s="404"/>
      <c r="P403" s="404"/>
      <c r="Q403" s="40"/>
      <c r="R403" s="40"/>
      <c r="S403" s="40"/>
      <c r="T403" s="40"/>
      <c r="U403" s="40"/>
      <c r="V403" s="40"/>
      <c r="W403" s="40"/>
      <c r="X403" s="40"/>
      <c r="Y403" s="40"/>
      <c r="Z403" s="37"/>
      <c r="AA403" s="37"/>
      <c r="AB403" s="37"/>
      <c r="AC403" s="37"/>
      <c r="AD403" s="37"/>
      <c r="AE403" s="37"/>
      <c r="AF403" s="37"/>
      <c r="AG403" s="37"/>
      <c r="AH403" s="37"/>
      <c r="AI403" s="37"/>
      <c r="AJ403" s="37"/>
      <c r="AK403" s="39"/>
      <c r="AL403" s="37"/>
      <c r="AM403" s="37"/>
      <c r="AN403" s="37"/>
      <c r="AO403" s="37"/>
    </row>
    <row r="404" spans="1:41" ht="9.75" customHeight="1">
      <c r="A404" s="37"/>
      <c r="B404" s="37"/>
      <c r="C404" s="37"/>
      <c r="D404" s="37"/>
      <c r="E404" s="37"/>
      <c r="F404" s="40"/>
      <c r="G404" s="40"/>
      <c r="H404" s="40"/>
      <c r="I404" s="40"/>
      <c r="J404" s="40"/>
      <c r="K404" s="41"/>
      <c r="L404" s="404"/>
      <c r="M404" s="404"/>
      <c r="N404" s="404"/>
      <c r="O404" s="404"/>
      <c r="P404" s="404"/>
      <c r="Q404" s="40"/>
      <c r="R404" s="40"/>
      <c r="S404" s="40"/>
      <c r="T404" s="40"/>
      <c r="U404" s="40"/>
      <c r="V404" s="40"/>
      <c r="W404" s="40"/>
      <c r="X404" s="40"/>
      <c r="Y404" s="40"/>
      <c r="Z404" s="37"/>
      <c r="AA404" s="37"/>
      <c r="AB404" s="37"/>
      <c r="AC404" s="37"/>
      <c r="AD404" s="37"/>
      <c r="AE404" s="37"/>
      <c r="AF404" s="37"/>
      <c r="AG404" s="37"/>
      <c r="AH404" s="37"/>
      <c r="AI404" s="37"/>
      <c r="AJ404" s="37"/>
      <c r="AK404" s="39"/>
      <c r="AL404" s="37"/>
      <c r="AM404" s="37"/>
      <c r="AN404" s="37"/>
      <c r="AO404" s="37"/>
    </row>
    <row r="405" spans="1:41" ht="9.75" customHeight="1">
      <c r="A405" s="37"/>
      <c r="B405" s="37"/>
      <c r="C405" s="37"/>
      <c r="D405" s="37"/>
      <c r="E405" s="37"/>
      <c r="F405" s="40"/>
      <c r="G405" s="40"/>
      <c r="H405" s="40"/>
      <c r="I405" s="40"/>
      <c r="J405" s="40"/>
      <c r="K405" s="41"/>
      <c r="L405" s="404"/>
      <c r="M405" s="404"/>
      <c r="N405" s="404"/>
      <c r="O405" s="404"/>
      <c r="P405" s="404"/>
      <c r="Q405" s="40"/>
      <c r="R405" s="40"/>
      <c r="S405" s="40"/>
      <c r="T405" s="40"/>
      <c r="U405" s="40"/>
      <c r="V405" s="40"/>
      <c r="W405" s="40"/>
      <c r="X405" s="40"/>
      <c r="Y405" s="40"/>
      <c r="Z405" s="37"/>
      <c r="AA405" s="37"/>
      <c r="AB405" s="37"/>
      <c r="AC405" s="37"/>
      <c r="AD405" s="37"/>
      <c r="AE405" s="37"/>
      <c r="AF405" s="37"/>
      <c r="AG405" s="37"/>
      <c r="AH405" s="37"/>
      <c r="AI405" s="37"/>
      <c r="AJ405" s="37"/>
      <c r="AK405" s="39"/>
      <c r="AL405" s="37"/>
      <c r="AM405" s="37"/>
      <c r="AN405" s="37"/>
      <c r="AO405" s="37"/>
    </row>
    <row r="406" spans="1:41" ht="9.75" customHeight="1">
      <c r="A406" s="37"/>
      <c r="B406" s="37"/>
      <c r="C406" s="37"/>
      <c r="D406" s="37"/>
      <c r="E406" s="37"/>
      <c r="F406" s="40"/>
      <c r="G406" s="40"/>
      <c r="H406" s="40"/>
      <c r="I406" s="40"/>
      <c r="J406" s="40"/>
      <c r="K406" s="41"/>
      <c r="L406" s="404"/>
      <c r="M406" s="404"/>
      <c r="N406" s="404"/>
      <c r="O406" s="404"/>
      <c r="P406" s="404"/>
      <c r="Q406" s="40"/>
      <c r="R406" s="40"/>
      <c r="S406" s="40"/>
      <c r="T406" s="40"/>
      <c r="U406" s="40"/>
      <c r="V406" s="40"/>
      <c r="W406" s="40"/>
      <c r="X406" s="40"/>
      <c r="Y406" s="40"/>
      <c r="Z406" s="37"/>
      <c r="AA406" s="37"/>
      <c r="AB406" s="37"/>
      <c r="AC406" s="37"/>
      <c r="AD406" s="37"/>
      <c r="AE406" s="37"/>
      <c r="AF406" s="37"/>
      <c r="AG406" s="37"/>
      <c r="AH406" s="37"/>
      <c r="AI406" s="37"/>
      <c r="AJ406" s="37"/>
      <c r="AK406" s="39"/>
      <c r="AL406" s="37"/>
      <c r="AM406" s="37"/>
      <c r="AN406" s="37"/>
      <c r="AO406" s="37"/>
    </row>
    <row r="407" spans="1:41" ht="9.75" customHeight="1">
      <c r="A407" s="37"/>
      <c r="B407" s="37"/>
      <c r="C407" s="37"/>
      <c r="D407" s="37"/>
      <c r="E407" s="37"/>
      <c r="F407" s="40"/>
      <c r="G407" s="40"/>
      <c r="H407" s="40"/>
      <c r="I407" s="40"/>
      <c r="J407" s="40"/>
      <c r="K407" s="41"/>
      <c r="L407" s="404"/>
      <c r="M407" s="404"/>
      <c r="N407" s="404"/>
      <c r="O407" s="404"/>
      <c r="P407" s="404"/>
      <c r="Q407" s="40"/>
      <c r="R407" s="40"/>
      <c r="S407" s="40"/>
      <c r="T407" s="40"/>
      <c r="U407" s="40"/>
      <c r="V407" s="40"/>
      <c r="W407" s="40"/>
      <c r="X407" s="40"/>
      <c r="Y407" s="40"/>
      <c r="Z407" s="37"/>
      <c r="AA407" s="37"/>
      <c r="AB407" s="37"/>
      <c r="AC407" s="37"/>
      <c r="AD407" s="37"/>
      <c r="AE407" s="37"/>
      <c r="AF407" s="37"/>
      <c r="AG407" s="37"/>
      <c r="AH407" s="37"/>
      <c r="AI407" s="37"/>
      <c r="AJ407" s="37"/>
      <c r="AK407" s="39"/>
      <c r="AL407" s="37"/>
      <c r="AM407" s="37"/>
      <c r="AN407" s="37"/>
      <c r="AO407" s="37"/>
    </row>
    <row r="408" spans="1:41" ht="9.75" customHeight="1">
      <c r="A408" s="37"/>
      <c r="B408" s="37"/>
      <c r="C408" s="37"/>
      <c r="D408" s="37"/>
      <c r="E408" s="37"/>
      <c r="F408" s="40"/>
      <c r="G408" s="40"/>
      <c r="H408" s="40"/>
      <c r="I408" s="40"/>
      <c r="J408" s="40"/>
      <c r="K408" s="41"/>
      <c r="L408" s="404"/>
      <c r="M408" s="404"/>
      <c r="N408" s="404"/>
      <c r="O408" s="404"/>
      <c r="P408" s="404"/>
      <c r="Q408" s="40"/>
      <c r="R408" s="40"/>
      <c r="S408" s="40"/>
      <c r="T408" s="40"/>
      <c r="U408" s="40"/>
      <c r="V408" s="40"/>
      <c r="W408" s="40"/>
      <c r="X408" s="40"/>
      <c r="Y408" s="40"/>
      <c r="Z408" s="37"/>
      <c r="AA408" s="37"/>
      <c r="AB408" s="37"/>
      <c r="AC408" s="37"/>
      <c r="AD408" s="37"/>
      <c r="AE408" s="37"/>
      <c r="AF408" s="37"/>
      <c r="AG408" s="37"/>
      <c r="AH408" s="37"/>
      <c r="AI408" s="37"/>
      <c r="AJ408" s="37"/>
      <c r="AK408" s="39"/>
      <c r="AL408" s="37"/>
      <c r="AM408" s="37"/>
      <c r="AN408" s="37"/>
      <c r="AO408" s="37"/>
    </row>
    <row r="409" spans="1:41" ht="9.75" customHeight="1">
      <c r="A409" s="37"/>
      <c r="B409" s="37"/>
      <c r="C409" s="37"/>
      <c r="D409" s="37"/>
      <c r="E409" s="37"/>
      <c r="F409" s="40"/>
      <c r="G409" s="40"/>
      <c r="H409" s="40"/>
      <c r="I409" s="40"/>
      <c r="J409" s="40"/>
      <c r="K409" s="41"/>
      <c r="L409" s="404"/>
      <c r="M409" s="404"/>
      <c r="N409" s="404"/>
      <c r="O409" s="404"/>
      <c r="P409" s="404"/>
      <c r="Q409" s="40"/>
      <c r="R409" s="40"/>
      <c r="S409" s="40"/>
      <c r="T409" s="40"/>
      <c r="U409" s="40"/>
      <c r="V409" s="40"/>
      <c r="W409" s="40"/>
      <c r="X409" s="40"/>
      <c r="Y409" s="40"/>
      <c r="Z409" s="37"/>
      <c r="AA409" s="37"/>
      <c r="AB409" s="37"/>
      <c r="AC409" s="37"/>
      <c r="AD409" s="37"/>
      <c r="AE409" s="37"/>
      <c r="AF409" s="37"/>
      <c r="AG409" s="37"/>
      <c r="AH409" s="37"/>
      <c r="AI409" s="37"/>
      <c r="AJ409" s="37"/>
      <c r="AK409" s="39"/>
      <c r="AL409" s="37"/>
      <c r="AM409" s="37"/>
      <c r="AN409" s="37"/>
      <c r="AO409" s="37"/>
    </row>
    <row r="410" spans="1:41" ht="9.75" customHeight="1">
      <c r="A410" s="37"/>
      <c r="B410" s="37"/>
      <c r="C410" s="37"/>
      <c r="D410" s="37"/>
      <c r="E410" s="37"/>
      <c r="F410" s="40"/>
      <c r="G410" s="40"/>
      <c r="H410" s="40"/>
      <c r="I410" s="40"/>
      <c r="J410" s="40"/>
      <c r="K410" s="41"/>
      <c r="L410" s="404"/>
      <c r="M410" s="404"/>
      <c r="N410" s="404"/>
      <c r="O410" s="404"/>
      <c r="P410" s="404"/>
      <c r="Q410" s="40"/>
      <c r="R410" s="40"/>
      <c r="S410" s="40"/>
      <c r="T410" s="40"/>
      <c r="U410" s="40"/>
      <c r="V410" s="40"/>
      <c r="W410" s="40"/>
      <c r="X410" s="40"/>
      <c r="Y410" s="40"/>
      <c r="Z410" s="37"/>
      <c r="AA410" s="37"/>
      <c r="AB410" s="37"/>
      <c r="AC410" s="37"/>
      <c r="AD410" s="37"/>
      <c r="AE410" s="37"/>
      <c r="AF410" s="37"/>
      <c r="AG410" s="37"/>
      <c r="AH410" s="37"/>
      <c r="AI410" s="37"/>
      <c r="AJ410" s="37"/>
      <c r="AK410" s="39"/>
      <c r="AL410" s="37"/>
      <c r="AM410" s="37"/>
      <c r="AN410" s="37"/>
      <c r="AO410" s="37"/>
    </row>
    <row r="411" spans="1:41" ht="9.75" customHeight="1">
      <c r="A411" s="37"/>
      <c r="B411" s="37"/>
      <c r="C411" s="37"/>
      <c r="D411" s="37"/>
      <c r="E411" s="37"/>
      <c r="F411" s="40"/>
      <c r="G411" s="40"/>
      <c r="H411" s="40"/>
      <c r="I411" s="40"/>
      <c r="J411" s="40"/>
      <c r="K411" s="41"/>
      <c r="L411" s="404"/>
      <c r="M411" s="404"/>
      <c r="N411" s="404"/>
      <c r="O411" s="404"/>
      <c r="P411" s="404"/>
      <c r="Q411" s="40"/>
      <c r="R411" s="40"/>
      <c r="S411" s="40"/>
      <c r="T411" s="40"/>
      <c r="U411" s="40"/>
      <c r="V411" s="40"/>
      <c r="W411" s="40"/>
      <c r="X411" s="40"/>
      <c r="Y411" s="40"/>
      <c r="Z411" s="37"/>
      <c r="AA411" s="37"/>
      <c r="AB411" s="37"/>
      <c r="AC411" s="37"/>
      <c r="AD411" s="37"/>
      <c r="AE411" s="37"/>
      <c r="AF411" s="37"/>
      <c r="AG411" s="37"/>
      <c r="AH411" s="37"/>
      <c r="AI411" s="37"/>
      <c r="AJ411" s="37"/>
      <c r="AK411" s="39"/>
      <c r="AL411" s="37"/>
      <c r="AM411" s="37"/>
      <c r="AN411" s="37"/>
      <c r="AO411" s="37"/>
    </row>
    <row r="412" spans="1:41" ht="9.75" customHeight="1">
      <c r="A412" s="37"/>
      <c r="B412" s="37"/>
      <c r="C412" s="37"/>
      <c r="D412" s="37"/>
      <c r="E412" s="37"/>
      <c r="F412" s="40"/>
      <c r="G412" s="40"/>
      <c r="H412" s="40"/>
      <c r="I412" s="40"/>
      <c r="J412" s="40"/>
      <c r="K412" s="41"/>
      <c r="L412" s="404"/>
      <c r="M412" s="404"/>
      <c r="N412" s="404"/>
      <c r="O412" s="404"/>
      <c r="P412" s="404"/>
      <c r="Q412" s="40"/>
      <c r="R412" s="40"/>
      <c r="S412" s="40"/>
      <c r="T412" s="40"/>
      <c r="U412" s="40"/>
      <c r="V412" s="40"/>
      <c r="W412" s="40"/>
      <c r="X412" s="40"/>
      <c r="Y412" s="40"/>
      <c r="Z412" s="37"/>
      <c r="AA412" s="37"/>
      <c r="AB412" s="37"/>
      <c r="AC412" s="37"/>
      <c r="AD412" s="37"/>
      <c r="AE412" s="37"/>
      <c r="AF412" s="37"/>
      <c r="AG412" s="37"/>
      <c r="AH412" s="37"/>
      <c r="AI412" s="37"/>
      <c r="AJ412" s="37"/>
      <c r="AK412" s="39"/>
      <c r="AL412" s="37"/>
      <c r="AM412" s="37"/>
      <c r="AN412" s="37"/>
      <c r="AO412" s="37"/>
    </row>
    <row r="413" spans="1:41" ht="9.75" customHeight="1">
      <c r="A413" s="37"/>
      <c r="B413" s="37"/>
      <c r="C413" s="37"/>
      <c r="D413" s="37"/>
      <c r="E413" s="37"/>
      <c r="F413" s="40"/>
      <c r="G413" s="40"/>
      <c r="H413" s="40"/>
      <c r="I413" s="40"/>
      <c r="J413" s="40"/>
      <c r="K413" s="41"/>
      <c r="L413" s="404"/>
      <c r="M413" s="404"/>
      <c r="N413" s="404"/>
      <c r="O413" s="404"/>
      <c r="P413" s="404"/>
      <c r="Q413" s="40"/>
      <c r="R413" s="40"/>
      <c r="S413" s="40"/>
      <c r="T413" s="40"/>
      <c r="U413" s="40"/>
      <c r="V413" s="40"/>
      <c r="W413" s="40"/>
      <c r="X413" s="40"/>
      <c r="Y413" s="40"/>
      <c r="Z413" s="37"/>
      <c r="AA413" s="37"/>
      <c r="AB413" s="37"/>
      <c r="AC413" s="37"/>
      <c r="AD413" s="37"/>
      <c r="AE413" s="37"/>
      <c r="AF413" s="37"/>
      <c r="AG413" s="37"/>
      <c r="AH413" s="37"/>
      <c r="AI413" s="37"/>
      <c r="AJ413" s="37"/>
      <c r="AK413" s="39"/>
      <c r="AL413" s="37"/>
      <c r="AM413" s="37"/>
      <c r="AN413" s="37"/>
      <c r="AO413" s="37"/>
    </row>
    <row r="414" spans="1:41" ht="9.75" customHeight="1">
      <c r="A414" s="37"/>
      <c r="B414" s="37"/>
      <c r="C414" s="37"/>
      <c r="D414" s="37"/>
      <c r="E414" s="37"/>
      <c r="F414" s="40"/>
      <c r="G414" s="40"/>
      <c r="H414" s="40"/>
      <c r="I414" s="40"/>
      <c r="J414" s="40"/>
      <c r="K414" s="41"/>
      <c r="L414" s="404"/>
      <c r="M414" s="404"/>
      <c r="N414" s="404"/>
      <c r="O414" s="404"/>
      <c r="P414" s="404"/>
      <c r="Q414" s="40"/>
      <c r="R414" s="40"/>
      <c r="S414" s="40"/>
      <c r="T414" s="40"/>
      <c r="U414" s="40"/>
      <c r="V414" s="40"/>
      <c r="W414" s="40"/>
      <c r="X414" s="40"/>
      <c r="Y414" s="40"/>
      <c r="Z414" s="37"/>
      <c r="AA414" s="37"/>
      <c r="AB414" s="37"/>
      <c r="AC414" s="37"/>
      <c r="AD414" s="37"/>
      <c r="AE414" s="37"/>
      <c r="AF414" s="37"/>
      <c r="AG414" s="37"/>
      <c r="AH414" s="37"/>
      <c r="AI414" s="37"/>
      <c r="AJ414" s="37"/>
      <c r="AK414" s="39"/>
      <c r="AL414" s="37"/>
      <c r="AM414" s="37"/>
      <c r="AN414" s="37"/>
      <c r="AO414" s="37"/>
    </row>
    <row r="415" spans="1:41" ht="9.75" customHeight="1">
      <c r="A415" s="37"/>
      <c r="B415" s="37"/>
      <c r="C415" s="37"/>
      <c r="D415" s="37"/>
      <c r="E415" s="37"/>
      <c r="F415" s="40"/>
      <c r="G415" s="40"/>
      <c r="H415" s="40"/>
      <c r="I415" s="40"/>
      <c r="J415" s="40"/>
      <c r="K415" s="41"/>
      <c r="L415" s="404"/>
      <c r="M415" s="404"/>
      <c r="N415" s="404"/>
      <c r="O415" s="404"/>
      <c r="P415" s="404"/>
      <c r="Q415" s="40"/>
      <c r="R415" s="40"/>
      <c r="S415" s="40"/>
      <c r="T415" s="40"/>
      <c r="U415" s="40"/>
      <c r="V415" s="40"/>
      <c r="W415" s="40"/>
      <c r="X415" s="40"/>
      <c r="Y415" s="40"/>
      <c r="Z415" s="37"/>
      <c r="AA415" s="37"/>
      <c r="AB415" s="37"/>
      <c r="AC415" s="37"/>
      <c r="AD415" s="37"/>
      <c r="AE415" s="37"/>
      <c r="AF415" s="37"/>
      <c r="AG415" s="37"/>
      <c r="AH415" s="37"/>
      <c r="AI415" s="37"/>
      <c r="AJ415" s="37"/>
      <c r="AK415" s="39"/>
      <c r="AL415" s="37"/>
      <c r="AM415" s="37"/>
      <c r="AN415" s="37"/>
      <c r="AO415" s="37"/>
    </row>
    <row r="416" spans="1:41" ht="9.75" customHeight="1">
      <c r="A416" s="37"/>
      <c r="B416" s="37"/>
      <c r="C416" s="37"/>
      <c r="D416" s="37"/>
      <c r="E416" s="37"/>
      <c r="F416" s="40"/>
      <c r="G416" s="40"/>
      <c r="H416" s="40"/>
      <c r="I416" s="40"/>
      <c r="J416" s="40"/>
      <c r="K416" s="41"/>
      <c r="L416" s="404"/>
      <c r="M416" s="404"/>
      <c r="N416" s="404"/>
      <c r="O416" s="404"/>
      <c r="P416" s="404"/>
      <c r="Q416" s="40"/>
      <c r="R416" s="40"/>
      <c r="S416" s="40"/>
      <c r="T416" s="40"/>
      <c r="U416" s="40"/>
      <c r="V416" s="40"/>
      <c r="W416" s="40"/>
      <c r="X416" s="40"/>
      <c r="Y416" s="40"/>
      <c r="Z416" s="37"/>
      <c r="AA416" s="37"/>
      <c r="AB416" s="37"/>
      <c r="AC416" s="37"/>
      <c r="AD416" s="37"/>
      <c r="AE416" s="37"/>
      <c r="AF416" s="37"/>
      <c r="AG416" s="37"/>
      <c r="AH416" s="37"/>
      <c r="AI416" s="37"/>
      <c r="AJ416" s="37"/>
      <c r="AK416" s="39"/>
      <c r="AL416" s="37"/>
      <c r="AM416" s="37"/>
      <c r="AN416" s="37"/>
      <c r="AO416" s="37"/>
    </row>
    <row r="417" spans="1:41" ht="9.75" customHeight="1">
      <c r="A417" s="37"/>
      <c r="B417" s="37"/>
      <c r="C417" s="37"/>
      <c r="D417" s="37"/>
      <c r="E417" s="37"/>
      <c r="F417" s="40"/>
      <c r="G417" s="40"/>
      <c r="H417" s="40"/>
      <c r="I417" s="40"/>
      <c r="J417" s="40"/>
      <c r="K417" s="41"/>
      <c r="L417" s="404"/>
      <c r="M417" s="404"/>
      <c r="N417" s="404"/>
      <c r="O417" s="404"/>
      <c r="P417" s="404"/>
      <c r="Q417" s="40"/>
      <c r="R417" s="40"/>
      <c r="S417" s="40"/>
      <c r="T417" s="40"/>
      <c r="U417" s="40"/>
      <c r="V417" s="40"/>
      <c r="W417" s="40"/>
      <c r="X417" s="40"/>
      <c r="Y417" s="40"/>
      <c r="Z417" s="37"/>
      <c r="AA417" s="37"/>
      <c r="AB417" s="37"/>
      <c r="AC417" s="37"/>
      <c r="AD417" s="37"/>
      <c r="AE417" s="37"/>
      <c r="AF417" s="37"/>
      <c r="AG417" s="37"/>
      <c r="AH417" s="37"/>
      <c r="AI417" s="37"/>
      <c r="AJ417" s="37"/>
      <c r="AK417" s="39"/>
      <c r="AL417" s="37"/>
      <c r="AM417" s="37"/>
      <c r="AN417" s="37"/>
      <c r="AO417" s="37"/>
    </row>
    <row r="418" spans="1:41" ht="9.75" customHeight="1">
      <c r="A418" s="37"/>
      <c r="B418" s="37"/>
      <c r="C418" s="37"/>
      <c r="D418" s="37"/>
      <c r="E418" s="37"/>
      <c r="F418" s="40"/>
      <c r="G418" s="40"/>
      <c r="H418" s="40"/>
      <c r="I418" s="40"/>
      <c r="J418" s="40"/>
      <c r="K418" s="41"/>
      <c r="L418" s="404"/>
      <c r="M418" s="404"/>
      <c r="N418" s="404"/>
      <c r="O418" s="404"/>
      <c r="P418" s="404"/>
      <c r="Q418" s="40"/>
      <c r="R418" s="40"/>
      <c r="S418" s="40"/>
      <c r="T418" s="40"/>
      <c r="U418" s="40"/>
      <c r="V418" s="40"/>
      <c r="W418" s="40"/>
      <c r="X418" s="40"/>
      <c r="Y418" s="40"/>
      <c r="Z418" s="37"/>
      <c r="AA418" s="37"/>
      <c r="AB418" s="37"/>
      <c r="AC418" s="37"/>
      <c r="AD418" s="37"/>
      <c r="AE418" s="37"/>
      <c r="AF418" s="37"/>
      <c r="AG418" s="37"/>
      <c r="AH418" s="37"/>
      <c r="AI418" s="37"/>
      <c r="AJ418" s="37"/>
      <c r="AK418" s="39"/>
      <c r="AL418" s="37"/>
      <c r="AM418" s="37"/>
      <c r="AN418" s="37"/>
      <c r="AO418" s="37"/>
    </row>
    <row r="419" spans="1:41" ht="9.75" customHeight="1">
      <c r="A419" s="37"/>
      <c r="B419" s="37"/>
      <c r="C419" s="37"/>
      <c r="D419" s="37"/>
      <c r="E419" s="37"/>
      <c r="F419" s="40"/>
      <c r="G419" s="40"/>
      <c r="H419" s="40"/>
      <c r="I419" s="40"/>
      <c r="J419" s="40"/>
      <c r="K419" s="41"/>
      <c r="L419" s="404"/>
      <c r="M419" s="404"/>
      <c r="N419" s="404"/>
      <c r="O419" s="404"/>
      <c r="P419" s="404"/>
      <c r="Q419" s="40"/>
      <c r="R419" s="40"/>
      <c r="S419" s="40"/>
      <c r="T419" s="40"/>
      <c r="U419" s="40"/>
      <c r="V419" s="40"/>
      <c r="W419" s="40"/>
      <c r="X419" s="40"/>
      <c r="Y419" s="40"/>
      <c r="Z419" s="37"/>
      <c r="AA419" s="37"/>
      <c r="AB419" s="37"/>
      <c r="AC419" s="37"/>
      <c r="AD419" s="37"/>
      <c r="AE419" s="37"/>
      <c r="AF419" s="37"/>
      <c r="AG419" s="37"/>
      <c r="AH419" s="37"/>
      <c r="AI419" s="37"/>
      <c r="AJ419" s="37"/>
      <c r="AK419" s="39"/>
      <c r="AL419" s="37"/>
      <c r="AM419" s="37"/>
      <c r="AN419" s="37"/>
      <c r="AO419" s="37"/>
    </row>
    <row r="420" spans="1:41" ht="9.75" customHeight="1">
      <c r="A420" s="37"/>
      <c r="B420" s="37"/>
      <c r="C420" s="37"/>
      <c r="D420" s="37"/>
      <c r="E420" s="37"/>
      <c r="F420" s="40"/>
      <c r="G420" s="40"/>
      <c r="H420" s="40"/>
      <c r="I420" s="40"/>
      <c r="J420" s="40"/>
      <c r="K420" s="41"/>
      <c r="L420" s="404"/>
      <c r="M420" s="404"/>
      <c r="N420" s="404"/>
      <c r="O420" s="404"/>
      <c r="P420" s="404"/>
      <c r="Q420" s="40"/>
      <c r="R420" s="40"/>
      <c r="S420" s="40"/>
      <c r="T420" s="40"/>
      <c r="U420" s="40"/>
      <c r="V420" s="40"/>
      <c r="W420" s="40"/>
      <c r="X420" s="40"/>
      <c r="Y420" s="40"/>
      <c r="Z420" s="37"/>
      <c r="AA420" s="37"/>
      <c r="AB420" s="37"/>
      <c r="AC420" s="37"/>
      <c r="AD420" s="37"/>
      <c r="AE420" s="37"/>
      <c r="AF420" s="37"/>
      <c r="AG420" s="37"/>
      <c r="AH420" s="37"/>
      <c r="AI420" s="37"/>
      <c r="AJ420" s="37"/>
      <c r="AK420" s="39"/>
      <c r="AL420" s="37"/>
      <c r="AM420" s="37"/>
      <c r="AN420" s="37"/>
      <c r="AO420" s="37"/>
    </row>
    <row r="421" spans="1:41" ht="9.75" customHeight="1">
      <c r="A421" s="37"/>
      <c r="B421" s="37"/>
      <c r="C421" s="37"/>
      <c r="D421" s="37"/>
      <c r="E421" s="37"/>
      <c r="F421" s="40"/>
      <c r="G421" s="40"/>
      <c r="H421" s="40"/>
      <c r="I421" s="40"/>
      <c r="J421" s="40"/>
      <c r="K421" s="41"/>
      <c r="L421" s="404"/>
      <c r="M421" s="404"/>
      <c r="N421" s="404"/>
      <c r="O421" s="404"/>
      <c r="P421" s="404"/>
      <c r="Q421" s="40"/>
      <c r="R421" s="40"/>
      <c r="S421" s="40"/>
      <c r="T421" s="40"/>
      <c r="U421" s="40"/>
      <c r="V421" s="40"/>
      <c r="W421" s="40"/>
      <c r="X421" s="40"/>
      <c r="Y421" s="40"/>
      <c r="Z421" s="37"/>
      <c r="AA421" s="37"/>
      <c r="AB421" s="37"/>
      <c r="AC421" s="37"/>
      <c r="AD421" s="37"/>
      <c r="AE421" s="37"/>
      <c r="AF421" s="37"/>
      <c r="AG421" s="37"/>
      <c r="AH421" s="37"/>
      <c r="AI421" s="37"/>
      <c r="AJ421" s="37"/>
      <c r="AK421" s="39"/>
      <c r="AL421" s="37"/>
      <c r="AM421" s="37"/>
      <c r="AN421" s="37"/>
      <c r="AO421" s="37"/>
    </row>
    <row r="422" spans="1:41" ht="9.75" customHeight="1">
      <c r="A422" s="37"/>
      <c r="B422" s="37"/>
      <c r="C422" s="37"/>
      <c r="D422" s="37"/>
      <c r="E422" s="37"/>
      <c r="F422" s="40"/>
      <c r="G422" s="40"/>
      <c r="H422" s="40"/>
      <c r="I422" s="40"/>
      <c r="J422" s="40"/>
      <c r="K422" s="41"/>
      <c r="L422" s="404"/>
      <c r="M422" s="404"/>
      <c r="N422" s="404"/>
      <c r="O422" s="404"/>
      <c r="P422" s="404"/>
      <c r="Q422" s="40"/>
      <c r="R422" s="40"/>
      <c r="S422" s="40"/>
      <c r="T422" s="40"/>
      <c r="U422" s="40"/>
      <c r="V422" s="40"/>
      <c r="W422" s="40"/>
      <c r="X422" s="40"/>
      <c r="Y422" s="40"/>
      <c r="Z422" s="37"/>
      <c r="AA422" s="37"/>
      <c r="AB422" s="37"/>
      <c r="AC422" s="37"/>
      <c r="AD422" s="37"/>
      <c r="AE422" s="37"/>
      <c r="AF422" s="37"/>
      <c r="AG422" s="37"/>
      <c r="AH422" s="37"/>
      <c r="AI422" s="37"/>
      <c r="AJ422" s="37"/>
      <c r="AK422" s="39"/>
      <c r="AL422" s="37"/>
      <c r="AM422" s="37"/>
      <c r="AN422" s="37"/>
      <c r="AO422" s="37"/>
    </row>
    <row r="423" spans="1:41" ht="9.75" customHeight="1">
      <c r="A423" s="37"/>
      <c r="B423" s="37"/>
      <c r="C423" s="37"/>
      <c r="D423" s="37"/>
      <c r="E423" s="37"/>
      <c r="F423" s="40"/>
      <c r="G423" s="40"/>
      <c r="H423" s="40"/>
      <c r="I423" s="40"/>
      <c r="J423" s="40"/>
      <c r="K423" s="404"/>
      <c r="L423" s="404"/>
      <c r="M423" s="404"/>
      <c r="N423" s="404"/>
      <c r="O423" s="404"/>
      <c r="P423" s="404"/>
      <c r="Q423" s="40"/>
      <c r="R423" s="40"/>
      <c r="S423" s="40"/>
      <c r="T423" s="40"/>
      <c r="U423" s="40"/>
      <c r="V423" s="40"/>
      <c r="W423" s="40"/>
      <c r="X423" s="40"/>
      <c r="Y423" s="40"/>
      <c r="Z423" s="37"/>
      <c r="AA423" s="37"/>
      <c r="AB423" s="37"/>
      <c r="AC423" s="37"/>
      <c r="AD423" s="37"/>
      <c r="AE423" s="37"/>
      <c r="AF423" s="37"/>
      <c r="AG423" s="37"/>
      <c r="AH423" s="37"/>
      <c r="AI423" s="37"/>
      <c r="AJ423" s="37"/>
      <c r="AK423" s="39"/>
      <c r="AL423" s="37"/>
      <c r="AM423" s="37"/>
      <c r="AN423" s="37"/>
      <c r="AO423" s="37"/>
    </row>
    <row r="424" spans="1:41" ht="9.75" customHeight="1">
      <c r="A424" s="37"/>
      <c r="B424" s="37"/>
      <c r="C424" s="37"/>
      <c r="D424" s="37"/>
      <c r="E424" s="37"/>
      <c r="F424" s="40"/>
      <c r="G424" s="40"/>
      <c r="H424" s="40"/>
      <c r="I424" s="40"/>
      <c r="J424" s="40"/>
      <c r="K424" s="404"/>
      <c r="L424" s="404"/>
      <c r="M424" s="404"/>
      <c r="N424" s="404"/>
      <c r="O424" s="404"/>
      <c r="P424" s="404"/>
      <c r="Q424" s="40"/>
      <c r="R424" s="40"/>
      <c r="S424" s="40"/>
      <c r="T424" s="40"/>
      <c r="U424" s="40"/>
      <c r="V424" s="40"/>
      <c r="W424" s="40"/>
      <c r="X424" s="40"/>
      <c r="Y424" s="40"/>
      <c r="Z424" s="37"/>
      <c r="AA424" s="37"/>
      <c r="AB424" s="37"/>
      <c r="AC424" s="37"/>
      <c r="AD424" s="37"/>
      <c r="AE424" s="37"/>
      <c r="AF424" s="37"/>
      <c r="AG424" s="37"/>
      <c r="AH424" s="37"/>
      <c r="AI424" s="37"/>
      <c r="AJ424" s="37"/>
      <c r="AK424" s="39"/>
      <c r="AL424" s="37"/>
      <c r="AM424" s="37"/>
      <c r="AN424" s="37"/>
      <c r="AO424" s="37"/>
    </row>
    <row r="425" spans="1:41" ht="9.75" customHeight="1">
      <c r="A425" s="37"/>
      <c r="B425" s="37"/>
      <c r="C425" s="37"/>
      <c r="D425" s="37"/>
      <c r="E425" s="37"/>
      <c r="F425" s="40"/>
      <c r="G425" s="40"/>
      <c r="H425" s="40"/>
      <c r="I425" s="40"/>
      <c r="J425" s="40"/>
      <c r="K425" s="404"/>
      <c r="L425" s="404"/>
      <c r="M425" s="404"/>
      <c r="N425" s="404"/>
      <c r="O425" s="404"/>
      <c r="P425" s="404"/>
      <c r="Q425" s="40"/>
      <c r="R425" s="40"/>
      <c r="S425" s="40"/>
      <c r="T425" s="40"/>
      <c r="U425" s="40"/>
      <c r="V425" s="40"/>
      <c r="W425" s="40"/>
      <c r="X425" s="40"/>
      <c r="Y425" s="40"/>
      <c r="Z425" s="37"/>
      <c r="AA425" s="37"/>
      <c r="AB425" s="37"/>
      <c r="AC425" s="37"/>
      <c r="AD425" s="37"/>
      <c r="AE425" s="37"/>
      <c r="AF425" s="37"/>
      <c r="AG425" s="37"/>
      <c r="AH425" s="37"/>
      <c r="AI425" s="37"/>
      <c r="AJ425" s="37"/>
      <c r="AK425" s="39"/>
      <c r="AL425" s="37"/>
      <c r="AM425" s="37"/>
      <c r="AN425" s="37"/>
      <c r="AO425" s="37"/>
    </row>
    <row r="426" spans="1:41" ht="9.75" customHeight="1">
      <c r="A426" s="37"/>
      <c r="B426" s="37"/>
      <c r="C426" s="37"/>
      <c r="D426" s="37"/>
      <c r="E426" s="37"/>
      <c r="F426" s="40"/>
      <c r="G426" s="40"/>
      <c r="H426" s="40"/>
      <c r="I426" s="40"/>
      <c r="J426" s="40"/>
      <c r="K426" s="404"/>
      <c r="L426" s="404"/>
      <c r="M426" s="404"/>
      <c r="N426" s="404"/>
      <c r="O426" s="404"/>
      <c r="P426" s="404"/>
      <c r="Q426" s="40"/>
      <c r="R426" s="40"/>
      <c r="S426" s="40"/>
      <c r="T426" s="40"/>
      <c r="U426" s="40"/>
      <c r="V426" s="40"/>
      <c r="W426" s="40"/>
      <c r="X426" s="40"/>
      <c r="Y426" s="40"/>
      <c r="Z426" s="37"/>
      <c r="AA426" s="37"/>
      <c r="AB426" s="37"/>
      <c r="AC426" s="37"/>
      <c r="AD426" s="37"/>
      <c r="AE426" s="37"/>
      <c r="AF426" s="37"/>
      <c r="AG426" s="37"/>
      <c r="AH426" s="37"/>
      <c r="AI426" s="37"/>
      <c r="AJ426" s="37"/>
      <c r="AK426" s="39"/>
      <c r="AL426" s="37"/>
      <c r="AM426" s="37"/>
      <c r="AN426" s="37"/>
      <c r="AO426" s="37"/>
    </row>
    <row r="427" spans="1:41" ht="9.75" customHeight="1">
      <c r="A427" s="37"/>
      <c r="B427" s="37"/>
      <c r="C427" s="37"/>
      <c r="D427" s="37"/>
      <c r="E427" s="37"/>
      <c r="F427" s="40"/>
      <c r="G427" s="40"/>
      <c r="H427" s="40"/>
      <c r="I427" s="40"/>
      <c r="J427" s="40"/>
      <c r="K427" s="404"/>
      <c r="L427" s="404"/>
      <c r="M427" s="404"/>
      <c r="N427" s="404"/>
      <c r="O427" s="404"/>
      <c r="P427" s="404"/>
      <c r="Q427" s="40"/>
      <c r="R427" s="40"/>
      <c r="S427" s="40"/>
      <c r="T427" s="40"/>
      <c r="U427" s="40"/>
      <c r="V427" s="40"/>
      <c r="W427" s="40"/>
      <c r="X427" s="40"/>
      <c r="Y427" s="40"/>
      <c r="Z427" s="37"/>
      <c r="AA427" s="37"/>
      <c r="AB427" s="37"/>
      <c r="AC427" s="37"/>
      <c r="AD427" s="37"/>
      <c r="AE427" s="37"/>
      <c r="AF427" s="37"/>
      <c r="AG427" s="37"/>
      <c r="AH427" s="37"/>
      <c r="AI427" s="37"/>
      <c r="AJ427" s="37"/>
      <c r="AK427" s="39"/>
      <c r="AL427" s="37"/>
      <c r="AM427" s="37"/>
      <c r="AN427" s="37"/>
      <c r="AO427" s="37"/>
    </row>
    <row r="428" spans="1:41" ht="9.75" customHeight="1">
      <c r="A428" s="37"/>
      <c r="B428" s="37"/>
      <c r="C428" s="37"/>
      <c r="D428" s="37"/>
      <c r="E428" s="37"/>
      <c r="F428" s="40"/>
      <c r="G428" s="40"/>
      <c r="H428" s="40"/>
      <c r="I428" s="40"/>
      <c r="J428" s="40"/>
      <c r="K428" s="404"/>
      <c r="L428" s="404"/>
      <c r="M428" s="404"/>
      <c r="N428" s="404"/>
      <c r="O428" s="404"/>
      <c r="P428" s="404"/>
      <c r="Q428" s="40"/>
      <c r="R428" s="40"/>
      <c r="S428" s="40"/>
      <c r="T428" s="40"/>
      <c r="U428" s="40"/>
      <c r="V428" s="40"/>
      <c r="W428" s="40"/>
      <c r="X428" s="40"/>
      <c r="Y428" s="40"/>
      <c r="Z428" s="37"/>
      <c r="AA428" s="37"/>
      <c r="AB428" s="37"/>
      <c r="AC428" s="37"/>
      <c r="AD428" s="37"/>
      <c r="AE428" s="37"/>
      <c r="AF428" s="37"/>
      <c r="AG428" s="37"/>
      <c r="AH428" s="37"/>
      <c r="AI428" s="37"/>
      <c r="AJ428" s="37"/>
      <c r="AK428" s="39"/>
      <c r="AL428" s="37"/>
      <c r="AM428" s="37"/>
      <c r="AN428" s="37"/>
      <c r="AO428" s="37"/>
    </row>
    <row r="429" spans="1:41" ht="9.75" customHeight="1">
      <c r="A429" s="37"/>
      <c r="B429" s="37"/>
      <c r="C429" s="37"/>
      <c r="D429" s="37"/>
      <c r="E429" s="37"/>
      <c r="F429" s="40"/>
      <c r="G429" s="40"/>
      <c r="H429" s="40"/>
      <c r="I429" s="40"/>
      <c r="J429" s="40"/>
      <c r="K429" s="404"/>
      <c r="L429" s="404"/>
      <c r="M429" s="404"/>
      <c r="N429" s="404"/>
      <c r="O429" s="404"/>
      <c r="P429" s="404"/>
      <c r="Q429" s="40"/>
      <c r="R429" s="40"/>
      <c r="S429" s="40"/>
      <c r="T429" s="40"/>
      <c r="U429" s="40"/>
      <c r="V429" s="40"/>
      <c r="W429" s="40"/>
      <c r="X429" s="40"/>
      <c r="Y429" s="40"/>
      <c r="Z429" s="37"/>
      <c r="AA429" s="37"/>
      <c r="AB429" s="37"/>
      <c r="AC429" s="37"/>
      <c r="AD429" s="37"/>
      <c r="AE429" s="37"/>
      <c r="AF429" s="37"/>
      <c r="AG429" s="37"/>
      <c r="AH429" s="37"/>
      <c r="AI429" s="37"/>
      <c r="AJ429" s="37"/>
      <c r="AK429" s="39"/>
      <c r="AL429" s="37"/>
      <c r="AM429" s="37"/>
      <c r="AN429" s="37"/>
      <c r="AO429" s="37"/>
    </row>
    <row r="430" spans="1:41" ht="9.75" customHeight="1">
      <c r="A430" s="37"/>
      <c r="B430" s="37"/>
      <c r="C430" s="37"/>
      <c r="D430" s="37"/>
      <c r="E430" s="37"/>
      <c r="F430" s="40"/>
      <c r="G430" s="40"/>
      <c r="H430" s="40"/>
      <c r="I430" s="40"/>
      <c r="J430" s="40"/>
      <c r="K430" s="404"/>
      <c r="L430" s="404"/>
      <c r="M430" s="404"/>
      <c r="N430" s="404"/>
      <c r="O430" s="404"/>
      <c r="P430" s="404"/>
      <c r="Q430" s="40"/>
      <c r="R430" s="40"/>
      <c r="S430" s="40"/>
      <c r="T430" s="40"/>
      <c r="U430" s="40"/>
      <c r="V430" s="40"/>
      <c r="W430" s="40"/>
      <c r="X430" s="40"/>
      <c r="Y430" s="40"/>
      <c r="Z430" s="37"/>
      <c r="AA430" s="37"/>
      <c r="AB430" s="37"/>
      <c r="AC430" s="37"/>
      <c r="AD430" s="37"/>
      <c r="AE430" s="37"/>
      <c r="AF430" s="37"/>
      <c r="AG430" s="37"/>
      <c r="AH430" s="37"/>
      <c r="AI430" s="37"/>
      <c r="AJ430" s="37"/>
      <c r="AK430" s="39"/>
      <c r="AL430" s="37"/>
      <c r="AM430" s="37"/>
      <c r="AN430" s="37"/>
      <c r="AO430" s="37"/>
    </row>
    <row r="431" spans="1:41" ht="9.75" customHeight="1">
      <c r="A431" s="37"/>
      <c r="B431" s="37"/>
      <c r="C431" s="37"/>
      <c r="D431" s="37"/>
      <c r="E431" s="37"/>
      <c r="F431" s="40"/>
      <c r="G431" s="40"/>
      <c r="H431" s="40"/>
      <c r="I431" s="40"/>
      <c r="J431" s="40"/>
      <c r="K431" s="404"/>
      <c r="L431" s="404"/>
      <c r="M431" s="404"/>
      <c r="N431" s="404"/>
      <c r="O431" s="404"/>
      <c r="P431" s="404"/>
      <c r="Q431" s="40"/>
      <c r="R431" s="40"/>
      <c r="S431" s="40"/>
      <c r="T431" s="40"/>
      <c r="U431" s="40"/>
      <c r="V431" s="40"/>
      <c r="W431" s="40"/>
      <c r="X431" s="40"/>
      <c r="Y431" s="40"/>
      <c r="Z431" s="37"/>
      <c r="AA431" s="37"/>
      <c r="AB431" s="37"/>
      <c r="AC431" s="37"/>
      <c r="AD431" s="37"/>
      <c r="AE431" s="37"/>
      <c r="AF431" s="37"/>
      <c r="AG431" s="37"/>
      <c r="AH431" s="37"/>
      <c r="AI431" s="37"/>
      <c r="AJ431" s="37"/>
      <c r="AK431" s="39"/>
      <c r="AL431" s="37"/>
      <c r="AM431" s="37"/>
      <c r="AN431" s="37"/>
      <c r="AO431" s="37"/>
    </row>
    <row r="432" spans="1:41" ht="9.75" customHeight="1">
      <c r="A432" s="37"/>
      <c r="B432" s="37"/>
      <c r="C432" s="37"/>
      <c r="D432" s="37"/>
      <c r="E432" s="37"/>
      <c r="F432" s="40"/>
      <c r="G432" s="40"/>
      <c r="H432" s="40"/>
      <c r="I432" s="40"/>
      <c r="J432" s="40"/>
      <c r="K432" s="404"/>
      <c r="L432" s="404"/>
      <c r="M432" s="404"/>
      <c r="N432" s="404"/>
      <c r="O432" s="404"/>
      <c r="P432" s="404"/>
      <c r="Q432" s="40"/>
      <c r="R432" s="40"/>
      <c r="S432" s="40"/>
      <c r="T432" s="40"/>
      <c r="U432" s="40"/>
      <c r="V432" s="40"/>
      <c r="W432" s="40"/>
      <c r="X432" s="40"/>
      <c r="Y432" s="40"/>
      <c r="Z432" s="37"/>
      <c r="AA432" s="37"/>
      <c r="AB432" s="37"/>
      <c r="AC432" s="37"/>
      <c r="AD432" s="37"/>
      <c r="AE432" s="37"/>
      <c r="AF432" s="37"/>
      <c r="AG432" s="37"/>
      <c r="AH432" s="37"/>
      <c r="AI432" s="37"/>
      <c r="AJ432" s="37"/>
      <c r="AK432" s="39"/>
      <c r="AL432" s="37"/>
      <c r="AM432" s="37"/>
      <c r="AN432" s="37"/>
      <c r="AO432" s="37"/>
    </row>
    <row r="433" spans="1:41" ht="9.75" customHeight="1">
      <c r="A433" s="37"/>
      <c r="B433" s="37"/>
      <c r="C433" s="37"/>
      <c r="D433" s="37"/>
      <c r="E433" s="37"/>
      <c r="F433" s="40"/>
      <c r="G433" s="40"/>
      <c r="H433" s="40"/>
      <c r="I433" s="40"/>
      <c r="J433" s="40"/>
      <c r="K433" s="404"/>
      <c r="L433" s="404"/>
      <c r="M433" s="404"/>
      <c r="N433" s="404"/>
      <c r="O433" s="404"/>
      <c r="P433" s="404"/>
      <c r="Q433" s="40"/>
      <c r="R433" s="40"/>
      <c r="S433" s="40"/>
      <c r="T433" s="40"/>
      <c r="U433" s="40"/>
      <c r="V433" s="40"/>
      <c r="W433" s="40"/>
      <c r="X433" s="40"/>
      <c r="Y433" s="40"/>
      <c r="Z433" s="37"/>
      <c r="AA433" s="37"/>
      <c r="AB433" s="37"/>
      <c r="AC433" s="37"/>
      <c r="AD433" s="37"/>
      <c r="AE433" s="37"/>
      <c r="AF433" s="37"/>
      <c r="AG433" s="37"/>
      <c r="AH433" s="37"/>
      <c r="AI433" s="37"/>
      <c r="AJ433" s="37"/>
      <c r="AK433" s="39"/>
      <c r="AL433" s="37"/>
      <c r="AM433" s="37"/>
      <c r="AN433" s="37"/>
      <c r="AO433" s="37"/>
    </row>
    <row r="434" spans="1:41" ht="9.75" customHeight="1">
      <c r="A434" s="37"/>
      <c r="B434" s="37"/>
      <c r="C434" s="37"/>
      <c r="D434" s="37"/>
      <c r="E434" s="37"/>
      <c r="F434" s="40"/>
      <c r="G434" s="40"/>
      <c r="H434" s="40"/>
      <c r="I434" s="40"/>
      <c r="J434" s="40"/>
      <c r="K434" s="404"/>
      <c r="L434" s="404"/>
      <c r="M434" s="404"/>
      <c r="N434" s="404"/>
      <c r="O434" s="404"/>
      <c r="P434" s="404"/>
      <c r="Q434" s="40"/>
      <c r="R434" s="40"/>
      <c r="S434" s="40"/>
      <c r="T434" s="40"/>
      <c r="U434" s="40"/>
      <c r="V434" s="40"/>
      <c r="W434" s="40"/>
      <c r="X434" s="40"/>
      <c r="Y434" s="40"/>
      <c r="Z434" s="37"/>
      <c r="AA434" s="37"/>
      <c r="AB434" s="37"/>
      <c r="AC434" s="37"/>
      <c r="AD434" s="37"/>
      <c r="AE434" s="37"/>
      <c r="AF434" s="37"/>
      <c r="AG434" s="37"/>
      <c r="AH434" s="37"/>
      <c r="AI434" s="37"/>
      <c r="AJ434" s="37"/>
      <c r="AK434" s="39"/>
      <c r="AL434" s="37"/>
      <c r="AM434" s="37"/>
      <c r="AN434" s="37"/>
      <c r="AO434" s="37"/>
    </row>
    <row r="435" spans="1:41" ht="9.75" customHeight="1">
      <c r="A435" s="37"/>
      <c r="B435" s="37"/>
      <c r="C435" s="37"/>
      <c r="D435" s="37"/>
      <c r="E435" s="37"/>
      <c r="F435" s="40"/>
      <c r="G435" s="40"/>
      <c r="H435" s="40"/>
      <c r="I435" s="40"/>
      <c r="J435" s="40"/>
      <c r="K435" s="404"/>
      <c r="L435" s="404"/>
      <c r="M435" s="404"/>
      <c r="N435" s="404"/>
      <c r="O435" s="404"/>
      <c r="P435" s="404"/>
      <c r="Q435" s="40"/>
      <c r="R435" s="40"/>
      <c r="S435" s="40"/>
      <c r="T435" s="40"/>
      <c r="U435" s="40"/>
      <c r="V435" s="40"/>
      <c r="W435" s="40"/>
      <c r="X435" s="40"/>
      <c r="Y435" s="40"/>
      <c r="Z435" s="37"/>
      <c r="AA435" s="37"/>
      <c r="AB435" s="37"/>
      <c r="AC435" s="37"/>
      <c r="AD435" s="37"/>
      <c r="AE435" s="37"/>
      <c r="AF435" s="37"/>
      <c r="AG435" s="37"/>
      <c r="AH435" s="37"/>
      <c r="AI435" s="37"/>
      <c r="AJ435" s="37"/>
      <c r="AK435" s="39"/>
      <c r="AL435" s="37"/>
      <c r="AM435" s="37"/>
      <c r="AN435" s="37"/>
      <c r="AO435" s="37"/>
    </row>
    <row r="436" spans="1:41" ht="9.75" customHeight="1">
      <c r="A436" s="37"/>
      <c r="B436" s="37"/>
      <c r="C436" s="37"/>
      <c r="D436" s="37"/>
      <c r="E436" s="37"/>
      <c r="F436" s="40"/>
      <c r="G436" s="40"/>
      <c r="H436" s="40"/>
      <c r="I436" s="40"/>
      <c r="J436" s="40"/>
      <c r="K436" s="404"/>
      <c r="L436" s="404"/>
      <c r="M436" s="404"/>
      <c r="N436" s="404"/>
      <c r="O436" s="404"/>
      <c r="P436" s="404"/>
      <c r="Q436" s="40"/>
      <c r="R436" s="40"/>
      <c r="S436" s="40"/>
      <c r="T436" s="40"/>
      <c r="U436" s="40"/>
      <c r="V436" s="40"/>
      <c r="W436" s="40"/>
      <c r="X436" s="40"/>
      <c r="Y436" s="40"/>
      <c r="Z436" s="37"/>
      <c r="AA436" s="37"/>
      <c r="AB436" s="37"/>
      <c r="AC436" s="37"/>
      <c r="AD436" s="37"/>
      <c r="AE436" s="37"/>
      <c r="AF436" s="37"/>
      <c r="AG436" s="37"/>
      <c r="AH436" s="37"/>
      <c r="AI436" s="37"/>
      <c r="AJ436" s="37"/>
      <c r="AK436" s="39"/>
      <c r="AL436" s="37"/>
      <c r="AM436" s="37"/>
      <c r="AN436" s="37"/>
      <c r="AO436" s="37"/>
    </row>
    <row r="437" spans="1:41" ht="9.75" customHeight="1">
      <c r="A437" s="37"/>
      <c r="B437" s="37"/>
      <c r="C437" s="37"/>
      <c r="D437" s="37"/>
      <c r="E437" s="37"/>
      <c r="F437" s="40"/>
      <c r="G437" s="40"/>
      <c r="H437" s="40"/>
      <c r="I437" s="40"/>
      <c r="J437" s="40"/>
      <c r="K437" s="404"/>
      <c r="L437" s="404"/>
      <c r="M437" s="404"/>
      <c r="N437" s="404"/>
      <c r="O437" s="404"/>
      <c r="P437" s="404"/>
      <c r="Q437" s="40"/>
      <c r="R437" s="40"/>
      <c r="S437" s="40"/>
      <c r="T437" s="40"/>
      <c r="U437" s="40"/>
      <c r="V437" s="40"/>
      <c r="W437" s="40"/>
      <c r="X437" s="40"/>
      <c r="Y437" s="40"/>
      <c r="Z437" s="37"/>
      <c r="AA437" s="37"/>
      <c r="AB437" s="37"/>
      <c r="AC437" s="37"/>
      <c r="AD437" s="37"/>
      <c r="AE437" s="37"/>
      <c r="AF437" s="37"/>
      <c r="AG437" s="37"/>
      <c r="AH437" s="37"/>
      <c r="AI437" s="37"/>
      <c r="AJ437" s="37"/>
      <c r="AK437" s="39"/>
      <c r="AL437" s="37"/>
      <c r="AM437" s="37"/>
      <c r="AN437" s="37"/>
      <c r="AO437" s="37"/>
    </row>
    <row r="438" spans="1:41" ht="9.75" customHeight="1">
      <c r="A438" s="37"/>
      <c r="B438" s="37"/>
      <c r="C438" s="37"/>
      <c r="D438" s="37"/>
      <c r="E438" s="37"/>
      <c r="F438" s="40"/>
      <c r="G438" s="40"/>
      <c r="H438" s="40"/>
      <c r="I438" s="40"/>
      <c r="J438" s="40"/>
      <c r="K438" s="404"/>
      <c r="L438" s="404"/>
      <c r="M438" s="404"/>
      <c r="N438" s="404"/>
      <c r="O438" s="404"/>
      <c r="P438" s="404"/>
      <c r="Q438" s="40"/>
      <c r="R438" s="40"/>
      <c r="S438" s="40"/>
      <c r="T438" s="40"/>
      <c r="U438" s="40"/>
      <c r="V438" s="40"/>
      <c r="W438" s="40"/>
      <c r="X438" s="40"/>
      <c r="Y438" s="40"/>
      <c r="Z438" s="37"/>
      <c r="AA438" s="37"/>
      <c r="AB438" s="37"/>
      <c r="AC438" s="37"/>
      <c r="AD438" s="37"/>
      <c r="AE438" s="37"/>
      <c r="AF438" s="37"/>
      <c r="AG438" s="37"/>
      <c r="AH438" s="37"/>
      <c r="AI438" s="37"/>
      <c r="AJ438" s="37"/>
      <c r="AK438" s="39"/>
      <c r="AL438" s="37"/>
      <c r="AM438" s="37"/>
      <c r="AN438" s="37"/>
      <c r="AO438" s="37"/>
    </row>
    <row r="439" spans="1:41" ht="9.75" customHeight="1">
      <c r="A439" s="37"/>
      <c r="B439" s="37"/>
      <c r="C439" s="37"/>
      <c r="D439" s="37"/>
      <c r="E439" s="37"/>
      <c r="F439" s="40"/>
      <c r="G439" s="40"/>
      <c r="H439" s="40"/>
      <c r="I439" s="40"/>
      <c r="J439" s="40"/>
      <c r="K439" s="404"/>
      <c r="L439" s="403"/>
      <c r="M439" s="403"/>
      <c r="N439" s="403"/>
      <c r="O439" s="403"/>
      <c r="P439" s="403"/>
      <c r="Q439" s="40"/>
      <c r="R439" s="40"/>
      <c r="S439" s="40"/>
      <c r="T439" s="40"/>
      <c r="U439" s="40"/>
      <c r="V439" s="40"/>
      <c r="W439" s="40"/>
      <c r="X439" s="40"/>
      <c r="Y439" s="40"/>
      <c r="Z439" s="37"/>
      <c r="AA439" s="37"/>
      <c r="AB439" s="37"/>
      <c r="AC439" s="37"/>
      <c r="AD439" s="37"/>
      <c r="AE439" s="37"/>
      <c r="AF439" s="37"/>
      <c r="AG439" s="37"/>
      <c r="AH439" s="37"/>
      <c r="AI439" s="37"/>
      <c r="AJ439" s="37"/>
      <c r="AK439" s="39"/>
      <c r="AL439" s="37"/>
      <c r="AM439" s="37"/>
      <c r="AN439" s="37"/>
      <c r="AO439" s="37"/>
    </row>
    <row r="440" spans="1:41" ht="9.75" customHeight="1">
      <c r="A440" s="37"/>
      <c r="B440" s="37"/>
      <c r="C440" s="37"/>
      <c r="D440" s="37"/>
      <c r="E440" s="37"/>
      <c r="F440" s="40"/>
      <c r="G440" s="40"/>
      <c r="H440" s="40"/>
      <c r="I440" s="40"/>
      <c r="J440" s="40"/>
      <c r="K440" s="404"/>
      <c r="L440" s="403"/>
      <c r="M440" s="403"/>
      <c r="N440" s="403"/>
      <c r="O440" s="403"/>
      <c r="P440" s="403"/>
      <c r="Q440" s="40"/>
      <c r="R440" s="40"/>
      <c r="S440" s="40"/>
      <c r="T440" s="40"/>
      <c r="U440" s="40"/>
      <c r="V440" s="40"/>
      <c r="W440" s="40"/>
      <c r="X440" s="40"/>
      <c r="Y440" s="40"/>
      <c r="Z440" s="37"/>
      <c r="AA440" s="37"/>
      <c r="AB440" s="37"/>
      <c r="AC440" s="37"/>
      <c r="AD440" s="37"/>
      <c r="AE440" s="37"/>
      <c r="AF440" s="37"/>
      <c r="AG440" s="37"/>
      <c r="AH440" s="37"/>
      <c r="AI440" s="37"/>
      <c r="AJ440" s="37"/>
      <c r="AK440" s="39"/>
      <c r="AL440" s="37"/>
      <c r="AM440" s="37"/>
      <c r="AN440" s="37"/>
      <c r="AO440" s="37"/>
    </row>
    <row r="441" spans="1:41" ht="9.75" customHeight="1">
      <c r="A441" s="37"/>
      <c r="B441" s="37"/>
      <c r="C441" s="37"/>
      <c r="D441" s="37"/>
      <c r="E441" s="37"/>
      <c r="F441" s="40"/>
      <c r="G441" s="40"/>
      <c r="H441" s="40"/>
      <c r="I441" s="40"/>
      <c r="J441" s="40"/>
      <c r="K441" s="404"/>
      <c r="L441" s="403"/>
      <c r="M441" s="403"/>
      <c r="N441" s="403"/>
      <c r="O441" s="403"/>
      <c r="P441" s="403"/>
      <c r="Q441" s="40"/>
      <c r="R441" s="40"/>
      <c r="S441" s="40"/>
      <c r="T441" s="40"/>
      <c r="U441" s="40"/>
      <c r="V441" s="40"/>
      <c r="W441" s="40"/>
      <c r="X441" s="40"/>
      <c r="Y441" s="40"/>
      <c r="Z441" s="37"/>
      <c r="AA441" s="37"/>
      <c r="AB441" s="37"/>
      <c r="AC441" s="37"/>
      <c r="AD441" s="37"/>
      <c r="AE441" s="37"/>
      <c r="AF441" s="37"/>
      <c r="AG441" s="37"/>
      <c r="AH441" s="37"/>
      <c r="AI441" s="37"/>
      <c r="AJ441" s="37"/>
      <c r="AK441" s="39"/>
      <c r="AL441" s="37"/>
      <c r="AM441" s="37"/>
      <c r="AN441" s="37"/>
      <c r="AO441" s="37"/>
    </row>
    <row r="442" spans="1:41" ht="9.75" customHeight="1">
      <c r="A442" s="37"/>
      <c r="B442" s="37"/>
      <c r="C442" s="37"/>
      <c r="D442" s="37"/>
      <c r="E442" s="37"/>
      <c r="F442" s="40"/>
      <c r="G442" s="40"/>
      <c r="H442" s="40"/>
      <c r="I442" s="40"/>
      <c r="J442" s="40"/>
      <c r="K442" s="404"/>
      <c r="L442" s="403"/>
      <c r="M442" s="403"/>
      <c r="N442" s="403"/>
      <c r="O442" s="403"/>
      <c r="P442" s="403"/>
      <c r="Q442" s="40"/>
      <c r="R442" s="40"/>
      <c r="S442" s="40"/>
      <c r="T442" s="40"/>
      <c r="U442" s="40"/>
      <c r="V442" s="40"/>
      <c r="W442" s="40"/>
      <c r="X442" s="40"/>
      <c r="Y442" s="40"/>
      <c r="Z442" s="37"/>
      <c r="AA442" s="37"/>
      <c r="AB442" s="37"/>
      <c r="AC442" s="37"/>
      <c r="AD442" s="37"/>
      <c r="AE442" s="37"/>
      <c r="AF442" s="37"/>
      <c r="AG442" s="37"/>
      <c r="AH442" s="37"/>
      <c r="AI442" s="37"/>
      <c r="AJ442" s="37"/>
      <c r="AK442" s="39"/>
      <c r="AL442" s="37"/>
      <c r="AM442" s="37"/>
      <c r="AN442" s="37"/>
      <c r="AO442" s="37"/>
    </row>
    <row r="443" spans="1:41" ht="9.75" customHeight="1">
      <c r="A443" s="37"/>
      <c r="B443" s="37"/>
      <c r="C443" s="37"/>
      <c r="D443" s="37"/>
      <c r="E443" s="37"/>
      <c r="F443" s="40"/>
      <c r="G443" s="40"/>
      <c r="H443" s="40"/>
      <c r="I443" s="40"/>
      <c r="J443" s="40"/>
      <c r="K443" s="404"/>
      <c r="L443" s="403"/>
      <c r="M443" s="403"/>
      <c r="N443" s="403"/>
      <c r="O443" s="403"/>
      <c r="P443" s="403"/>
      <c r="Q443" s="40"/>
      <c r="R443" s="40"/>
      <c r="S443" s="40"/>
      <c r="T443" s="40"/>
      <c r="U443" s="40"/>
      <c r="V443" s="40"/>
      <c r="W443" s="40"/>
      <c r="X443" s="40"/>
      <c r="Y443" s="40"/>
      <c r="Z443" s="37"/>
      <c r="AA443" s="37"/>
      <c r="AB443" s="37"/>
      <c r="AC443" s="37"/>
      <c r="AD443" s="37"/>
      <c r="AE443" s="37"/>
      <c r="AF443" s="37"/>
      <c r="AG443" s="37"/>
      <c r="AH443" s="37"/>
      <c r="AI443" s="37"/>
      <c r="AJ443" s="37"/>
      <c r="AK443" s="39"/>
      <c r="AL443" s="37"/>
      <c r="AM443" s="37"/>
      <c r="AN443" s="37"/>
      <c r="AO443" s="37"/>
    </row>
    <row r="444" spans="1:41" ht="9.75" customHeight="1">
      <c r="A444" s="37"/>
      <c r="B444" s="37"/>
      <c r="C444" s="37"/>
      <c r="D444" s="37"/>
      <c r="E444" s="37"/>
      <c r="F444" s="40"/>
      <c r="G444" s="40"/>
      <c r="H444" s="40"/>
      <c r="I444" s="40"/>
      <c r="J444" s="40"/>
      <c r="K444" s="404"/>
      <c r="L444" s="403"/>
      <c r="M444" s="403"/>
      <c r="N444" s="403"/>
      <c r="O444" s="403"/>
      <c r="P444" s="403"/>
      <c r="Q444" s="40"/>
      <c r="R444" s="40"/>
      <c r="S444" s="40"/>
      <c r="T444" s="40"/>
      <c r="U444" s="40"/>
      <c r="V444" s="40"/>
      <c r="W444" s="40"/>
      <c r="X444" s="40"/>
      <c r="Y444" s="40"/>
      <c r="Z444" s="37"/>
      <c r="AA444" s="37"/>
      <c r="AB444" s="37"/>
      <c r="AC444" s="37"/>
      <c r="AD444" s="37"/>
      <c r="AE444" s="37"/>
      <c r="AF444" s="37"/>
      <c r="AG444" s="37"/>
      <c r="AH444" s="37"/>
      <c r="AI444" s="37"/>
      <c r="AJ444" s="37"/>
      <c r="AK444" s="39"/>
      <c r="AL444" s="37"/>
      <c r="AM444" s="37"/>
      <c r="AN444" s="37"/>
      <c r="AO444" s="37"/>
    </row>
    <row r="445" spans="1:41" ht="9.75" customHeight="1">
      <c r="A445" s="37"/>
      <c r="B445" s="37"/>
      <c r="C445" s="37"/>
      <c r="D445" s="37"/>
      <c r="E445" s="37"/>
      <c r="F445" s="40"/>
      <c r="G445" s="40"/>
      <c r="H445" s="40"/>
      <c r="I445" s="40"/>
      <c r="J445" s="40"/>
      <c r="K445" s="404"/>
      <c r="L445" s="403"/>
      <c r="M445" s="403"/>
      <c r="N445" s="403"/>
      <c r="O445" s="403"/>
      <c r="P445" s="403"/>
      <c r="Q445" s="40"/>
      <c r="R445" s="40"/>
      <c r="S445" s="40"/>
      <c r="T445" s="40"/>
      <c r="U445" s="40"/>
      <c r="V445" s="40"/>
      <c r="W445" s="40"/>
      <c r="X445" s="40"/>
      <c r="Y445" s="40"/>
      <c r="Z445" s="37"/>
      <c r="AA445" s="37"/>
      <c r="AB445" s="37"/>
      <c r="AC445" s="37"/>
      <c r="AD445" s="37"/>
      <c r="AE445" s="37"/>
      <c r="AF445" s="37"/>
      <c r="AG445" s="37"/>
      <c r="AH445" s="37"/>
      <c r="AI445" s="37"/>
      <c r="AJ445" s="37"/>
      <c r="AK445" s="39"/>
      <c r="AL445" s="37"/>
      <c r="AM445" s="37"/>
      <c r="AN445" s="37"/>
      <c r="AO445" s="37"/>
    </row>
    <row r="446" spans="1:41" ht="9.75" customHeight="1">
      <c r="A446" s="37"/>
      <c r="B446" s="37"/>
      <c r="C446" s="37"/>
      <c r="D446" s="37"/>
      <c r="E446" s="37"/>
      <c r="F446" s="40"/>
      <c r="G446" s="40"/>
      <c r="H446" s="40"/>
      <c r="I446" s="40"/>
      <c r="J446" s="40"/>
      <c r="K446" s="404"/>
      <c r="L446" s="403"/>
      <c r="M446" s="403"/>
      <c r="N446" s="403"/>
      <c r="O446" s="403"/>
      <c r="P446" s="403"/>
      <c r="Q446" s="40"/>
      <c r="R446" s="40"/>
      <c r="S446" s="40"/>
      <c r="T446" s="40"/>
      <c r="U446" s="40"/>
      <c r="V446" s="40"/>
      <c r="W446" s="40"/>
      <c r="X446" s="40"/>
      <c r="Y446" s="40"/>
      <c r="Z446" s="37"/>
      <c r="AA446" s="37"/>
      <c r="AB446" s="37"/>
      <c r="AC446" s="37"/>
      <c r="AD446" s="37"/>
      <c r="AE446" s="37"/>
      <c r="AF446" s="37"/>
      <c r="AG446" s="37"/>
      <c r="AH446" s="37"/>
      <c r="AI446" s="37"/>
      <c r="AJ446" s="37"/>
      <c r="AK446" s="39"/>
      <c r="AL446" s="37"/>
      <c r="AM446" s="37"/>
      <c r="AN446" s="37"/>
      <c r="AO446" s="37"/>
    </row>
    <row r="447" spans="1:41" ht="9.75" customHeight="1">
      <c r="A447" s="37"/>
      <c r="B447" s="37"/>
      <c r="C447" s="37"/>
      <c r="D447" s="37"/>
      <c r="E447" s="37"/>
      <c r="F447" s="40"/>
      <c r="G447" s="40"/>
      <c r="H447" s="40"/>
      <c r="I447" s="40"/>
      <c r="J447" s="40"/>
      <c r="K447" s="404"/>
      <c r="L447" s="403"/>
      <c r="M447" s="403"/>
      <c r="N447" s="403"/>
      <c r="O447" s="403"/>
      <c r="P447" s="403"/>
      <c r="Q447" s="40"/>
      <c r="R447" s="40"/>
      <c r="S447" s="40"/>
      <c r="T447" s="40"/>
      <c r="U447" s="40"/>
      <c r="V447" s="40"/>
      <c r="W447" s="40"/>
      <c r="X447" s="40"/>
      <c r="Y447" s="40"/>
      <c r="Z447" s="37"/>
      <c r="AA447" s="37"/>
      <c r="AB447" s="37"/>
      <c r="AC447" s="37"/>
      <c r="AD447" s="37"/>
      <c r="AE447" s="37"/>
      <c r="AF447" s="37"/>
      <c r="AG447" s="37"/>
      <c r="AH447" s="37"/>
      <c r="AI447" s="37"/>
      <c r="AJ447" s="37"/>
      <c r="AK447" s="39"/>
      <c r="AL447" s="37"/>
      <c r="AM447" s="37"/>
      <c r="AN447" s="37"/>
      <c r="AO447" s="37"/>
    </row>
    <row r="448" spans="1:41" ht="9.75" customHeight="1">
      <c r="A448" s="37"/>
      <c r="B448" s="37"/>
      <c r="C448" s="37"/>
      <c r="D448" s="37"/>
      <c r="E448" s="37"/>
      <c r="F448" s="40"/>
      <c r="G448" s="40"/>
      <c r="H448" s="40"/>
      <c r="I448" s="40"/>
      <c r="J448" s="40"/>
      <c r="K448" s="404"/>
      <c r="L448" s="403"/>
      <c r="M448" s="403"/>
      <c r="N448" s="403"/>
      <c r="O448" s="403"/>
      <c r="P448" s="403"/>
      <c r="Q448" s="40"/>
      <c r="R448" s="40"/>
      <c r="S448" s="40"/>
      <c r="T448" s="40"/>
      <c r="U448" s="40"/>
      <c r="V448" s="40"/>
      <c r="W448" s="40"/>
      <c r="X448" s="40"/>
      <c r="Y448" s="40"/>
      <c r="Z448" s="37"/>
      <c r="AA448" s="37"/>
      <c r="AB448" s="37"/>
      <c r="AC448" s="37"/>
      <c r="AD448" s="37"/>
      <c r="AE448" s="37"/>
      <c r="AF448" s="37"/>
      <c r="AG448" s="37"/>
      <c r="AH448" s="37"/>
      <c r="AI448" s="37"/>
      <c r="AJ448" s="37"/>
      <c r="AK448" s="39"/>
      <c r="AL448" s="37"/>
      <c r="AM448" s="37"/>
      <c r="AN448" s="37"/>
      <c r="AO448" s="37"/>
    </row>
    <row r="449" spans="1:41" ht="9.75" customHeight="1">
      <c r="A449" s="37"/>
      <c r="B449" s="37"/>
      <c r="C449" s="37"/>
      <c r="D449" s="37"/>
      <c r="E449" s="37"/>
      <c r="F449" s="40"/>
      <c r="G449" s="40"/>
      <c r="H449" s="40"/>
      <c r="I449" s="40"/>
      <c r="J449" s="40"/>
      <c r="K449" s="404"/>
      <c r="L449" s="403"/>
      <c r="M449" s="403"/>
      <c r="N449" s="403"/>
      <c r="O449" s="403"/>
      <c r="P449" s="403"/>
      <c r="Q449" s="40"/>
      <c r="R449" s="40"/>
      <c r="S449" s="40"/>
      <c r="T449" s="40"/>
      <c r="U449" s="40"/>
      <c r="V449" s="40"/>
      <c r="W449" s="40"/>
      <c r="X449" s="40"/>
      <c r="Y449" s="40"/>
      <c r="Z449" s="37"/>
      <c r="AA449" s="37"/>
      <c r="AB449" s="37"/>
      <c r="AC449" s="37"/>
      <c r="AD449" s="37"/>
      <c r="AE449" s="37"/>
      <c r="AF449" s="37"/>
      <c r="AG449" s="37"/>
      <c r="AH449" s="37"/>
      <c r="AI449" s="37"/>
      <c r="AJ449" s="37"/>
      <c r="AK449" s="39"/>
      <c r="AL449" s="37"/>
      <c r="AM449" s="37"/>
      <c r="AN449" s="37"/>
      <c r="AO449" s="37"/>
    </row>
    <row r="450" spans="1:41" ht="9.75" customHeight="1">
      <c r="A450" s="37"/>
      <c r="B450" s="37"/>
      <c r="C450" s="37"/>
      <c r="D450" s="37"/>
      <c r="E450" s="37"/>
      <c r="F450" s="40"/>
      <c r="G450" s="40"/>
      <c r="H450" s="40"/>
      <c r="I450" s="40"/>
      <c r="J450" s="40"/>
      <c r="K450" s="404"/>
      <c r="L450" s="403"/>
      <c r="M450" s="403"/>
      <c r="N450" s="403"/>
      <c r="O450" s="403"/>
      <c r="P450" s="403"/>
      <c r="Q450" s="40"/>
      <c r="R450" s="40"/>
      <c r="S450" s="40"/>
      <c r="T450" s="40"/>
      <c r="U450" s="40"/>
      <c r="V450" s="40"/>
      <c r="W450" s="40"/>
      <c r="X450" s="40"/>
      <c r="Y450" s="40"/>
      <c r="Z450" s="37"/>
      <c r="AA450" s="37"/>
      <c r="AB450" s="37"/>
      <c r="AC450" s="37"/>
      <c r="AD450" s="37"/>
      <c r="AE450" s="37"/>
      <c r="AF450" s="37"/>
      <c r="AG450" s="37"/>
      <c r="AH450" s="37"/>
      <c r="AI450" s="37"/>
      <c r="AJ450" s="37"/>
      <c r="AK450" s="39"/>
      <c r="AL450" s="37"/>
      <c r="AM450" s="37"/>
      <c r="AN450" s="37"/>
      <c r="AO450" s="37"/>
    </row>
    <row r="451" spans="1:41" ht="9.75" customHeight="1">
      <c r="A451" s="37"/>
      <c r="B451" s="37"/>
      <c r="C451" s="37"/>
      <c r="D451" s="37"/>
      <c r="E451" s="37"/>
      <c r="F451" s="40"/>
      <c r="G451" s="40"/>
      <c r="H451" s="40"/>
      <c r="I451" s="40"/>
      <c r="J451" s="40"/>
      <c r="K451" s="404"/>
      <c r="L451" s="403"/>
      <c r="M451" s="403"/>
      <c r="N451" s="403"/>
      <c r="O451" s="403"/>
      <c r="P451" s="403"/>
      <c r="Q451" s="40"/>
      <c r="R451" s="40"/>
      <c r="S451" s="40"/>
      <c r="T451" s="40"/>
      <c r="U451" s="40"/>
      <c r="V451" s="40"/>
      <c r="W451" s="40"/>
      <c r="X451" s="40"/>
      <c r="Y451" s="40"/>
      <c r="Z451" s="37"/>
      <c r="AA451" s="37"/>
      <c r="AB451" s="37"/>
      <c r="AC451" s="37"/>
      <c r="AD451" s="37"/>
      <c r="AE451" s="37"/>
      <c r="AF451" s="37"/>
      <c r="AG451" s="37"/>
      <c r="AH451" s="37"/>
      <c r="AI451" s="37"/>
      <c r="AJ451" s="37"/>
      <c r="AK451" s="39"/>
      <c r="AL451" s="37"/>
      <c r="AM451" s="37"/>
      <c r="AN451" s="37"/>
      <c r="AO451" s="37"/>
    </row>
    <row r="452" spans="1:41" ht="9.75" customHeight="1">
      <c r="A452" s="37"/>
      <c r="B452" s="37"/>
      <c r="C452" s="37"/>
      <c r="D452" s="37"/>
      <c r="E452" s="37"/>
      <c r="F452" s="40"/>
      <c r="G452" s="40"/>
      <c r="H452" s="40"/>
      <c r="I452" s="40"/>
      <c r="J452" s="40"/>
      <c r="K452" s="404"/>
      <c r="L452" s="403"/>
      <c r="M452" s="403"/>
      <c r="N452" s="403"/>
      <c r="O452" s="403"/>
      <c r="P452" s="403"/>
      <c r="Q452" s="40"/>
      <c r="R452" s="40"/>
      <c r="S452" s="40"/>
      <c r="T452" s="40"/>
      <c r="U452" s="40"/>
      <c r="V452" s="40"/>
      <c r="W452" s="40"/>
      <c r="X452" s="40"/>
      <c r="Y452" s="40"/>
      <c r="Z452" s="37"/>
      <c r="AA452" s="37"/>
      <c r="AB452" s="37"/>
      <c r="AC452" s="37"/>
      <c r="AD452" s="37"/>
      <c r="AE452" s="37"/>
      <c r="AF452" s="37"/>
      <c r="AG452" s="37"/>
      <c r="AH452" s="37"/>
      <c r="AI452" s="37"/>
      <c r="AJ452" s="37"/>
      <c r="AK452" s="39"/>
      <c r="AL452" s="37"/>
      <c r="AM452" s="37"/>
      <c r="AN452" s="37"/>
      <c r="AO452" s="37"/>
    </row>
    <row r="453" spans="1:41" ht="9.75" customHeight="1">
      <c r="A453" s="37"/>
      <c r="B453" s="37"/>
      <c r="C453" s="37"/>
      <c r="D453" s="37"/>
      <c r="E453" s="37"/>
      <c r="F453" s="40"/>
      <c r="G453" s="40"/>
      <c r="H453" s="40"/>
      <c r="I453" s="40"/>
      <c r="J453" s="40"/>
      <c r="K453" s="404"/>
      <c r="L453" s="403"/>
      <c r="M453" s="403"/>
      <c r="N453" s="403"/>
      <c r="O453" s="403"/>
      <c r="P453" s="403"/>
      <c r="Q453" s="40"/>
      <c r="R453" s="40"/>
      <c r="S453" s="40"/>
      <c r="T453" s="40"/>
      <c r="U453" s="40"/>
      <c r="V453" s="40"/>
      <c r="W453" s="40"/>
      <c r="X453" s="40"/>
      <c r="Y453" s="40"/>
      <c r="Z453" s="37"/>
      <c r="AA453" s="37"/>
      <c r="AB453" s="37"/>
      <c r="AC453" s="37"/>
      <c r="AD453" s="37"/>
      <c r="AE453" s="37"/>
      <c r="AF453" s="37"/>
      <c r="AG453" s="37"/>
      <c r="AH453" s="37"/>
      <c r="AI453" s="37"/>
      <c r="AJ453" s="37"/>
      <c r="AK453" s="39"/>
      <c r="AL453" s="37"/>
      <c r="AM453" s="37"/>
      <c r="AN453" s="37"/>
      <c r="AO453" s="37"/>
    </row>
    <row r="454" spans="1:41" ht="9.75" customHeight="1">
      <c r="A454" s="37"/>
      <c r="B454" s="37"/>
      <c r="C454" s="37"/>
      <c r="D454" s="37"/>
      <c r="E454" s="37"/>
      <c r="F454" s="40"/>
      <c r="G454" s="40"/>
      <c r="H454" s="40"/>
      <c r="I454" s="40"/>
      <c r="J454" s="40"/>
      <c r="K454" s="404"/>
      <c r="L454" s="403"/>
      <c r="M454" s="403"/>
      <c r="N454" s="403"/>
      <c r="O454" s="403"/>
      <c r="P454" s="403"/>
      <c r="Q454" s="40"/>
      <c r="R454" s="40"/>
      <c r="S454" s="40"/>
      <c r="T454" s="40"/>
      <c r="U454" s="40"/>
      <c r="V454" s="40"/>
      <c r="W454" s="40"/>
      <c r="X454" s="40"/>
      <c r="Y454" s="40"/>
      <c r="Z454" s="37"/>
      <c r="AA454" s="37"/>
      <c r="AB454" s="37"/>
      <c r="AC454" s="37"/>
      <c r="AD454" s="37"/>
      <c r="AE454" s="37"/>
      <c r="AF454" s="37"/>
      <c r="AG454" s="37"/>
      <c r="AH454" s="37"/>
      <c r="AI454" s="37"/>
      <c r="AJ454" s="37"/>
      <c r="AK454" s="39"/>
      <c r="AL454" s="37"/>
      <c r="AM454" s="37"/>
      <c r="AN454" s="37"/>
      <c r="AO454" s="37"/>
    </row>
    <row r="455" spans="1:41" ht="9.75" customHeight="1">
      <c r="A455" s="37"/>
      <c r="B455" s="37"/>
      <c r="C455" s="37"/>
      <c r="D455" s="37"/>
      <c r="E455" s="37"/>
      <c r="F455" s="40"/>
      <c r="G455" s="40"/>
      <c r="H455" s="40"/>
      <c r="I455" s="40"/>
      <c r="J455" s="40"/>
      <c r="K455" s="404"/>
      <c r="L455" s="403"/>
      <c r="M455" s="403"/>
      <c r="N455" s="403"/>
      <c r="O455" s="403"/>
      <c r="P455" s="403"/>
      <c r="Q455" s="40"/>
      <c r="R455" s="40"/>
      <c r="S455" s="40"/>
      <c r="T455" s="40"/>
      <c r="U455" s="40"/>
      <c r="V455" s="40"/>
      <c r="W455" s="40"/>
      <c r="X455" s="40"/>
      <c r="Y455" s="40"/>
      <c r="Z455" s="37"/>
      <c r="AA455" s="37"/>
      <c r="AB455" s="37"/>
      <c r="AC455" s="37"/>
      <c r="AD455" s="37"/>
      <c r="AE455" s="37"/>
      <c r="AF455" s="37"/>
      <c r="AG455" s="37"/>
      <c r="AH455" s="37"/>
      <c r="AI455" s="37"/>
      <c r="AJ455" s="37"/>
      <c r="AK455" s="39"/>
      <c r="AL455" s="37"/>
      <c r="AM455" s="37"/>
      <c r="AN455" s="37"/>
      <c r="AO455" s="37"/>
    </row>
    <row r="456" spans="1:41" ht="9.75" customHeight="1">
      <c r="A456" s="37"/>
      <c r="B456" s="37"/>
      <c r="C456" s="37"/>
      <c r="D456" s="37"/>
      <c r="E456" s="37"/>
      <c r="F456" s="40"/>
      <c r="G456" s="40"/>
      <c r="H456" s="40"/>
      <c r="I456" s="40"/>
      <c r="J456" s="40"/>
      <c r="K456" s="404"/>
      <c r="L456" s="403"/>
      <c r="M456" s="403"/>
      <c r="N456" s="403"/>
      <c r="O456" s="403"/>
      <c r="P456" s="403"/>
      <c r="Q456" s="40"/>
      <c r="R456" s="40"/>
      <c r="S456" s="40"/>
      <c r="T456" s="40"/>
      <c r="U456" s="40"/>
      <c r="V456" s="40"/>
      <c r="W456" s="40"/>
      <c r="X456" s="40"/>
      <c r="Y456" s="40"/>
      <c r="Z456" s="37"/>
      <c r="AA456" s="37"/>
      <c r="AB456" s="37"/>
      <c r="AC456" s="37"/>
      <c r="AD456" s="37"/>
      <c r="AE456" s="37"/>
      <c r="AF456" s="37"/>
      <c r="AG456" s="37"/>
      <c r="AH456" s="37"/>
      <c r="AI456" s="37"/>
      <c r="AJ456" s="37"/>
      <c r="AK456" s="39"/>
      <c r="AL456" s="37"/>
      <c r="AM456" s="37"/>
      <c r="AN456" s="37"/>
      <c r="AO456" s="37"/>
    </row>
    <row r="457" spans="1:41" ht="9.75" customHeight="1">
      <c r="A457" s="37"/>
      <c r="B457" s="37"/>
      <c r="C457" s="37"/>
      <c r="D457" s="37"/>
      <c r="E457" s="37"/>
      <c r="F457" s="40"/>
      <c r="G457" s="40"/>
      <c r="H457" s="40"/>
      <c r="I457" s="40"/>
      <c r="J457" s="40"/>
      <c r="K457" s="404"/>
      <c r="L457" s="403"/>
      <c r="M457" s="403"/>
      <c r="N457" s="403"/>
      <c r="O457" s="403"/>
      <c r="P457" s="403"/>
      <c r="Q457" s="40"/>
      <c r="R457" s="40"/>
      <c r="S457" s="40"/>
      <c r="T457" s="40"/>
      <c r="U457" s="40"/>
      <c r="V457" s="40"/>
      <c r="W457" s="40"/>
      <c r="X457" s="40"/>
      <c r="Y457" s="40"/>
      <c r="Z457" s="37"/>
      <c r="AA457" s="37"/>
      <c r="AB457" s="37"/>
      <c r="AC457" s="37"/>
      <c r="AD457" s="37"/>
      <c r="AE457" s="37"/>
      <c r="AF457" s="37"/>
      <c r="AG457" s="37"/>
      <c r="AH457" s="37"/>
      <c r="AI457" s="37"/>
      <c r="AJ457" s="37"/>
      <c r="AK457" s="39"/>
      <c r="AL457" s="37"/>
      <c r="AM457" s="37"/>
      <c r="AN457" s="37"/>
      <c r="AO457" s="37"/>
    </row>
    <row r="458" spans="1:41" ht="9.75" customHeight="1">
      <c r="A458" s="37"/>
      <c r="B458" s="37"/>
      <c r="C458" s="37"/>
      <c r="D458" s="37"/>
      <c r="E458" s="37"/>
      <c r="F458" s="40"/>
      <c r="G458" s="40"/>
      <c r="H458" s="40"/>
      <c r="I458" s="40"/>
      <c r="J458" s="40"/>
      <c r="K458" s="404"/>
      <c r="L458" s="403"/>
      <c r="M458" s="403"/>
      <c r="N458" s="403"/>
      <c r="O458" s="403"/>
      <c r="P458" s="403"/>
      <c r="Q458" s="40"/>
      <c r="R458" s="40"/>
      <c r="S458" s="40"/>
      <c r="T458" s="40"/>
      <c r="U458" s="40"/>
      <c r="V458" s="40"/>
      <c r="W458" s="40"/>
      <c r="X458" s="40"/>
      <c r="Y458" s="40"/>
      <c r="Z458" s="37"/>
      <c r="AA458" s="37"/>
      <c r="AB458" s="37"/>
      <c r="AC458" s="37"/>
      <c r="AD458" s="37"/>
      <c r="AE458" s="37"/>
      <c r="AF458" s="37"/>
      <c r="AG458" s="37"/>
      <c r="AH458" s="37"/>
      <c r="AI458" s="37"/>
      <c r="AJ458" s="37"/>
      <c r="AK458" s="39"/>
      <c r="AL458" s="37"/>
      <c r="AM458" s="37"/>
      <c r="AN458" s="37"/>
      <c r="AO458" s="37"/>
    </row>
    <row r="459" spans="1:41" ht="9.75" customHeight="1">
      <c r="A459" s="37"/>
      <c r="B459" s="37"/>
      <c r="C459" s="37"/>
      <c r="D459" s="37"/>
      <c r="E459" s="37"/>
      <c r="F459" s="40"/>
      <c r="G459" s="40"/>
      <c r="H459" s="40"/>
      <c r="I459" s="40"/>
      <c r="J459" s="40"/>
      <c r="K459" s="404"/>
      <c r="L459" s="403"/>
      <c r="M459" s="403"/>
      <c r="N459" s="403"/>
      <c r="O459" s="403"/>
      <c r="P459" s="403"/>
      <c r="Q459" s="40"/>
      <c r="R459" s="40"/>
      <c r="S459" s="40"/>
      <c r="T459" s="40"/>
      <c r="U459" s="40"/>
      <c r="V459" s="40"/>
      <c r="W459" s="40"/>
      <c r="X459" s="40"/>
      <c r="Y459" s="40"/>
      <c r="Z459" s="37"/>
      <c r="AA459" s="37"/>
      <c r="AB459" s="37"/>
      <c r="AC459" s="37"/>
      <c r="AD459" s="37"/>
      <c r="AE459" s="37"/>
      <c r="AF459" s="37"/>
      <c r="AG459" s="37"/>
      <c r="AH459" s="37"/>
      <c r="AI459" s="37"/>
      <c r="AJ459" s="37"/>
      <c r="AK459" s="39"/>
      <c r="AL459" s="37"/>
      <c r="AM459" s="37"/>
      <c r="AN459" s="37"/>
      <c r="AO459" s="37"/>
    </row>
    <row r="460" spans="1:41" ht="9.75" customHeight="1">
      <c r="A460" s="37"/>
      <c r="B460" s="37"/>
      <c r="C460" s="37"/>
      <c r="D460" s="37"/>
      <c r="E460" s="37"/>
      <c r="F460" s="40"/>
      <c r="G460" s="40"/>
      <c r="H460" s="40"/>
      <c r="I460" s="40"/>
      <c r="J460" s="40"/>
      <c r="K460" s="404"/>
      <c r="L460" s="403"/>
      <c r="M460" s="403"/>
      <c r="N460" s="403"/>
      <c r="O460" s="403"/>
      <c r="P460" s="403"/>
      <c r="Q460" s="40"/>
      <c r="R460" s="40"/>
      <c r="S460" s="40"/>
      <c r="T460" s="40"/>
      <c r="U460" s="40"/>
      <c r="V460" s="40"/>
      <c r="W460" s="40"/>
      <c r="X460" s="40"/>
      <c r="Y460" s="40"/>
      <c r="Z460" s="37"/>
      <c r="AA460" s="37"/>
      <c r="AB460" s="37"/>
      <c r="AC460" s="37"/>
      <c r="AD460" s="37"/>
      <c r="AE460" s="37"/>
      <c r="AF460" s="37"/>
      <c r="AG460" s="37"/>
      <c r="AH460" s="37"/>
      <c r="AI460" s="37"/>
      <c r="AJ460" s="37"/>
      <c r="AK460" s="39"/>
      <c r="AL460" s="37"/>
      <c r="AM460" s="37"/>
      <c r="AN460" s="37"/>
      <c r="AO460" s="37"/>
    </row>
    <row r="461" spans="1:41" ht="9.75" customHeight="1">
      <c r="A461" s="37"/>
      <c r="B461" s="37"/>
      <c r="C461" s="37"/>
      <c r="D461" s="37"/>
      <c r="E461" s="37"/>
      <c r="F461" s="40"/>
      <c r="G461" s="40"/>
      <c r="H461" s="40"/>
      <c r="I461" s="40"/>
      <c r="J461" s="40"/>
      <c r="K461" s="404"/>
      <c r="L461" s="403"/>
      <c r="M461" s="403"/>
      <c r="N461" s="403"/>
      <c r="O461" s="403"/>
      <c r="P461" s="403"/>
      <c r="Q461" s="40"/>
      <c r="R461" s="40"/>
      <c r="S461" s="40"/>
      <c r="T461" s="40"/>
      <c r="U461" s="40"/>
      <c r="V461" s="40"/>
      <c r="W461" s="40"/>
      <c r="X461" s="40"/>
      <c r="Y461" s="40"/>
      <c r="Z461" s="37"/>
      <c r="AA461" s="37"/>
      <c r="AB461" s="37"/>
      <c r="AC461" s="37"/>
      <c r="AD461" s="37"/>
      <c r="AE461" s="37"/>
      <c r="AF461" s="37"/>
      <c r="AG461" s="37"/>
      <c r="AH461" s="37"/>
      <c r="AI461" s="37"/>
      <c r="AJ461" s="37"/>
      <c r="AK461" s="39"/>
      <c r="AL461" s="37"/>
      <c r="AM461" s="37"/>
      <c r="AN461" s="37"/>
      <c r="AO461" s="37"/>
    </row>
    <row r="462" spans="1:41" ht="9.75" customHeight="1">
      <c r="A462" s="37"/>
      <c r="B462" s="37"/>
      <c r="C462" s="37"/>
      <c r="D462" s="37"/>
      <c r="E462" s="37"/>
      <c r="F462" s="40"/>
      <c r="G462" s="40"/>
      <c r="H462" s="40"/>
      <c r="I462" s="40"/>
      <c r="J462" s="40"/>
      <c r="K462" s="404"/>
      <c r="L462" s="403"/>
      <c r="M462" s="403"/>
      <c r="N462" s="403"/>
      <c r="O462" s="403"/>
      <c r="P462" s="403"/>
      <c r="Q462" s="40"/>
      <c r="R462" s="40"/>
      <c r="S462" s="40"/>
      <c r="T462" s="40"/>
      <c r="U462" s="40"/>
      <c r="V462" s="40"/>
      <c r="W462" s="40"/>
      <c r="X462" s="40"/>
      <c r="Y462" s="40"/>
      <c r="Z462" s="37"/>
      <c r="AA462" s="37"/>
      <c r="AB462" s="37"/>
      <c r="AC462" s="37"/>
      <c r="AD462" s="37"/>
      <c r="AE462" s="37"/>
      <c r="AF462" s="37"/>
      <c r="AG462" s="37"/>
      <c r="AH462" s="37"/>
      <c r="AI462" s="37"/>
      <c r="AJ462" s="37"/>
      <c r="AK462" s="39"/>
      <c r="AL462" s="37"/>
      <c r="AM462" s="37"/>
      <c r="AN462" s="37"/>
      <c r="AO462" s="37"/>
    </row>
    <row r="463" spans="1:41" ht="9.75" customHeight="1">
      <c r="A463" s="37"/>
      <c r="B463" s="37"/>
      <c r="C463" s="37"/>
      <c r="D463" s="37"/>
      <c r="E463" s="37"/>
      <c r="F463" s="40"/>
      <c r="G463" s="40"/>
      <c r="H463" s="40"/>
      <c r="I463" s="40"/>
      <c r="J463" s="40"/>
      <c r="K463" s="404"/>
      <c r="L463" s="403"/>
      <c r="M463" s="403"/>
      <c r="N463" s="403"/>
      <c r="O463" s="403"/>
      <c r="P463" s="403"/>
      <c r="Q463" s="40"/>
      <c r="R463" s="40"/>
      <c r="S463" s="40"/>
      <c r="T463" s="40"/>
      <c r="U463" s="40"/>
      <c r="V463" s="40"/>
      <c r="W463" s="40"/>
      <c r="X463" s="40"/>
      <c r="Y463" s="40"/>
      <c r="Z463" s="37"/>
      <c r="AA463" s="37"/>
      <c r="AB463" s="37"/>
      <c r="AC463" s="37"/>
      <c r="AD463" s="37"/>
      <c r="AE463" s="37"/>
      <c r="AF463" s="37"/>
      <c r="AG463" s="37"/>
      <c r="AH463" s="37"/>
      <c r="AI463" s="37"/>
      <c r="AJ463" s="37"/>
      <c r="AK463" s="39"/>
      <c r="AL463" s="37"/>
      <c r="AM463" s="37"/>
      <c r="AN463" s="37"/>
      <c r="AO463" s="37"/>
    </row>
    <row r="464" spans="1:41" ht="9.75" customHeight="1">
      <c r="A464" s="37"/>
      <c r="B464" s="37"/>
      <c r="C464" s="37"/>
      <c r="D464" s="37"/>
      <c r="E464" s="37"/>
      <c r="F464" s="40"/>
      <c r="G464" s="40"/>
      <c r="H464" s="40"/>
      <c r="I464" s="40"/>
      <c r="J464" s="40"/>
      <c r="K464" s="404"/>
      <c r="L464" s="403"/>
      <c r="M464" s="403"/>
      <c r="N464" s="403"/>
      <c r="O464" s="403"/>
      <c r="P464" s="403"/>
      <c r="Q464" s="40"/>
      <c r="R464" s="40"/>
      <c r="S464" s="40"/>
      <c r="T464" s="40"/>
      <c r="U464" s="40"/>
      <c r="V464" s="40"/>
      <c r="W464" s="40"/>
      <c r="X464" s="40"/>
      <c r="Y464" s="40"/>
      <c r="Z464" s="37"/>
      <c r="AA464" s="37"/>
      <c r="AB464" s="37"/>
      <c r="AC464" s="37"/>
      <c r="AD464" s="37"/>
      <c r="AE464" s="37"/>
      <c r="AF464" s="37"/>
      <c r="AG464" s="37"/>
      <c r="AH464" s="37"/>
      <c r="AI464" s="37"/>
      <c r="AJ464" s="37"/>
      <c r="AK464" s="39"/>
      <c r="AL464" s="37"/>
      <c r="AM464" s="37"/>
      <c r="AN464" s="37"/>
      <c r="AO464" s="37"/>
    </row>
    <row r="465" spans="1:41" ht="9.75" customHeight="1">
      <c r="A465" s="37"/>
      <c r="B465" s="37"/>
      <c r="C465" s="37"/>
      <c r="D465" s="37"/>
      <c r="E465" s="37"/>
      <c r="F465" s="40"/>
      <c r="G465" s="40"/>
      <c r="H465" s="40"/>
      <c r="I465" s="40"/>
      <c r="J465" s="40"/>
      <c r="K465" s="404"/>
      <c r="L465" s="403"/>
      <c r="M465" s="403"/>
      <c r="N465" s="403"/>
      <c r="O465" s="403"/>
      <c r="P465" s="403"/>
      <c r="Q465" s="40"/>
      <c r="R465" s="40"/>
      <c r="S465" s="40"/>
      <c r="T465" s="40"/>
      <c r="U465" s="40"/>
      <c r="V465" s="40"/>
      <c r="W465" s="40"/>
      <c r="X465" s="40"/>
      <c r="Y465" s="40"/>
      <c r="Z465" s="37"/>
      <c r="AA465" s="37"/>
      <c r="AB465" s="37"/>
      <c r="AC465" s="37"/>
      <c r="AD465" s="37"/>
      <c r="AE465" s="37"/>
      <c r="AF465" s="37"/>
      <c r="AG465" s="37"/>
      <c r="AH465" s="37"/>
      <c r="AI465" s="37"/>
      <c r="AJ465" s="37"/>
      <c r="AK465" s="39"/>
      <c r="AL465" s="37"/>
      <c r="AM465" s="37"/>
      <c r="AN465" s="37"/>
      <c r="AO465" s="37"/>
    </row>
    <row r="466" spans="1:41" ht="9.75" customHeight="1">
      <c r="A466" s="37"/>
      <c r="B466" s="37"/>
      <c r="C466" s="37"/>
      <c r="D466" s="37"/>
      <c r="E466" s="37"/>
      <c r="F466" s="40"/>
      <c r="G466" s="40"/>
      <c r="H466" s="40"/>
      <c r="I466" s="40"/>
      <c r="J466" s="40"/>
      <c r="K466" s="404"/>
      <c r="L466" s="403"/>
      <c r="M466" s="403"/>
      <c r="N466" s="403"/>
      <c r="O466" s="403"/>
      <c r="P466" s="403"/>
      <c r="Q466" s="40"/>
      <c r="R466" s="40"/>
      <c r="S466" s="40"/>
      <c r="T466" s="40"/>
      <c r="U466" s="40"/>
      <c r="V466" s="40"/>
      <c r="W466" s="40"/>
      <c r="X466" s="40"/>
      <c r="Y466" s="40"/>
      <c r="Z466" s="37"/>
      <c r="AA466" s="37"/>
      <c r="AB466" s="37"/>
      <c r="AC466" s="37"/>
      <c r="AD466" s="37"/>
      <c r="AE466" s="37"/>
      <c r="AF466" s="37"/>
      <c r="AG466" s="37"/>
      <c r="AH466" s="37"/>
      <c r="AI466" s="37"/>
      <c r="AJ466" s="37"/>
      <c r="AK466" s="39"/>
      <c r="AL466" s="37"/>
      <c r="AM466" s="37"/>
      <c r="AN466" s="37"/>
      <c r="AO466" s="37"/>
    </row>
    <row r="467" spans="1:41" ht="9.75" customHeight="1">
      <c r="A467" s="37"/>
      <c r="B467" s="37"/>
      <c r="C467" s="37"/>
      <c r="D467" s="37"/>
      <c r="E467" s="37"/>
      <c r="F467" s="40"/>
      <c r="G467" s="40"/>
      <c r="H467" s="40"/>
      <c r="I467" s="40"/>
      <c r="J467" s="40"/>
      <c r="K467" s="404"/>
      <c r="L467" s="403"/>
      <c r="M467" s="403"/>
      <c r="N467" s="403"/>
      <c r="O467" s="403"/>
      <c r="P467" s="403"/>
      <c r="Q467" s="40"/>
      <c r="R467" s="40"/>
      <c r="S467" s="40"/>
      <c r="T467" s="40"/>
      <c r="U467" s="40"/>
      <c r="V467" s="40"/>
      <c r="W467" s="40"/>
      <c r="X467" s="40"/>
      <c r="Y467" s="40"/>
      <c r="Z467" s="37"/>
      <c r="AA467" s="37"/>
      <c r="AB467" s="37"/>
      <c r="AC467" s="37"/>
      <c r="AD467" s="37"/>
      <c r="AE467" s="37"/>
      <c r="AF467" s="37"/>
      <c r="AG467" s="37"/>
      <c r="AH467" s="37"/>
      <c r="AI467" s="37"/>
      <c r="AJ467" s="37"/>
      <c r="AK467" s="39"/>
      <c r="AL467" s="37"/>
      <c r="AM467" s="37"/>
      <c r="AN467" s="37"/>
      <c r="AO467" s="37"/>
    </row>
    <row r="468" spans="1:41" ht="9.75" customHeight="1">
      <c r="A468" s="37"/>
      <c r="B468" s="37"/>
      <c r="C468" s="37"/>
      <c r="D468" s="37"/>
      <c r="E468" s="37"/>
      <c r="F468" s="40"/>
      <c r="G468" s="40"/>
      <c r="H468" s="40"/>
      <c r="I468" s="40"/>
      <c r="J468" s="40"/>
      <c r="K468" s="404"/>
      <c r="L468" s="403"/>
      <c r="M468" s="403"/>
      <c r="N468" s="403"/>
      <c r="O468" s="403"/>
      <c r="P468" s="403"/>
      <c r="Q468" s="40"/>
      <c r="R468" s="40"/>
      <c r="S468" s="40"/>
      <c r="T468" s="40"/>
      <c r="U468" s="40"/>
      <c r="V468" s="40"/>
      <c r="W468" s="40"/>
      <c r="X468" s="40"/>
      <c r="Y468" s="40"/>
      <c r="Z468" s="37"/>
      <c r="AA468" s="37"/>
      <c r="AB468" s="37"/>
      <c r="AC468" s="37"/>
      <c r="AD468" s="37"/>
      <c r="AE468" s="37"/>
      <c r="AF468" s="37"/>
      <c r="AG468" s="37"/>
      <c r="AH468" s="37"/>
      <c r="AI468" s="37"/>
      <c r="AJ468" s="37"/>
      <c r="AK468" s="39"/>
      <c r="AL468" s="37"/>
      <c r="AM468" s="37"/>
      <c r="AN468" s="37"/>
      <c r="AO468" s="37"/>
    </row>
    <row r="469" spans="1:41" ht="9.75" customHeight="1">
      <c r="A469" s="37"/>
      <c r="B469" s="37"/>
      <c r="C469" s="37"/>
      <c r="D469" s="37"/>
      <c r="E469" s="37"/>
      <c r="F469" s="40"/>
      <c r="G469" s="40"/>
      <c r="H469" s="40"/>
      <c r="I469" s="40"/>
      <c r="J469" s="40"/>
      <c r="K469" s="404"/>
      <c r="L469" s="403"/>
      <c r="M469" s="403"/>
      <c r="N469" s="403"/>
      <c r="O469" s="403"/>
      <c r="P469" s="403"/>
      <c r="Q469" s="40"/>
      <c r="R469" s="40"/>
      <c r="S469" s="40"/>
      <c r="T469" s="40"/>
      <c r="U469" s="40"/>
      <c r="V469" s="40"/>
      <c r="W469" s="40"/>
      <c r="X469" s="40"/>
      <c r="Y469" s="40"/>
      <c r="Z469" s="37"/>
      <c r="AA469" s="37"/>
      <c r="AB469" s="37"/>
      <c r="AC469" s="37"/>
      <c r="AD469" s="37"/>
      <c r="AE469" s="37"/>
      <c r="AF469" s="37"/>
      <c r="AG469" s="37"/>
      <c r="AH469" s="37"/>
      <c r="AI469" s="37"/>
      <c r="AJ469" s="37"/>
      <c r="AK469" s="39"/>
      <c r="AL469" s="37"/>
      <c r="AM469" s="37"/>
      <c r="AN469" s="37"/>
      <c r="AO469" s="37"/>
    </row>
    <row r="470" spans="1:41" ht="9.75" customHeight="1">
      <c r="A470" s="37"/>
      <c r="B470" s="37"/>
      <c r="C470" s="37"/>
      <c r="D470" s="37"/>
      <c r="E470" s="37"/>
      <c r="F470" s="40"/>
      <c r="G470" s="40"/>
      <c r="H470" s="40"/>
      <c r="I470" s="40"/>
      <c r="J470" s="40"/>
      <c r="K470" s="404"/>
      <c r="L470" s="403"/>
      <c r="M470" s="403"/>
      <c r="N470" s="403"/>
      <c r="O470" s="403"/>
      <c r="P470" s="403"/>
      <c r="Q470" s="40"/>
      <c r="R470" s="40"/>
      <c r="S470" s="40"/>
      <c r="T470" s="40"/>
      <c r="U470" s="40"/>
      <c r="V470" s="40"/>
      <c r="W470" s="40"/>
      <c r="X470" s="40"/>
      <c r="Y470" s="40"/>
      <c r="Z470" s="37"/>
      <c r="AA470" s="37"/>
      <c r="AB470" s="37"/>
      <c r="AC470" s="37"/>
      <c r="AD470" s="37"/>
      <c r="AE470" s="37"/>
      <c r="AF470" s="37"/>
      <c r="AG470" s="37"/>
      <c r="AH470" s="37"/>
      <c r="AI470" s="37"/>
      <c r="AJ470" s="37"/>
      <c r="AK470" s="39"/>
      <c r="AL470" s="37"/>
      <c r="AM470" s="37"/>
      <c r="AN470" s="37"/>
      <c r="AO470" s="37"/>
    </row>
    <row r="471" spans="1:41" ht="9.75" customHeight="1">
      <c r="A471" s="37"/>
      <c r="B471" s="37"/>
      <c r="C471" s="37"/>
      <c r="D471" s="37"/>
      <c r="E471" s="37"/>
      <c r="F471" s="40"/>
      <c r="G471" s="40"/>
      <c r="H471" s="40"/>
      <c r="I471" s="40"/>
      <c r="J471" s="40"/>
      <c r="K471" s="404"/>
      <c r="L471" s="403"/>
      <c r="M471" s="403"/>
      <c r="N471" s="403"/>
      <c r="O471" s="403"/>
      <c r="P471" s="403"/>
      <c r="Q471" s="40"/>
      <c r="R471" s="40"/>
      <c r="S471" s="40"/>
      <c r="T471" s="40"/>
      <c r="U471" s="40"/>
      <c r="V471" s="40"/>
      <c r="W471" s="40"/>
      <c r="X471" s="40"/>
      <c r="Y471" s="40"/>
      <c r="Z471" s="37"/>
      <c r="AA471" s="37"/>
      <c r="AB471" s="37"/>
      <c r="AC471" s="37"/>
      <c r="AD471" s="37"/>
      <c r="AE471" s="37"/>
      <c r="AF471" s="37"/>
      <c r="AG471" s="37"/>
      <c r="AH471" s="37"/>
      <c r="AI471" s="37"/>
      <c r="AJ471" s="37"/>
      <c r="AK471" s="39"/>
      <c r="AL471" s="37"/>
      <c r="AM471" s="37"/>
      <c r="AN471" s="37"/>
      <c r="AO471" s="37"/>
    </row>
    <row r="472" spans="1:41" ht="9.75" customHeight="1">
      <c r="A472" s="37"/>
      <c r="B472" s="37"/>
      <c r="C472" s="37"/>
      <c r="D472" s="37"/>
      <c r="E472" s="37"/>
      <c r="F472" s="40"/>
      <c r="G472" s="40"/>
      <c r="H472" s="40"/>
      <c r="I472" s="40"/>
      <c r="J472" s="40"/>
      <c r="K472" s="404"/>
      <c r="L472" s="403"/>
      <c r="M472" s="403"/>
      <c r="N472" s="403"/>
      <c r="O472" s="403"/>
      <c r="P472" s="403"/>
      <c r="Q472" s="40"/>
      <c r="R472" s="40"/>
      <c r="S472" s="40"/>
      <c r="T472" s="40"/>
      <c r="U472" s="40"/>
      <c r="V472" s="40"/>
      <c r="W472" s="40"/>
      <c r="X472" s="40"/>
      <c r="Y472" s="40"/>
      <c r="Z472" s="37"/>
      <c r="AA472" s="37"/>
      <c r="AB472" s="37"/>
      <c r="AC472" s="37"/>
      <c r="AD472" s="37"/>
      <c r="AE472" s="37"/>
      <c r="AF472" s="37"/>
      <c r="AG472" s="37"/>
      <c r="AH472" s="37"/>
      <c r="AI472" s="37"/>
      <c r="AJ472" s="37"/>
      <c r="AK472" s="39"/>
      <c r="AL472" s="37"/>
      <c r="AM472" s="37"/>
      <c r="AN472" s="37"/>
      <c r="AO472" s="37"/>
    </row>
    <row r="473" spans="1:41" ht="9.75" customHeight="1">
      <c r="A473" s="37"/>
      <c r="B473" s="37"/>
      <c r="C473" s="37"/>
      <c r="D473" s="37"/>
      <c r="E473" s="37"/>
      <c r="F473" s="40"/>
      <c r="G473" s="40"/>
      <c r="H473" s="40"/>
      <c r="I473" s="40"/>
      <c r="J473" s="40"/>
      <c r="K473" s="404"/>
      <c r="L473" s="403"/>
      <c r="M473" s="403"/>
      <c r="N473" s="403"/>
      <c r="O473" s="403"/>
      <c r="P473" s="403"/>
      <c r="Q473" s="40"/>
      <c r="R473" s="40"/>
      <c r="S473" s="40"/>
      <c r="T473" s="40"/>
      <c r="U473" s="40"/>
      <c r="V473" s="40"/>
      <c r="W473" s="40"/>
      <c r="X473" s="40"/>
      <c r="Y473" s="40"/>
      <c r="Z473" s="37"/>
      <c r="AA473" s="37"/>
      <c r="AB473" s="37"/>
      <c r="AC473" s="37"/>
      <c r="AD473" s="37"/>
      <c r="AE473" s="37"/>
      <c r="AF473" s="37"/>
      <c r="AG473" s="37"/>
      <c r="AH473" s="37"/>
      <c r="AI473" s="37"/>
      <c r="AJ473" s="37"/>
      <c r="AK473" s="39"/>
      <c r="AL473" s="37"/>
      <c r="AM473" s="37"/>
      <c r="AN473" s="37"/>
      <c r="AO473" s="37"/>
    </row>
    <row r="474" spans="1:41" ht="9.75" customHeight="1">
      <c r="A474" s="37"/>
      <c r="B474" s="37"/>
      <c r="C474" s="37"/>
      <c r="D474" s="37"/>
      <c r="E474" s="37"/>
      <c r="F474" s="40"/>
      <c r="G474" s="40"/>
      <c r="H474" s="40"/>
      <c r="I474" s="40"/>
      <c r="J474" s="40"/>
      <c r="K474" s="404"/>
      <c r="L474" s="403"/>
      <c r="M474" s="403"/>
      <c r="N474" s="403"/>
      <c r="O474" s="403"/>
      <c r="P474" s="403"/>
      <c r="Q474" s="40"/>
      <c r="R474" s="40"/>
      <c r="S474" s="40"/>
      <c r="T474" s="40"/>
      <c r="U474" s="40"/>
      <c r="V474" s="40"/>
      <c r="W474" s="40"/>
      <c r="X474" s="40"/>
      <c r="Y474" s="40"/>
      <c r="Z474" s="37"/>
      <c r="AA474" s="37"/>
      <c r="AB474" s="37"/>
      <c r="AC474" s="37"/>
      <c r="AD474" s="37"/>
      <c r="AE474" s="37"/>
      <c r="AF474" s="37"/>
      <c r="AG474" s="37"/>
      <c r="AH474" s="37"/>
      <c r="AI474" s="37"/>
      <c r="AJ474" s="37"/>
      <c r="AK474" s="39"/>
      <c r="AL474" s="37"/>
      <c r="AM474" s="37"/>
      <c r="AN474" s="37"/>
      <c r="AO474" s="37"/>
    </row>
    <row r="475" spans="1:41" ht="9.75" customHeight="1">
      <c r="A475" s="37"/>
      <c r="B475" s="37"/>
      <c r="C475" s="37"/>
      <c r="D475" s="37"/>
      <c r="E475" s="37"/>
      <c r="F475" s="40"/>
      <c r="G475" s="40"/>
      <c r="H475" s="40"/>
      <c r="I475" s="40"/>
      <c r="J475" s="40"/>
      <c r="K475" s="404"/>
      <c r="L475" s="403"/>
      <c r="M475" s="403"/>
      <c r="N475" s="403"/>
      <c r="O475" s="403"/>
      <c r="P475" s="403"/>
      <c r="Q475" s="40"/>
      <c r="R475" s="40"/>
      <c r="S475" s="40"/>
      <c r="T475" s="40"/>
      <c r="U475" s="40"/>
      <c r="V475" s="40"/>
      <c r="W475" s="40"/>
      <c r="X475" s="40"/>
      <c r="Y475" s="40"/>
      <c r="Z475" s="37"/>
      <c r="AA475" s="37"/>
      <c r="AB475" s="37"/>
      <c r="AC475" s="37"/>
      <c r="AD475" s="37"/>
      <c r="AE475" s="37"/>
      <c r="AF475" s="37"/>
      <c r="AG475" s="37"/>
      <c r="AH475" s="37"/>
      <c r="AI475" s="37"/>
      <c r="AJ475" s="37"/>
      <c r="AK475" s="39"/>
      <c r="AL475" s="37"/>
      <c r="AM475" s="37"/>
      <c r="AN475" s="37"/>
      <c r="AO475" s="37"/>
    </row>
    <row r="476" spans="1:41" ht="9.75" customHeight="1">
      <c r="A476" s="37"/>
      <c r="B476" s="37"/>
      <c r="C476" s="37"/>
      <c r="D476" s="37"/>
      <c r="E476" s="37"/>
      <c r="F476" s="40"/>
      <c r="G476" s="40"/>
      <c r="H476" s="40"/>
      <c r="I476" s="40"/>
      <c r="J476" s="40"/>
      <c r="K476" s="404"/>
      <c r="L476" s="403"/>
      <c r="M476" s="403"/>
      <c r="N476" s="403"/>
      <c r="O476" s="403"/>
      <c r="P476" s="403"/>
      <c r="Q476" s="40"/>
      <c r="R476" s="40"/>
      <c r="S476" s="40"/>
      <c r="T476" s="40"/>
      <c r="U476" s="40"/>
      <c r="V476" s="40"/>
      <c r="W476" s="40"/>
      <c r="X476" s="40"/>
      <c r="Y476" s="40"/>
      <c r="Z476" s="37"/>
      <c r="AA476" s="37"/>
      <c r="AB476" s="37"/>
      <c r="AC476" s="37"/>
      <c r="AD476" s="37"/>
      <c r="AE476" s="37"/>
      <c r="AF476" s="37"/>
      <c r="AG476" s="37"/>
      <c r="AH476" s="37"/>
      <c r="AI476" s="37"/>
      <c r="AJ476" s="37"/>
      <c r="AK476" s="39"/>
      <c r="AL476" s="37"/>
      <c r="AM476" s="37"/>
      <c r="AN476" s="37"/>
      <c r="AO476" s="37"/>
    </row>
    <row r="477" spans="1:41" ht="9.75" customHeight="1">
      <c r="A477" s="37"/>
      <c r="B477" s="37"/>
      <c r="C477" s="37"/>
      <c r="D477" s="37"/>
      <c r="E477" s="37"/>
      <c r="F477" s="40"/>
      <c r="G477" s="40"/>
      <c r="H477" s="40"/>
      <c r="I477" s="40"/>
      <c r="J477" s="40"/>
      <c r="K477" s="404"/>
      <c r="L477" s="403"/>
      <c r="M477" s="403"/>
      <c r="N477" s="403"/>
      <c r="O477" s="403"/>
      <c r="P477" s="403"/>
      <c r="Q477" s="40"/>
      <c r="R477" s="40"/>
      <c r="S477" s="40"/>
      <c r="T477" s="40"/>
      <c r="U477" s="40"/>
      <c r="V477" s="40"/>
      <c r="W477" s="40"/>
      <c r="X477" s="40"/>
      <c r="Y477" s="40"/>
      <c r="Z477" s="37"/>
      <c r="AA477" s="37"/>
      <c r="AB477" s="37"/>
      <c r="AC477" s="37"/>
      <c r="AD477" s="37"/>
      <c r="AE477" s="37"/>
      <c r="AF477" s="37"/>
      <c r="AG477" s="37"/>
      <c r="AH477" s="37"/>
      <c r="AI477" s="37"/>
      <c r="AJ477" s="37"/>
      <c r="AK477" s="39"/>
      <c r="AL477" s="37"/>
      <c r="AM477" s="37"/>
      <c r="AN477" s="37"/>
      <c r="AO477" s="37"/>
    </row>
    <row r="478" spans="1:41" ht="9.75" customHeight="1">
      <c r="A478" s="37"/>
      <c r="B478" s="37"/>
      <c r="C478" s="37"/>
      <c r="D478" s="37"/>
      <c r="E478" s="37"/>
      <c r="F478" s="40"/>
      <c r="G478" s="40"/>
      <c r="H478" s="40"/>
      <c r="I478" s="40"/>
      <c r="J478" s="40"/>
      <c r="K478" s="404"/>
      <c r="L478" s="403"/>
      <c r="M478" s="403"/>
      <c r="N478" s="403"/>
      <c r="O478" s="403"/>
      <c r="P478" s="403"/>
      <c r="Q478" s="40"/>
      <c r="R478" s="40"/>
      <c r="S478" s="40"/>
      <c r="T478" s="40"/>
      <c r="U478" s="40"/>
      <c r="V478" s="40"/>
      <c r="W478" s="40"/>
      <c r="X478" s="40"/>
      <c r="Y478" s="40"/>
      <c r="Z478" s="37"/>
      <c r="AA478" s="37"/>
      <c r="AB478" s="37"/>
      <c r="AC478" s="37"/>
      <c r="AD478" s="37"/>
      <c r="AE478" s="37"/>
      <c r="AF478" s="37"/>
      <c r="AG478" s="37"/>
      <c r="AH478" s="37"/>
      <c r="AI478" s="37"/>
      <c r="AJ478" s="37"/>
      <c r="AK478" s="39"/>
      <c r="AL478" s="37"/>
      <c r="AM478" s="37"/>
      <c r="AN478" s="37"/>
      <c r="AO478" s="37"/>
    </row>
    <row r="479" spans="1:41" ht="9.75" customHeight="1">
      <c r="A479" s="37"/>
      <c r="B479" s="37"/>
      <c r="C479" s="37"/>
      <c r="D479" s="37"/>
      <c r="E479" s="37"/>
      <c r="F479" s="40"/>
      <c r="G479" s="40"/>
      <c r="H479" s="40"/>
      <c r="I479" s="40"/>
      <c r="J479" s="40"/>
      <c r="K479" s="404"/>
      <c r="L479" s="403"/>
      <c r="M479" s="403"/>
      <c r="N479" s="403"/>
      <c r="O479" s="403"/>
      <c r="P479" s="403"/>
      <c r="Q479" s="40"/>
      <c r="R479" s="40"/>
      <c r="S479" s="40"/>
      <c r="T479" s="40"/>
      <c r="U479" s="40"/>
      <c r="V479" s="40"/>
      <c r="W479" s="40"/>
      <c r="X479" s="40"/>
      <c r="Y479" s="40"/>
      <c r="Z479" s="37"/>
      <c r="AA479" s="37"/>
      <c r="AB479" s="37"/>
      <c r="AC479" s="37"/>
      <c r="AD479" s="37"/>
      <c r="AE479" s="37"/>
      <c r="AF479" s="37"/>
      <c r="AG479" s="37"/>
      <c r="AH479" s="37"/>
      <c r="AI479" s="37"/>
      <c r="AJ479" s="37"/>
      <c r="AK479" s="39"/>
      <c r="AL479" s="37"/>
      <c r="AM479" s="37"/>
      <c r="AN479" s="37"/>
      <c r="AO479" s="37"/>
    </row>
    <row r="480" spans="1:41" ht="9.75" customHeight="1">
      <c r="A480" s="37"/>
      <c r="B480" s="37"/>
      <c r="C480" s="37"/>
      <c r="D480" s="37"/>
      <c r="E480" s="37"/>
      <c r="F480" s="40"/>
      <c r="G480" s="40"/>
      <c r="H480" s="40"/>
      <c r="I480" s="40"/>
      <c r="J480" s="40"/>
      <c r="K480" s="404"/>
      <c r="L480" s="403"/>
      <c r="M480" s="403"/>
      <c r="N480" s="403"/>
      <c r="O480" s="403"/>
      <c r="P480" s="403"/>
      <c r="Q480" s="40"/>
      <c r="R480" s="40"/>
      <c r="S480" s="40"/>
      <c r="T480" s="40"/>
      <c r="U480" s="40"/>
      <c r="V480" s="40"/>
      <c r="W480" s="40"/>
      <c r="X480" s="40"/>
      <c r="Y480" s="40"/>
      <c r="Z480" s="37"/>
      <c r="AA480" s="37"/>
      <c r="AB480" s="37"/>
      <c r="AC480" s="37"/>
      <c r="AD480" s="37"/>
      <c r="AE480" s="37"/>
      <c r="AF480" s="37"/>
      <c r="AG480" s="37"/>
      <c r="AH480" s="37"/>
      <c r="AI480" s="37"/>
      <c r="AJ480" s="37"/>
      <c r="AK480" s="39"/>
      <c r="AL480" s="37"/>
      <c r="AM480" s="37"/>
      <c r="AN480" s="37"/>
      <c r="AO480" s="37"/>
    </row>
    <row r="481" spans="1:41" ht="9.75" customHeight="1">
      <c r="A481" s="37"/>
      <c r="B481" s="37"/>
      <c r="C481" s="37"/>
      <c r="D481" s="37"/>
      <c r="E481" s="37"/>
      <c r="F481" s="40"/>
      <c r="G481" s="40"/>
      <c r="H481" s="40"/>
      <c r="I481" s="40"/>
      <c r="J481" s="40"/>
      <c r="K481" s="404"/>
      <c r="L481" s="403"/>
      <c r="M481" s="403"/>
      <c r="N481" s="403"/>
      <c r="O481" s="403"/>
      <c r="P481" s="403"/>
      <c r="Q481" s="40"/>
      <c r="R481" s="40"/>
      <c r="S481" s="40"/>
      <c r="T481" s="40"/>
      <c r="U481" s="40"/>
      <c r="V481" s="40"/>
      <c r="W481" s="40"/>
      <c r="X481" s="40"/>
      <c r="Y481" s="40"/>
      <c r="Z481" s="37"/>
      <c r="AA481" s="37"/>
      <c r="AB481" s="37"/>
      <c r="AC481" s="37"/>
      <c r="AD481" s="37"/>
      <c r="AE481" s="37"/>
      <c r="AF481" s="37"/>
      <c r="AG481" s="37"/>
      <c r="AH481" s="37"/>
      <c r="AI481" s="37"/>
      <c r="AJ481" s="37"/>
      <c r="AK481" s="39"/>
      <c r="AL481" s="37"/>
      <c r="AM481" s="37"/>
      <c r="AN481" s="37"/>
      <c r="AO481" s="37"/>
    </row>
    <row r="482" spans="1:41" ht="9.75" customHeight="1">
      <c r="A482" s="37"/>
      <c r="B482" s="37"/>
      <c r="C482" s="37"/>
      <c r="D482" s="37"/>
      <c r="E482" s="37"/>
      <c r="F482" s="40"/>
      <c r="G482" s="40"/>
      <c r="H482" s="40"/>
      <c r="I482" s="40"/>
      <c r="J482" s="40"/>
      <c r="K482" s="404"/>
      <c r="L482" s="403"/>
      <c r="M482" s="403"/>
      <c r="N482" s="403"/>
      <c r="O482" s="403"/>
      <c r="P482" s="403"/>
      <c r="Q482" s="40"/>
      <c r="R482" s="40"/>
      <c r="S482" s="40"/>
      <c r="T482" s="40"/>
      <c r="U482" s="40"/>
      <c r="V482" s="40"/>
      <c r="W482" s="40"/>
      <c r="X482" s="40"/>
      <c r="Y482" s="40"/>
      <c r="Z482" s="37"/>
      <c r="AA482" s="37"/>
      <c r="AB482" s="37"/>
      <c r="AC482" s="37"/>
      <c r="AD482" s="37"/>
      <c r="AE482" s="37"/>
      <c r="AF482" s="37"/>
      <c r="AG482" s="37"/>
      <c r="AH482" s="37"/>
      <c r="AI482" s="37"/>
      <c r="AJ482" s="37"/>
      <c r="AK482" s="39"/>
      <c r="AL482" s="37"/>
      <c r="AM482" s="37"/>
      <c r="AN482" s="37"/>
      <c r="AO482" s="37"/>
    </row>
    <row r="483" spans="1:41" ht="9.75" customHeight="1">
      <c r="A483" s="37"/>
      <c r="B483" s="37"/>
      <c r="C483" s="37"/>
      <c r="D483" s="37"/>
      <c r="E483" s="37"/>
      <c r="F483" s="40"/>
      <c r="G483" s="40"/>
      <c r="H483" s="40"/>
      <c r="I483" s="40"/>
      <c r="J483" s="40"/>
      <c r="K483" s="404"/>
      <c r="L483" s="403"/>
      <c r="M483" s="403"/>
      <c r="N483" s="403"/>
      <c r="O483" s="403"/>
      <c r="P483" s="403"/>
      <c r="Q483" s="40"/>
      <c r="R483" s="40"/>
      <c r="S483" s="40"/>
      <c r="T483" s="40"/>
      <c r="U483" s="40"/>
      <c r="V483" s="40"/>
      <c r="W483" s="40"/>
      <c r="X483" s="40"/>
      <c r="Y483" s="40"/>
      <c r="Z483" s="37"/>
      <c r="AA483" s="37"/>
      <c r="AB483" s="37"/>
      <c r="AC483" s="37"/>
      <c r="AD483" s="37"/>
      <c r="AE483" s="37"/>
      <c r="AF483" s="37"/>
      <c r="AG483" s="37"/>
      <c r="AH483" s="37"/>
      <c r="AI483" s="37"/>
      <c r="AJ483" s="37"/>
      <c r="AK483" s="39"/>
      <c r="AL483" s="37"/>
      <c r="AM483" s="37"/>
      <c r="AN483" s="37"/>
      <c r="AO483" s="37"/>
    </row>
    <row r="484" spans="1:41" ht="9.75" customHeight="1">
      <c r="A484" s="37"/>
      <c r="B484" s="37"/>
      <c r="C484" s="37"/>
      <c r="D484" s="37"/>
      <c r="E484" s="37"/>
      <c r="F484" s="40"/>
      <c r="G484" s="40"/>
      <c r="H484" s="40"/>
      <c r="I484" s="40"/>
      <c r="J484" s="40"/>
      <c r="K484" s="404"/>
      <c r="L484" s="403"/>
      <c r="M484" s="403"/>
      <c r="N484" s="403"/>
      <c r="O484" s="403"/>
      <c r="P484" s="403"/>
      <c r="Q484" s="40"/>
      <c r="R484" s="40"/>
      <c r="S484" s="40"/>
      <c r="T484" s="40"/>
      <c r="U484" s="40"/>
      <c r="V484" s="40"/>
      <c r="W484" s="40"/>
      <c r="X484" s="40"/>
      <c r="Y484" s="40"/>
      <c r="Z484" s="37"/>
      <c r="AA484" s="37"/>
      <c r="AB484" s="37"/>
      <c r="AC484" s="37"/>
      <c r="AD484" s="37"/>
      <c r="AE484" s="37"/>
      <c r="AF484" s="37"/>
      <c r="AG484" s="37"/>
      <c r="AH484" s="37"/>
      <c r="AI484" s="37"/>
      <c r="AJ484" s="37"/>
      <c r="AK484" s="39"/>
      <c r="AL484" s="37"/>
      <c r="AM484" s="37"/>
      <c r="AN484" s="37"/>
      <c r="AO484" s="37"/>
    </row>
    <row r="485" spans="1:41" ht="9.75" customHeight="1">
      <c r="A485" s="37"/>
      <c r="B485" s="37"/>
      <c r="C485" s="37"/>
      <c r="D485" s="37"/>
      <c r="E485" s="37"/>
      <c r="F485" s="40"/>
      <c r="G485" s="40"/>
      <c r="H485" s="40"/>
      <c r="I485" s="40"/>
      <c r="J485" s="40"/>
      <c r="K485" s="404"/>
      <c r="L485" s="403"/>
      <c r="M485" s="403"/>
      <c r="N485" s="403"/>
      <c r="O485" s="403"/>
      <c r="P485" s="403"/>
      <c r="Q485" s="40"/>
      <c r="R485" s="40"/>
      <c r="S485" s="40"/>
      <c r="T485" s="40"/>
      <c r="U485" s="40"/>
      <c r="V485" s="40"/>
      <c r="W485" s="40"/>
      <c r="X485" s="40"/>
      <c r="Y485" s="40"/>
      <c r="Z485" s="37"/>
      <c r="AA485" s="37"/>
      <c r="AB485" s="37"/>
      <c r="AC485" s="37"/>
      <c r="AD485" s="37"/>
      <c r="AE485" s="37"/>
      <c r="AF485" s="37"/>
      <c r="AG485" s="37"/>
      <c r="AH485" s="37"/>
      <c r="AI485" s="37"/>
      <c r="AJ485" s="37"/>
      <c r="AK485" s="39"/>
      <c r="AL485" s="37"/>
      <c r="AM485" s="37"/>
      <c r="AN485" s="37"/>
      <c r="AO485" s="37"/>
    </row>
    <row r="486" spans="1:41" ht="9.75" customHeight="1">
      <c r="A486" s="37"/>
      <c r="B486" s="37"/>
      <c r="C486" s="37"/>
      <c r="D486" s="37"/>
      <c r="E486" s="37"/>
      <c r="F486" s="40"/>
      <c r="G486" s="40"/>
      <c r="H486" s="40"/>
      <c r="I486" s="40"/>
      <c r="J486" s="40"/>
      <c r="K486" s="404"/>
      <c r="L486" s="403"/>
      <c r="M486" s="403"/>
      <c r="N486" s="403"/>
      <c r="O486" s="403"/>
      <c r="P486" s="403"/>
      <c r="Q486" s="40"/>
      <c r="R486" s="40"/>
      <c r="S486" s="40"/>
      <c r="T486" s="40"/>
      <c r="U486" s="40"/>
      <c r="V486" s="40"/>
      <c r="W486" s="40"/>
      <c r="X486" s="40"/>
      <c r="Y486" s="40"/>
      <c r="Z486" s="37"/>
      <c r="AA486" s="37"/>
      <c r="AB486" s="37"/>
      <c r="AC486" s="37"/>
      <c r="AD486" s="37"/>
      <c r="AE486" s="37"/>
      <c r="AF486" s="37"/>
      <c r="AG486" s="37"/>
      <c r="AH486" s="37"/>
      <c r="AI486" s="37"/>
      <c r="AJ486" s="37"/>
      <c r="AK486" s="39"/>
      <c r="AL486" s="37"/>
      <c r="AM486" s="37"/>
      <c r="AN486" s="37"/>
      <c r="AO486" s="37"/>
    </row>
    <row r="487" spans="1:41" ht="9.75" customHeight="1">
      <c r="A487" s="37"/>
      <c r="B487" s="37"/>
      <c r="C487" s="37"/>
      <c r="D487" s="37"/>
      <c r="E487" s="37"/>
      <c r="F487" s="40"/>
      <c r="G487" s="40"/>
      <c r="H487" s="40"/>
      <c r="I487" s="40"/>
      <c r="J487" s="40"/>
      <c r="K487" s="404"/>
      <c r="L487" s="403"/>
      <c r="M487" s="403"/>
      <c r="N487" s="403"/>
      <c r="O487" s="403"/>
      <c r="P487" s="403"/>
      <c r="Q487" s="40"/>
      <c r="R487" s="40"/>
      <c r="S487" s="40"/>
      <c r="T487" s="40"/>
      <c r="U487" s="40"/>
      <c r="V487" s="40"/>
      <c r="W487" s="40"/>
      <c r="X487" s="40"/>
      <c r="Y487" s="40"/>
      <c r="Z487" s="37"/>
      <c r="AA487" s="37"/>
      <c r="AB487" s="37"/>
      <c r="AC487" s="37"/>
      <c r="AD487" s="37"/>
      <c r="AE487" s="37"/>
      <c r="AF487" s="37"/>
      <c r="AG487" s="37"/>
      <c r="AH487" s="37"/>
      <c r="AI487" s="37"/>
      <c r="AJ487" s="37"/>
      <c r="AK487" s="39"/>
      <c r="AL487" s="37"/>
      <c r="AM487" s="37"/>
      <c r="AN487" s="37"/>
      <c r="AO487" s="37"/>
    </row>
    <row r="488" spans="1:41" ht="9.75" customHeight="1">
      <c r="A488" s="37"/>
      <c r="B488" s="37"/>
      <c r="C488" s="37"/>
      <c r="D488" s="37"/>
      <c r="E488" s="37"/>
      <c r="F488" s="40"/>
      <c r="G488" s="40"/>
      <c r="H488" s="40"/>
      <c r="I488" s="40"/>
      <c r="J488" s="40"/>
      <c r="K488" s="404"/>
      <c r="L488" s="403"/>
      <c r="M488" s="403"/>
      <c r="N488" s="403"/>
      <c r="O488" s="403"/>
      <c r="P488" s="403"/>
      <c r="Q488" s="40"/>
      <c r="R488" s="40"/>
      <c r="S488" s="40"/>
      <c r="T488" s="40"/>
      <c r="U488" s="40"/>
      <c r="V488" s="40"/>
      <c r="W488" s="40"/>
      <c r="X488" s="40"/>
      <c r="Y488" s="40"/>
      <c r="Z488" s="37"/>
      <c r="AA488" s="37"/>
      <c r="AB488" s="37"/>
      <c r="AC488" s="37"/>
      <c r="AD488" s="37"/>
      <c r="AE488" s="37"/>
      <c r="AF488" s="37"/>
      <c r="AG488" s="37"/>
      <c r="AH488" s="37"/>
      <c r="AI488" s="37"/>
      <c r="AJ488" s="37"/>
      <c r="AK488" s="39"/>
      <c r="AL488" s="37"/>
      <c r="AM488" s="37"/>
      <c r="AN488" s="37"/>
      <c r="AO488" s="37"/>
    </row>
    <row r="489" spans="1:41" ht="9.75" customHeight="1">
      <c r="A489" s="37"/>
      <c r="B489" s="37"/>
      <c r="C489" s="37"/>
      <c r="D489" s="37"/>
      <c r="E489" s="37"/>
      <c r="F489" s="40"/>
      <c r="G489" s="40"/>
      <c r="H489" s="40"/>
      <c r="I489" s="40"/>
      <c r="J489" s="40"/>
      <c r="K489" s="404"/>
      <c r="L489" s="403"/>
      <c r="M489" s="403"/>
      <c r="N489" s="403"/>
      <c r="O489" s="403"/>
      <c r="P489" s="403"/>
      <c r="Q489" s="40"/>
      <c r="R489" s="40"/>
      <c r="S489" s="40"/>
      <c r="T489" s="40"/>
      <c r="U489" s="40"/>
      <c r="V489" s="40"/>
      <c r="W489" s="40"/>
      <c r="X489" s="40"/>
      <c r="Y489" s="40"/>
      <c r="Z489" s="37"/>
      <c r="AA489" s="37"/>
      <c r="AB489" s="37"/>
      <c r="AC489" s="37"/>
      <c r="AD489" s="37"/>
      <c r="AE489" s="37"/>
      <c r="AF489" s="37"/>
      <c r="AG489" s="37"/>
      <c r="AH489" s="37"/>
      <c r="AI489" s="37"/>
      <c r="AJ489" s="37"/>
      <c r="AK489" s="39"/>
      <c r="AL489" s="37"/>
      <c r="AM489" s="37"/>
      <c r="AN489" s="37"/>
      <c r="AO489" s="37"/>
    </row>
    <row r="490" spans="1:41" ht="9.75" customHeight="1">
      <c r="A490" s="37"/>
      <c r="B490" s="37"/>
      <c r="C490" s="37"/>
      <c r="D490" s="37"/>
      <c r="E490" s="37"/>
      <c r="F490" s="40"/>
      <c r="G490" s="40"/>
      <c r="H490" s="40"/>
      <c r="I490" s="40"/>
      <c r="J490" s="40"/>
      <c r="K490" s="404"/>
      <c r="L490" s="403"/>
      <c r="M490" s="403"/>
      <c r="N490" s="403"/>
      <c r="O490" s="403"/>
      <c r="P490" s="403"/>
      <c r="Q490" s="40"/>
      <c r="R490" s="40"/>
      <c r="S490" s="40"/>
      <c r="T490" s="40"/>
      <c r="U490" s="40"/>
      <c r="V490" s="40"/>
      <c r="W490" s="40"/>
      <c r="X490" s="40"/>
      <c r="Y490" s="40"/>
      <c r="Z490" s="37"/>
      <c r="AA490" s="37"/>
      <c r="AB490" s="37"/>
      <c r="AC490" s="37"/>
      <c r="AD490" s="37"/>
      <c r="AE490" s="37"/>
      <c r="AF490" s="37"/>
      <c r="AG490" s="37"/>
      <c r="AH490" s="37"/>
      <c r="AI490" s="37"/>
      <c r="AJ490" s="37"/>
      <c r="AK490" s="39"/>
      <c r="AL490" s="37"/>
      <c r="AM490" s="37"/>
      <c r="AN490" s="37"/>
      <c r="AO490" s="37"/>
    </row>
    <row r="491" spans="1:41" ht="9.75" customHeight="1">
      <c r="A491" s="37"/>
      <c r="B491" s="37"/>
      <c r="C491" s="37"/>
      <c r="D491" s="37"/>
      <c r="E491" s="37"/>
      <c r="F491" s="40"/>
      <c r="G491" s="40"/>
      <c r="H491" s="40"/>
      <c r="I491" s="40"/>
      <c r="J491" s="40"/>
      <c r="K491" s="404"/>
      <c r="L491" s="403"/>
      <c r="M491" s="403"/>
      <c r="N491" s="403"/>
      <c r="O491" s="403"/>
      <c r="P491" s="403"/>
      <c r="Q491" s="40"/>
      <c r="R491" s="40"/>
      <c r="S491" s="40"/>
      <c r="T491" s="40"/>
      <c r="U491" s="40"/>
      <c r="V491" s="40"/>
      <c r="W491" s="40"/>
      <c r="X491" s="40"/>
      <c r="Y491" s="40"/>
      <c r="Z491" s="37"/>
      <c r="AA491" s="37"/>
      <c r="AB491" s="37"/>
      <c r="AC491" s="37"/>
      <c r="AD491" s="37"/>
      <c r="AE491" s="37"/>
      <c r="AF491" s="37"/>
      <c r="AG491" s="37"/>
      <c r="AH491" s="37"/>
      <c r="AI491" s="37"/>
      <c r="AJ491" s="37"/>
      <c r="AK491" s="39"/>
      <c r="AL491" s="37"/>
      <c r="AM491" s="37"/>
      <c r="AN491" s="37"/>
      <c r="AO491" s="37"/>
    </row>
    <row r="492" spans="1:41" ht="9.75" customHeight="1">
      <c r="A492" s="37"/>
      <c r="B492" s="37"/>
      <c r="C492" s="37"/>
      <c r="D492" s="37"/>
      <c r="E492" s="37"/>
      <c r="F492" s="40"/>
      <c r="G492" s="40"/>
      <c r="H492" s="40"/>
      <c r="I492" s="40"/>
      <c r="J492" s="40"/>
      <c r="K492" s="404"/>
      <c r="L492" s="403"/>
      <c r="M492" s="403"/>
      <c r="N492" s="403"/>
      <c r="O492" s="403"/>
      <c r="P492" s="403"/>
      <c r="Q492" s="40"/>
      <c r="R492" s="40"/>
      <c r="S492" s="40"/>
      <c r="T492" s="40"/>
      <c r="U492" s="40"/>
      <c r="V492" s="40"/>
      <c r="W492" s="40"/>
      <c r="X492" s="40"/>
      <c r="Y492" s="40"/>
      <c r="Z492" s="37"/>
      <c r="AA492" s="37"/>
      <c r="AB492" s="37"/>
      <c r="AC492" s="37"/>
      <c r="AD492" s="37"/>
      <c r="AE492" s="37"/>
      <c r="AF492" s="37"/>
      <c r="AG492" s="37"/>
      <c r="AH492" s="37"/>
      <c r="AI492" s="37"/>
      <c r="AJ492" s="37"/>
      <c r="AK492" s="39"/>
      <c r="AL492" s="37"/>
      <c r="AM492" s="37"/>
      <c r="AN492" s="37"/>
      <c r="AO492" s="37"/>
    </row>
    <row r="493" spans="1:41" ht="9.75" customHeight="1">
      <c r="A493" s="37"/>
      <c r="B493" s="37"/>
      <c r="C493" s="37"/>
      <c r="D493" s="37"/>
      <c r="E493" s="37"/>
      <c r="F493" s="40"/>
      <c r="G493" s="40"/>
      <c r="H493" s="40"/>
      <c r="I493" s="40"/>
      <c r="J493" s="40"/>
      <c r="K493" s="404"/>
      <c r="L493" s="403"/>
      <c r="M493" s="403"/>
      <c r="N493" s="403"/>
      <c r="O493" s="403"/>
      <c r="P493" s="403"/>
      <c r="Q493" s="40"/>
      <c r="R493" s="40"/>
      <c r="S493" s="40"/>
      <c r="T493" s="40"/>
      <c r="U493" s="40"/>
      <c r="V493" s="40"/>
      <c r="W493" s="40"/>
      <c r="X493" s="40"/>
      <c r="Y493" s="40"/>
      <c r="Z493" s="37"/>
      <c r="AA493" s="37"/>
      <c r="AB493" s="37"/>
      <c r="AC493" s="37"/>
      <c r="AD493" s="37"/>
      <c r="AE493" s="37"/>
      <c r="AF493" s="37"/>
      <c r="AG493" s="37"/>
      <c r="AH493" s="37"/>
      <c r="AI493" s="37"/>
      <c r="AJ493" s="37"/>
      <c r="AK493" s="39"/>
      <c r="AL493" s="37"/>
      <c r="AM493" s="37"/>
      <c r="AN493" s="37"/>
      <c r="AO493" s="37"/>
    </row>
    <row r="494" spans="1:41" ht="9.75" customHeight="1">
      <c r="A494" s="37"/>
      <c r="B494" s="37"/>
      <c r="C494" s="37"/>
      <c r="D494" s="37"/>
      <c r="E494" s="37"/>
      <c r="F494" s="40"/>
      <c r="G494" s="40"/>
      <c r="H494" s="40"/>
      <c r="I494" s="40"/>
      <c r="J494" s="40"/>
      <c r="K494" s="404"/>
      <c r="L494" s="403"/>
      <c r="M494" s="403"/>
      <c r="N494" s="403"/>
      <c r="O494" s="403"/>
      <c r="P494" s="403"/>
      <c r="Q494" s="40"/>
      <c r="R494" s="40"/>
      <c r="S494" s="40"/>
      <c r="T494" s="40"/>
      <c r="U494" s="40"/>
      <c r="V494" s="40"/>
      <c r="W494" s="40"/>
      <c r="X494" s="40"/>
      <c r="Y494" s="40"/>
      <c r="Z494" s="37"/>
      <c r="AA494" s="37"/>
      <c r="AB494" s="37"/>
      <c r="AC494" s="37"/>
      <c r="AD494" s="37"/>
      <c r="AE494" s="37"/>
      <c r="AF494" s="37"/>
      <c r="AG494" s="37"/>
      <c r="AH494" s="37"/>
      <c r="AI494" s="37"/>
      <c r="AJ494" s="37"/>
      <c r="AK494" s="39"/>
      <c r="AL494" s="37"/>
      <c r="AM494" s="37"/>
      <c r="AN494" s="37"/>
      <c r="AO494" s="37"/>
    </row>
    <row r="495" spans="1:41" ht="9.75" customHeight="1">
      <c r="A495" s="37"/>
      <c r="B495" s="37"/>
      <c r="C495" s="37"/>
      <c r="D495" s="37"/>
      <c r="E495" s="37"/>
      <c r="F495" s="40"/>
      <c r="G495" s="40"/>
      <c r="H495" s="40"/>
      <c r="I495" s="40"/>
      <c r="J495" s="40"/>
      <c r="K495" s="404"/>
      <c r="L495" s="403"/>
      <c r="M495" s="403"/>
      <c r="N495" s="403"/>
      <c r="O495" s="403"/>
      <c r="P495" s="403"/>
      <c r="Q495" s="40"/>
      <c r="R495" s="40"/>
      <c r="S495" s="40"/>
      <c r="T495" s="40"/>
      <c r="U495" s="40"/>
      <c r="V495" s="40"/>
      <c r="W495" s="40"/>
      <c r="X495" s="40"/>
      <c r="Y495" s="40"/>
      <c r="Z495" s="37"/>
      <c r="AA495" s="37"/>
      <c r="AB495" s="37"/>
      <c r="AC495" s="37"/>
      <c r="AD495" s="37"/>
      <c r="AE495" s="37"/>
      <c r="AF495" s="37"/>
      <c r="AG495" s="37"/>
      <c r="AH495" s="37"/>
      <c r="AI495" s="37"/>
      <c r="AJ495" s="37"/>
      <c r="AK495" s="39"/>
      <c r="AL495" s="37"/>
      <c r="AM495" s="37"/>
      <c r="AN495" s="37"/>
      <c r="AO495" s="37"/>
    </row>
    <row r="496" spans="1:41" ht="9.75" customHeight="1">
      <c r="A496" s="37"/>
      <c r="B496" s="37"/>
      <c r="C496" s="37"/>
      <c r="D496" s="37"/>
      <c r="E496" s="37"/>
      <c r="F496" s="40"/>
      <c r="G496" s="40"/>
      <c r="H496" s="40"/>
      <c r="I496" s="40"/>
      <c r="J496" s="40"/>
      <c r="K496" s="404"/>
      <c r="L496" s="403"/>
      <c r="M496" s="403"/>
      <c r="N496" s="403"/>
      <c r="O496" s="403"/>
      <c r="P496" s="403"/>
      <c r="Q496" s="40"/>
      <c r="R496" s="40"/>
      <c r="S496" s="40"/>
      <c r="T496" s="40"/>
      <c r="U496" s="40"/>
      <c r="V496" s="40"/>
      <c r="W496" s="40"/>
      <c r="X496" s="40"/>
      <c r="Y496" s="40"/>
      <c r="Z496" s="37"/>
      <c r="AA496" s="37"/>
      <c r="AB496" s="37"/>
      <c r="AC496" s="37"/>
      <c r="AD496" s="37"/>
      <c r="AE496" s="37"/>
      <c r="AF496" s="37"/>
      <c r="AG496" s="37"/>
      <c r="AH496" s="37"/>
      <c r="AI496" s="37"/>
      <c r="AJ496" s="37"/>
      <c r="AK496" s="39"/>
      <c r="AL496" s="37"/>
      <c r="AM496" s="37"/>
      <c r="AN496" s="37"/>
      <c r="AO496" s="37"/>
    </row>
    <row r="497" spans="1:41" ht="9.75" customHeight="1">
      <c r="A497" s="37"/>
      <c r="B497" s="37"/>
      <c r="C497" s="37"/>
      <c r="D497" s="37"/>
      <c r="E497" s="37"/>
      <c r="F497" s="40"/>
      <c r="G497" s="40"/>
      <c r="H497" s="40"/>
      <c r="I497" s="40"/>
      <c r="J497" s="40"/>
      <c r="K497" s="404"/>
      <c r="L497" s="403"/>
      <c r="M497" s="403"/>
      <c r="N497" s="403"/>
      <c r="O497" s="403"/>
      <c r="P497" s="403"/>
      <c r="Q497" s="40"/>
      <c r="R497" s="40"/>
      <c r="S497" s="40"/>
      <c r="T497" s="40"/>
      <c r="U497" s="40"/>
      <c r="V497" s="40"/>
      <c r="W497" s="40"/>
      <c r="X497" s="40"/>
      <c r="Y497" s="40"/>
      <c r="Z497" s="37"/>
      <c r="AA497" s="37"/>
      <c r="AB497" s="37"/>
      <c r="AC497" s="37"/>
      <c r="AD497" s="37"/>
      <c r="AE497" s="37"/>
      <c r="AF497" s="37"/>
      <c r="AG497" s="37"/>
      <c r="AH497" s="37"/>
      <c r="AI497" s="37"/>
      <c r="AJ497" s="37"/>
      <c r="AK497" s="39"/>
      <c r="AL497" s="37"/>
      <c r="AM497" s="37"/>
      <c r="AN497" s="37"/>
      <c r="AO497" s="37"/>
    </row>
    <row r="498" spans="1:41" ht="9.75" customHeight="1">
      <c r="A498" s="37"/>
      <c r="B498" s="37"/>
      <c r="C498" s="37"/>
      <c r="D498" s="37"/>
      <c r="E498" s="37"/>
      <c r="F498" s="40"/>
      <c r="G498" s="40"/>
      <c r="H498" s="40"/>
      <c r="I498" s="40"/>
      <c r="J498" s="40"/>
      <c r="K498" s="404"/>
      <c r="L498" s="403"/>
      <c r="M498" s="403"/>
      <c r="N498" s="403"/>
      <c r="O498" s="403"/>
      <c r="P498" s="403"/>
      <c r="Q498" s="40"/>
      <c r="R498" s="40"/>
      <c r="S498" s="40"/>
      <c r="T498" s="40"/>
      <c r="U498" s="40"/>
      <c r="V498" s="40"/>
      <c r="W498" s="40"/>
      <c r="X498" s="40"/>
      <c r="Y498" s="40"/>
      <c r="Z498" s="37"/>
      <c r="AA498" s="37"/>
      <c r="AB498" s="37"/>
      <c r="AC498" s="37"/>
      <c r="AD498" s="37"/>
      <c r="AE498" s="37"/>
      <c r="AF498" s="37"/>
      <c r="AG498" s="37"/>
      <c r="AH498" s="37"/>
      <c r="AI498" s="37"/>
      <c r="AJ498" s="37"/>
      <c r="AK498" s="39"/>
      <c r="AL498" s="37"/>
      <c r="AM498" s="37"/>
      <c r="AN498" s="37"/>
      <c r="AO498" s="37"/>
    </row>
    <row r="499" spans="1:41" ht="9.75" customHeight="1">
      <c r="A499" s="37"/>
      <c r="B499" s="37"/>
      <c r="C499" s="37"/>
      <c r="D499" s="37"/>
      <c r="E499" s="37"/>
      <c r="F499" s="40"/>
      <c r="G499" s="40"/>
      <c r="H499" s="40"/>
      <c r="I499" s="40"/>
      <c r="J499" s="40"/>
      <c r="K499" s="404"/>
      <c r="L499" s="403"/>
      <c r="M499" s="403"/>
      <c r="N499" s="403"/>
      <c r="O499" s="403"/>
      <c r="P499" s="403"/>
      <c r="Q499" s="40"/>
      <c r="R499" s="40"/>
      <c r="S499" s="40"/>
      <c r="T499" s="40"/>
      <c r="U499" s="40"/>
      <c r="V499" s="40"/>
      <c r="W499" s="40"/>
      <c r="X499" s="40"/>
      <c r="Y499" s="40"/>
      <c r="Z499" s="37"/>
      <c r="AA499" s="37"/>
      <c r="AB499" s="37"/>
      <c r="AC499" s="37"/>
      <c r="AD499" s="37"/>
      <c r="AE499" s="37"/>
      <c r="AF499" s="37"/>
      <c r="AG499" s="37"/>
      <c r="AH499" s="37"/>
      <c r="AI499" s="37"/>
      <c r="AJ499" s="37"/>
      <c r="AK499" s="39"/>
      <c r="AL499" s="37"/>
      <c r="AM499" s="37"/>
      <c r="AN499" s="37"/>
      <c r="AO499" s="37"/>
    </row>
    <row r="500" spans="1:41" ht="9.75" customHeight="1">
      <c r="A500" s="37"/>
      <c r="B500" s="37"/>
      <c r="C500" s="37"/>
      <c r="D500" s="37"/>
      <c r="E500" s="37"/>
      <c r="F500" s="40"/>
      <c r="G500" s="40"/>
      <c r="H500" s="40"/>
      <c r="I500" s="40"/>
      <c r="J500" s="40"/>
      <c r="K500" s="404"/>
      <c r="L500" s="403"/>
      <c r="M500" s="403"/>
      <c r="N500" s="403"/>
      <c r="O500" s="403"/>
      <c r="P500" s="403"/>
      <c r="Q500" s="40"/>
      <c r="R500" s="40"/>
      <c r="S500" s="40"/>
      <c r="T500" s="40"/>
      <c r="U500" s="40"/>
      <c r="V500" s="40"/>
      <c r="W500" s="40"/>
      <c r="X500" s="40"/>
      <c r="Y500" s="40"/>
      <c r="Z500" s="37"/>
      <c r="AA500" s="37"/>
      <c r="AB500" s="37"/>
      <c r="AC500" s="37"/>
      <c r="AD500" s="37"/>
      <c r="AE500" s="37"/>
      <c r="AF500" s="37"/>
      <c r="AG500" s="37"/>
      <c r="AH500" s="37"/>
      <c r="AI500" s="37"/>
      <c r="AJ500" s="37"/>
      <c r="AK500" s="39"/>
      <c r="AL500" s="37"/>
      <c r="AM500" s="37"/>
      <c r="AN500" s="37"/>
      <c r="AO500" s="37"/>
    </row>
    <row r="501" spans="1:41" ht="9.75" customHeight="1">
      <c r="A501" s="37"/>
      <c r="B501" s="37"/>
      <c r="C501" s="37"/>
      <c r="D501" s="37"/>
      <c r="E501" s="37"/>
      <c r="F501" s="40"/>
      <c r="G501" s="40"/>
      <c r="H501" s="40"/>
      <c r="I501" s="40"/>
      <c r="J501" s="40"/>
      <c r="K501" s="404"/>
      <c r="L501" s="403"/>
      <c r="M501" s="403"/>
      <c r="N501" s="403"/>
      <c r="O501" s="403"/>
      <c r="P501" s="403"/>
      <c r="Q501" s="40"/>
      <c r="R501" s="40"/>
      <c r="S501" s="40"/>
      <c r="T501" s="40"/>
      <c r="U501" s="40"/>
      <c r="V501" s="40"/>
      <c r="W501" s="40"/>
      <c r="X501" s="40"/>
      <c r="Y501" s="40"/>
      <c r="Z501" s="37"/>
      <c r="AA501" s="37"/>
      <c r="AB501" s="37"/>
      <c r="AC501" s="37"/>
      <c r="AD501" s="37"/>
      <c r="AE501" s="37"/>
      <c r="AF501" s="37"/>
      <c r="AG501" s="37"/>
      <c r="AH501" s="37"/>
      <c r="AI501" s="37"/>
      <c r="AJ501" s="37"/>
      <c r="AK501" s="39"/>
      <c r="AL501" s="37"/>
      <c r="AM501" s="37"/>
      <c r="AN501" s="37"/>
      <c r="AO501" s="37"/>
    </row>
    <row r="502" spans="1:41" ht="9.75" customHeight="1">
      <c r="A502" s="37"/>
      <c r="B502" s="37"/>
      <c r="C502" s="37"/>
      <c r="D502" s="37"/>
      <c r="E502" s="37"/>
      <c r="F502" s="40"/>
      <c r="G502" s="40"/>
      <c r="H502" s="40"/>
      <c r="I502" s="40"/>
      <c r="J502" s="40"/>
      <c r="K502" s="404"/>
      <c r="L502" s="403"/>
      <c r="M502" s="403"/>
      <c r="N502" s="403"/>
      <c r="O502" s="403"/>
      <c r="P502" s="403"/>
      <c r="Q502" s="40"/>
      <c r="R502" s="40"/>
      <c r="S502" s="40"/>
      <c r="T502" s="40"/>
      <c r="U502" s="40"/>
      <c r="V502" s="40"/>
      <c r="W502" s="40"/>
      <c r="X502" s="40"/>
      <c r="Y502" s="40"/>
      <c r="Z502" s="37"/>
      <c r="AA502" s="37"/>
      <c r="AB502" s="37"/>
      <c r="AC502" s="37"/>
      <c r="AD502" s="37"/>
      <c r="AE502" s="37"/>
      <c r="AF502" s="37"/>
      <c r="AG502" s="37"/>
      <c r="AH502" s="37"/>
      <c r="AI502" s="37"/>
      <c r="AJ502" s="37"/>
      <c r="AK502" s="39"/>
      <c r="AL502" s="37"/>
      <c r="AM502" s="37"/>
      <c r="AN502" s="37"/>
      <c r="AO502" s="37"/>
    </row>
    <row r="503" spans="1:41" ht="9.75" customHeight="1">
      <c r="A503" s="37"/>
      <c r="B503" s="37"/>
      <c r="C503" s="37"/>
      <c r="D503" s="37"/>
      <c r="E503" s="37"/>
      <c r="F503" s="40"/>
      <c r="G503" s="40"/>
      <c r="H503" s="40"/>
      <c r="I503" s="40"/>
      <c r="J503" s="40"/>
      <c r="K503" s="404"/>
      <c r="L503" s="403"/>
      <c r="M503" s="403"/>
      <c r="N503" s="403"/>
      <c r="O503" s="403"/>
      <c r="P503" s="403"/>
      <c r="Q503" s="40"/>
      <c r="R503" s="40"/>
      <c r="S503" s="40"/>
      <c r="T503" s="40"/>
      <c r="U503" s="40"/>
      <c r="V503" s="40"/>
      <c r="W503" s="40"/>
      <c r="X503" s="40"/>
      <c r="Y503" s="40"/>
      <c r="Z503" s="37"/>
      <c r="AA503" s="37"/>
      <c r="AB503" s="37"/>
      <c r="AC503" s="37"/>
      <c r="AD503" s="37"/>
      <c r="AE503" s="37"/>
      <c r="AF503" s="37"/>
      <c r="AG503" s="37"/>
      <c r="AH503" s="37"/>
      <c r="AI503" s="37"/>
      <c r="AJ503" s="37"/>
      <c r="AK503" s="39"/>
      <c r="AL503" s="37"/>
      <c r="AM503" s="37"/>
      <c r="AN503" s="37"/>
      <c r="AO503" s="37"/>
    </row>
    <row r="504" spans="1:41" ht="9.75" customHeight="1">
      <c r="A504" s="37"/>
      <c r="B504" s="37"/>
      <c r="C504" s="37"/>
      <c r="D504" s="37"/>
      <c r="E504" s="37"/>
      <c r="F504" s="40"/>
      <c r="G504" s="40"/>
      <c r="H504" s="40"/>
      <c r="I504" s="40"/>
      <c r="J504" s="40"/>
      <c r="K504" s="404"/>
      <c r="L504" s="403"/>
      <c r="M504" s="403"/>
      <c r="N504" s="403"/>
      <c r="O504" s="403"/>
      <c r="P504" s="403"/>
      <c r="Q504" s="40"/>
      <c r="R504" s="40"/>
      <c r="S504" s="40"/>
      <c r="T504" s="40"/>
      <c r="U504" s="40"/>
      <c r="V504" s="40"/>
      <c r="W504" s="40"/>
      <c r="X504" s="40"/>
      <c r="Y504" s="40"/>
      <c r="Z504" s="37"/>
      <c r="AA504" s="37"/>
      <c r="AB504" s="37"/>
      <c r="AC504" s="37"/>
      <c r="AD504" s="37"/>
      <c r="AE504" s="37"/>
      <c r="AF504" s="37"/>
      <c r="AG504" s="37"/>
      <c r="AH504" s="37"/>
      <c r="AI504" s="37"/>
      <c r="AJ504" s="37"/>
      <c r="AK504" s="39"/>
      <c r="AL504" s="37"/>
      <c r="AM504" s="37"/>
      <c r="AN504" s="37"/>
      <c r="AO504" s="37"/>
    </row>
    <row r="505" spans="1:41" ht="9.75" customHeight="1">
      <c r="A505" s="37"/>
      <c r="B505" s="37"/>
      <c r="C505" s="37"/>
      <c r="D505" s="37"/>
      <c r="E505" s="37"/>
      <c r="F505" s="40"/>
      <c r="G505" s="40"/>
      <c r="H505" s="40"/>
      <c r="I505" s="40"/>
      <c r="J505" s="40"/>
      <c r="K505" s="404"/>
      <c r="L505" s="403"/>
      <c r="M505" s="403"/>
      <c r="N505" s="403"/>
      <c r="O505" s="403"/>
      <c r="P505" s="403"/>
      <c r="Q505" s="40"/>
      <c r="R505" s="40"/>
      <c r="S505" s="40"/>
      <c r="T505" s="40"/>
      <c r="U505" s="40"/>
      <c r="V505" s="40"/>
      <c r="W505" s="40"/>
      <c r="X505" s="40"/>
      <c r="Y505" s="40"/>
      <c r="Z505" s="37"/>
      <c r="AA505" s="37"/>
      <c r="AB505" s="37"/>
      <c r="AC505" s="37"/>
      <c r="AD505" s="37"/>
      <c r="AE505" s="37"/>
      <c r="AF505" s="37"/>
      <c r="AG505" s="37"/>
      <c r="AH505" s="37"/>
      <c r="AI505" s="37"/>
      <c r="AJ505" s="37"/>
      <c r="AK505" s="39"/>
      <c r="AL505" s="37"/>
      <c r="AM505" s="37"/>
      <c r="AN505" s="37"/>
      <c r="AO505" s="37"/>
    </row>
    <row r="506" spans="1:41" ht="9.75" customHeight="1">
      <c r="A506" s="37"/>
      <c r="B506" s="37"/>
      <c r="C506" s="37"/>
      <c r="D506" s="37"/>
      <c r="E506" s="37"/>
      <c r="F506" s="40"/>
      <c r="G506" s="40"/>
      <c r="H506" s="40"/>
      <c r="I506" s="40"/>
      <c r="J506" s="40"/>
      <c r="K506" s="404"/>
      <c r="L506" s="403"/>
      <c r="M506" s="403"/>
      <c r="N506" s="403"/>
      <c r="O506" s="403"/>
      <c r="P506" s="403"/>
      <c r="Q506" s="40"/>
      <c r="R506" s="40"/>
      <c r="S506" s="40"/>
      <c r="T506" s="40"/>
      <c r="U506" s="40"/>
      <c r="V506" s="40"/>
      <c r="W506" s="40"/>
      <c r="X506" s="40"/>
      <c r="Y506" s="40"/>
      <c r="Z506" s="37"/>
      <c r="AA506" s="37"/>
      <c r="AB506" s="37"/>
      <c r="AC506" s="37"/>
      <c r="AD506" s="37"/>
      <c r="AE506" s="37"/>
      <c r="AF506" s="37"/>
      <c r="AG506" s="37"/>
      <c r="AH506" s="37"/>
      <c r="AI506" s="37"/>
      <c r="AJ506" s="37"/>
      <c r="AK506" s="39"/>
      <c r="AL506" s="37"/>
      <c r="AM506" s="37"/>
      <c r="AN506" s="37"/>
      <c r="AO506" s="37"/>
    </row>
    <row r="507" spans="1:41" ht="9.75" customHeight="1">
      <c r="A507" s="37"/>
      <c r="B507" s="37"/>
      <c r="C507" s="37"/>
      <c r="D507" s="37"/>
      <c r="E507" s="37"/>
      <c r="F507" s="40"/>
      <c r="G507" s="40"/>
      <c r="H507" s="40"/>
      <c r="I507" s="40"/>
      <c r="J507" s="40"/>
      <c r="K507" s="404"/>
      <c r="L507" s="403"/>
      <c r="M507" s="403"/>
      <c r="N507" s="403"/>
      <c r="O507" s="403"/>
      <c r="P507" s="403"/>
      <c r="Q507" s="40"/>
      <c r="R507" s="40"/>
      <c r="S507" s="40"/>
      <c r="T507" s="40"/>
      <c r="U507" s="40"/>
      <c r="V507" s="40"/>
      <c r="W507" s="40"/>
      <c r="X507" s="40"/>
      <c r="Y507" s="40"/>
      <c r="Z507" s="37"/>
      <c r="AA507" s="37"/>
      <c r="AB507" s="37"/>
      <c r="AC507" s="37"/>
      <c r="AD507" s="37"/>
      <c r="AE507" s="37"/>
      <c r="AF507" s="37"/>
      <c r="AG507" s="37"/>
      <c r="AH507" s="37"/>
      <c r="AI507" s="37"/>
      <c r="AJ507" s="37"/>
      <c r="AK507" s="39"/>
      <c r="AL507" s="37"/>
      <c r="AM507" s="37"/>
      <c r="AN507" s="37"/>
      <c r="AO507" s="37"/>
    </row>
    <row r="508" spans="1:41" ht="9.75" customHeight="1">
      <c r="A508" s="37"/>
      <c r="B508" s="37"/>
      <c r="C508" s="37"/>
      <c r="D508" s="37"/>
      <c r="E508" s="37"/>
      <c r="F508" s="40"/>
      <c r="G508" s="40"/>
      <c r="H508" s="40"/>
      <c r="I508" s="40"/>
      <c r="J508" s="40"/>
      <c r="K508" s="404"/>
      <c r="L508" s="403"/>
      <c r="M508" s="403"/>
      <c r="N508" s="403"/>
      <c r="O508" s="403"/>
      <c r="P508" s="403"/>
      <c r="Q508" s="40"/>
      <c r="R508" s="40"/>
      <c r="S508" s="40"/>
      <c r="T508" s="40"/>
      <c r="U508" s="40"/>
      <c r="V508" s="40"/>
      <c r="W508" s="40"/>
      <c r="X508" s="40"/>
      <c r="Y508" s="40"/>
      <c r="Z508" s="37"/>
      <c r="AA508" s="37"/>
      <c r="AB508" s="37"/>
      <c r="AC508" s="37"/>
      <c r="AD508" s="37"/>
      <c r="AE508" s="37"/>
      <c r="AF508" s="37"/>
      <c r="AG508" s="37"/>
      <c r="AH508" s="37"/>
      <c r="AI508" s="37"/>
      <c r="AJ508" s="37"/>
      <c r="AK508" s="39"/>
      <c r="AL508" s="37"/>
      <c r="AM508" s="37"/>
      <c r="AN508" s="37"/>
      <c r="AO508" s="37"/>
    </row>
    <row r="509" spans="1:41" ht="9.75" customHeight="1">
      <c r="A509" s="37"/>
      <c r="B509" s="37"/>
      <c r="C509" s="37"/>
      <c r="D509" s="37"/>
      <c r="E509" s="37"/>
      <c r="F509" s="40"/>
      <c r="G509" s="40"/>
      <c r="H509" s="40"/>
      <c r="I509" s="40"/>
      <c r="J509" s="40"/>
      <c r="K509" s="404"/>
      <c r="L509" s="403"/>
      <c r="M509" s="403"/>
      <c r="N509" s="403"/>
      <c r="O509" s="403"/>
      <c r="P509" s="403"/>
      <c r="Q509" s="40"/>
      <c r="R509" s="40"/>
      <c r="S509" s="40"/>
      <c r="T509" s="40"/>
      <c r="U509" s="40"/>
      <c r="V509" s="40"/>
      <c r="W509" s="40"/>
      <c r="X509" s="40"/>
      <c r="Y509" s="40"/>
      <c r="Z509" s="37"/>
      <c r="AA509" s="37"/>
      <c r="AB509" s="37"/>
      <c r="AC509" s="37"/>
      <c r="AD509" s="37"/>
      <c r="AE509" s="37"/>
      <c r="AF509" s="37"/>
      <c r="AG509" s="37"/>
      <c r="AH509" s="37"/>
      <c r="AI509" s="37"/>
      <c r="AJ509" s="37"/>
      <c r="AK509" s="39"/>
      <c r="AL509" s="37"/>
      <c r="AM509" s="37"/>
      <c r="AN509" s="37"/>
      <c r="AO509" s="37"/>
    </row>
    <row r="510" spans="1:41" ht="9.75" customHeight="1">
      <c r="A510" s="37"/>
      <c r="B510" s="37"/>
      <c r="C510" s="37"/>
      <c r="D510" s="37"/>
      <c r="E510" s="37"/>
      <c r="F510" s="40"/>
      <c r="G510" s="40"/>
      <c r="H510" s="40"/>
      <c r="I510" s="40"/>
      <c r="J510" s="40"/>
      <c r="K510" s="404"/>
      <c r="L510" s="403"/>
      <c r="M510" s="403"/>
      <c r="N510" s="403"/>
      <c r="O510" s="403"/>
      <c r="P510" s="403"/>
      <c r="Q510" s="40"/>
      <c r="R510" s="40"/>
      <c r="S510" s="40"/>
      <c r="T510" s="40"/>
      <c r="U510" s="40"/>
      <c r="V510" s="40"/>
      <c r="W510" s="40"/>
      <c r="X510" s="40"/>
      <c r="Y510" s="40"/>
      <c r="Z510" s="37"/>
      <c r="AA510" s="37"/>
      <c r="AB510" s="37"/>
      <c r="AC510" s="37"/>
      <c r="AD510" s="37"/>
      <c r="AE510" s="37"/>
      <c r="AF510" s="37"/>
      <c r="AG510" s="37"/>
      <c r="AH510" s="37"/>
      <c r="AI510" s="37"/>
      <c r="AJ510" s="37"/>
      <c r="AK510" s="39"/>
      <c r="AL510" s="37"/>
      <c r="AM510" s="37"/>
      <c r="AN510" s="37"/>
      <c r="AO510" s="37"/>
    </row>
    <row r="511" spans="1:41" ht="9.75" customHeight="1">
      <c r="A511" s="37"/>
      <c r="B511" s="37"/>
      <c r="C511" s="37"/>
      <c r="D511" s="37"/>
      <c r="E511" s="37"/>
      <c r="F511" s="40"/>
      <c r="G511" s="40"/>
      <c r="H511" s="40"/>
      <c r="I511" s="40"/>
      <c r="J511" s="40"/>
      <c r="K511" s="404"/>
      <c r="L511" s="403"/>
      <c r="M511" s="403"/>
      <c r="N511" s="403"/>
      <c r="O511" s="403"/>
      <c r="P511" s="403"/>
      <c r="Q511" s="40"/>
      <c r="R511" s="40"/>
      <c r="S511" s="40"/>
      <c r="T511" s="40"/>
      <c r="U511" s="40"/>
      <c r="V511" s="40"/>
      <c r="W511" s="40"/>
      <c r="X511" s="40"/>
      <c r="Y511" s="40"/>
      <c r="Z511" s="37"/>
      <c r="AA511" s="37"/>
      <c r="AB511" s="37"/>
      <c r="AC511" s="37"/>
      <c r="AD511" s="37"/>
      <c r="AE511" s="37"/>
      <c r="AF511" s="37"/>
      <c r="AG511" s="37"/>
      <c r="AH511" s="37"/>
      <c r="AI511" s="37"/>
      <c r="AJ511" s="37"/>
      <c r="AK511" s="39"/>
      <c r="AL511" s="37"/>
      <c r="AM511" s="37"/>
      <c r="AN511" s="37"/>
      <c r="AO511" s="37"/>
    </row>
    <row r="512" spans="1:41" ht="9.75" customHeight="1">
      <c r="A512" s="37"/>
      <c r="B512" s="37"/>
      <c r="C512" s="37"/>
      <c r="D512" s="37"/>
      <c r="E512" s="37"/>
      <c r="F512" s="40"/>
      <c r="G512" s="40"/>
      <c r="H512" s="40"/>
      <c r="I512" s="40"/>
      <c r="J512" s="40"/>
      <c r="K512" s="404"/>
      <c r="L512" s="403"/>
      <c r="M512" s="403"/>
      <c r="N512" s="403"/>
      <c r="O512" s="403"/>
      <c r="P512" s="403"/>
      <c r="Q512" s="40"/>
      <c r="R512" s="40"/>
      <c r="S512" s="40"/>
      <c r="T512" s="40"/>
      <c r="U512" s="40"/>
      <c r="V512" s="40"/>
      <c r="W512" s="40"/>
      <c r="X512" s="40"/>
      <c r="Y512" s="40"/>
      <c r="Z512" s="37"/>
      <c r="AA512" s="37"/>
      <c r="AB512" s="37"/>
      <c r="AC512" s="37"/>
      <c r="AD512" s="37"/>
      <c r="AE512" s="37"/>
      <c r="AF512" s="37"/>
      <c r="AG512" s="37"/>
      <c r="AH512" s="37"/>
      <c r="AI512" s="37"/>
      <c r="AJ512" s="37"/>
      <c r="AK512" s="39"/>
      <c r="AL512" s="37"/>
      <c r="AM512" s="37"/>
      <c r="AN512" s="37"/>
      <c r="AO512" s="37"/>
    </row>
    <row r="513" spans="1:41" ht="9.75" customHeight="1">
      <c r="A513" s="37"/>
      <c r="B513" s="37"/>
      <c r="C513" s="37"/>
      <c r="D513" s="37"/>
      <c r="E513" s="37"/>
      <c r="F513" s="40"/>
      <c r="G513" s="40"/>
      <c r="H513" s="40"/>
      <c r="I513" s="40"/>
      <c r="J513" s="40"/>
      <c r="K513" s="404"/>
      <c r="L513" s="403"/>
      <c r="M513" s="403"/>
      <c r="N513" s="403"/>
      <c r="O513" s="403"/>
      <c r="P513" s="403"/>
      <c r="Q513" s="40"/>
      <c r="R513" s="40"/>
      <c r="S513" s="40"/>
      <c r="T513" s="40"/>
      <c r="U513" s="40"/>
      <c r="V513" s="40"/>
      <c r="W513" s="40"/>
      <c r="X513" s="40"/>
      <c r="Y513" s="40"/>
      <c r="Z513" s="37"/>
      <c r="AA513" s="37"/>
      <c r="AB513" s="37"/>
      <c r="AC513" s="37"/>
      <c r="AD513" s="37"/>
      <c r="AE513" s="37"/>
      <c r="AF513" s="37"/>
      <c r="AG513" s="37"/>
      <c r="AH513" s="37"/>
      <c r="AI513" s="37"/>
      <c r="AJ513" s="37"/>
      <c r="AK513" s="39"/>
      <c r="AL513" s="37"/>
      <c r="AM513" s="37"/>
      <c r="AN513" s="37"/>
      <c r="AO513" s="37"/>
    </row>
    <row r="514" spans="1:41" ht="9.75" customHeight="1">
      <c r="A514" s="37"/>
      <c r="B514" s="37"/>
      <c r="C514" s="37"/>
      <c r="D514" s="37"/>
      <c r="E514" s="37"/>
      <c r="F514" s="40"/>
      <c r="G514" s="40"/>
      <c r="H514" s="40"/>
      <c r="I514" s="40"/>
      <c r="J514" s="40"/>
      <c r="K514" s="404"/>
      <c r="L514" s="403"/>
      <c r="M514" s="403"/>
      <c r="N514" s="403"/>
      <c r="O514" s="403"/>
      <c r="P514" s="403"/>
      <c r="Q514" s="40"/>
      <c r="R514" s="40"/>
      <c r="S514" s="40"/>
      <c r="T514" s="40"/>
      <c r="U514" s="40"/>
      <c r="V514" s="40"/>
      <c r="W514" s="40"/>
      <c r="X514" s="40"/>
      <c r="Y514" s="40"/>
      <c r="Z514" s="37"/>
      <c r="AA514" s="37"/>
      <c r="AB514" s="37"/>
      <c r="AC514" s="37"/>
      <c r="AD514" s="37"/>
      <c r="AE514" s="37"/>
      <c r="AF514" s="37"/>
      <c r="AG514" s="37"/>
      <c r="AH514" s="37"/>
      <c r="AI514" s="37"/>
      <c r="AJ514" s="37"/>
      <c r="AK514" s="39"/>
      <c r="AL514" s="37"/>
      <c r="AM514" s="37"/>
      <c r="AN514" s="37"/>
      <c r="AO514" s="37"/>
    </row>
    <row r="515" spans="1:41" ht="9.75" customHeight="1">
      <c r="A515" s="37"/>
      <c r="B515" s="37"/>
      <c r="C515" s="37"/>
      <c r="D515" s="37"/>
      <c r="E515" s="37"/>
      <c r="F515" s="40"/>
      <c r="G515" s="40"/>
      <c r="H515" s="40"/>
      <c r="I515" s="40"/>
      <c r="J515" s="40"/>
      <c r="K515" s="404"/>
      <c r="L515" s="403"/>
      <c r="M515" s="403"/>
      <c r="N515" s="403"/>
      <c r="O515" s="403"/>
      <c r="P515" s="403"/>
      <c r="Q515" s="40"/>
      <c r="R515" s="40"/>
      <c r="S515" s="40"/>
      <c r="T515" s="40"/>
      <c r="U515" s="40"/>
      <c r="V515" s="40"/>
      <c r="W515" s="40"/>
      <c r="X515" s="40"/>
      <c r="Y515" s="40"/>
      <c r="Z515" s="37"/>
      <c r="AA515" s="37"/>
      <c r="AB515" s="37"/>
      <c r="AC515" s="37"/>
      <c r="AD515" s="37"/>
      <c r="AE515" s="37"/>
      <c r="AF515" s="37"/>
      <c r="AG515" s="37"/>
      <c r="AH515" s="37"/>
      <c r="AI515" s="37"/>
      <c r="AJ515" s="37"/>
      <c r="AK515" s="39"/>
      <c r="AL515" s="37"/>
      <c r="AM515" s="37"/>
      <c r="AN515" s="37"/>
      <c r="AO515" s="37"/>
    </row>
    <row r="516" spans="1:41" ht="9.75" customHeight="1">
      <c r="A516" s="37"/>
      <c r="B516" s="37"/>
      <c r="C516" s="37"/>
      <c r="D516" s="37"/>
      <c r="E516" s="37"/>
      <c r="F516" s="40"/>
      <c r="G516" s="40"/>
      <c r="H516" s="40"/>
      <c r="I516" s="40"/>
      <c r="J516" s="40"/>
      <c r="K516" s="404"/>
      <c r="L516" s="403"/>
      <c r="M516" s="403"/>
      <c r="N516" s="403"/>
      <c r="O516" s="403"/>
      <c r="P516" s="403"/>
      <c r="Q516" s="40"/>
      <c r="R516" s="40"/>
      <c r="S516" s="40"/>
      <c r="T516" s="40"/>
      <c r="U516" s="40"/>
      <c r="V516" s="40"/>
      <c r="W516" s="40"/>
      <c r="X516" s="40"/>
      <c r="Y516" s="40"/>
      <c r="Z516" s="37"/>
      <c r="AA516" s="37"/>
      <c r="AB516" s="37"/>
      <c r="AC516" s="37"/>
      <c r="AD516" s="37"/>
      <c r="AE516" s="37"/>
      <c r="AF516" s="37"/>
      <c r="AG516" s="37"/>
      <c r="AH516" s="37"/>
      <c r="AI516" s="37"/>
      <c r="AJ516" s="37"/>
      <c r="AK516" s="39"/>
      <c r="AL516" s="37"/>
      <c r="AM516" s="37"/>
      <c r="AN516" s="37"/>
      <c r="AO516" s="37"/>
    </row>
    <row r="517" spans="1:41" ht="9.75" customHeight="1">
      <c r="A517" s="37"/>
      <c r="B517" s="37"/>
      <c r="C517" s="37"/>
      <c r="D517" s="37"/>
      <c r="E517" s="37"/>
      <c r="F517" s="40"/>
      <c r="G517" s="40"/>
      <c r="H517" s="40"/>
      <c r="I517" s="40"/>
      <c r="J517" s="40"/>
      <c r="K517" s="404"/>
      <c r="L517" s="403"/>
      <c r="M517" s="403"/>
      <c r="N517" s="403"/>
      <c r="O517" s="403"/>
      <c r="P517" s="403"/>
      <c r="Q517" s="40"/>
      <c r="R517" s="40"/>
      <c r="S517" s="40"/>
      <c r="T517" s="40"/>
      <c r="U517" s="40"/>
      <c r="V517" s="40"/>
      <c r="W517" s="40"/>
      <c r="X517" s="40"/>
      <c r="Y517" s="40"/>
      <c r="Z517" s="37"/>
      <c r="AA517" s="37"/>
      <c r="AB517" s="37"/>
      <c r="AC517" s="37"/>
      <c r="AD517" s="37"/>
      <c r="AE517" s="37"/>
      <c r="AF517" s="37"/>
      <c r="AG517" s="37"/>
      <c r="AH517" s="37"/>
      <c r="AI517" s="37"/>
      <c r="AJ517" s="37"/>
      <c r="AK517" s="39"/>
      <c r="AL517" s="37"/>
      <c r="AM517" s="37"/>
      <c r="AN517" s="37"/>
      <c r="AO517" s="37"/>
    </row>
    <row r="518" spans="1:41" ht="9.75" customHeight="1">
      <c r="A518" s="37"/>
      <c r="B518" s="37"/>
      <c r="C518" s="37"/>
      <c r="D518" s="37"/>
      <c r="E518" s="37"/>
      <c r="F518" s="40"/>
      <c r="G518" s="40"/>
      <c r="H518" s="40"/>
      <c r="I518" s="40"/>
      <c r="J518" s="40"/>
      <c r="K518" s="404"/>
      <c r="L518" s="403"/>
      <c r="M518" s="403"/>
      <c r="N518" s="403"/>
      <c r="O518" s="403"/>
      <c r="P518" s="403"/>
      <c r="Q518" s="40"/>
      <c r="R518" s="40"/>
      <c r="S518" s="40"/>
      <c r="T518" s="40"/>
      <c r="U518" s="40"/>
      <c r="V518" s="40"/>
      <c r="W518" s="40"/>
      <c r="X518" s="40"/>
      <c r="Y518" s="40"/>
      <c r="Z518" s="37"/>
      <c r="AA518" s="37"/>
      <c r="AB518" s="37"/>
      <c r="AC518" s="37"/>
      <c r="AD518" s="37"/>
      <c r="AE518" s="37"/>
      <c r="AF518" s="37"/>
      <c r="AG518" s="37"/>
      <c r="AH518" s="37"/>
      <c r="AI518" s="37"/>
      <c r="AJ518" s="37"/>
      <c r="AK518" s="39"/>
      <c r="AL518" s="37"/>
      <c r="AM518" s="37"/>
      <c r="AN518" s="37"/>
      <c r="AO518" s="37"/>
    </row>
    <row r="519" spans="1:41" ht="9.75" customHeight="1">
      <c r="A519" s="37"/>
      <c r="B519" s="37"/>
      <c r="C519" s="37"/>
      <c r="D519" s="37"/>
      <c r="E519" s="37"/>
      <c r="F519" s="40"/>
      <c r="G519" s="40"/>
      <c r="H519" s="40"/>
      <c r="I519" s="40"/>
      <c r="J519" s="40"/>
      <c r="K519" s="404"/>
      <c r="L519" s="403"/>
      <c r="M519" s="403"/>
      <c r="N519" s="403"/>
      <c r="O519" s="403"/>
      <c r="P519" s="403"/>
      <c r="Q519" s="40"/>
      <c r="R519" s="40"/>
      <c r="S519" s="40"/>
      <c r="T519" s="40"/>
      <c r="U519" s="40"/>
      <c r="V519" s="40"/>
      <c r="W519" s="40"/>
      <c r="X519" s="40"/>
      <c r="Y519" s="40"/>
      <c r="Z519" s="37"/>
      <c r="AA519" s="37"/>
      <c r="AB519" s="37"/>
      <c r="AC519" s="37"/>
      <c r="AD519" s="37"/>
      <c r="AE519" s="37"/>
      <c r="AF519" s="37"/>
      <c r="AG519" s="37"/>
      <c r="AH519" s="37"/>
      <c r="AI519" s="37"/>
      <c r="AJ519" s="37"/>
      <c r="AK519" s="39"/>
      <c r="AL519" s="37"/>
      <c r="AM519" s="37"/>
      <c r="AN519" s="37"/>
      <c r="AO519" s="37"/>
    </row>
    <row r="520" spans="1:41" ht="9.75" customHeight="1">
      <c r="A520" s="37"/>
      <c r="B520" s="37"/>
      <c r="C520" s="37"/>
      <c r="D520" s="37"/>
      <c r="E520" s="37"/>
      <c r="F520" s="40"/>
      <c r="G520" s="40"/>
      <c r="H520" s="40"/>
      <c r="I520" s="40"/>
      <c r="J520" s="40"/>
      <c r="K520" s="404"/>
      <c r="L520" s="403"/>
      <c r="M520" s="403"/>
      <c r="N520" s="403"/>
      <c r="O520" s="403"/>
      <c r="P520" s="403"/>
      <c r="Q520" s="40"/>
      <c r="R520" s="40"/>
      <c r="S520" s="40"/>
      <c r="T520" s="40"/>
      <c r="U520" s="40"/>
      <c r="V520" s="40"/>
      <c r="W520" s="40"/>
      <c r="X520" s="40"/>
      <c r="Y520" s="40"/>
      <c r="Z520" s="37"/>
      <c r="AA520" s="37"/>
      <c r="AB520" s="37"/>
      <c r="AC520" s="37"/>
      <c r="AD520" s="37"/>
      <c r="AE520" s="37"/>
      <c r="AF520" s="37"/>
      <c r="AG520" s="37"/>
      <c r="AH520" s="37"/>
      <c r="AI520" s="37"/>
      <c r="AJ520" s="37"/>
      <c r="AK520" s="39"/>
      <c r="AL520" s="37"/>
      <c r="AM520" s="37"/>
      <c r="AN520" s="37"/>
      <c r="AO520" s="37"/>
    </row>
    <row r="521" spans="1:41" ht="9.75" customHeight="1">
      <c r="A521" s="37"/>
      <c r="B521" s="37"/>
      <c r="C521" s="37"/>
      <c r="D521" s="37"/>
      <c r="E521" s="37"/>
      <c r="F521" s="40"/>
      <c r="G521" s="40"/>
      <c r="H521" s="40"/>
      <c r="I521" s="40"/>
      <c r="J521" s="40"/>
      <c r="K521" s="404"/>
      <c r="L521" s="403"/>
      <c r="M521" s="403"/>
      <c r="N521" s="403"/>
      <c r="O521" s="403"/>
      <c r="P521" s="403"/>
      <c r="Q521" s="40"/>
      <c r="R521" s="40"/>
      <c r="S521" s="40"/>
      <c r="T521" s="40"/>
      <c r="U521" s="40"/>
      <c r="V521" s="40"/>
      <c r="W521" s="40"/>
      <c r="X521" s="40"/>
      <c r="Y521" s="40"/>
      <c r="Z521" s="37"/>
      <c r="AA521" s="37"/>
      <c r="AB521" s="37"/>
      <c r="AC521" s="37"/>
      <c r="AD521" s="37"/>
      <c r="AE521" s="37"/>
      <c r="AF521" s="37"/>
      <c r="AG521" s="37"/>
      <c r="AH521" s="37"/>
      <c r="AI521" s="37"/>
      <c r="AJ521" s="37"/>
      <c r="AK521" s="39"/>
      <c r="AL521" s="37"/>
      <c r="AM521" s="37"/>
      <c r="AN521" s="37"/>
      <c r="AO521" s="37"/>
    </row>
    <row r="522" spans="1:41" ht="9.75" customHeight="1">
      <c r="A522" s="37"/>
      <c r="B522" s="37"/>
      <c r="C522" s="37"/>
      <c r="D522" s="37"/>
      <c r="E522" s="37"/>
      <c r="F522" s="40"/>
      <c r="G522" s="40"/>
      <c r="H522" s="40"/>
      <c r="I522" s="40"/>
      <c r="J522" s="40"/>
      <c r="K522" s="404"/>
      <c r="L522" s="403"/>
      <c r="M522" s="403"/>
      <c r="N522" s="403"/>
      <c r="O522" s="403"/>
      <c r="P522" s="403"/>
      <c r="Q522" s="40"/>
      <c r="R522" s="40"/>
      <c r="S522" s="40"/>
      <c r="T522" s="40"/>
      <c r="U522" s="40"/>
      <c r="V522" s="40"/>
      <c r="W522" s="40"/>
      <c r="X522" s="40"/>
      <c r="Y522" s="40"/>
      <c r="Z522" s="37"/>
      <c r="AA522" s="37"/>
      <c r="AB522" s="37"/>
      <c r="AC522" s="37"/>
      <c r="AD522" s="37"/>
      <c r="AE522" s="37"/>
      <c r="AF522" s="37"/>
      <c r="AG522" s="37"/>
      <c r="AH522" s="37"/>
      <c r="AI522" s="37"/>
      <c r="AJ522" s="37"/>
      <c r="AK522" s="39"/>
      <c r="AL522" s="37"/>
      <c r="AM522" s="37"/>
      <c r="AN522" s="37"/>
      <c r="AO522" s="37"/>
    </row>
    <row r="523" spans="1:41" ht="9.75" customHeight="1">
      <c r="A523" s="37"/>
      <c r="B523" s="37"/>
      <c r="C523" s="37"/>
      <c r="D523" s="37"/>
      <c r="E523" s="37"/>
      <c r="F523" s="40"/>
      <c r="G523" s="40"/>
      <c r="H523" s="40"/>
      <c r="I523" s="40"/>
      <c r="J523" s="40"/>
      <c r="K523" s="404"/>
      <c r="L523" s="403"/>
      <c r="M523" s="403"/>
      <c r="N523" s="403"/>
      <c r="O523" s="403"/>
      <c r="P523" s="403"/>
      <c r="Q523" s="40"/>
      <c r="R523" s="40"/>
      <c r="S523" s="40"/>
      <c r="T523" s="40"/>
      <c r="U523" s="40"/>
      <c r="V523" s="40"/>
      <c r="W523" s="40"/>
      <c r="X523" s="40"/>
      <c r="Y523" s="40"/>
      <c r="Z523" s="37"/>
      <c r="AA523" s="37"/>
      <c r="AB523" s="37"/>
      <c r="AC523" s="37"/>
      <c r="AD523" s="37"/>
      <c r="AE523" s="37"/>
      <c r="AF523" s="37"/>
      <c r="AG523" s="37"/>
      <c r="AH523" s="37"/>
      <c r="AI523" s="37"/>
      <c r="AJ523" s="37"/>
      <c r="AK523" s="39"/>
      <c r="AL523" s="37"/>
      <c r="AM523" s="37"/>
      <c r="AN523" s="37"/>
      <c r="AO523" s="37"/>
    </row>
    <row r="524" spans="1:41" ht="9.75" customHeight="1">
      <c r="A524" s="37"/>
      <c r="B524" s="37"/>
      <c r="C524" s="37"/>
      <c r="D524" s="37"/>
      <c r="E524" s="37"/>
      <c r="F524" s="40"/>
      <c r="G524" s="40"/>
      <c r="H524" s="40"/>
      <c r="I524" s="40"/>
      <c r="J524" s="40"/>
      <c r="K524" s="404"/>
      <c r="L524" s="403"/>
      <c r="M524" s="403"/>
      <c r="N524" s="403"/>
      <c r="O524" s="403"/>
      <c r="P524" s="403"/>
      <c r="Q524" s="40"/>
      <c r="R524" s="40"/>
      <c r="S524" s="40"/>
      <c r="T524" s="40"/>
      <c r="U524" s="40"/>
      <c r="V524" s="40"/>
      <c r="W524" s="40"/>
      <c r="X524" s="40"/>
      <c r="Y524" s="40"/>
      <c r="Z524" s="37"/>
      <c r="AA524" s="37"/>
      <c r="AB524" s="37"/>
      <c r="AC524" s="37"/>
      <c r="AD524" s="37"/>
      <c r="AE524" s="37"/>
      <c r="AF524" s="37"/>
      <c r="AG524" s="37"/>
      <c r="AH524" s="37"/>
      <c r="AI524" s="37"/>
      <c r="AJ524" s="37"/>
      <c r="AK524" s="39"/>
      <c r="AL524" s="37"/>
      <c r="AM524" s="37"/>
      <c r="AN524" s="37"/>
      <c r="AO524" s="37"/>
    </row>
    <row r="525" spans="1:41" ht="9.75" customHeight="1">
      <c r="A525" s="37"/>
      <c r="B525" s="37"/>
      <c r="C525" s="37"/>
      <c r="D525" s="37"/>
      <c r="E525" s="37"/>
      <c r="F525" s="40"/>
      <c r="G525" s="40"/>
      <c r="H525" s="40"/>
      <c r="I525" s="40"/>
      <c r="J525" s="40"/>
      <c r="K525" s="404"/>
      <c r="L525" s="403"/>
      <c r="M525" s="403"/>
      <c r="N525" s="403"/>
      <c r="O525" s="403"/>
      <c r="P525" s="403"/>
      <c r="Q525" s="40"/>
      <c r="R525" s="40"/>
      <c r="S525" s="40"/>
      <c r="T525" s="40"/>
      <c r="U525" s="40"/>
      <c r="V525" s="40"/>
      <c r="W525" s="40"/>
      <c r="X525" s="40"/>
      <c r="Y525" s="40"/>
      <c r="Z525" s="37"/>
      <c r="AA525" s="37"/>
      <c r="AB525" s="37"/>
      <c r="AC525" s="37"/>
      <c r="AD525" s="37"/>
      <c r="AE525" s="37"/>
      <c r="AF525" s="37"/>
      <c r="AG525" s="37"/>
      <c r="AH525" s="37"/>
      <c r="AI525" s="37"/>
      <c r="AJ525" s="37"/>
      <c r="AK525" s="39"/>
      <c r="AL525" s="37"/>
      <c r="AM525" s="37"/>
      <c r="AN525" s="37"/>
      <c r="AO525" s="37"/>
    </row>
    <row r="526" spans="1:41" ht="9.75" customHeight="1">
      <c r="A526" s="37"/>
      <c r="B526" s="37"/>
      <c r="C526" s="37"/>
      <c r="D526" s="37"/>
      <c r="E526" s="37"/>
      <c r="F526" s="40"/>
      <c r="G526" s="40"/>
      <c r="H526" s="40"/>
      <c r="I526" s="40"/>
      <c r="J526" s="40"/>
      <c r="K526" s="404"/>
      <c r="L526" s="403"/>
      <c r="M526" s="403"/>
      <c r="N526" s="403"/>
      <c r="O526" s="403"/>
      <c r="P526" s="403"/>
      <c r="Q526" s="40"/>
      <c r="R526" s="40"/>
      <c r="S526" s="40"/>
      <c r="T526" s="40"/>
      <c r="U526" s="40"/>
      <c r="V526" s="40"/>
      <c r="W526" s="40"/>
      <c r="X526" s="40"/>
      <c r="Y526" s="40"/>
      <c r="Z526" s="37"/>
      <c r="AA526" s="37"/>
      <c r="AB526" s="37"/>
      <c r="AC526" s="37"/>
      <c r="AD526" s="37"/>
      <c r="AE526" s="37"/>
      <c r="AF526" s="37"/>
      <c r="AG526" s="37"/>
      <c r="AH526" s="37"/>
      <c r="AI526" s="37"/>
      <c r="AJ526" s="37"/>
      <c r="AK526" s="39"/>
      <c r="AL526" s="37"/>
      <c r="AM526" s="37"/>
      <c r="AN526" s="37"/>
      <c r="AO526" s="37"/>
    </row>
    <row r="527" spans="1:41" ht="9.75" customHeight="1">
      <c r="A527" s="37"/>
      <c r="B527" s="37"/>
      <c r="C527" s="37"/>
      <c r="D527" s="37"/>
      <c r="E527" s="37"/>
      <c r="F527" s="40"/>
      <c r="G527" s="40"/>
      <c r="H527" s="40"/>
      <c r="I527" s="40"/>
      <c r="J527" s="40"/>
      <c r="K527" s="404"/>
      <c r="L527" s="403"/>
      <c r="M527" s="403"/>
      <c r="N527" s="403"/>
      <c r="O527" s="403"/>
      <c r="P527" s="403"/>
      <c r="Q527" s="40"/>
      <c r="R527" s="40"/>
      <c r="S527" s="40"/>
      <c r="T527" s="40"/>
      <c r="U527" s="40"/>
      <c r="V527" s="40"/>
      <c r="W527" s="40"/>
      <c r="X527" s="40"/>
      <c r="Y527" s="40"/>
      <c r="Z527" s="37"/>
      <c r="AA527" s="37"/>
      <c r="AB527" s="37"/>
      <c r="AC527" s="37"/>
      <c r="AD527" s="37"/>
      <c r="AE527" s="37"/>
      <c r="AF527" s="37"/>
      <c r="AG527" s="37"/>
      <c r="AH527" s="37"/>
      <c r="AI527" s="37"/>
      <c r="AJ527" s="37"/>
      <c r="AK527" s="39"/>
      <c r="AL527" s="37"/>
      <c r="AM527" s="37"/>
      <c r="AN527" s="37"/>
      <c r="AO527" s="37"/>
    </row>
    <row r="528" spans="1:41" ht="9.75" customHeight="1">
      <c r="A528" s="37"/>
      <c r="B528" s="37"/>
      <c r="C528" s="37"/>
      <c r="D528" s="37"/>
      <c r="E528" s="37"/>
      <c r="F528" s="40"/>
      <c r="G528" s="40"/>
      <c r="H528" s="40"/>
      <c r="I528" s="40"/>
      <c r="J528" s="40"/>
      <c r="K528" s="404"/>
      <c r="L528" s="403"/>
      <c r="M528" s="403"/>
      <c r="N528" s="403"/>
      <c r="O528" s="403"/>
      <c r="P528" s="403"/>
      <c r="Q528" s="40"/>
      <c r="R528" s="40"/>
      <c r="S528" s="40"/>
      <c r="T528" s="40"/>
      <c r="U528" s="40"/>
      <c r="V528" s="40"/>
      <c r="W528" s="40"/>
      <c r="X528" s="40"/>
      <c r="Y528" s="40"/>
      <c r="Z528" s="37"/>
      <c r="AA528" s="37"/>
      <c r="AB528" s="37"/>
      <c r="AC528" s="37"/>
      <c r="AD528" s="37"/>
      <c r="AE528" s="37"/>
      <c r="AF528" s="37"/>
      <c r="AG528" s="37"/>
      <c r="AH528" s="37"/>
      <c r="AI528" s="37"/>
      <c r="AJ528" s="37"/>
      <c r="AK528" s="39"/>
      <c r="AL528" s="37"/>
      <c r="AM528" s="37"/>
      <c r="AN528" s="37"/>
      <c r="AO528" s="37"/>
    </row>
    <row r="529" spans="1:41" ht="9.75" customHeight="1">
      <c r="A529" s="37"/>
      <c r="B529" s="37"/>
      <c r="C529" s="37"/>
      <c r="D529" s="37"/>
      <c r="E529" s="37"/>
      <c r="F529" s="40"/>
      <c r="G529" s="40"/>
      <c r="H529" s="40"/>
      <c r="I529" s="40"/>
      <c r="J529" s="40"/>
      <c r="K529" s="404"/>
      <c r="L529" s="403"/>
      <c r="M529" s="403"/>
      <c r="N529" s="403"/>
      <c r="O529" s="403"/>
      <c r="P529" s="403"/>
      <c r="Q529" s="40"/>
      <c r="R529" s="40"/>
      <c r="S529" s="40"/>
      <c r="T529" s="40"/>
      <c r="U529" s="40"/>
      <c r="V529" s="40"/>
      <c r="W529" s="40"/>
      <c r="X529" s="40"/>
      <c r="Y529" s="40"/>
      <c r="Z529" s="37"/>
      <c r="AA529" s="37"/>
      <c r="AB529" s="37"/>
      <c r="AC529" s="37"/>
      <c r="AD529" s="37"/>
      <c r="AE529" s="37"/>
      <c r="AF529" s="37"/>
      <c r="AG529" s="37"/>
      <c r="AH529" s="37"/>
      <c r="AI529" s="37"/>
      <c r="AJ529" s="37"/>
      <c r="AK529" s="39"/>
      <c r="AL529" s="37"/>
      <c r="AM529" s="37"/>
      <c r="AN529" s="37"/>
      <c r="AO529" s="37"/>
    </row>
    <row r="530" spans="1:41" ht="9.75" customHeight="1">
      <c r="A530" s="37"/>
      <c r="B530" s="37"/>
      <c r="C530" s="37"/>
      <c r="D530" s="37"/>
      <c r="E530" s="37"/>
      <c r="F530" s="40"/>
      <c r="G530" s="40"/>
      <c r="H530" s="40"/>
      <c r="I530" s="40"/>
      <c r="J530" s="40"/>
      <c r="K530" s="404"/>
      <c r="L530" s="403"/>
      <c r="M530" s="403"/>
      <c r="N530" s="403"/>
      <c r="O530" s="403"/>
      <c r="P530" s="403"/>
      <c r="Q530" s="40"/>
      <c r="R530" s="40"/>
      <c r="S530" s="40"/>
      <c r="T530" s="40"/>
      <c r="U530" s="40"/>
      <c r="V530" s="40"/>
      <c r="W530" s="40"/>
      <c r="X530" s="40"/>
      <c r="Y530" s="40"/>
      <c r="Z530" s="37"/>
      <c r="AA530" s="37"/>
      <c r="AB530" s="37"/>
      <c r="AC530" s="37"/>
      <c r="AD530" s="37"/>
      <c r="AE530" s="37"/>
      <c r="AF530" s="37"/>
      <c r="AG530" s="37"/>
      <c r="AH530" s="37"/>
      <c r="AI530" s="37"/>
      <c r="AJ530" s="37"/>
      <c r="AK530" s="39"/>
      <c r="AL530" s="37"/>
      <c r="AM530" s="37"/>
      <c r="AN530" s="37"/>
      <c r="AO530" s="37"/>
    </row>
    <row r="531" spans="1:41" ht="9.75" customHeight="1">
      <c r="A531" s="37"/>
      <c r="B531" s="37"/>
      <c r="C531" s="37"/>
      <c r="D531" s="37"/>
      <c r="E531" s="37"/>
      <c r="F531" s="40"/>
      <c r="G531" s="40"/>
      <c r="H531" s="40"/>
      <c r="I531" s="40"/>
      <c r="J531" s="40"/>
      <c r="K531" s="404"/>
      <c r="L531" s="403"/>
      <c r="M531" s="403"/>
      <c r="N531" s="403"/>
      <c r="O531" s="403"/>
      <c r="P531" s="403"/>
      <c r="Q531" s="40"/>
      <c r="R531" s="40"/>
      <c r="S531" s="40"/>
      <c r="T531" s="40"/>
      <c r="U531" s="40"/>
      <c r="V531" s="40"/>
      <c r="W531" s="40"/>
      <c r="X531" s="40"/>
      <c r="Y531" s="40"/>
      <c r="Z531" s="37"/>
      <c r="AA531" s="37"/>
      <c r="AB531" s="37"/>
      <c r="AC531" s="37"/>
      <c r="AD531" s="37"/>
      <c r="AE531" s="37"/>
      <c r="AF531" s="37"/>
      <c r="AG531" s="37"/>
      <c r="AH531" s="37"/>
      <c r="AI531" s="37"/>
      <c r="AJ531" s="37"/>
      <c r="AK531" s="39"/>
      <c r="AL531" s="37"/>
      <c r="AM531" s="37"/>
      <c r="AN531" s="37"/>
      <c r="AO531" s="37"/>
    </row>
    <row r="532" spans="1:41" ht="9.75" customHeight="1">
      <c r="A532" s="37"/>
      <c r="B532" s="37"/>
      <c r="C532" s="37"/>
      <c r="D532" s="37"/>
      <c r="E532" s="37"/>
      <c r="F532" s="40"/>
      <c r="G532" s="40"/>
      <c r="H532" s="40"/>
      <c r="I532" s="40"/>
      <c r="J532" s="40"/>
      <c r="K532" s="404"/>
      <c r="L532" s="403"/>
      <c r="M532" s="403"/>
      <c r="N532" s="403"/>
      <c r="O532" s="403"/>
      <c r="P532" s="403"/>
      <c r="Q532" s="40"/>
      <c r="R532" s="40"/>
      <c r="S532" s="40"/>
      <c r="T532" s="40"/>
      <c r="U532" s="40"/>
      <c r="V532" s="40"/>
      <c r="W532" s="40"/>
      <c r="X532" s="40"/>
      <c r="Y532" s="40"/>
      <c r="Z532" s="37"/>
      <c r="AA532" s="37"/>
      <c r="AB532" s="37"/>
      <c r="AC532" s="37"/>
      <c r="AD532" s="37"/>
      <c r="AE532" s="37"/>
      <c r="AF532" s="37"/>
      <c r="AG532" s="37"/>
      <c r="AH532" s="37"/>
      <c r="AI532" s="37"/>
      <c r="AJ532" s="37"/>
      <c r="AK532" s="39"/>
      <c r="AL532" s="37"/>
      <c r="AM532" s="37"/>
      <c r="AN532" s="37"/>
      <c r="AO532" s="37"/>
    </row>
    <row r="533" spans="1:41" ht="9.75" customHeight="1">
      <c r="A533" s="37"/>
      <c r="B533" s="37"/>
      <c r="C533" s="37"/>
      <c r="D533" s="37"/>
      <c r="E533" s="37"/>
      <c r="F533" s="40"/>
      <c r="G533" s="40"/>
      <c r="H533" s="40"/>
      <c r="I533" s="40"/>
      <c r="J533" s="40"/>
      <c r="K533" s="404"/>
      <c r="L533" s="403"/>
      <c r="M533" s="403"/>
      <c r="N533" s="403"/>
      <c r="O533" s="403"/>
      <c r="P533" s="403"/>
      <c r="Q533" s="40"/>
      <c r="R533" s="40"/>
      <c r="S533" s="40"/>
      <c r="T533" s="40"/>
      <c r="U533" s="40"/>
      <c r="V533" s="40"/>
      <c r="W533" s="40"/>
      <c r="X533" s="40"/>
      <c r="Y533" s="40"/>
      <c r="Z533" s="37"/>
      <c r="AA533" s="37"/>
      <c r="AB533" s="37"/>
      <c r="AC533" s="37"/>
      <c r="AD533" s="37"/>
      <c r="AE533" s="37"/>
      <c r="AF533" s="37"/>
      <c r="AG533" s="37"/>
      <c r="AH533" s="37"/>
      <c r="AI533" s="37"/>
      <c r="AJ533" s="37"/>
      <c r="AK533" s="39"/>
      <c r="AL533" s="37"/>
      <c r="AM533" s="37"/>
      <c r="AN533" s="37"/>
      <c r="AO533" s="37"/>
    </row>
    <row r="534" spans="1:41" ht="9.75" customHeight="1">
      <c r="A534" s="37"/>
      <c r="B534" s="37"/>
      <c r="C534" s="37"/>
      <c r="D534" s="37"/>
      <c r="E534" s="37"/>
      <c r="F534" s="40"/>
      <c r="G534" s="40"/>
      <c r="H534" s="40"/>
      <c r="I534" s="40"/>
      <c r="J534" s="40"/>
      <c r="K534" s="404"/>
      <c r="L534" s="403"/>
      <c r="M534" s="403"/>
      <c r="N534" s="403"/>
      <c r="O534" s="403"/>
      <c r="P534" s="403"/>
      <c r="Q534" s="40"/>
      <c r="R534" s="40"/>
      <c r="S534" s="40"/>
      <c r="T534" s="40"/>
      <c r="U534" s="40"/>
      <c r="V534" s="40"/>
      <c r="W534" s="40"/>
      <c r="X534" s="40"/>
      <c r="Y534" s="40"/>
      <c r="Z534" s="37"/>
      <c r="AA534" s="37"/>
      <c r="AB534" s="37"/>
      <c r="AC534" s="37"/>
      <c r="AD534" s="37"/>
      <c r="AE534" s="37"/>
      <c r="AF534" s="37"/>
      <c r="AG534" s="37"/>
      <c r="AH534" s="37"/>
      <c r="AI534" s="37"/>
      <c r="AJ534" s="37"/>
      <c r="AK534" s="39"/>
      <c r="AL534" s="37"/>
      <c r="AM534" s="37"/>
      <c r="AN534" s="37"/>
      <c r="AO534" s="37"/>
    </row>
    <row r="535" spans="1:41" ht="9.75" customHeight="1">
      <c r="A535" s="37"/>
      <c r="B535" s="37"/>
      <c r="C535" s="37"/>
      <c r="D535" s="37"/>
      <c r="E535" s="37"/>
      <c r="F535" s="40"/>
      <c r="G535" s="40"/>
      <c r="H535" s="40"/>
      <c r="I535" s="40"/>
      <c r="J535" s="40"/>
      <c r="K535" s="404"/>
      <c r="L535" s="403"/>
      <c r="M535" s="403"/>
      <c r="N535" s="403"/>
      <c r="O535" s="403"/>
      <c r="P535" s="403"/>
      <c r="Q535" s="40"/>
      <c r="R535" s="40"/>
      <c r="S535" s="40"/>
      <c r="T535" s="40"/>
      <c r="U535" s="40"/>
      <c r="V535" s="40"/>
      <c r="W535" s="40"/>
      <c r="X535" s="40"/>
      <c r="Y535" s="40"/>
      <c r="Z535" s="37"/>
      <c r="AA535" s="37"/>
      <c r="AB535" s="37"/>
      <c r="AC535" s="37"/>
      <c r="AD535" s="37"/>
      <c r="AE535" s="37"/>
      <c r="AF535" s="37"/>
      <c r="AG535" s="37"/>
      <c r="AH535" s="37"/>
      <c r="AI535" s="37"/>
      <c r="AJ535" s="37"/>
      <c r="AK535" s="39"/>
      <c r="AL535" s="37"/>
      <c r="AM535" s="37"/>
      <c r="AN535" s="37"/>
      <c r="AO535" s="37"/>
    </row>
    <row r="536" spans="1:41" ht="9.75" customHeight="1">
      <c r="A536" s="37"/>
      <c r="B536" s="37"/>
      <c r="C536" s="37"/>
      <c r="D536" s="37"/>
      <c r="E536" s="37"/>
      <c r="F536" s="40"/>
      <c r="G536" s="40"/>
      <c r="H536" s="40"/>
      <c r="I536" s="40"/>
      <c r="J536" s="40"/>
      <c r="K536" s="404"/>
      <c r="L536" s="403"/>
      <c r="M536" s="403"/>
      <c r="N536" s="403"/>
      <c r="O536" s="403"/>
      <c r="P536" s="403"/>
      <c r="Q536" s="40"/>
      <c r="R536" s="40"/>
      <c r="S536" s="40"/>
      <c r="T536" s="40"/>
      <c r="U536" s="40"/>
      <c r="V536" s="40"/>
      <c r="W536" s="40"/>
      <c r="X536" s="40"/>
      <c r="Y536" s="40"/>
      <c r="Z536" s="37"/>
      <c r="AA536" s="37"/>
      <c r="AB536" s="37"/>
      <c r="AC536" s="37"/>
      <c r="AD536" s="37"/>
      <c r="AE536" s="37"/>
      <c r="AF536" s="37"/>
      <c r="AG536" s="37"/>
      <c r="AH536" s="37"/>
      <c r="AI536" s="37"/>
      <c r="AJ536" s="37"/>
      <c r="AK536" s="39"/>
      <c r="AL536" s="37"/>
      <c r="AM536" s="37"/>
      <c r="AN536" s="37"/>
      <c r="AO536" s="37"/>
    </row>
    <row r="537" spans="1:41" ht="9.75" customHeight="1">
      <c r="A537" s="37"/>
      <c r="B537" s="37"/>
      <c r="C537" s="37"/>
      <c r="D537" s="37"/>
      <c r="E537" s="37"/>
      <c r="F537" s="40"/>
      <c r="G537" s="40"/>
      <c r="H537" s="40"/>
      <c r="I537" s="40"/>
      <c r="J537" s="40"/>
      <c r="K537" s="404"/>
      <c r="L537" s="403"/>
      <c r="M537" s="403"/>
      <c r="N537" s="403"/>
      <c r="O537" s="403"/>
      <c r="P537" s="403"/>
      <c r="Q537" s="40"/>
      <c r="R537" s="40"/>
      <c r="S537" s="40"/>
      <c r="T537" s="40"/>
      <c r="U537" s="40"/>
      <c r="V537" s="40"/>
      <c r="W537" s="40"/>
      <c r="X537" s="40"/>
      <c r="Y537" s="40"/>
      <c r="Z537" s="37"/>
      <c r="AA537" s="37"/>
      <c r="AB537" s="37"/>
      <c r="AC537" s="37"/>
      <c r="AD537" s="37"/>
      <c r="AE537" s="37"/>
      <c r="AF537" s="37"/>
      <c r="AG537" s="37"/>
      <c r="AH537" s="37"/>
      <c r="AI537" s="37"/>
      <c r="AJ537" s="37"/>
      <c r="AK537" s="39"/>
      <c r="AL537" s="37"/>
      <c r="AM537" s="37"/>
      <c r="AN537" s="37"/>
      <c r="AO537" s="37"/>
    </row>
    <row r="538" spans="1:41" ht="9.75" customHeight="1">
      <c r="A538" s="37"/>
      <c r="B538" s="37"/>
      <c r="C538" s="37"/>
      <c r="D538" s="37"/>
      <c r="E538" s="37"/>
      <c r="F538" s="40"/>
      <c r="G538" s="40"/>
      <c r="H538" s="40"/>
      <c r="I538" s="40"/>
      <c r="J538" s="40"/>
      <c r="K538" s="404"/>
      <c r="L538" s="403"/>
      <c r="M538" s="403"/>
      <c r="N538" s="403"/>
      <c r="O538" s="403"/>
      <c r="P538" s="403"/>
      <c r="Q538" s="40"/>
      <c r="R538" s="40"/>
      <c r="S538" s="40"/>
      <c r="T538" s="40"/>
      <c r="U538" s="40"/>
      <c r="V538" s="40"/>
      <c r="W538" s="40"/>
      <c r="X538" s="40"/>
      <c r="Y538" s="40"/>
      <c r="Z538" s="37"/>
      <c r="AA538" s="37"/>
      <c r="AB538" s="37"/>
      <c r="AC538" s="37"/>
      <c r="AD538" s="37"/>
      <c r="AE538" s="37"/>
      <c r="AF538" s="37"/>
      <c r="AG538" s="37"/>
      <c r="AH538" s="37"/>
      <c r="AI538" s="37"/>
      <c r="AJ538" s="37"/>
      <c r="AK538" s="39"/>
      <c r="AL538" s="37"/>
      <c r="AM538" s="37"/>
      <c r="AN538" s="37"/>
      <c r="AO538" s="37"/>
    </row>
    <row r="539" spans="1:41" ht="9.75" customHeight="1">
      <c r="A539" s="37"/>
      <c r="B539" s="37"/>
      <c r="C539" s="37"/>
      <c r="D539" s="37"/>
      <c r="E539" s="37"/>
      <c r="F539" s="40"/>
      <c r="G539" s="40"/>
      <c r="H539" s="40"/>
      <c r="I539" s="40"/>
      <c r="J539" s="40"/>
      <c r="K539" s="404"/>
      <c r="L539" s="403"/>
      <c r="M539" s="403"/>
      <c r="N539" s="403"/>
      <c r="O539" s="403"/>
      <c r="P539" s="403"/>
      <c r="Q539" s="40"/>
      <c r="R539" s="40"/>
      <c r="S539" s="40"/>
      <c r="T539" s="40"/>
      <c r="U539" s="40"/>
      <c r="V539" s="40"/>
      <c r="W539" s="40"/>
      <c r="X539" s="40"/>
      <c r="Y539" s="40"/>
      <c r="Z539" s="37"/>
      <c r="AA539" s="37"/>
      <c r="AB539" s="37"/>
      <c r="AC539" s="37"/>
      <c r="AD539" s="37"/>
      <c r="AE539" s="37"/>
      <c r="AF539" s="37"/>
      <c r="AG539" s="37"/>
      <c r="AH539" s="37"/>
      <c r="AI539" s="37"/>
      <c r="AJ539" s="37"/>
      <c r="AK539" s="39"/>
      <c r="AL539" s="37"/>
      <c r="AM539" s="37"/>
      <c r="AN539" s="37"/>
      <c r="AO539" s="37"/>
    </row>
    <row r="540" spans="1:41" ht="9.75" customHeight="1">
      <c r="A540" s="37"/>
      <c r="B540" s="37"/>
      <c r="C540" s="37"/>
      <c r="D540" s="37"/>
      <c r="E540" s="37"/>
      <c r="F540" s="40"/>
      <c r="G540" s="40"/>
      <c r="H540" s="40"/>
      <c r="I540" s="40"/>
      <c r="J540" s="40"/>
      <c r="K540" s="404"/>
      <c r="L540" s="403"/>
      <c r="M540" s="403"/>
      <c r="N540" s="403"/>
      <c r="O540" s="403"/>
      <c r="P540" s="403"/>
      <c r="Q540" s="40"/>
      <c r="R540" s="40"/>
      <c r="S540" s="40"/>
      <c r="T540" s="40"/>
      <c r="U540" s="40"/>
      <c r="V540" s="40"/>
      <c r="W540" s="40"/>
      <c r="X540" s="40"/>
      <c r="Y540" s="40"/>
      <c r="Z540" s="37"/>
      <c r="AA540" s="37"/>
      <c r="AB540" s="37"/>
      <c r="AC540" s="37"/>
      <c r="AD540" s="37"/>
      <c r="AE540" s="37"/>
      <c r="AF540" s="37"/>
      <c r="AG540" s="37"/>
      <c r="AH540" s="37"/>
      <c r="AI540" s="37"/>
      <c r="AJ540" s="37"/>
      <c r="AK540" s="39"/>
      <c r="AL540" s="37"/>
      <c r="AM540" s="37"/>
      <c r="AN540" s="37"/>
      <c r="AO540" s="37"/>
    </row>
    <row r="541" spans="1:41" ht="9.75" customHeight="1">
      <c r="A541" s="37"/>
      <c r="B541" s="37"/>
      <c r="C541" s="37"/>
      <c r="D541" s="37"/>
      <c r="E541" s="37"/>
      <c r="F541" s="40"/>
      <c r="G541" s="40"/>
      <c r="H541" s="40"/>
      <c r="I541" s="40"/>
      <c r="J541" s="40"/>
      <c r="K541" s="404"/>
      <c r="L541" s="403"/>
      <c r="M541" s="403"/>
      <c r="N541" s="403"/>
      <c r="O541" s="403"/>
      <c r="P541" s="403"/>
      <c r="Q541" s="40"/>
      <c r="R541" s="40"/>
      <c r="S541" s="40"/>
      <c r="T541" s="40"/>
      <c r="U541" s="40"/>
      <c r="V541" s="40"/>
      <c r="W541" s="40"/>
      <c r="X541" s="40"/>
      <c r="Y541" s="40"/>
      <c r="Z541" s="37"/>
      <c r="AA541" s="37"/>
      <c r="AB541" s="37"/>
      <c r="AC541" s="37"/>
      <c r="AD541" s="37"/>
      <c r="AE541" s="37"/>
      <c r="AF541" s="37"/>
      <c r="AG541" s="37"/>
      <c r="AH541" s="37"/>
      <c r="AI541" s="37"/>
      <c r="AJ541" s="37"/>
      <c r="AK541" s="39"/>
      <c r="AL541" s="37"/>
      <c r="AM541" s="37"/>
      <c r="AN541" s="37"/>
      <c r="AO541" s="37"/>
    </row>
    <row r="542" spans="1:41" ht="9.75" customHeight="1">
      <c r="A542" s="37"/>
      <c r="B542" s="37"/>
      <c r="C542" s="37"/>
      <c r="D542" s="37"/>
      <c r="E542" s="37"/>
      <c r="F542" s="40"/>
      <c r="G542" s="40"/>
      <c r="H542" s="40"/>
      <c r="I542" s="40"/>
      <c r="J542" s="40"/>
      <c r="K542" s="404"/>
      <c r="L542" s="403"/>
      <c r="M542" s="403"/>
      <c r="N542" s="403"/>
      <c r="O542" s="403"/>
      <c r="P542" s="403"/>
      <c r="Q542" s="40"/>
      <c r="R542" s="40"/>
      <c r="S542" s="40"/>
      <c r="T542" s="40"/>
      <c r="U542" s="40"/>
      <c r="V542" s="40"/>
      <c r="W542" s="40"/>
      <c r="X542" s="40"/>
      <c r="Y542" s="40"/>
      <c r="Z542" s="37"/>
      <c r="AA542" s="37"/>
      <c r="AB542" s="37"/>
      <c r="AC542" s="37"/>
      <c r="AD542" s="37"/>
      <c r="AE542" s="37"/>
      <c r="AF542" s="37"/>
      <c r="AG542" s="37"/>
      <c r="AH542" s="37"/>
      <c r="AI542" s="37"/>
      <c r="AJ542" s="37"/>
      <c r="AK542" s="39"/>
      <c r="AL542" s="37"/>
      <c r="AM542" s="37"/>
      <c r="AN542" s="37"/>
      <c r="AO542" s="37"/>
    </row>
    <row r="543" spans="1:41" ht="9.75" customHeight="1">
      <c r="A543" s="37"/>
      <c r="B543" s="37"/>
      <c r="C543" s="37"/>
      <c r="D543" s="37"/>
      <c r="E543" s="37"/>
      <c r="F543" s="40"/>
      <c r="G543" s="40"/>
      <c r="H543" s="40"/>
      <c r="I543" s="40"/>
      <c r="J543" s="40"/>
      <c r="K543" s="404"/>
      <c r="L543" s="403"/>
      <c r="M543" s="403"/>
      <c r="N543" s="403"/>
      <c r="O543" s="403"/>
      <c r="P543" s="403"/>
      <c r="Q543" s="40"/>
      <c r="R543" s="40"/>
      <c r="S543" s="40"/>
      <c r="T543" s="40"/>
      <c r="U543" s="40"/>
      <c r="V543" s="40"/>
      <c r="W543" s="40"/>
      <c r="X543" s="40"/>
      <c r="Y543" s="40"/>
      <c r="Z543" s="37"/>
      <c r="AA543" s="37"/>
      <c r="AB543" s="37"/>
      <c r="AC543" s="37"/>
      <c r="AD543" s="37"/>
      <c r="AE543" s="37"/>
      <c r="AF543" s="37"/>
      <c r="AG543" s="37"/>
      <c r="AH543" s="37"/>
      <c r="AI543" s="37"/>
      <c r="AJ543" s="37"/>
      <c r="AK543" s="39"/>
      <c r="AL543" s="37"/>
      <c r="AM543" s="37"/>
      <c r="AN543" s="37"/>
      <c r="AO543" s="37"/>
    </row>
    <row r="544" spans="1:41" ht="9.75" customHeight="1">
      <c r="A544" s="37"/>
      <c r="B544" s="37"/>
      <c r="C544" s="37"/>
      <c r="D544" s="37"/>
      <c r="E544" s="37"/>
      <c r="F544" s="40"/>
      <c r="G544" s="40"/>
      <c r="H544" s="40"/>
      <c r="I544" s="40"/>
      <c r="J544" s="40"/>
      <c r="K544" s="404"/>
      <c r="L544" s="403"/>
      <c r="M544" s="403"/>
      <c r="N544" s="403"/>
      <c r="O544" s="403"/>
      <c r="P544" s="403"/>
      <c r="Q544" s="40"/>
      <c r="R544" s="40"/>
      <c r="S544" s="40"/>
      <c r="T544" s="40"/>
      <c r="U544" s="40"/>
      <c r="V544" s="40"/>
      <c r="W544" s="40"/>
      <c r="X544" s="40"/>
      <c r="Y544" s="40"/>
      <c r="Z544" s="37"/>
      <c r="AA544" s="37"/>
      <c r="AB544" s="37"/>
      <c r="AC544" s="37"/>
      <c r="AD544" s="37"/>
      <c r="AE544" s="37"/>
      <c r="AF544" s="37"/>
      <c r="AG544" s="37"/>
      <c r="AH544" s="37"/>
      <c r="AI544" s="37"/>
      <c r="AJ544" s="37"/>
      <c r="AK544" s="39"/>
      <c r="AL544" s="37"/>
      <c r="AM544" s="37"/>
      <c r="AN544" s="37"/>
      <c r="AO544" s="37"/>
    </row>
    <row r="545" spans="1:41" ht="9.75" customHeight="1">
      <c r="A545" s="37"/>
      <c r="B545" s="37"/>
      <c r="C545" s="37"/>
      <c r="D545" s="37"/>
      <c r="E545" s="37"/>
      <c r="F545" s="40"/>
      <c r="G545" s="40"/>
      <c r="H545" s="40"/>
      <c r="I545" s="40"/>
      <c r="J545" s="40"/>
      <c r="K545" s="404"/>
      <c r="L545" s="403"/>
      <c r="M545" s="403"/>
      <c r="N545" s="403"/>
      <c r="O545" s="403"/>
      <c r="P545" s="403"/>
      <c r="Q545" s="40"/>
      <c r="R545" s="40"/>
      <c r="S545" s="40"/>
      <c r="T545" s="40"/>
      <c r="U545" s="40"/>
      <c r="V545" s="40"/>
      <c r="W545" s="40"/>
      <c r="X545" s="40"/>
      <c r="Y545" s="40"/>
      <c r="Z545" s="37"/>
      <c r="AA545" s="37"/>
      <c r="AB545" s="37"/>
      <c r="AC545" s="37"/>
      <c r="AD545" s="37"/>
      <c r="AE545" s="37"/>
      <c r="AF545" s="37"/>
      <c r="AG545" s="37"/>
      <c r="AH545" s="37"/>
      <c r="AI545" s="37"/>
      <c r="AJ545" s="37"/>
      <c r="AK545" s="39"/>
      <c r="AL545" s="37"/>
      <c r="AM545" s="37"/>
      <c r="AN545" s="37"/>
      <c r="AO545" s="37"/>
    </row>
    <row r="546" spans="1:41" ht="9.75" customHeight="1">
      <c r="A546" s="37"/>
      <c r="B546" s="37"/>
      <c r="C546" s="37"/>
      <c r="D546" s="37"/>
      <c r="E546" s="37"/>
      <c r="F546" s="40"/>
      <c r="G546" s="40"/>
      <c r="H546" s="40"/>
      <c r="I546" s="40"/>
      <c r="J546" s="40"/>
      <c r="K546" s="404"/>
      <c r="L546" s="403"/>
      <c r="M546" s="403"/>
      <c r="N546" s="403"/>
      <c r="O546" s="403"/>
      <c r="P546" s="403"/>
      <c r="Q546" s="40"/>
      <c r="R546" s="40"/>
      <c r="S546" s="40"/>
      <c r="T546" s="40"/>
      <c r="U546" s="40"/>
      <c r="V546" s="40"/>
      <c r="W546" s="40"/>
      <c r="X546" s="40"/>
      <c r="Y546" s="40"/>
      <c r="Z546" s="37"/>
      <c r="AA546" s="37"/>
      <c r="AB546" s="37"/>
      <c r="AC546" s="37"/>
      <c r="AD546" s="37"/>
      <c r="AE546" s="37"/>
      <c r="AF546" s="37"/>
      <c r="AG546" s="37"/>
      <c r="AH546" s="37"/>
      <c r="AI546" s="37"/>
      <c r="AJ546" s="37"/>
      <c r="AK546" s="39"/>
      <c r="AL546" s="37"/>
      <c r="AM546" s="37"/>
      <c r="AN546" s="37"/>
      <c r="AO546" s="37"/>
    </row>
    <row r="547" spans="1:41" ht="9.75" customHeight="1">
      <c r="A547" s="37"/>
      <c r="B547" s="37"/>
      <c r="C547" s="37"/>
      <c r="D547" s="37"/>
      <c r="E547" s="37"/>
      <c r="F547" s="40"/>
      <c r="G547" s="40"/>
      <c r="H547" s="40"/>
      <c r="I547" s="40"/>
      <c r="J547" s="40"/>
      <c r="K547" s="404"/>
      <c r="L547" s="403"/>
      <c r="M547" s="403"/>
      <c r="N547" s="403"/>
      <c r="O547" s="403"/>
      <c r="P547" s="403"/>
      <c r="Q547" s="40"/>
      <c r="R547" s="40"/>
      <c r="S547" s="40"/>
      <c r="T547" s="40"/>
      <c r="U547" s="40"/>
      <c r="V547" s="40"/>
      <c r="W547" s="40"/>
      <c r="X547" s="40"/>
      <c r="Y547" s="40"/>
      <c r="Z547" s="37"/>
      <c r="AA547" s="37"/>
      <c r="AB547" s="37"/>
      <c r="AC547" s="37"/>
      <c r="AD547" s="37"/>
      <c r="AE547" s="37"/>
      <c r="AF547" s="37"/>
      <c r="AG547" s="37"/>
      <c r="AH547" s="37"/>
      <c r="AI547" s="37"/>
      <c r="AJ547" s="37"/>
      <c r="AK547" s="39"/>
      <c r="AL547" s="37"/>
      <c r="AM547" s="37"/>
      <c r="AN547" s="37"/>
      <c r="AO547" s="37"/>
    </row>
    <row r="548" spans="1:41" ht="9.75" customHeight="1">
      <c r="A548" s="37"/>
      <c r="B548" s="37"/>
      <c r="C548" s="37"/>
      <c r="D548" s="37"/>
      <c r="E548" s="37"/>
      <c r="F548" s="40"/>
      <c r="G548" s="40"/>
      <c r="H548" s="40"/>
      <c r="I548" s="40"/>
      <c r="J548" s="40"/>
      <c r="K548" s="404"/>
      <c r="L548" s="403"/>
      <c r="M548" s="403"/>
      <c r="N548" s="403"/>
      <c r="O548" s="403"/>
      <c r="P548" s="403"/>
      <c r="Q548" s="40"/>
      <c r="R548" s="40"/>
      <c r="S548" s="40"/>
      <c r="T548" s="40"/>
      <c r="U548" s="40"/>
      <c r="V548" s="40"/>
      <c r="W548" s="40"/>
      <c r="X548" s="40"/>
      <c r="Y548" s="40"/>
      <c r="Z548" s="37"/>
      <c r="AA548" s="37"/>
      <c r="AB548" s="37"/>
      <c r="AC548" s="37"/>
      <c r="AD548" s="37"/>
      <c r="AE548" s="37"/>
      <c r="AF548" s="37"/>
      <c r="AG548" s="37"/>
      <c r="AH548" s="37"/>
      <c r="AI548" s="37"/>
      <c r="AJ548" s="37"/>
      <c r="AK548" s="39"/>
      <c r="AL548" s="37"/>
      <c r="AM548" s="37"/>
      <c r="AN548" s="37"/>
      <c r="AO548" s="37"/>
    </row>
    <row r="549" spans="1:41" ht="9.75" customHeight="1">
      <c r="A549" s="37"/>
      <c r="B549" s="37"/>
      <c r="C549" s="37"/>
      <c r="D549" s="37"/>
      <c r="E549" s="37"/>
      <c r="F549" s="40"/>
      <c r="G549" s="40"/>
      <c r="H549" s="40"/>
      <c r="I549" s="40"/>
      <c r="J549" s="40"/>
      <c r="K549" s="404"/>
      <c r="L549" s="403"/>
      <c r="M549" s="403"/>
      <c r="N549" s="403"/>
      <c r="O549" s="403"/>
      <c r="P549" s="403"/>
      <c r="Q549" s="40"/>
      <c r="R549" s="40"/>
      <c r="S549" s="40"/>
      <c r="T549" s="40"/>
      <c r="U549" s="40"/>
      <c r="V549" s="40"/>
      <c r="W549" s="40"/>
      <c r="X549" s="40"/>
      <c r="Y549" s="40"/>
      <c r="Z549" s="37"/>
      <c r="AA549" s="37"/>
      <c r="AB549" s="37"/>
      <c r="AC549" s="37"/>
      <c r="AD549" s="37"/>
      <c r="AE549" s="37"/>
      <c r="AF549" s="37"/>
      <c r="AG549" s="37"/>
      <c r="AH549" s="37"/>
      <c r="AI549" s="37"/>
      <c r="AJ549" s="37"/>
      <c r="AK549" s="39"/>
      <c r="AL549" s="37"/>
      <c r="AM549" s="37"/>
      <c r="AN549" s="37"/>
      <c r="AO549" s="37"/>
    </row>
    <row r="550" spans="1:41" ht="9.75" customHeight="1">
      <c r="A550" s="37"/>
      <c r="B550" s="37"/>
      <c r="C550" s="37"/>
      <c r="D550" s="37"/>
      <c r="E550" s="37"/>
      <c r="F550" s="40"/>
      <c r="G550" s="40"/>
      <c r="H550" s="40"/>
      <c r="I550" s="40"/>
      <c r="J550" s="40"/>
      <c r="K550" s="404"/>
      <c r="L550" s="403"/>
      <c r="M550" s="403"/>
      <c r="N550" s="403"/>
      <c r="O550" s="403"/>
      <c r="P550" s="403"/>
      <c r="Q550" s="40"/>
      <c r="R550" s="40"/>
      <c r="S550" s="40"/>
      <c r="T550" s="40"/>
      <c r="U550" s="40"/>
      <c r="V550" s="40"/>
      <c r="W550" s="40"/>
      <c r="X550" s="40"/>
      <c r="Y550" s="40"/>
      <c r="Z550" s="37"/>
      <c r="AA550" s="37"/>
      <c r="AB550" s="37"/>
      <c r="AC550" s="37"/>
      <c r="AD550" s="37"/>
      <c r="AE550" s="37"/>
      <c r="AF550" s="37"/>
      <c r="AG550" s="37"/>
      <c r="AH550" s="37"/>
      <c r="AI550" s="37"/>
      <c r="AJ550" s="37"/>
      <c r="AK550" s="39"/>
      <c r="AL550" s="37"/>
      <c r="AM550" s="37"/>
      <c r="AN550" s="37"/>
      <c r="AO550" s="37"/>
    </row>
    <row r="551" spans="1:41" ht="9.75" customHeight="1">
      <c r="A551" s="37"/>
      <c r="B551" s="37"/>
      <c r="C551" s="37"/>
      <c r="D551" s="37"/>
      <c r="E551" s="37"/>
      <c r="F551" s="40"/>
      <c r="G551" s="40"/>
      <c r="H551" s="40"/>
      <c r="I551" s="40"/>
      <c r="J551" s="40"/>
      <c r="K551" s="404"/>
      <c r="L551" s="403"/>
      <c r="M551" s="403"/>
      <c r="N551" s="403"/>
      <c r="O551" s="403"/>
      <c r="P551" s="403"/>
      <c r="Q551" s="40"/>
      <c r="R551" s="40"/>
      <c r="S551" s="40"/>
      <c r="T551" s="40"/>
      <c r="U551" s="40"/>
      <c r="V551" s="40"/>
      <c r="W551" s="40"/>
      <c r="X551" s="40"/>
      <c r="Y551" s="40"/>
      <c r="Z551" s="37"/>
      <c r="AA551" s="37"/>
      <c r="AB551" s="37"/>
      <c r="AC551" s="37"/>
      <c r="AD551" s="37"/>
      <c r="AE551" s="37"/>
      <c r="AF551" s="37"/>
      <c r="AG551" s="37"/>
      <c r="AH551" s="37"/>
      <c r="AI551" s="37"/>
      <c r="AJ551" s="37"/>
      <c r="AK551" s="39"/>
      <c r="AL551" s="37"/>
      <c r="AM551" s="37"/>
      <c r="AN551" s="37"/>
      <c r="AO551" s="37"/>
    </row>
    <row r="552" spans="1:41" ht="9.75" customHeight="1">
      <c r="A552" s="37"/>
      <c r="B552" s="37"/>
      <c r="C552" s="37"/>
      <c r="D552" s="37"/>
      <c r="E552" s="37"/>
      <c r="F552" s="40"/>
      <c r="G552" s="40"/>
      <c r="H552" s="40"/>
      <c r="I552" s="40"/>
      <c r="J552" s="40"/>
      <c r="K552" s="404"/>
      <c r="L552" s="403"/>
      <c r="M552" s="403"/>
      <c r="N552" s="403"/>
      <c r="O552" s="403"/>
      <c r="P552" s="403"/>
      <c r="Q552" s="40"/>
      <c r="R552" s="40"/>
      <c r="S552" s="40"/>
      <c r="T552" s="40"/>
      <c r="U552" s="40"/>
      <c r="V552" s="40"/>
      <c r="W552" s="40"/>
      <c r="X552" s="40"/>
      <c r="Y552" s="40"/>
      <c r="Z552" s="37"/>
      <c r="AA552" s="37"/>
      <c r="AB552" s="37"/>
      <c r="AC552" s="37"/>
      <c r="AD552" s="37"/>
      <c r="AE552" s="37"/>
      <c r="AF552" s="37"/>
      <c r="AG552" s="37"/>
      <c r="AH552" s="37"/>
      <c r="AI552" s="37"/>
      <c r="AJ552" s="37"/>
      <c r="AK552" s="39"/>
      <c r="AL552" s="37"/>
      <c r="AM552" s="37"/>
      <c r="AN552" s="37"/>
      <c r="AO552" s="37"/>
    </row>
    <row r="553" spans="1:41" ht="9.75" customHeight="1">
      <c r="A553" s="37"/>
      <c r="B553" s="37"/>
      <c r="C553" s="37"/>
      <c r="D553" s="37"/>
      <c r="E553" s="37"/>
      <c r="F553" s="40"/>
      <c r="G553" s="40"/>
      <c r="H553" s="40"/>
      <c r="I553" s="40"/>
      <c r="J553" s="40"/>
      <c r="K553" s="404"/>
      <c r="L553" s="403"/>
      <c r="M553" s="403"/>
      <c r="N553" s="403"/>
      <c r="O553" s="403"/>
      <c r="P553" s="403"/>
      <c r="Q553" s="40"/>
      <c r="R553" s="40"/>
      <c r="S553" s="40"/>
      <c r="T553" s="40"/>
      <c r="U553" s="40"/>
      <c r="V553" s="40"/>
      <c r="W553" s="40"/>
      <c r="X553" s="40"/>
      <c r="Y553" s="40"/>
      <c r="Z553" s="37"/>
      <c r="AA553" s="37"/>
      <c r="AB553" s="37"/>
      <c r="AC553" s="37"/>
      <c r="AD553" s="37"/>
      <c r="AE553" s="37"/>
      <c r="AF553" s="37"/>
      <c r="AG553" s="37"/>
      <c r="AH553" s="37"/>
      <c r="AI553" s="37"/>
      <c r="AJ553" s="37"/>
      <c r="AK553" s="39"/>
      <c r="AL553" s="37"/>
      <c r="AM553" s="37"/>
      <c r="AN553" s="37"/>
      <c r="AO553" s="37"/>
    </row>
    <row r="554" spans="1:41" ht="9.75" customHeight="1">
      <c r="A554" s="37"/>
      <c r="B554" s="37"/>
      <c r="C554" s="37"/>
      <c r="D554" s="37"/>
      <c r="E554" s="37"/>
      <c r="F554" s="40"/>
      <c r="G554" s="40"/>
      <c r="H554" s="40"/>
      <c r="I554" s="40"/>
      <c r="J554" s="40"/>
      <c r="K554" s="404"/>
      <c r="L554" s="403"/>
      <c r="M554" s="403"/>
      <c r="N554" s="403"/>
      <c r="O554" s="403"/>
      <c r="P554" s="403"/>
      <c r="Q554" s="40"/>
      <c r="R554" s="40"/>
      <c r="S554" s="40"/>
      <c r="T554" s="40"/>
      <c r="U554" s="40"/>
      <c r="V554" s="40"/>
      <c r="W554" s="40"/>
      <c r="X554" s="40"/>
      <c r="Y554" s="40"/>
      <c r="Z554" s="37"/>
      <c r="AA554" s="37"/>
      <c r="AB554" s="37"/>
      <c r="AC554" s="37"/>
      <c r="AD554" s="37"/>
      <c r="AE554" s="37"/>
      <c r="AF554" s="37"/>
      <c r="AG554" s="37"/>
      <c r="AH554" s="37"/>
      <c r="AI554" s="37"/>
      <c r="AJ554" s="37"/>
      <c r="AK554" s="39"/>
      <c r="AL554" s="37"/>
      <c r="AM554" s="37"/>
      <c r="AN554" s="37"/>
      <c r="AO554" s="37"/>
    </row>
    <row r="555" spans="1:41" ht="9.75" customHeight="1">
      <c r="A555" s="37"/>
      <c r="B555" s="37"/>
      <c r="C555" s="37"/>
      <c r="D555" s="37"/>
      <c r="E555" s="37"/>
      <c r="F555" s="40"/>
      <c r="G555" s="40"/>
      <c r="H555" s="40"/>
      <c r="I555" s="40"/>
      <c r="J555" s="40"/>
      <c r="K555" s="404"/>
      <c r="L555" s="403"/>
      <c r="M555" s="403"/>
      <c r="N555" s="403"/>
      <c r="O555" s="403"/>
      <c r="P555" s="403"/>
      <c r="Q555" s="40"/>
      <c r="R555" s="40"/>
      <c r="S555" s="40"/>
      <c r="T555" s="40"/>
      <c r="U555" s="40"/>
      <c r="V555" s="40"/>
      <c r="W555" s="40"/>
      <c r="X555" s="40"/>
      <c r="Y555" s="40"/>
      <c r="Z555" s="37"/>
      <c r="AA555" s="37"/>
      <c r="AB555" s="37"/>
      <c r="AC555" s="37"/>
      <c r="AD555" s="37"/>
      <c r="AE555" s="37"/>
      <c r="AF555" s="37"/>
      <c r="AG555" s="37"/>
      <c r="AH555" s="37"/>
      <c r="AI555" s="37"/>
      <c r="AJ555" s="37"/>
      <c r="AK555" s="39"/>
      <c r="AL555" s="37"/>
      <c r="AM555" s="37"/>
      <c r="AN555" s="37"/>
      <c r="AO555" s="37"/>
    </row>
    <row r="556" spans="1:41" ht="9.75" customHeight="1">
      <c r="A556" s="37"/>
      <c r="B556" s="37"/>
      <c r="C556" s="37"/>
      <c r="D556" s="37"/>
      <c r="E556" s="37"/>
      <c r="F556" s="40"/>
      <c r="G556" s="40"/>
      <c r="H556" s="40"/>
      <c r="I556" s="40"/>
      <c r="J556" s="40"/>
      <c r="K556" s="404"/>
      <c r="L556" s="403"/>
      <c r="M556" s="403"/>
      <c r="N556" s="403"/>
      <c r="O556" s="403"/>
      <c r="P556" s="403"/>
      <c r="Q556" s="40"/>
      <c r="R556" s="40"/>
      <c r="S556" s="40"/>
      <c r="T556" s="40"/>
      <c r="U556" s="40"/>
      <c r="V556" s="40"/>
      <c r="W556" s="40"/>
      <c r="X556" s="40"/>
      <c r="Y556" s="40"/>
      <c r="Z556" s="37"/>
      <c r="AA556" s="37"/>
      <c r="AB556" s="37"/>
      <c r="AC556" s="37"/>
      <c r="AD556" s="37"/>
      <c r="AE556" s="37"/>
      <c r="AF556" s="37"/>
      <c r="AG556" s="37"/>
      <c r="AH556" s="37"/>
      <c r="AI556" s="37"/>
      <c r="AJ556" s="37"/>
      <c r="AK556" s="39"/>
      <c r="AL556" s="37"/>
      <c r="AM556" s="37"/>
      <c r="AN556" s="37"/>
      <c r="AO556" s="37"/>
    </row>
    <row r="557" spans="1:41" ht="9.75" customHeight="1">
      <c r="A557" s="37"/>
      <c r="B557" s="37"/>
      <c r="C557" s="37"/>
      <c r="D557" s="37"/>
      <c r="E557" s="37"/>
      <c r="F557" s="40"/>
      <c r="G557" s="40"/>
      <c r="H557" s="40"/>
      <c r="I557" s="40"/>
      <c r="J557" s="40"/>
      <c r="K557" s="404"/>
      <c r="L557" s="403"/>
      <c r="M557" s="403"/>
      <c r="N557" s="403"/>
      <c r="O557" s="403"/>
      <c r="P557" s="403"/>
      <c r="Q557" s="40"/>
      <c r="R557" s="40"/>
      <c r="S557" s="40"/>
      <c r="T557" s="40"/>
      <c r="U557" s="40"/>
      <c r="V557" s="40"/>
      <c r="W557" s="40"/>
      <c r="X557" s="40"/>
      <c r="Y557" s="40"/>
      <c r="Z557" s="37"/>
      <c r="AA557" s="37"/>
      <c r="AB557" s="37"/>
      <c r="AC557" s="37"/>
      <c r="AD557" s="37"/>
      <c r="AE557" s="37"/>
      <c r="AF557" s="37"/>
      <c r="AG557" s="37"/>
      <c r="AH557" s="37"/>
      <c r="AI557" s="37"/>
      <c r="AJ557" s="37"/>
      <c r="AK557" s="39"/>
      <c r="AL557" s="37"/>
      <c r="AM557" s="37"/>
      <c r="AN557" s="37"/>
      <c r="AO557" s="37"/>
    </row>
    <row r="558" spans="1:41" ht="9.75" customHeight="1">
      <c r="A558" s="37"/>
      <c r="B558" s="37"/>
      <c r="C558" s="37"/>
      <c r="D558" s="37"/>
      <c r="E558" s="37"/>
      <c r="F558" s="40"/>
      <c r="G558" s="40"/>
      <c r="H558" s="40"/>
      <c r="I558" s="40"/>
      <c r="J558" s="40"/>
      <c r="K558" s="404"/>
      <c r="L558" s="403"/>
      <c r="M558" s="403"/>
      <c r="N558" s="403"/>
      <c r="O558" s="403"/>
      <c r="P558" s="403"/>
      <c r="Q558" s="40"/>
      <c r="R558" s="40"/>
      <c r="S558" s="40"/>
      <c r="T558" s="40"/>
      <c r="U558" s="40"/>
      <c r="V558" s="40"/>
      <c r="W558" s="40"/>
      <c r="X558" s="40"/>
      <c r="Y558" s="40"/>
      <c r="Z558" s="37"/>
      <c r="AA558" s="37"/>
      <c r="AB558" s="37"/>
      <c r="AC558" s="37"/>
      <c r="AD558" s="37"/>
      <c r="AE558" s="37"/>
      <c r="AF558" s="37"/>
      <c r="AG558" s="37"/>
      <c r="AH558" s="37"/>
      <c r="AI558" s="37"/>
      <c r="AJ558" s="37"/>
      <c r="AK558" s="39"/>
      <c r="AL558" s="37"/>
      <c r="AM558" s="37"/>
      <c r="AN558" s="37"/>
      <c r="AO558" s="37"/>
    </row>
    <row r="559" spans="1:41" ht="9.75" customHeight="1">
      <c r="A559" s="37"/>
      <c r="B559" s="37"/>
      <c r="C559" s="37"/>
      <c r="D559" s="37"/>
      <c r="E559" s="37"/>
      <c r="F559" s="40"/>
      <c r="G559" s="40"/>
      <c r="H559" s="40"/>
      <c r="I559" s="40"/>
      <c r="J559" s="40"/>
      <c r="K559" s="404"/>
      <c r="L559" s="403"/>
      <c r="M559" s="403"/>
      <c r="N559" s="403"/>
      <c r="O559" s="403"/>
      <c r="P559" s="403"/>
      <c r="Q559" s="40"/>
      <c r="R559" s="40"/>
      <c r="S559" s="40"/>
      <c r="T559" s="40"/>
      <c r="U559" s="40"/>
      <c r="V559" s="40"/>
      <c r="W559" s="40"/>
      <c r="X559" s="40"/>
      <c r="Y559" s="40"/>
      <c r="Z559" s="37"/>
      <c r="AA559" s="37"/>
      <c r="AB559" s="37"/>
      <c r="AC559" s="37"/>
      <c r="AD559" s="37"/>
      <c r="AE559" s="37"/>
      <c r="AF559" s="37"/>
      <c r="AG559" s="37"/>
      <c r="AH559" s="37"/>
      <c r="AI559" s="37"/>
      <c r="AJ559" s="37"/>
      <c r="AK559" s="39"/>
      <c r="AL559" s="37"/>
      <c r="AM559" s="37"/>
      <c r="AN559" s="37"/>
      <c r="AO559" s="37"/>
    </row>
    <row r="560" spans="1:41" ht="9.75" customHeight="1">
      <c r="A560" s="37"/>
      <c r="B560" s="37"/>
      <c r="C560" s="37"/>
      <c r="D560" s="37"/>
      <c r="E560" s="37"/>
      <c r="F560" s="40"/>
      <c r="G560" s="40"/>
      <c r="H560" s="40"/>
      <c r="I560" s="40"/>
      <c r="J560" s="40"/>
      <c r="K560" s="404"/>
      <c r="L560" s="403"/>
      <c r="M560" s="403"/>
      <c r="N560" s="403"/>
      <c r="O560" s="403"/>
      <c r="P560" s="403"/>
      <c r="Q560" s="40"/>
      <c r="R560" s="40"/>
      <c r="S560" s="40"/>
      <c r="T560" s="40"/>
      <c r="U560" s="40"/>
      <c r="V560" s="40"/>
      <c r="W560" s="40"/>
      <c r="X560" s="40"/>
      <c r="Y560" s="40"/>
      <c r="Z560" s="37"/>
      <c r="AA560" s="37"/>
      <c r="AB560" s="37"/>
      <c r="AC560" s="37"/>
      <c r="AD560" s="37"/>
      <c r="AE560" s="37"/>
      <c r="AF560" s="37"/>
      <c r="AG560" s="37"/>
      <c r="AH560" s="37"/>
      <c r="AI560" s="37"/>
      <c r="AJ560" s="37"/>
      <c r="AK560" s="39"/>
      <c r="AL560" s="37"/>
      <c r="AM560" s="37"/>
      <c r="AN560" s="37"/>
      <c r="AO560" s="37"/>
    </row>
    <row r="561" spans="1:41" ht="9.75" customHeight="1">
      <c r="A561" s="37"/>
      <c r="B561" s="37"/>
      <c r="C561" s="37"/>
      <c r="D561" s="37"/>
      <c r="E561" s="37"/>
      <c r="F561" s="40"/>
      <c r="G561" s="40"/>
      <c r="H561" s="40"/>
      <c r="I561" s="40"/>
      <c r="J561" s="40"/>
      <c r="K561" s="404"/>
      <c r="L561" s="403"/>
      <c r="M561" s="403"/>
      <c r="N561" s="403"/>
      <c r="O561" s="403"/>
      <c r="P561" s="403"/>
      <c r="Q561" s="40"/>
      <c r="R561" s="40"/>
      <c r="S561" s="40"/>
      <c r="T561" s="40"/>
      <c r="U561" s="40"/>
      <c r="V561" s="40"/>
      <c r="W561" s="40"/>
      <c r="X561" s="40"/>
      <c r="Y561" s="40"/>
      <c r="Z561" s="37"/>
      <c r="AA561" s="37"/>
      <c r="AB561" s="37"/>
      <c r="AC561" s="37"/>
      <c r="AD561" s="37"/>
      <c r="AE561" s="37"/>
      <c r="AF561" s="37"/>
      <c r="AG561" s="37"/>
      <c r="AH561" s="37"/>
      <c r="AI561" s="37"/>
      <c r="AJ561" s="37"/>
      <c r="AK561" s="39"/>
      <c r="AL561" s="37"/>
      <c r="AM561" s="37"/>
      <c r="AN561" s="37"/>
      <c r="AO561" s="37"/>
    </row>
    <row r="562" spans="1:41" ht="9.75" customHeight="1">
      <c r="A562" s="37"/>
      <c r="B562" s="37"/>
      <c r="C562" s="37"/>
      <c r="D562" s="37"/>
      <c r="E562" s="37"/>
      <c r="F562" s="40"/>
      <c r="G562" s="40"/>
      <c r="H562" s="40"/>
      <c r="I562" s="40"/>
      <c r="J562" s="40"/>
      <c r="K562" s="404"/>
      <c r="L562" s="403"/>
      <c r="M562" s="403"/>
      <c r="N562" s="403"/>
      <c r="O562" s="403"/>
      <c r="P562" s="403"/>
      <c r="Q562" s="40"/>
      <c r="R562" s="40"/>
      <c r="S562" s="40"/>
      <c r="T562" s="40"/>
      <c r="U562" s="40"/>
      <c r="V562" s="40"/>
      <c r="W562" s="40"/>
      <c r="X562" s="40"/>
      <c r="Y562" s="40"/>
      <c r="Z562" s="37"/>
      <c r="AA562" s="37"/>
      <c r="AB562" s="37"/>
      <c r="AC562" s="37"/>
      <c r="AD562" s="37"/>
      <c r="AE562" s="37"/>
      <c r="AF562" s="37"/>
      <c r="AG562" s="37"/>
      <c r="AH562" s="37"/>
      <c r="AI562" s="37"/>
      <c r="AJ562" s="37"/>
      <c r="AK562" s="39"/>
      <c r="AL562" s="37"/>
      <c r="AM562" s="37"/>
      <c r="AN562" s="37"/>
      <c r="AO562" s="37"/>
    </row>
    <row r="563" spans="1:41" ht="9.75" customHeight="1">
      <c r="A563" s="37"/>
      <c r="B563" s="37"/>
      <c r="C563" s="37"/>
      <c r="D563" s="37"/>
      <c r="E563" s="37"/>
      <c r="F563" s="40"/>
      <c r="G563" s="40"/>
      <c r="H563" s="40"/>
      <c r="I563" s="40"/>
      <c r="J563" s="40"/>
      <c r="K563" s="404"/>
      <c r="L563" s="403"/>
      <c r="M563" s="403"/>
      <c r="N563" s="403"/>
      <c r="O563" s="403"/>
      <c r="P563" s="403"/>
      <c r="Q563" s="40"/>
      <c r="R563" s="40"/>
      <c r="S563" s="40"/>
      <c r="T563" s="40"/>
      <c r="U563" s="40"/>
      <c r="V563" s="40"/>
      <c r="W563" s="40"/>
      <c r="X563" s="40"/>
      <c r="Y563" s="40"/>
      <c r="Z563" s="37"/>
      <c r="AA563" s="37"/>
      <c r="AB563" s="37"/>
      <c r="AC563" s="37"/>
      <c r="AD563" s="37"/>
      <c r="AE563" s="37"/>
      <c r="AF563" s="37"/>
      <c r="AG563" s="37"/>
      <c r="AH563" s="37"/>
      <c r="AI563" s="37"/>
      <c r="AJ563" s="37"/>
      <c r="AK563" s="39"/>
      <c r="AL563" s="37"/>
      <c r="AM563" s="37"/>
      <c r="AN563" s="37"/>
      <c r="AO563" s="37"/>
    </row>
    <row r="564" spans="1:41" ht="9.75" customHeight="1">
      <c r="A564" s="37"/>
      <c r="B564" s="37"/>
      <c r="C564" s="37"/>
      <c r="D564" s="37"/>
      <c r="E564" s="37"/>
      <c r="F564" s="40"/>
      <c r="G564" s="40"/>
      <c r="H564" s="40"/>
      <c r="I564" s="40"/>
      <c r="J564" s="40"/>
      <c r="K564" s="404"/>
      <c r="L564" s="403"/>
      <c r="M564" s="403"/>
      <c r="N564" s="403"/>
      <c r="O564" s="403"/>
      <c r="P564" s="403"/>
      <c r="Q564" s="40"/>
      <c r="R564" s="40"/>
      <c r="S564" s="40"/>
      <c r="T564" s="40"/>
      <c r="U564" s="40"/>
      <c r="V564" s="40"/>
      <c r="W564" s="40"/>
      <c r="X564" s="40"/>
      <c r="Y564" s="40"/>
      <c r="Z564" s="37"/>
      <c r="AA564" s="37"/>
      <c r="AB564" s="37"/>
      <c r="AC564" s="37"/>
      <c r="AD564" s="37"/>
      <c r="AE564" s="37"/>
      <c r="AF564" s="37"/>
      <c r="AG564" s="37"/>
      <c r="AH564" s="37"/>
      <c r="AI564" s="37"/>
      <c r="AJ564" s="37"/>
      <c r="AK564" s="39"/>
      <c r="AL564" s="37"/>
      <c r="AM564" s="37"/>
      <c r="AN564" s="37"/>
      <c r="AO564" s="37"/>
    </row>
    <row r="565" spans="1:41" ht="9.75" customHeight="1">
      <c r="A565" s="37"/>
      <c r="B565" s="37"/>
      <c r="C565" s="37"/>
      <c r="D565" s="37"/>
      <c r="E565" s="37"/>
      <c r="F565" s="40"/>
      <c r="G565" s="40"/>
      <c r="H565" s="40"/>
      <c r="I565" s="40"/>
      <c r="J565" s="40"/>
      <c r="K565" s="404"/>
      <c r="L565" s="403"/>
      <c r="M565" s="403"/>
      <c r="N565" s="403"/>
      <c r="O565" s="403"/>
      <c r="P565" s="403"/>
      <c r="Q565" s="40"/>
      <c r="R565" s="40"/>
      <c r="S565" s="40"/>
      <c r="T565" s="40"/>
      <c r="U565" s="40"/>
      <c r="V565" s="40"/>
      <c r="W565" s="40"/>
      <c r="X565" s="40"/>
      <c r="Y565" s="40"/>
      <c r="Z565" s="37"/>
      <c r="AA565" s="37"/>
      <c r="AB565" s="37"/>
      <c r="AC565" s="37"/>
      <c r="AD565" s="37"/>
      <c r="AE565" s="37"/>
      <c r="AF565" s="37"/>
      <c r="AG565" s="37"/>
      <c r="AH565" s="37"/>
      <c r="AI565" s="37"/>
      <c r="AJ565" s="37"/>
      <c r="AK565" s="39"/>
      <c r="AL565" s="37"/>
      <c r="AM565" s="37"/>
      <c r="AN565" s="37"/>
      <c r="AO565" s="37"/>
    </row>
    <row r="566" spans="1:41" ht="9.75" customHeight="1">
      <c r="A566" s="37"/>
      <c r="B566" s="37"/>
      <c r="C566" s="37"/>
      <c r="D566" s="37"/>
      <c r="E566" s="37"/>
      <c r="F566" s="40"/>
      <c r="G566" s="40"/>
      <c r="H566" s="40"/>
      <c r="I566" s="40"/>
      <c r="J566" s="40"/>
      <c r="K566" s="404"/>
      <c r="L566" s="403"/>
      <c r="M566" s="403"/>
      <c r="N566" s="403"/>
      <c r="O566" s="403"/>
      <c r="P566" s="403"/>
      <c r="Q566" s="40"/>
      <c r="R566" s="40"/>
      <c r="S566" s="40"/>
      <c r="T566" s="40"/>
      <c r="U566" s="40"/>
      <c r="V566" s="40"/>
      <c r="W566" s="40"/>
      <c r="X566" s="40"/>
      <c r="Y566" s="40"/>
      <c r="Z566" s="37"/>
      <c r="AA566" s="37"/>
      <c r="AB566" s="37"/>
      <c r="AC566" s="37"/>
      <c r="AD566" s="37"/>
      <c r="AE566" s="37"/>
      <c r="AF566" s="37"/>
      <c r="AG566" s="37"/>
      <c r="AH566" s="37"/>
      <c r="AI566" s="37"/>
      <c r="AJ566" s="37"/>
      <c r="AK566" s="39"/>
      <c r="AL566" s="37"/>
      <c r="AM566" s="37"/>
      <c r="AN566" s="37"/>
      <c r="AO566" s="37"/>
    </row>
    <row r="567" spans="1:41" ht="9.75" customHeight="1">
      <c r="A567" s="37"/>
      <c r="B567" s="37"/>
      <c r="C567" s="37"/>
      <c r="D567" s="37"/>
      <c r="E567" s="37"/>
      <c r="F567" s="40"/>
      <c r="G567" s="40"/>
      <c r="H567" s="40"/>
      <c r="I567" s="40"/>
      <c r="J567" s="40"/>
      <c r="K567" s="404"/>
      <c r="L567" s="403"/>
      <c r="M567" s="403"/>
      <c r="N567" s="403"/>
      <c r="O567" s="403"/>
      <c r="P567" s="403"/>
      <c r="Q567" s="40"/>
      <c r="R567" s="40"/>
      <c r="S567" s="40"/>
      <c r="T567" s="40"/>
      <c r="U567" s="40"/>
      <c r="V567" s="40"/>
      <c r="W567" s="40"/>
      <c r="X567" s="40"/>
      <c r="Y567" s="40"/>
      <c r="Z567" s="37"/>
      <c r="AA567" s="37"/>
      <c r="AB567" s="37"/>
      <c r="AC567" s="37"/>
      <c r="AD567" s="37"/>
      <c r="AE567" s="37"/>
      <c r="AF567" s="37"/>
      <c r="AG567" s="37"/>
      <c r="AH567" s="37"/>
      <c r="AI567" s="37"/>
      <c r="AJ567" s="37"/>
      <c r="AK567" s="39"/>
      <c r="AL567" s="37"/>
      <c r="AM567" s="37"/>
      <c r="AN567" s="37"/>
      <c r="AO567" s="37"/>
    </row>
    <row r="568" spans="1:41" ht="9.75" customHeight="1">
      <c r="A568" s="37"/>
      <c r="B568" s="37"/>
      <c r="C568" s="37"/>
      <c r="D568" s="37"/>
      <c r="E568" s="37"/>
      <c r="F568" s="40"/>
      <c r="G568" s="40"/>
      <c r="H568" s="40"/>
      <c r="I568" s="40"/>
      <c r="J568" s="40"/>
      <c r="K568" s="404"/>
      <c r="L568" s="403"/>
      <c r="M568" s="403"/>
      <c r="N568" s="403"/>
      <c r="O568" s="403"/>
      <c r="P568" s="403"/>
      <c r="Q568" s="40"/>
      <c r="R568" s="40"/>
      <c r="S568" s="40"/>
      <c r="T568" s="40"/>
      <c r="U568" s="40"/>
      <c r="V568" s="40"/>
      <c r="W568" s="40"/>
      <c r="X568" s="40"/>
      <c r="Y568" s="40"/>
      <c r="Z568" s="37"/>
      <c r="AA568" s="37"/>
      <c r="AB568" s="37"/>
      <c r="AC568" s="37"/>
      <c r="AD568" s="37"/>
      <c r="AE568" s="37"/>
      <c r="AF568" s="37"/>
      <c r="AG568" s="37"/>
      <c r="AH568" s="37"/>
      <c r="AI568" s="37"/>
      <c r="AJ568" s="37"/>
      <c r="AK568" s="39"/>
      <c r="AL568" s="37"/>
      <c r="AM568" s="37"/>
      <c r="AN568" s="37"/>
      <c r="AO568" s="37"/>
    </row>
    <row r="569" spans="1:41" ht="9.75" customHeight="1">
      <c r="A569" s="37"/>
      <c r="B569" s="37"/>
      <c r="C569" s="37"/>
      <c r="D569" s="37"/>
      <c r="E569" s="37"/>
      <c r="F569" s="40"/>
      <c r="G569" s="40"/>
      <c r="H569" s="40"/>
      <c r="I569" s="40"/>
      <c r="J569" s="40"/>
      <c r="K569" s="404"/>
      <c r="L569" s="403"/>
      <c r="M569" s="403"/>
      <c r="N569" s="403"/>
      <c r="O569" s="403"/>
      <c r="P569" s="403"/>
      <c r="Q569" s="40"/>
      <c r="R569" s="40"/>
      <c r="S569" s="40"/>
      <c r="T569" s="40"/>
      <c r="U569" s="40"/>
      <c r="V569" s="40"/>
      <c r="W569" s="40"/>
      <c r="X569" s="40"/>
      <c r="Y569" s="40"/>
      <c r="Z569" s="37"/>
      <c r="AA569" s="37"/>
      <c r="AB569" s="37"/>
      <c r="AC569" s="37"/>
      <c r="AD569" s="37"/>
      <c r="AE569" s="37"/>
      <c r="AF569" s="37"/>
      <c r="AG569" s="37"/>
      <c r="AH569" s="37"/>
      <c r="AI569" s="37"/>
      <c r="AJ569" s="37"/>
      <c r="AK569" s="39"/>
      <c r="AL569" s="37"/>
      <c r="AM569" s="37"/>
      <c r="AN569" s="37"/>
      <c r="AO569" s="37"/>
    </row>
    <row r="570" spans="1:41" ht="9.75" customHeight="1">
      <c r="A570" s="37"/>
      <c r="B570" s="37"/>
      <c r="C570" s="37"/>
      <c r="D570" s="37"/>
      <c r="E570" s="37"/>
      <c r="F570" s="40"/>
      <c r="G570" s="40"/>
      <c r="H570" s="40"/>
      <c r="I570" s="40"/>
      <c r="J570" s="40"/>
      <c r="K570" s="404"/>
      <c r="L570" s="403"/>
      <c r="M570" s="403"/>
      <c r="N570" s="403"/>
      <c r="O570" s="403"/>
      <c r="P570" s="403"/>
      <c r="Q570" s="40"/>
      <c r="R570" s="40"/>
      <c r="S570" s="40"/>
      <c r="T570" s="40"/>
      <c r="U570" s="40"/>
      <c r="V570" s="40"/>
      <c r="W570" s="40"/>
      <c r="X570" s="40"/>
      <c r="Y570" s="40"/>
      <c r="Z570" s="37"/>
      <c r="AA570" s="37"/>
      <c r="AB570" s="37"/>
      <c r="AC570" s="37"/>
      <c r="AD570" s="37"/>
      <c r="AE570" s="37"/>
      <c r="AF570" s="37"/>
      <c r="AG570" s="37"/>
      <c r="AH570" s="37"/>
      <c r="AI570" s="37"/>
      <c r="AJ570" s="37"/>
      <c r="AK570" s="39"/>
      <c r="AL570" s="37"/>
      <c r="AM570" s="37"/>
      <c r="AN570" s="37"/>
      <c r="AO570" s="37"/>
    </row>
    <row r="571" spans="1:41" ht="9.75" customHeight="1">
      <c r="A571" s="37"/>
      <c r="B571" s="37"/>
      <c r="C571" s="37"/>
      <c r="D571" s="37"/>
      <c r="E571" s="37"/>
      <c r="F571" s="40"/>
      <c r="G571" s="40"/>
      <c r="H571" s="40"/>
      <c r="I571" s="40"/>
      <c r="J571" s="40"/>
      <c r="K571" s="404"/>
      <c r="L571" s="403"/>
      <c r="M571" s="403"/>
      <c r="N571" s="403"/>
      <c r="O571" s="403"/>
      <c r="P571" s="403"/>
      <c r="Q571" s="40"/>
      <c r="R571" s="40"/>
      <c r="S571" s="40"/>
      <c r="T571" s="40"/>
      <c r="U571" s="40"/>
      <c r="V571" s="40"/>
      <c r="W571" s="40"/>
      <c r="X571" s="40"/>
      <c r="Y571" s="40"/>
      <c r="Z571" s="37"/>
      <c r="AA571" s="37"/>
      <c r="AB571" s="37"/>
      <c r="AC571" s="37"/>
      <c r="AD571" s="37"/>
      <c r="AE571" s="37"/>
      <c r="AF571" s="37"/>
      <c r="AG571" s="37"/>
      <c r="AH571" s="37"/>
      <c r="AI571" s="37"/>
      <c r="AJ571" s="37"/>
      <c r="AK571" s="39"/>
      <c r="AL571" s="37"/>
      <c r="AM571" s="37"/>
      <c r="AN571" s="37"/>
      <c r="AO571" s="37"/>
    </row>
    <row r="572" spans="1:41" ht="9.75" customHeight="1">
      <c r="A572" s="37"/>
      <c r="B572" s="37"/>
      <c r="C572" s="37"/>
      <c r="D572" s="37"/>
      <c r="E572" s="37"/>
      <c r="F572" s="40"/>
      <c r="G572" s="40"/>
      <c r="H572" s="40"/>
      <c r="I572" s="40"/>
      <c r="J572" s="40"/>
      <c r="K572" s="404"/>
      <c r="L572" s="403"/>
      <c r="M572" s="403"/>
      <c r="N572" s="403"/>
      <c r="O572" s="403"/>
      <c r="P572" s="403"/>
      <c r="Q572" s="40"/>
      <c r="R572" s="40"/>
      <c r="S572" s="40"/>
      <c r="T572" s="40"/>
      <c r="U572" s="40"/>
      <c r="V572" s="40"/>
      <c r="W572" s="40"/>
      <c r="X572" s="40"/>
      <c r="Y572" s="40"/>
      <c r="Z572" s="37"/>
      <c r="AA572" s="37"/>
      <c r="AB572" s="37"/>
      <c r="AC572" s="37"/>
      <c r="AD572" s="37"/>
      <c r="AE572" s="37"/>
      <c r="AF572" s="37"/>
      <c r="AG572" s="37"/>
      <c r="AH572" s="37"/>
      <c r="AI572" s="37"/>
      <c r="AJ572" s="37"/>
      <c r="AK572" s="39"/>
      <c r="AL572" s="37"/>
      <c r="AM572" s="37"/>
      <c r="AN572" s="37"/>
      <c r="AO572" s="37"/>
    </row>
    <row r="573" spans="1:41" ht="9.75" customHeight="1">
      <c r="A573" s="37"/>
      <c r="B573" s="37"/>
      <c r="C573" s="37"/>
      <c r="D573" s="37"/>
      <c r="E573" s="37"/>
      <c r="F573" s="40"/>
      <c r="G573" s="40"/>
      <c r="H573" s="40"/>
      <c r="I573" s="40"/>
      <c r="J573" s="40"/>
      <c r="K573" s="404"/>
      <c r="L573" s="403"/>
      <c r="M573" s="403"/>
      <c r="N573" s="403"/>
      <c r="O573" s="403"/>
      <c r="P573" s="403"/>
      <c r="Q573" s="40"/>
      <c r="R573" s="40"/>
      <c r="S573" s="40"/>
      <c r="T573" s="40"/>
      <c r="U573" s="40"/>
      <c r="V573" s="40"/>
      <c r="W573" s="40"/>
      <c r="X573" s="40"/>
      <c r="Y573" s="40"/>
      <c r="Z573" s="37"/>
      <c r="AA573" s="37"/>
      <c r="AB573" s="37"/>
      <c r="AC573" s="37"/>
      <c r="AD573" s="37"/>
      <c r="AE573" s="37"/>
      <c r="AF573" s="37"/>
      <c r="AG573" s="37"/>
      <c r="AH573" s="37"/>
      <c r="AI573" s="37"/>
      <c r="AJ573" s="37"/>
      <c r="AK573" s="39"/>
      <c r="AL573" s="37"/>
      <c r="AM573" s="37"/>
      <c r="AN573" s="37"/>
      <c r="AO573" s="37"/>
    </row>
    <row r="574" spans="1:41" ht="9.75" customHeight="1">
      <c r="A574" s="37"/>
      <c r="B574" s="37"/>
      <c r="C574" s="37"/>
      <c r="D574" s="37"/>
      <c r="E574" s="37"/>
      <c r="F574" s="40"/>
      <c r="G574" s="40"/>
      <c r="H574" s="40"/>
      <c r="I574" s="40"/>
      <c r="J574" s="40"/>
      <c r="K574" s="404"/>
      <c r="L574" s="403"/>
      <c r="M574" s="403"/>
      <c r="N574" s="403"/>
      <c r="O574" s="403"/>
      <c r="P574" s="403"/>
      <c r="Q574" s="40"/>
      <c r="R574" s="40"/>
      <c r="S574" s="40"/>
      <c r="T574" s="40"/>
      <c r="U574" s="40"/>
      <c r="V574" s="40"/>
      <c r="W574" s="40"/>
      <c r="X574" s="40"/>
      <c r="Y574" s="40"/>
      <c r="Z574" s="37"/>
      <c r="AA574" s="37"/>
      <c r="AB574" s="37"/>
      <c r="AC574" s="37"/>
      <c r="AD574" s="37"/>
      <c r="AE574" s="37"/>
      <c r="AF574" s="37"/>
      <c r="AG574" s="37"/>
      <c r="AH574" s="37"/>
      <c r="AI574" s="37"/>
      <c r="AJ574" s="37"/>
      <c r="AK574" s="39"/>
      <c r="AL574" s="37"/>
      <c r="AM574" s="37"/>
      <c r="AN574" s="37"/>
      <c r="AO574" s="37"/>
    </row>
    <row r="575" spans="1:41" ht="9.75" customHeight="1">
      <c r="A575" s="37"/>
      <c r="B575" s="37"/>
      <c r="C575" s="37"/>
      <c r="D575" s="37"/>
      <c r="E575" s="37"/>
      <c r="F575" s="40"/>
      <c r="G575" s="40"/>
      <c r="H575" s="40"/>
      <c r="I575" s="40"/>
      <c r="J575" s="40"/>
      <c r="K575" s="404"/>
      <c r="L575" s="403"/>
      <c r="M575" s="403"/>
      <c r="N575" s="403"/>
      <c r="O575" s="403"/>
      <c r="P575" s="403"/>
      <c r="Q575" s="40"/>
      <c r="R575" s="40"/>
      <c r="S575" s="40"/>
      <c r="T575" s="40"/>
      <c r="U575" s="40"/>
      <c r="V575" s="40"/>
      <c r="W575" s="40"/>
      <c r="X575" s="40"/>
      <c r="Y575" s="40"/>
      <c r="Z575" s="37"/>
      <c r="AA575" s="37"/>
      <c r="AB575" s="37"/>
      <c r="AC575" s="37"/>
      <c r="AD575" s="37"/>
      <c r="AE575" s="37"/>
      <c r="AF575" s="37"/>
      <c r="AG575" s="37"/>
      <c r="AH575" s="37"/>
      <c r="AI575" s="37"/>
      <c r="AJ575" s="37"/>
      <c r="AK575" s="39"/>
      <c r="AL575" s="37"/>
      <c r="AM575" s="37"/>
      <c r="AN575" s="37"/>
      <c r="AO575" s="37"/>
    </row>
    <row r="576" spans="1:41" ht="9.75" customHeight="1">
      <c r="A576" s="37"/>
      <c r="B576" s="37"/>
      <c r="C576" s="37"/>
      <c r="D576" s="37"/>
      <c r="E576" s="37"/>
      <c r="F576" s="40"/>
      <c r="G576" s="40"/>
      <c r="H576" s="40"/>
      <c r="I576" s="40"/>
      <c r="J576" s="40"/>
      <c r="K576" s="404"/>
      <c r="L576" s="403"/>
      <c r="M576" s="403"/>
      <c r="N576" s="403"/>
      <c r="O576" s="403"/>
      <c r="P576" s="403"/>
      <c r="Q576" s="40"/>
      <c r="R576" s="40"/>
      <c r="S576" s="40"/>
      <c r="T576" s="40"/>
      <c r="U576" s="40"/>
      <c r="V576" s="40"/>
      <c r="W576" s="40"/>
      <c r="X576" s="40"/>
      <c r="Y576" s="40"/>
      <c r="Z576" s="37"/>
      <c r="AA576" s="37"/>
      <c r="AB576" s="37"/>
      <c r="AC576" s="37"/>
      <c r="AD576" s="37"/>
      <c r="AE576" s="37"/>
      <c r="AF576" s="37"/>
      <c r="AG576" s="37"/>
      <c r="AH576" s="37"/>
      <c r="AI576" s="37"/>
      <c r="AJ576" s="37"/>
      <c r="AK576" s="39"/>
      <c r="AL576" s="37"/>
      <c r="AM576" s="37"/>
      <c r="AN576" s="37"/>
      <c r="AO576" s="37"/>
    </row>
    <row r="577" spans="1:41" ht="9.75" customHeight="1">
      <c r="A577" s="37"/>
      <c r="B577" s="37"/>
      <c r="C577" s="37"/>
      <c r="D577" s="37"/>
      <c r="E577" s="37"/>
      <c r="F577" s="40"/>
      <c r="G577" s="40"/>
      <c r="H577" s="40"/>
      <c r="I577" s="40"/>
      <c r="J577" s="40"/>
      <c r="K577" s="404"/>
      <c r="L577" s="403"/>
      <c r="M577" s="403"/>
      <c r="N577" s="403"/>
      <c r="O577" s="403"/>
      <c r="P577" s="403"/>
      <c r="Q577" s="40"/>
      <c r="R577" s="40"/>
      <c r="S577" s="40"/>
      <c r="T577" s="40"/>
      <c r="U577" s="40"/>
      <c r="V577" s="40"/>
      <c r="W577" s="40"/>
      <c r="X577" s="40"/>
      <c r="Y577" s="40"/>
      <c r="Z577" s="37"/>
      <c r="AA577" s="37"/>
      <c r="AB577" s="37"/>
      <c r="AC577" s="37"/>
      <c r="AD577" s="37"/>
      <c r="AE577" s="37"/>
      <c r="AF577" s="37"/>
      <c r="AG577" s="37"/>
      <c r="AH577" s="37"/>
      <c r="AI577" s="37"/>
      <c r="AJ577" s="37"/>
      <c r="AK577" s="39"/>
      <c r="AL577" s="37"/>
      <c r="AM577" s="37"/>
      <c r="AN577" s="37"/>
      <c r="AO577" s="37"/>
    </row>
    <row r="578" spans="1:41" ht="9.75" customHeight="1">
      <c r="A578" s="37"/>
      <c r="B578" s="37"/>
      <c r="C578" s="37"/>
      <c r="D578" s="37"/>
      <c r="E578" s="37"/>
      <c r="F578" s="40"/>
      <c r="G578" s="40"/>
      <c r="H578" s="40"/>
      <c r="I578" s="40"/>
      <c r="J578" s="40"/>
      <c r="K578" s="404"/>
      <c r="L578" s="403"/>
      <c r="M578" s="403"/>
      <c r="N578" s="403"/>
      <c r="O578" s="403"/>
      <c r="P578" s="403"/>
      <c r="Q578" s="40"/>
      <c r="R578" s="40"/>
      <c r="S578" s="40"/>
      <c r="T578" s="40"/>
      <c r="U578" s="40"/>
      <c r="V578" s="40"/>
      <c r="W578" s="40"/>
      <c r="X578" s="40"/>
      <c r="Y578" s="40"/>
      <c r="Z578" s="37"/>
      <c r="AA578" s="37"/>
      <c r="AB578" s="37"/>
      <c r="AC578" s="37"/>
      <c r="AD578" s="37"/>
      <c r="AE578" s="37"/>
      <c r="AF578" s="37"/>
      <c r="AG578" s="37"/>
      <c r="AH578" s="37"/>
      <c r="AI578" s="37"/>
      <c r="AJ578" s="37"/>
      <c r="AK578" s="39"/>
      <c r="AL578" s="37"/>
      <c r="AM578" s="37"/>
      <c r="AN578" s="37"/>
      <c r="AO578" s="37"/>
    </row>
    <row r="579" spans="1:41" ht="9.75" customHeight="1">
      <c r="A579" s="37"/>
      <c r="B579" s="37"/>
      <c r="C579" s="37"/>
      <c r="D579" s="37"/>
      <c r="E579" s="37"/>
      <c r="F579" s="40"/>
      <c r="G579" s="40"/>
      <c r="H579" s="40"/>
      <c r="I579" s="40"/>
      <c r="J579" s="40"/>
      <c r="K579" s="404"/>
      <c r="L579" s="403"/>
      <c r="M579" s="403"/>
      <c r="N579" s="403"/>
      <c r="O579" s="403"/>
      <c r="P579" s="403"/>
      <c r="Q579" s="40"/>
      <c r="R579" s="40"/>
      <c r="S579" s="40"/>
      <c r="T579" s="40"/>
      <c r="U579" s="40"/>
      <c r="V579" s="40"/>
      <c r="W579" s="40"/>
      <c r="X579" s="40"/>
      <c r="Y579" s="40"/>
      <c r="Z579" s="37"/>
      <c r="AA579" s="37"/>
      <c r="AB579" s="37"/>
      <c r="AC579" s="37"/>
      <c r="AD579" s="37"/>
      <c r="AE579" s="37"/>
      <c r="AF579" s="37"/>
      <c r="AG579" s="37"/>
      <c r="AH579" s="37"/>
      <c r="AI579" s="37"/>
      <c r="AJ579" s="37"/>
      <c r="AK579" s="39"/>
      <c r="AL579" s="37"/>
      <c r="AM579" s="37"/>
      <c r="AN579" s="37"/>
      <c r="AO579" s="37"/>
    </row>
    <row r="580" spans="1:41" ht="9.75" customHeight="1">
      <c r="A580" s="37"/>
      <c r="B580" s="37"/>
      <c r="C580" s="37"/>
      <c r="D580" s="37"/>
      <c r="E580" s="37"/>
      <c r="F580" s="40"/>
      <c r="G580" s="40"/>
      <c r="H580" s="40"/>
      <c r="I580" s="40"/>
      <c r="J580" s="40"/>
      <c r="K580" s="404"/>
      <c r="L580" s="403"/>
      <c r="M580" s="403"/>
      <c r="N580" s="403"/>
      <c r="O580" s="403"/>
      <c r="P580" s="403"/>
      <c r="Q580" s="40"/>
      <c r="R580" s="40"/>
      <c r="S580" s="40"/>
      <c r="T580" s="40"/>
      <c r="U580" s="40"/>
      <c r="V580" s="40"/>
      <c r="W580" s="40"/>
      <c r="X580" s="40"/>
      <c r="Y580" s="40"/>
      <c r="Z580" s="37"/>
      <c r="AA580" s="37"/>
      <c r="AB580" s="37"/>
      <c r="AC580" s="37"/>
      <c r="AD580" s="37"/>
      <c r="AE580" s="37"/>
      <c r="AF580" s="37"/>
      <c r="AG580" s="37"/>
      <c r="AH580" s="37"/>
      <c r="AI580" s="37"/>
      <c r="AJ580" s="37"/>
      <c r="AK580" s="39"/>
      <c r="AL580" s="37"/>
      <c r="AM580" s="37"/>
      <c r="AN580" s="37"/>
      <c r="AO580" s="37"/>
    </row>
    <row r="581" spans="1:41" ht="9.75" customHeight="1">
      <c r="A581" s="37"/>
      <c r="B581" s="37"/>
      <c r="C581" s="37"/>
      <c r="D581" s="37"/>
      <c r="E581" s="37"/>
      <c r="F581" s="40"/>
      <c r="G581" s="40"/>
      <c r="H581" s="40"/>
      <c r="I581" s="40"/>
      <c r="J581" s="40"/>
      <c r="K581" s="404"/>
      <c r="L581" s="403"/>
      <c r="M581" s="403"/>
      <c r="N581" s="403"/>
      <c r="O581" s="403"/>
      <c r="P581" s="403"/>
      <c r="Q581" s="40"/>
      <c r="R581" s="40"/>
      <c r="S581" s="40"/>
      <c r="T581" s="40"/>
      <c r="U581" s="40"/>
      <c r="V581" s="40"/>
      <c r="W581" s="40"/>
      <c r="X581" s="40"/>
      <c r="Y581" s="40"/>
      <c r="Z581" s="37"/>
      <c r="AA581" s="37"/>
      <c r="AB581" s="37"/>
      <c r="AC581" s="37"/>
      <c r="AD581" s="37"/>
      <c r="AE581" s="37"/>
      <c r="AF581" s="37"/>
      <c r="AG581" s="37"/>
      <c r="AH581" s="37"/>
      <c r="AI581" s="37"/>
      <c r="AJ581" s="37"/>
      <c r="AK581" s="39"/>
      <c r="AL581" s="37"/>
      <c r="AM581" s="37"/>
      <c r="AN581" s="37"/>
      <c r="AO581" s="37"/>
    </row>
    <row r="582" spans="1:41" ht="9.75" customHeight="1">
      <c r="A582" s="37"/>
      <c r="B582" s="37"/>
      <c r="C582" s="37"/>
      <c r="D582" s="37"/>
      <c r="E582" s="37"/>
      <c r="F582" s="40"/>
      <c r="G582" s="40"/>
      <c r="H582" s="40"/>
      <c r="I582" s="40"/>
      <c r="J582" s="40"/>
      <c r="K582" s="404"/>
      <c r="L582" s="403"/>
      <c r="M582" s="403"/>
      <c r="N582" s="403"/>
      <c r="O582" s="403"/>
      <c r="P582" s="403"/>
      <c r="Q582" s="40"/>
      <c r="R582" s="40"/>
      <c r="S582" s="40"/>
      <c r="T582" s="40"/>
      <c r="U582" s="40"/>
      <c r="V582" s="40"/>
      <c r="W582" s="40"/>
      <c r="X582" s="40"/>
      <c r="Y582" s="40"/>
      <c r="Z582" s="37"/>
      <c r="AA582" s="37"/>
      <c r="AB582" s="37"/>
      <c r="AC582" s="37"/>
      <c r="AD582" s="37"/>
      <c r="AE582" s="37"/>
      <c r="AF582" s="37"/>
      <c r="AG582" s="37"/>
      <c r="AH582" s="37"/>
      <c r="AI582" s="37"/>
      <c r="AJ582" s="37"/>
      <c r="AK582" s="39"/>
      <c r="AL582" s="37"/>
      <c r="AM582" s="37"/>
      <c r="AN582" s="37"/>
      <c r="AO582" s="37"/>
    </row>
    <row r="583" spans="1:41" ht="9.75" customHeight="1">
      <c r="A583" s="37"/>
      <c r="B583" s="37"/>
      <c r="C583" s="37"/>
      <c r="D583" s="37"/>
      <c r="E583" s="37"/>
      <c r="F583" s="40"/>
      <c r="G583" s="40"/>
      <c r="H583" s="40"/>
      <c r="I583" s="40"/>
      <c r="J583" s="40"/>
      <c r="K583" s="404"/>
      <c r="L583" s="403"/>
      <c r="M583" s="403"/>
      <c r="N583" s="403"/>
      <c r="O583" s="403"/>
      <c r="P583" s="403"/>
      <c r="Q583" s="40"/>
      <c r="R583" s="40"/>
      <c r="S583" s="40"/>
      <c r="T583" s="40"/>
      <c r="U583" s="40"/>
      <c r="V583" s="40"/>
      <c r="W583" s="40"/>
      <c r="X583" s="40"/>
      <c r="Y583" s="40"/>
      <c r="Z583" s="37"/>
      <c r="AA583" s="37"/>
      <c r="AB583" s="37"/>
      <c r="AC583" s="37"/>
      <c r="AD583" s="37"/>
      <c r="AE583" s="37"/>
      <c r="AF583" s="37"/>
      <c r="AG583" s="37"/>
      <c r="AH583" s="37"/>
      <c r="AI583" s="37"/>
      <c r="AJ583" s="37"/>
      <c r="AK583" s="39"/>
      <c r="AL583" s="37"/>
      <c r="AM583" s="37"/>
      <c r="AN583" s="37"/>
      <c r="AO583" s="37"/>
    </row>
    <row r="584" spans="1:41" ht="9.75" customHeight="1">
      <c r="A584" s="37"/>
      <c r="B584" s="37"/>
      <c r="C584" s="37"/>
      <c r="D584" s="37"/>
      <c r="E584" s="37"/>
      <c r="F584" s="40"/>
      <c r="G584" s="40"/>
      <c r="H584" s="40"/>
      <c r="I584" s="40"/>
      <c r="J584" s="40"/>
      <c r="K584" s="404"/>
      <c r="L584" s="403"/>
      <c r="M584" s="403"/>
      <c r="N584" s="403"/>
      <c r="O584" s="403"/>
      <c r="P584" s="403"/>
      <c r="Q584" s="40"/>
      <c r="R584" s="40"/>
      <c r="S584" s="40"/>
      <c r="T584" s="40"/>
      <c r="U584" s="40"/>
      <c r="V584" s="40"/>
      <c r="W584" s="40"/>
      <c r="X584" s="40"/>
      <c r="Y584" s="40"/>
      <c r="Z584" s="37"/>
      <c r="AA584" s="37"/>
      <c r="AB584" s="37"/>
      <c r="AC584" s="37"/>
      <c r="AD584" s="37"/>
      <c r="AE584" s="37"/>
      <c r="AF584" s="37"/>
      <c r="AG584" s="37"/>
      <c r="AH584" s="37"/>
      <c r="AI584" s="37"/>
      <c r="AJ584" s="37"/>
      <c r="AK584" s="39"/>
      <c r="AL584" s="37"/>
      <c r="AM584" s="37"/>
      <c r="AN584" s="37"/>
      <c r="AO584" s="37"/>
    </row>
    <row r="585" spans="1:41" ht="9.75" customHeight="1">
      <c r="A585" s="37"/>
      <c r="B585" s="37"/>
      <c r="C585" s="37"/>
      <c r="D585" s="37"/>
      <c r="E585" s="37"/>
      <c r="F585" s="40"/>
      <c r="G585" s="40"/>
      <c r="H585" s="40"/>
      <c r="I585" s="40"/>
      <c r="J585" s="40"/>
      <c r="K585" s="404"/>
      <c r="L585" s="403"/>
      <c r="M585" s="403"/>
      <c r="N585" s="403"/>
      <c r="O585" s="403"/>
      <c r="P585" s="403"/>
      <c r="Q585" s="40"/>
      <c r="R585" s="40"/>
      <c r="S585" s="40"/>
      <c r="T585" s="40"/>
      <c r="U585" s="40"/>
      <c r="V585" s="40"/>
      <c r="W585" s="40"/>
      <c r="X585" s="40"/>
      <c r="Y585" s="40"/>
      <c r="Z585" s="37"/>
      <c r="AA585" s="37"/>
      <c r="AB585" s="37"/>
      <c r="AC585" s="37"/>
      <c r="AD585" s="37"/>
      <c r="AE585" s="37"/>
      <c r="AF585" s="37"/>
      <c r="AG585" s="37"/>
      <c r="AH585" s="37"/>
      <c r="AI585" s="37"/>
      <c r="AJ585" s="37"/>
      <c r="AK585" s="39"/>
      <c r="AL585" s="37"/>
      <c r="AM585" s="37"/>
      <c r="AN585" s="37"/>
      <c r="AO585" s="37"/>
    </row>
    <row r="586" spans="1:41" ht="9.75" customHeight="1">
      <c r="A586" s="37"/>
      <c r="B586" s="37"/>
      <c r="C586" s="37"/>
      <c r="D586" s="37"/>
      <c r="E586" s="37"/>
      <c r="F586" s="40"/>
      <c r="G586" s="40"/>
      <c r="H586" s="40"/>
      <c r="I586" s="40"/>
      <c r="J586" s="40"/>
      <c r="K586" s="404"/>
      <c r="L586" s="403"/>
      <c r="M586" s="403"/>
      <c r="N586" s="403"/>
      <c r="O586" s="403"/>
      <c r="P586" s="403"/>
      <c r="Q586" s="40"/>
      <c r="R586" s="40"/>
      <c r="S586" s="40"/>
      <c r="T586" s="40"/>
      <c r="U586" s="40"/>
      <c r="V586" s="40"/>
      <c r="W586" s="40"/>
      <c r="X586" s="40"/>
      <c r="Y586" s="40"/>
      <c r="Z586" s="37"/>
      <c r="AA586" s="37"/>
      <c r="AB586" s="37"/>
      <c r="AC586" s="37"/>
      <c r="AD586" s="37"/>
      <c r="AE586" s="37"/>
      <c r="AF586" s="37"/>
      <c r="AG586" s="37"/>
      <c r="AH586" s="37"/>
      <c r="AI586" s="37"/>
      <c r="AJ586" s="37"/>
      <c r="AK586" s="39"/>
      <c r="AL586" s="37"/>
      <c r="AM586" s="37"/>
      <c r="AN586" s="37"/>
      <c r="AO586" s="37"/>
    </row>
    <row r="587" spans="1:41" ht="9.75" customHeight="1">
      <c r="A587" s="37"/>
      <c r="B587" s="37"/>
      <c r="C587" s="37"/>
      <c r="D587" s="37"/>
      <c r="E587" s="37"/>
      <c r="F587" s="40"/>
      <c r="G587" s="40"/>
      <c r="H587" s="40"/>
      <c r="I587" s="40"/>
      <c r="J587" s="40"/>
      <c r="K587" s="404"/>
      <c r="L587" s="403"/>
      <c r="M587" s="403"/>
      <c r="N587" s="403"/>
      <c r="O587" s="403"/>
      <c r="P587" s="403"/>
      <c r="Q587" s="40"/>
      <c r="R587" s="40"/>
      <c r="S587" s="40"/>
      <c r="T587" s="40"/>
      <c r="U587" s="40"/>
      <c r="V587" s="40"/>
      <c r="W587" s="40"/>
      <c r="X587" s="40"/>
      <c r="Y587" s="40"/>
      <c r="Z587" s="37"/>
      <c r="AA587" s="37"/>
      <c r="AB587" s="37"/>
      <c r="AC587" s="37"/>
      <c r="AD587" s="37"/>
      <c r="AE587" s="37"/>
      <c r="AF587" s="37"/>
      <c r="AG587" s="37"/>
      <c r="AH587" s="37"/>
      <c r="AI587" s="37"/>
      <c r="AJ587" s="37"/>
      <c r="AK587" s="39"/>
      <c r="AL587" s="37"/>
      <c r="AM587" s="37"/>
      <c r="AN587" s="37"/>
      <c r="AO587" s="37"/>
    </row>
    <row r="588" spans="1:41" ht="9.75" customHeight="1">
      <c r="A588" s="37"/>
      <c r="B588" s="37"/>
      <c r="C588" s="37"/>
      <c r="D588" s="37"/>
      <c r="E588" s="37"/>
      <c r="F588" s="40"/>
      <c r="G588" s="40"/>
      <c r="H588" s="40"/>
      <c r="I588" s="40"/>
      <c r="J588" s="40"/>
      <c r="K588" s="404"/>
      <c r="L588" s="403"/>
      <c r="M588" s="403"/>
      <c r="N588" s="403"/>
      <c r="O588" s="403"/>
      <c r="P588" s="403"/>
      <c r="Q588" s="40"/>
      <c r="R588" s="40"/>
      <c r="S588" s="40"/>
      <c r="T588" s="40"/>
      <c r="U588" s="40"/>
      <c r="V588" s="40"/>
      <c r="W588" s="40"/>
      <c r="X588" s="40"/>
      <c r="Y588" s="40"/>
      <c r="Z588" s="37"/>
      <c r="AA588" s="37"/>
      <c r="AB588" s="37"/>
      <c r="AC588" s="37"/>
      <c r="AD588" s="37"/>
      <c r="AE588" s="37"/>
      <c r="AF588" s="37"/>
      <c r="AG588" s="37"/>
      <c r="AH588" s="37"/>
      <c r="AI588" s="37"/>
      <c r="AJ588" s="37"/>
      <c r="AK588" s="39"/>
      <c r="AL588" s="37"/>
      <c r="AM588" s="37"/>
      <c r="AN588" s="37"/>
      <c r="AO588" s="37"/>
    </row>
    <row r="589" spans="1:41" ht="9.75" customHeight="1">
      <c r="A589" s="37"/>
      <c r="B589" s="37"/>
      <c r="C589" s="37"/>
      <c r="D589" s="37"/>
      <c r="E589" s="37"/>
      <c r="F589" s="40"/>
      <c r="G589" s="40"/>
      <c r="H589" s="40"/>
      <c r="I589" s="40"/>
      <c r="J589" s="40"/>
      <c r="K589" s="404"/>
      <c r="L589" s="403"/>
      <c r="M589" s="403"/>
      <c r="N589" s="403"/>
      <c r="O589" s="403"/>
      <c r="P589" s="403"/>
      <c r="Q589" s="40"/>
      <c r="R589" s="40"/>
      <c r="S589" s="40"/>
      <c r="T589" s="40"/>
      <c r="U589" s="40"/>
      <c r="V589" s="40"/>
      <c r="W589" s="40"/>
      <c r="X589" s="40"/>
      <c r="Y589" s="40"/>
      <c r="Z589" s="37"/>
      <c r="AA589" s="37"/>
      <c r="AB589" s="37"/>
      <c r="AC589" s="37"/>
      <c r="AD589" s="37"/>
      <c r="AE589" s="37"/>
      <c r="AF589" s="37"/>
      <c r="AG589" s="37"/>
      <c r="AH589" s="37"/>
      <c r="AI589" s="37"/>
      <c r="AJ589" s="37"/>
      <c r="AK589" s="39"/>
      <c r="AL589" s="37"/>
      <c r="AM589" s="37"/>
      <c r="AN589" s="37"/>
      <c r="AO589" s="37"/>
    </row>
    <row r="590" spans="1:41" ht="9.75" customHeight="1">
      <c r="A590" s="37"/>
      <c r="B590" s="37"/>
      <c r="C590" s="37"/>
      <c r="D590" s="37"/>
      <c r="E590" s="37"/>
      <c r="F590" s="40"/>
      <c r="G590" s="40"/>
      <c r="H590" s="40"/>
      <c r="I590" s="40"/>
      <c r="J590" s="40"/>
      <c r="K590" s="404"/>
      <c r="L590" s="403"/>
      <c r="M590" s="403"/>
      <c r="N590" s="403"/>
      <c r="O590" s="403"/>
      <c r="P590" s="403"/>
      <c r="Q590" s="40"/>
      <c r="R590" s="40"/>
      <c r="S590" s="40"/>
      <c r="T590" s="40"/>
      <c r="U590" s="40"/>
      <c r="V590" s="40"/>
      <c r="W590" s="40"/>
      <c r="X590" s="40"/>
      <c r="Y590" s="40"/>
      <c r="Z590" s="37"/>
      <c r="AA590" s="37"/>
      <c r="AB590" s="37"/>
      <c r="AC590" s="37"/>
      <c r="AD590" s="37"/>
      <c r="AE590" s="37"/>
      <c r="AF590" s="37"/>
      <c r="AG590" s="37"/>
      <c r="AH590" s="37"/>
      <c r="AI590" s="37"/>
      <c r="AJ590" s="37"/>
      <c r="AK590" s="39"/>
      <c r="AL590" s="37"/>
      <c r="AM590" s="37"/>
      <c r="AN590" s="37"/>
      <c r="AO590" s="37"/>
    </row>
    <row r="591" spans="1:41" ht="9.75" customHeight="1">
      <c r="A591" s="37"/>
      <c r="B591" s="37"/>
      <c r="C591" s="37"/>
      <c r="D591" s="37"/>
      <c r="E591" s="37"/>
      <c r="F591" s="40"/>
      <c r="G591" s="40"/>
      <c r="H591" s="40"/>
      <c r="I591" s="40"/>
      <c r="J591" s="40"/>
      <c r="K591" s="404"/>
      <c r="L591" s="403"/>
      <c r="M591" s="403"/>
      <c r="N591" s="403"/>
      <c r="O591" s="403"/>
      <c r="P591" s="403"/>
      <c r="Q591" s="40"/>
      <c r="R591" s="40"/>
      <c r="S591" s="40"/>
      <c r="T591" s="40"/>
      <c r="U591" s="40"/>
      <c r="V591" s="40"/>
      <c r="W591" s="40"/>
      <c r="X591" s="40"/>
      <c r="Y591" s="40"/>
      <c r="Z591" s="37"/>
      <c r="AA591" s="37"/>
      <c r="AB591" s="37"/>
      <c r="AC591" s="37"/>
      <c r="AD591" s="37"/>
      <c r="AE591" s="37"/>
      <c r="AF591" s="37"/>
      <c r="AG591" s="37"/>
      <c r="AH591" s="37"/>
      <c r="AI591" s="37"/>
      <c r="AJ591" s="37"/>
      <c r="AK591" s="39"/>
      <c r="AL591" s="37"/>
      <c r="AM591" s="37"/>
      <c r="AN591" s="37"/>
      <c r="AO591" s="37"/>
    </row>
    <row r="592" spans="1:41" ht="9.75" customHeight="1">
      <c r="A592" s="37"/>
      <c r="B592" s="37"/>
      <c r="C592" s="37"/>
      <c r="D592" s="37"/>
      <c r="E592" s="37"/>
      <c r="F592" s="40"/>
      <c r="G592" s="40"/>
      <c r="H592" s="40"/>
      <c r="I592" s="40"/>
      <c r="J592" s="40"/>
      <c r="K592" s="404"/>
      <c r="L592" s="403"/>
      <c r="M592" s="403"/>
      <c r="N592" s="403"/>
      <c r="O592" s="403"/>
      <c r="P592" s="403"/>
      <c r="Q592" s="40"/>
      <c r="R592" s="40"/>
      <c r="S592" s="40"/>
      <c r="T592" s="40"/>
      <c r="U592" s="40"/>
      <c r="V592" s="40"/>
      <c r="W592" s="40"/>
      <c r="X592" s="40"/>
      <c r="Y592" s="40"/>
      <c r="Z592" s="37"/>
      <c r="AA592" s="37"/>
      <c r="AB592" s="37"/>
      <c r="AC592" s="37"/>
      <c r="AD592" s="37"/>
      <c r="AE592" s="37"/>
      <c r="AF592" s="37"/>
      <c r="AG592" s="37"/>
      <c r="AH592" s="37"/>
      <c r="AI592" s="37"/>
      <c r="AJ592" s="37"/>
      <c r="AK592" s="39"/>
      <c r="AL592" s="37"/>
      <c r="AM592" s="37"/>
      <c r="AN592" s="37"/>
      <c r="AO592" s="37"/>
    </row>
    <row r="593" spans="1:41" ht="9.75" customHeight="1">
      <c r="A593" s="37"/>
      <c r="B593" s="37"/>
      <c r="C593" s="37"/>
      <c r="D593" s="37"/>
      <c r="E593" s="37"/>
      <c r="F593" s="40"/>
      <c r="G593" s="40"/>
      <c r="H593" s="40"/>
      <c r="I593" s="40"/>
      <c r="J593" s="40"/>
      <c r="K593" s="404"/>
      <c r="L593" s="403"/>
      <c r="M593" s="403"/>
      <c r="N593" s="403"/>
      <c r="O593" s="403"/>
      <c r="P593" s="403"/>
      <c r="Q593" s="40"/>
      <c r="R593" s="40"/>
      <c r="S593" s="40"/>
      <c r="T593" s="40"/>
      <c r="U593" s="40"/>
      <c r="V593" s="40"/>
      <c r="W593" s="40"/>
      <c r="X593" s="40"/>
      <c r="Y593" s="40"/>
      <c r="Z593" s="37"/>
      <c r="AA593" s="37"/>
      <c r="AB593" s="37"/>
      <c r="AC593" s="37"/>
      <c r="AD593" s="37"/>
      <c r="AE593" s="37"/>
      <c r="AF593" s="37"/>
      <c r="AG593" s="37"/>
      <c r="AH593" s="37"/>
      <c r="AI593" s="37"/>
      <c r="AJ593" s="37"/>
      <c r="AK593" s="39"/>
      <c r="AL593" s="37"/>
      <c r="AM593" s="37"/>
      <c r="AN593" s="37"/>
      <c r="AO593" s="37"/>
    </row>
    <row r="594" spans="1:41" ht="9.75" customHeight="1">
      <c r="A594" s="37"/>
      <c r="B594" s="37"/>
      <c r="C594" s="37"/>
      <c r="D594" s="37"/>
      <c r="E594" s="37"/>
      <c r="F594" s="40"/>
      <c r="G594" s="40"/>
      <c r="H594" s="40"/>
      <c r="I594" s="40"/>
      <c r="J594" s="40"/>
      <c r="K594" s="404"/>
      <c r="L594" s="403"/>
      <c r="M594" s="403"/>
      <c r="N594" s="403"/>
      <c r="O594" s="403"/>
      <c r="P594" s="403"/>
      <c r="Q594" s="40"/>
      <c r="R594" s="40"/>
      <c r="S594" s="40"/>
      <c r="T594" s="40"/>
      <c r="U594" s="40"/>
      <c r="V594" s="40"/>
      <c r="W594" s="40"/>
      <c r="X594" s="40"/>
      <c r="Y594" s="40"/>
      <c r="Z594" s="37"/>
      <c r="AA594" s="37"/>
      <c r="AB594" s="37"/>
      <c r="AC594" s="37"/>
      <c r="AD594" s="37"/>
      <c r="AE594" s="37"/>
      <c r="AF594" s="37"/>
      <c r="AG594" s="37"/>
      <c r="AH594" s="37"/>
      <c r="AI594" s="37"/>
      <c r="AJ594" s="37"/>
      <c r="AK594" s="39"/>
      <c r="AL594" s="37"/>
      <c r="AM594" s="37"/>
      <c r="AN594" s="37"/>
      <c r="AO594" s="37"/>
    </row>
    <row r="595" spans="1:41" ht="9.75" customHeight="1">
      <c r="A595" s="37"/>
      <c r="B595" s="37"/>
      <c r="C595" s="37"/>
      <c r="D595" s="37"/>
      <c r="E595" s="37"/>
      <c r="F595" s="40"/>
      <c r="G595" s="40"/>
      <c r="H595" s="40"/>
      <c r="I595" s="40"/>
      <c r="J595" s="40"/>
      <c r="K595" s="404"/>
      <c r="L595" s="403"/>
      <c r="M595" s="403"/>
      <c r="N595" s="403"/>
      <c r="O595" s="403"/>
      <c r="P595" s="403"/>
      <c r="Q595" s="37"/>
      <c r="R595" s="37"/>
      <c r="S595" s="37"/>
      <c r="T595" s="37"/>
      <c r="U595" s="37"/>
      <c r="V595" s="37"/>
      <c r="W595" s="37"/>
      <c r="X595" s="37"/>
      <c r="Y595" s="37"/>
      <c r="Z595" s="37"/>
      <c r="AA595" s="37"/>
      <c r="AB595" s="37"/>
      <c r="AC595" s="37"/>
      <c r="AD595" s="37"/>
      <c r="AE595" s="37"/>
      <c r="AF595" s="37"/>
      <c r="AG595" s="37"/>
      <c r="AH595" s="37"/>
      <c r="AI595" s="37"/>
      <c r="AJ595" s="37"/>
      <c r="AK595" s="39"/>
      <c r="AL595" s="37"/>
      <c r="AM595" s="37"/>
      <c r="AN595" s="37"/>
      <c r="AO595" s="37"/>
    </row>
    <row r="596" spans="1:41" ht="9.75" customHeight="1">
      <c r="A596" s="37"/>
      <c r="B596" s="37"/>
      <c r="C596" s="37"/>
      <c r="D596" s="37"/>
      <c r="E596" s="37"/>
      <c r="F596" s="40"/>
      <c r="G596" s="40"/>
      <c r="H596" s="40"/>
      <c r="I596" s="40"/>
      <c r="J596" s="40"/>
      <c r="K596" s="404"/>
      <c r="L596" s="403"/>
      <c r="M596" s="403"/>
      <c r="N596" s="403"/>
      <c r="O596" s="403"/>
      <c r="P596" s="403"/>
      <c r="Q596" s="37"/>
      <c r="R596" s="37"/>
      <c r="S596" s="37"/>
      <c r="T596" s="37"/>
      <c r="U596" s="37"/>
      <c r="V596" s="37"/>
      <c r="W596" s="37"/>
      <c r="X596" s="37"/>
      <c r="Y596" s="37"/>
      <c r="Z596" s="37"/>
      <c r="AA596" s="37"/>
      <c r="AB596" s="37"/>
      <c r="AC596" s="37"/>
      <c r="AD596" s="37"/>
      <c r="AE596" s="37"/>
      <c r="AF596" s="37"/>
      <c r="AG596" s="37"/>
      <c r="AH596" s="37"/>
      <c r="AI596" s="37"/>
      <c r="AJ596" s="37"/>
      <c r="AK596" s="39"/>
      <c r="AL596" s="37"/>
      <c r="AM596" s="37"/>
      <c r="AN596" s="37"/>
      <c r="AO596" s="37"/>
    </row>
    <row r="597" spans="1:41" ht="9.75" customHeight="1">
      <c r="A597" s="37"/>
      <c r="B597" s="37"/>
      <c r="C597" s="37"/>
      <c r="D597" s="37"/>
      <c r="E597" s="37"/>
      <c r="F597" s="40"/>
      <c r="G597" s="40"/>
      <c r="H597" s="40"/>
      <c r="I597" s="40"/>
      <c r="J597" s="40"/>
      <c r="K597" s="404"/>
      <c r="L597" s="403"/>
      <c r="M597" s="403"/>
      <c r="N597" s="403"/>
      <c r="O597" s="403"/>
      <c r="P597" s="403"/>
      <c r="Q597" s="37"/>
      <c r="R597" s="37"/>
      <c r="S597" s="37"/>
      <c r="T597" s="37"/>
      <c r="U597" s="37"/>
      <c r="V597" s="37"/>
      <c r="W597" s="37"/>
      <c r="X597" s="37"/>
      <c r="Y597" s="37"/>
      <c r="Z597" s="37"/>
      <c r="AA597" s="37"/>
      <c r="AB597" s="37"/>
      <c r="AC597" s="37"/>
      <c r="AD597" s="37"/>
      <c r="AE597" s="37"/>
      <c r="AF597" s="37"/>
      <c r="AG597" s="37"/>
      <c r="AH597" s="37"/>
      <c r="AI597" s="37"/>
      <c r="AJ597" s="37"/>
      <c r="AK597" s="39"/>
      <c r="AL597" s="37"/>
      <c r="AM597" s="37"/>
      <c r="AN597" s="37"/>
      <c r="AO597" s="37"/>
    </row>
    <row r="598" spans="1:41" ht="9.75" customHeight="1">
      <c r="A598" s="37"/>
      <c r="B598" s="37"/>
      <c r="C598" s="37"/>
      <c r="D598" s="37"/>
      <c r="E598" s="37"/>
      <c r="F598" s="40"/>
      <c r="G598" s="40"/>
      <c r="H598" s="40"/>
      <c r="I598" s="40"/>
      <c r="J598" s="40"/>
      <c r="K598" s="404"/>
      <c r="L598" s="403"/>
      <c r="M598" s="403"/>
      <c r="N598" s="403"/>
      <c r="O598" s="403"/>
      <c r="P598" s="403"/>
      <c r="Q598" s="37"/>
      <c r="R598" s="37"/>
      <c r="S598" s="37"/>
      <c r="T598" s="37"/>
      <c r="U598" s="37"/>
      <c r="V598" s="37"/>
      <c r="W598" s="37"/>
      <c r="X598" s="37"/>
      <c r="Y598" s="37"/>
      <c r="Z598" s="37"/>
      <c r="AA598" s="37"/>
      <c r="AB598" s="37"/>
      <c r="AC598" s="37"/>
      <c r="AD598" s="37"/>
      <c r="AE598" s="37"/>
      <c r="AF598" s="37"/>
      <c r="AG598" s="37"/>
      <c r="AH598" s="37"/>
      <c r="AI598" s="37"/>
      <c r="AJ598" s="37"/>
      <c r="AK598" s="39"/>
      <c r="AL598" s="37"/>
      <c r="AM598" s="37"/>
      <c r="AN598" s="37"/>
      <c r="AO598" s="37"/>
    </row>
    <row r="599" spans="1:41" ht="9.75" customHeight="1">
      <c r="A599" s="37"/>
      <c r="B599" s="37"/>
      <c r="C599" s="37"/>
      <c r="D599" s="37"/>
      <c r="E599" s="37"/>
      <c r="F599" s="40"/>
      <c r="G599" s="40"/>
      <c r="H599" s="40"/>
      <c r="I599" s="40"/>
      <c r="J599" s="40"/>
      <c r="K599" s="404"/>
      <c r="L599" s="403"/>
      <c r="M599" s="403"/>
      <c r="N599" s="403"/>
      <c r="O599" s="403"/>
      <c r="P599" s="403"/>
      <c r="Q599" s="37"/>
      <c r="R599" s="37"/>
      <c r="S599" s="37"/>
      <c r="T599" s="37"/>
      <c r="U599" s="37"/>
      <c r="V599" s="37"/>
      <c r="W599" s="37"/>
      <c r="X599" s="37"/>
      <c r="Y599" s="37"/>
      <c r="Z599" s="37"/>
      <c r="AA599" s="37"/>
      <c r="AB599" s="37"/>
      <c r="AC599" s="37"/>
      <c r="AD599" s="37"/>
      <c r="AE599" s="37"/>
      <c r="AF599" s="37"/>
      <c r="AG599" s="37"/>
      <c r="AH599" s="37"/>
      <c r="AI599" s="37"/>
      <c r="AJ599" s="37"/>
      <c r="AK599" s="39"/>
      <c r="AL599" s="37"/>
      <c r="AM599" s="37"/>
      <c r="AN599" s="37"/>
      <c r="AO599" s="37"/>
    </row>
    <row r="600" spans="1:41" ht="13.2">
      <c r="A600" s="37"/>
      <c r="B600" s="37"/>
      <c r="C600" s="37"/>
      <c r="D600" s="37"/>
      <c r="E600" s="37"/>
      <c r="F600" s="40"/>
      <c r="G600" s="40"/>
      <c r="H600" s="40"/>
      <c r="I600" s="40"/>
      <c r="J600" s="40"/>
      <c r="K600" s="404"/>
      <c r="L600" s="403"/>
      <c r="M600" s="403"/>
      <c r="N600" s="403"/>
      <c r="O600" s="403"/>
      <c r="P600" s="403"/>
      <c r="Q600" s="37"/>
      <c r="R600" s="37"/>
      <c r="S600" s="37"/>
      <c r="T600" s="37"/>
      <c r="U600" s="37"/>
      <c r="V600" s="37"/>
      <c r="W600" s="37"/>
      <c r="X600" s="37"/>
      <c r="Y600" s="37"/>
      <c r="Z600" s="37"/>
      <c r="AA600" s="37"/>
      <c r="AB600" s="37"/>
      <c r="AC600" s="37"/>
      <c r="AD600" s="37"/>
      <c r="AE600" s="37"/>
      <c r="AF600" s="37"/>
      <c r="AG600" s="37"/>
      <c r="AH600" s="37"/>
      <c r="AI600" s="37"/>
      <c r="AJ600" s="37"/>
      <c r="AK600" s="39"/>
      <c r="AL600" s="37"/>
      <c r="AM600" s="37"/>
      <c r="AN600" s="37"/>
      <c r="AO600" s="37"/>
    </row>
    <row r="601" spans="1:41" ht="13.2">
      <c r="A601" s="37"/>
      <c r="B601" s="37"/>
      <c r="C601" s="37"/>
      <c r="D601" s="37"/>
      <c r="E601" s="37"/>
      <c r="F601" s="40"/>
      <c r="G601" s="40"/>
      <c r="H601" s="40"/>
      <c r="I601" s="40"/>
      <c r="J601" s="40"/>
      <c r="K601" s="404"/>
      <c r="L601" s="403"/>
      <c r="M601" s="403"/>
      <c r="N601" s="403"/>
      <c r="O601" s="403"/>
      <c r="P601" s="403"/>
      <c r="Q601" s="37"/>
      <c r="R601" s="37"/>
      <c r="S601" s="37"/>
      <c r="T601" s="37"/>
      <c r="U601" s="37"/>
      <c r="V601" s="37"/>
      <c r="W601" s="37"/>
      <c r="X601" s="37"/>
      <c r="Y601" s="37"/>
      <c r="Z601" s="37"/>
      <c r="AA601" s="37"/>
      <c r="AB601" s="37"/>
      <c r="AC601" s="37"/>
      <c r="AD601" s="37"/>
      <c r="AE601" s="37"/>
      <c r="AF601" s="37"/>
      <c r="AG601" s="37"/>
      <c r="AH601" s="37"/>
      <c r="AI601" s="37"/>
      <c r="AJ601" s="37"/>
      <c r="AK601" s="39"/>
      <c r="AL601" s="37"/>
      <c r="AM601" s="37"/>
      <c r="AN601" s="37"/>
      <c r="AO601" s="37"/>
    </row>
    <row r="602" spans="1:41" ht="13.2">
      <c r="A602" s="37"/>
      <c r="B602" s="37"/>
      <c r="C602" s="37"/>
      <c r="D602" s="37"/>
      <c r="E602" s="37"/>
      <c r="F602" s="40"/>
      <c r="G602" s="40"/>
      <c r="H602" s="40"/>
      <c r="I602" s="40"/>
      <c r="J602" s="40"/>
      <c r="K602" s="404"/>
      <c r="L602" s="403"/>
      <c r="M602" s="403"/>
      <c r="N602" s="403"/>
      <c r="O602" s="403"/>
      <c r="P602" s="403"/>
      <c r="Q602" s="37"/>
      <c r="R602" s="37"/>
      <c r="S602" s="37"/>
      <c r="T602" s="37"/>
      <c r="U602" s="37"/>
      <c r="V602" s="37"/>
      <c r="W602" s="37"/>
      <c r="X602" s="37"/>
      <c r="Y602" s="37"/>
      <c r="Z602" s="37"/>
      <c r="AA602" s="37"/>
      <c r="AB602" s="37"/>
      <c r="AC602" s="37"/>
      <c r="AD602" s="37"/>
      <c r="AE602" s="37"/>
      <c r="AF602" s="37"/>
      <c r="AG602" s="37"/>
      <c r="AH602" s="37"/>
      <c r="AI602" s="37"/>
      <c r="AJ602" s="37"/>
      <c r="AK602" s="39"/>
      <c r="AL602" s="37"/>
      <c r="AM602" s="37"/>
      <c r="AN602" s="37"/>
      <c r="AO602" s="37"/>
    </row>
    <row r="603" spans="1:41" ht="13.2">
      <c r="A603" s="37"/>
      <c r="B603" s="37"/>
      <c r="C603" s="37"/>
      <c r="D603" s="37"/>
      <c r="E603" s="37"/>
      <c r="F603" s="40"/>
      <c r="G603" s="40"/>
      <c r="H603" s="40"/>
      <c r="I603" s="40"/>
      <c r="J603" s="40"/>
      <c r="K603" s="404"/>
      <c r="L603" s="403"/>
      <c r="M603" s="403"/>
      <c r="N603" s="403"/>
      <c r="O603" s="403"/>
      <c r="P603" s="403"/>
      <c r="Q603" s="37"/>
      <c r="R603" s="37"/>
      <c r="S603" s="37"/>
      <c r="T603" s="37"/>
      <c r="U603" s="37"/>
      <c r="V603" s="37"/>
      <c r="W603" s="37"/>
      <c r="X603" s="37"/>
      <c r="Y603" s="37"/>
      <c r="Z603" s="37"/>
      <c r="AA603" s="37"/>
      <c r="AB603" s="37"/>
      <c r="AC603" s="37"/>
      <c r="AD603" s="37"/>
      <c r="AE603" s="37"/>
      <c r="AF603" s="37"/>
      <c r="AG603" s="37"/>
      <c r="AH603" s="37"/>
      <c r="AI603" s="37"/>
      <c r="AJ603" s="37"/>
      <c r="AK603" s="39"/>
      <c r="AL603" s="37"/>
      <c r="AM603" s="37"/>
      <c r="AN603" s="37"/>
      <c r="AO603" s="37"/>
    </row>
    <row r="604" spans="1:41" ht="13.2">
      <c r="A604" s="37"/>
      <c r="B604" s="37"/>
      <c r="C604" s="37"/>
      <c r="D604" s="37"/>
      <c r="E604" s="37"/>
      <c r="F604" s="40"/>
      <c r="G604" s="40"/>
      <c r="H604" s="40"/>
      <c r="I604" s="40"/>
      <c r="J604" s="40"/>
      <c r="K604" s="404"/>
      <c r="L604" s="403"/>
      <c r="M604" s="403"/>
      <c r="N604" s="403"/>
      <c r="O604" s="403"/>
      <c r="P604" s="403"/>
      <c r="Q604" s="37"/>
      <c r="R604" s="37"/>
      <c r="S604" s="37"/>
      <c r="T604" s="37"/>
      <c r="U604" s="37"/>
      <c r="V604" s="37"/>
      <c r="W604" s="37"/>
      <c r="X604" s="37"/>
      <c r="Y604" s="37"/>
      <c r="Z604" s="37"/>
      <c r="AA604" s="37"/>
      <c r="AB604" s="37"/>
      <c r="AC604" s="37"/>
      <c r="AD604" s="37"/>
      <c r="AE604" s="37"/>
      <c r="AF604" s="37"/>
      <c r="AG604" s="37"/>
      <c r="AH604" s="37"/>
      <c r="AI604" s="37"/>
      <c r="AJ604" s="37"/>
      <c r="AK604" s="39"/>
      <c r="AL604" s="37"/>
      <c r="AM604" s="37"/>
      <c r="AN604" s="37"/>
      <c r="AO604" s="37"/>
    </row>
    <row r="605" spans="1:41" ht="13.2">
      <c r="A605" s="37"/>
      <c r="B605" s="37"/>
      <c r="C605" s="37"/>
      <c r="D605" s="37"/>
      <c r="E605" s="37"/>
      <c r="F605" s="37"/>
      <c r="G605" s="37"/>
      <c r="H605" s="40"/>
      <c r="I605" s="40"/>
      <c r="J605" s="40"/>
      <c r="K605" s="403"/>
      <c r="L605" s="403"/>
      <c r="M605" s="403"/>
      <c r="N605" s="403"/>
      <c r="O605" s="403"/>
      <c r="P605" s="403"/>
      <c r="Q605" s="37"/>
      <c r="R605" s="37"/>
      <c r="S605" s="37"/>
      <c r="T605" s="37"/>
      <c r="U605" s="37"/>
      <c r="V605" s="37"/>
      <c r="W605" s="37"/>
      <c r="X605" s="37"/>
      <c r="Y605" s="37"/>
      <c r="Z605" s="37"/>
      <c r="AA605" s="37"/>
      <c r="AB605" s="37"/>
      <c r="AC605" s="37"/>
      <c r="AD605" s="37"/>
      <c r="AE605" s="37"/>
      <c r="AF605" s="37"/>
      <c r="AG605" s="37"/>
      <c r="AH605" s="37"/>
      <c r="AI605" s="37"/>
      <c r="AJ605" s="37"/>
      <c r="AK605" s="39"/>
      <c r="AL605" s="37"/>
      <c r="AM605" s="37"/>
      <c r="AN605" s="37"/>
      <c r="AO605" s="37"/>
    </row>
    <row r="606" spans="1:41" ht="13.2">
      <c r="A606" s="37"/>
      <c r="B606" s="37"/>
      <c r="C606" s="37"/>
      <c r="D606" s="37"/>
      <c r="E606" s="37"/>
      <c r="F606" s="37"/>
      <c r="G606" s="37"/>
      <c r="H606" s="40"/>
      <c r="I606" s="40"/>
      <c r="J606" s="40"/>
      <c r="K606" s="403"/>
      <c r="L606" s="403"/>
      <c r="M606" s="403"/>
      <c r="N606" s="403"/>
      <c r="O606" s="403"/>
      <c r="P606" s="403"/>
      <c r="Q606" s="37"/>
      <c r="R606" s="37"/>
      <c r="S606" s="37"/>
      <c r="T606" s="37"/>
      <c r="U606" s="37"/>
      <c r="V606" s="37"/>
      <c r="W606" s="37"/>
      <c r="X606" s="37"/>
      <c r="Y606" s="37"/>
      <c r="Z606" s="37"/>
      <c r="AA606" s="37"/>
      <c r="AB606" s="37"/>
      <c r="AC606" s="37"/>
      <c r="AD606" s="37"/>
      <c r="AE606" s="37"/>
      <c r="AF606" s="37"/>
      <c r="AG606" s="37"/>
      <c r="AH606" s="37"/>
      <c r="AI606" s="37"/>
      <c r="AJ606" s="37"/>
      <c r="AK606" s="39"/>
      <c r="AL606" s="37"/>
      <c r="AM606" s="37"/>
      <c r="AN606" s="37"/>
      <c r="AO606" s="37"/>
    </row>
    <row r="607" spans="1:41" ht="13.2">
      <c r="A607" s="37"/>
      <c r="B607" s="37"/>
      <c r="C607" s="37"/>
      <c r="D607" s="37"/>
      <c r="E607" s="37"/>
      <c r="F607" s="37"/>
      <c r="G607" s="37"/>
      <c r="H607" s="40"/>
      <c r="I607" s="40"/>
      <c r="J607" s="40"/>
      <c r="K607" s="403"/>
      <c r="L607" s="403"/>
      <c r="M607" s="403"/>
      <c r="N607" s="403"/>
      <c r="O607" s="403"/>
      <c r="P607" s="403"/>
      <c r="Q607" s="37"/>
      <c r="R607" s="37"/>
      <c r="S607" s="37"/>
      <c r="T607" s="37"/>
      <c r="U607" s="37"/>
      <c r="V607" s="37"/>
      <c r="W607" s="37"/>
      <c r="X607" s="37"/>
      <c r="Y607" s="37"/>
      <c r="Z607" s="37"/>
      <c r="AA607" s="37"/>
      <c r="AB607" s="37"/>
      <c r="AC607" s="37"/>
      <c r="AD607" s="37"/>
      <c r="AE607" s="37"/>
      <c r="AF607" s="37"/>
      <c r="AG607" s="37"/>
      <c r="AH607" s="37"/>
      <c r="AI607" s="37"/>
      <c r="AJ607" s="37"/>
      <c r="AK607" s="39"/>
      <c r="AL607" s="37"/>
      <c r="AM607" s="37"/>
      <c r="AN607" s="37"/>
      <c r="AO607" s="37"/>
    </row>
    <row r="608" spans="1:41" ht="13.2">
      <c r="A608" s="37"/>
      <c r="B608" s="37"/>
      <c r="C608" s="37"/>
      <c r="D608" s="37"/>
      <c r="E608" s="37"/>
      <c r="F608" s="37"/>
      <c r="G608" s="37"/>
      <c r="H608" s="40"/>
      <c r="I608" s="40"/>
      <c r="J608" s="40"/>
      <c r="K608" s="403"/>
      <c r="L608" s="403"/>
      <c r="M608" s="403"/>
      <c r="N608" s="403"/>
      <c r="O608" s="403"/>
      <c r="P608" s="403"/>
      <c r="Q608" s="37"/>
      <c r="R608" s="37"/>
      <c r="S608" s="37"/>
      <c r="T608" s="37"/>
      <c r="U608" s="37"/>
      <c r="V608" s="37"/>
      <c r="W608" s="37"/>
      <c r="X608" s="37"/>
      <c r="Y608" s="37"/>
      <c r="Z608" s="37"/>
      <c r="AA608" s="37"/>
      <c r="AB608" s="37"/>
      <c r="AC608" s="37"/>
      <c r="AD608" s="37"/>
      <c r="AE608" s="37"/>
      <c r="AF608" s="37"/>
      <c r="AG608" s="37"/>
      <c r="AH608" s="37"/>
      <c r="AI608" s="37"/>
      <c r="AJ608" s="37"/>
      <c r="AK608" s="39"/>
      <c r="AL608" s="37"/>
      <c r="AM608" s="37"/>
      <c r="AN608" s="37"/>
      <c r="AO608" s="37"/>
    </row>
    <row r="609" spans="1:41" ht="13.2">
      <c r="A609" s="37"/>
      <c r="B609" s="37"/>
      <c r="C609" s="37"/>
      <c r="D609" s="37"/>
      <c r="E609" s="37"/>
      <c r="F609" s="37"/>
      <c r="G609" s="37"/>
      <c r="H609" s="40"/>
      <c r="I609" s="40"/>
      <c r="J609" s="40"/>
      <c r="K609" s="403"/>
      <c r="L609" s="403"/>
      <c r="M609" s="403"/>
      <c r="N609" s="403"/>
      <c r="O609" s="403"/>
      <c r="P609" s="403"/>
      <c r="Q609" s="37"/>
      <c r="R609" s="37"/>
      <c r="S609" s="37"/>
      <c r="T609" s="37"/>
      <c r="U609" s="37"/>
      <c r="V609" s="37"/>
      <c r="W609" s="37"/>
      <c r="X609" s="37"/>
      <c r="Y609" s="37"/>
      <c r="Z609" s="37"/>
      <c r="AA609" s="37"/>
      <c r="AB609" s="37"/>
      <c r="AC609" s="37"/>
      <c r="AD609" s="37"/>
      <c r="AE609" s="37"/>
      <c r="AF609" s="37"/>
      <c r="AG609" s="37"/>
      <c r="AH609" s="37"/>
      <c r="AI609" s="37"/>
      <c r="AJ609" s="37"/>
      <c r="AK609" s="39"/>
      <c r="AL609" s="37"/>
      <c r="AM609" s="37"/>
      <c r="AN609" s="37"/>
      <c r="AO609" s="37"/>
    </row>
    <row r="610" spans="1:41" ht="13.2">
      <c r="A610" s="37"/>
      <c r="B610" s="37"/>
      <c r="C610" s="37"/>
      <c r="D610" s="37"/>
      <c r="E610" s="37"/>
      <c r="F610" s="37"/>
      <c r="G610" s="37"/>
      <c r="H610" s="40"/>
      <c r="I610" s="40"/>
      <c r="J610" s="40"/>
      <c r="K610" s="403"/>
      <c r="L610" s="403"/>
      <c r="M610" s="403"/>
      <c r="N610" s="403"/>
      <c r="O610" s="403"/>
      <c r="P610" s="403"/>
      <c r="Q610" s="37"/>
      <c r="R610" s="37"/>
      <c r="S610" s="37"/>
      <c r="T610" s="37"/>
      <c r="U610" s="37"/>
      <c r="V610" s="37"/>
      <c r="W610" s="37"/>
      <c r="X610" s="37"/>
      <c r="Y610" s="37"/>
      <c r="Z610" s="37"/>
      <c r="AA610" s="37"/>
      <c r="AB610" s="37"/>
      <c r="AC610" s="37"/>
      <c r="AD610" s="37"/>
      <c r="AE610" s="37"/>
      <c r="AF610" s="37"/>
      <c r="AG610" s="37"/>
      <c r="AH610" s="37"/>
      <c r="AI610" s="37"/>
      <c r="AJ610" s="37"/>
      <c r="AK610" s="39"/>
      <c r="AL610" s="37"/>
      <c r="AM610" s="37"/>
      <c r="AN610" s="37"/>
      <c r="AO610" s="37"/>
    </row>
    <row r="611" spans="1:41" ht="13.2">
      <c r="A611" s="37"/>
      <c r="B611" s="37"/>
      <c r="C611" s="37"/>
      <c r="D611" s="37"/>
      <c r="E611" s="37"/>
      <c r="F611" s="37"/>
      <c r="G611" s="37"/>
      <c r="H611" s="40"/>
      <c r="I611" s="40"/>
      <c r="J611" s="40"/>
      <c r="K611" s="403"/>
      <c r="L611" s="403"/>
      <c r="M611" s="403"/>
      <c r="N611" s="403"/>
      <c r="O611" s="403"/>
      <c r="P611" s="403"/>
      <c r="Q611" s="37"/>
      <c r="R611" s="37"/>
      <c r="S611" s="37"/>
      <c r="T611" s="37"/>
      <c r="U611" s="37"/>
      <c r="V611" s="37"/>
      <c r="W611" s="37"/>
      <c r="X611" s="37"/>
      <c r="Y611" s="37"/>
      <c r="Z611" s="37"/>
      <c r="AA611" s="37"/>
      <c r="AB611" s="37"/>
      <c r="AC611" s="37"/>
      <c r="AD611" s="37"/>
      <c r="AE611" s="37"/>
      <c r="AF611" s="37"/>
      <c r="AG611" s="37"/>
      <c r="AH611" s="37"/>
      <c r="AI611" s="37"/>
      <c r="AJ611" s="37"/>
      <c r="AK611" s="39"/>
      <c r="AL611" s="37"/>
      <c r="AM611" s="37"/>
      <c r="AN611" s="37"/>
      <c r="AO611" s="37"/>
    </row>
    <row r="612" spans="1:41" ht="13.2">
      <c r="A612" s="37"/>
      <c r="B612" s="37"/>
      <c r="C612" s="37"/>
      <c r="D612" s="37"/>
      <c r="E612" s="37"/>
      <c r="F612" s="37"/>
      <c r="G612" s="37"/>
      <c r="H612" s="40"/>
      <c r="I612" s="40"/>
      <c r="J612" s="40"/>
      <c r="K612" s="403"/>
      <c r="L612" s="403"/>
      <c r="M612" s="403"/>
      <c r="N612" s="403"/>
      <c r="O612" s="403"/>
      <c r="P612" s="403"/>
      <c r="Q612" s="37"/>
      <c r="R612" s="37"/>
      <c r="S612" s="37"/>
      <c r="T612" s="37"/>
      <c r="U612" s="37"/>
      <c r="V612" s="37"/>
      <c r="W612" s="37"/>
      <c r="X612" s="37"/>
      <c r="Y612" s="37"/>
      <c r="Z612" s="37"/>
      <c r="AA612" s="37"/>
      <c r="AB612" s="37"/>
      <c r="AC612" s="37"/>
      <c r="AD612" s="37"/>
      <c r="AE612" s="37"/>
      <c r="AF612" s="37"/>
      <c r="AG612" s="37"/>
      <c r="AH612" s="37"/>
      <c r="AI612" s="37"/>
      <c r="AJ612" s="37"/>
      <c r="AK612" s="39"/>
      <c r="AL612" s="37"/>
      <c r="AM612" s="37"/>
      <c r="AN612" s="37"/>
      <c r="AO612" s="37"/>
    </row>
    <row r="613" spans="1:41" ht="13.2">
      <c r="A613" s="37"/>
      <c r="B613" s="37"/>
      <c r="C613" s="37"/>
      <c r="D613" s="37"/>
      <c r="E613" s="37"/>
      <c r="F613" s="37"/>
      <c r="G613" s="37"/>
      <c r="H613" s="40"/>
      <c r="I613" s="40"/>
      <c r="J613" s="40"/>
      <c r="K613" s="403"/>
      <c r="L613" s="403"/>
      <c r="M613" s="403"/>
      <c r="N613" s="403"/>
      <c r="O613" s="403"/>
      <c r="P613" s="403"/>
      <c r="Q613" s="37"/>
      <c r="R613" s="37"/>
      <c r="S613" s="37"/>
      <c r="T613" s="37"/>
      <c r="U613" s="37"/>
      <c r="V613" s="37"/>
      <c r="W613" s="37"/>
      <c r="X613" s="37"/>
      <c r="Y613" s="37"/>
      <c r="Z613" s="37"/>
      <c r="AA613" s="37"/>
      <c r="AB613" s="37"/>
      <c r="AC613" s="37"/>
      <c r="AD613" s="37"/>
      <c r="AE613" s="37"/>
      <c r="AF613" s="37"/>
      <c r="AG613" s="37"/>
      <c r="AH613" s="37"/>
      <c r="AI613" s="37"/>
      <c r="AJ613" s="37"/>
      <c r="AK613" s="39"/>
      <c r="AL613" s="37"/>
      <c r="AM613" s="37"/>
      <c r="AN613" s="37"/>
      <c r="AO613" s="37"/>
    </row>
    <row r="614" spans="1:41" ht="13.2">
      <c r="A614" s="37"/>
      <c r="B614" s="37"/>
      <c r="C614" s="37"/>
      <c r="D614" s="37"/>
      <c r="E614" s="37"/>
      <c r="F614" s="37"/>
      <c r="G614" s="37"/>
      <c r="H614" s="40"/>
      <c r="I614" s="40"/>
      <c r="J614" s="40"/>
      <c r="K614" s="403"/>
      <c r="L614" s="403"/>
      <c r="M614" s="403"/>
      <c r="N614" s="403"/>
      <c r="O614" s="403"/>
      <c r="P614" s="403"/>
      <c r="Q614" s="37"/>
      <c r="R614" s="37"/>
      <c r="S614" s="37"/>
      <c r="T614" s="37"/>
      <c r="U614" s="37"/>
      <c r="V614" s="37"/>
      <c r="W614" s="37"/>
      <c r="X614" s="37"/>
      <c r="Y614" s="37"/>
      <c r="Z614" s="37"/>
      <c r="AA614" s="37"/>
      <c r="AB614" s="37"/>
      <c r="AC614" s="37"/>
      <c r="AD614" s="37"/>
      <c r="AE614" s="37"/>
      <c r="AF614" s="37"/>
      <c r="AG614" s="37"/>
      <c r="AH614" s="37"/>
      <c r="AI614" s="37"/>
      <c r="AJ614" s="37"/>
      <c r="AK614" s="39"/>
      <c r="AL614" s="37"/>
      <c r="AM614" s="37"/>
      <c r="AN614" s="37"/>
      <c r="AO614" s="37"/>
    </row>
    <row r="615" spans="1:41" ht="13.2">
      <c r="A615" s="37"/>
      <c r="B615" s="37"/>
      <c r="C615" s="37"/>
      <c r="D615" s="37"/>
      <c r="E615" s="37"/>
      <c r="F615" s="37"/>
      <c r="G615" s="37"/>
      <c r="H615" s="40"/>
      <c r="I615" s="40"/>
      <c r="J615" s="40"/>
      <c r="K615" s="403"/>
      <c r="L615" s="403"/>
      <c r="M615" s="403"/>
      <c r="N615" s="403"/>
      <c r="O615" s="403"/>
      <c r="P615" s="403"/>
      <c r="Q615" s="37"/>
      <c r="R615" s="37"/>
      <c r="S615" s="37"/>
      <c r="T615" s="37"/>
      <c r="U615" s="37"/>
      <c r="V615" s="37"/>
      <c r="W615" s="37"/>
      <c r="X615" s="37"/>
      <c r="Y615" s="37"/>
      <c r="Z615" s="37"/>
      <c r="AA615" s="37"/>
      <c r="AB615" s="37"/>
      <c r="AC615" s="37"/>
      <c r="AD615" s="37"/>
      <c r="AE615" s="37"/>
      <c r="AF615" s="37"/>
      <c r="AG615" s="37"/>
      <c r="AH615" s="37"/>
      <c r="AI615" s="37"/>
      <c r="AJ615" s="37"/>
      <c r="AK615" s="39"/>
      <c r="AL615" s="37"/>
      <c r="AM615" s="37"/>
      <c r="AN615" s="37"/>
      <c r="AO615" s="37"/>
    </row>
    <row r="616" spans="1:41" ht="13.2">
      <c r="A616" s="37"/>
      <c r="B616" s="37"/>
      <c r="C616" s="37"/>
      <c r="D616" s="37"/>
      <c r="E616" s="37"/>
      <c r="F616" s="37"/>
      <c r="G616" s="37"/>
      <c r="H616" s="40"/>
      <c r="I616" s="40"/>
      <c r="J616" s="40"/>
      <c r="K616" s="403"/>
      <c r="L616" s="403"/>
      <c r="M616" s="403"/>
      <c r="N616" s="403"/>
      <c r="O616" s="403"/>
      <c r="P616" s="403"/>
      <c r="Q616" s="37"/>
      <c r="R616" s="37"/>
      <c r="S616" s="37"/>
      <c r="T616" s="37"/>
      <c r="U616" s="37"/>
      <c r="V616" s="37"/>
      <c r="W616" s="37"/>
      <c r="X616" s="37"/>
      <c r="Y616" s="37"/>
      <c r="Z616" s="37"/>
      <c r="AA616" s="37"/>
      <c r="AB616" s="37"/>
      <c r="AC616" s="37"/>
      <c r="AD616" s="37"/>
      <c r="AE616" s="37"/>
      <c r="AF616" s="37"/>
      <c r="AG616" s="37"/>
      <c r="AH616" s="37"/>
      <c r="AI616" s="37"/>
      <c r="AJ616" s="37"/>
      <c r="AK616" s="39"/>
      <c r="AL616" s="37"/>
      <c r="AM616" s="37"/>
      <c r="AN616" s="37"/>
      <c r="AO616" s="37"/>
    </row>
    <row r="617" spans="1:41" ht="13.2">
      <c r="A617" s="37"/>
      <c r="B617" s="37"/>
      <c r="C617" s="37"/>
      <c r="D617" s="37"/>
      <c r="E617" s="37"/>
      <c r="F617" s="37"/>
      <c r="G617" s="37"/>
      <c r="H617" s="40"/>
      <c r="I617" s="40"/>
      <c r="J617" s="40"/>
      <c r="K617" s="403"/>
      <c r="L617" s="403"/>
      <c r="M617" s="403"/>
      <c r="N617" s="403"/>
      <c r="O617" s="403"/>
      <c r="P617" s="403"/>
      <c r="Q617" s="37"/>
      <c r="R617" s="37"/>
      <c r="S617" s="37"/>
      <c r="T617" s="37"/>
      <c r="U617" s="37"/>
      <c r="V617" s="37"/>
      <c r="W617" s="37"/>
      <c r="X617" s="37"/>
      <c r="Y617" s="37"/>
      <c r="Z617" s="37"/>
      <c r="AA617" s="37"/>
      <c r="AB617" s="37"/>
      <c r="AC617" s="37"/>
      <c r="AD617" s="37"/>
      <c r="AE617" s="37"/>
      <c r="AF617" s="37"/>
      <c r="AG617" s="37"/>
      <c r="AH617" s="37"/>
      <c r="AI617" s="37"/>
      <c r="AJ617" s="37"/>
      <c r="AK617" s="39"/>
      <c r="AL617" s="37"/>
      <c r="AM617" s="37"/>
      <c r="AN617" s="37"/>
      <c r="AO617" s="37"/>
    </row>
    <row r="618" spans="1:41" ht="13.2">
      <c r="A618" s="37"/>
      <c r="B618" s="37"/>
      <c r="C618" s="37"/>
      <c r="D618" s="37"/>
      <c r="E618" s="37"/>
      <c r="F618" s="37"/>
      <c r="G618" s="37"/>
      <c r="H618" s="40"/>
      <c r="I618" s="40"/>
      <c r="J618" s="40"/>
      <c r="K618" s="403"/>
      <c r="L618" s="403"/>
      <c r="M618" s="403"/>
      <c r="N618" s="403"/>
      <c r="O618" s="403"/>
      <c r="P618" s="403"/>
      <c r="Q618" s="37"/>
      <c r="R618" s="37"/>
      <c r="S618" s="37"/>
      <c r="T618" s="37"/>
      <c r="U618" s="37"/>
      <c r="V618" s="37"/>
      <c r="W618" s="37"/>
      <c r="X618" s="37"/>
      <c r="Y618" s="37"/>
      <c r="Z618" s="37"/>
      <c r="AA618" s="37"/>
      <c r="AB618" s="37"/>
      <c r="AC618" s="37"/>
      <c r="AD618" s="37"/>
      <c r="AE618" s="37"/>
      <c r="AF618" s="37"/>
      <c r="AG618" s="37"/>
      <c r="AH618" s="37"/>
      <c r="AI618" s="37"/>
      <c r="AJ618" s="37"/>
      <c r="AK618" s="39"/>
      <c r="AL618" s="37"/>
      <c r="AM618" s="37"/>
      <c r="AN618" s="37"/>
      <c r="AO618" s="37"/>
    </row>
    <row r="619" spans="1:41" ht="13.2">
      <c r="A619" s="37"/>
      <c r="B619" s="37"/>
      <c r="C619" s="37"/>
      <c r="D619" s="37"/>
      <c r="E619" s="37"/>
      <c r="F619" s="37"/>
      <c r="G619" s="37"/>
      <c r="H619" s="40"/>
      <c r="I619" s="40"/>
      <c r="J619" s="40"/>
      <c r="K619" s="403"/>
      <c r="L619" s="403"/>
      <c r="M619" s="403"/>
      <c r="N619" s="403"/>
      <c r="O619" s="403"/>
      <c r="P619" s="403"/>
      <c r="Q619" s="37"/>
      <c r="R619" s="37"/>
      <c r="S619" s="37"/>
      <c r="T619" s="37"/>
      <c r="U619" s="37"/>
      <c r="V619" s="37"/>
      <c r="W619" s="37"/>
      <c r="X619" s="37"/>
      <c r="Y619" s="37"/>
      <c r="Z619" s="37"/>
      <c r="AA619" s="37"/>
      <c r="AB619" s="37"/>
      <c r="AC619" s="37"/>
      <c r="AD619" s="37"/>
      <c r="AE619" s="37"/>
      <c r="AF619" s="37"/>
      <c r="AG619" s="37"/>
      <c r="AH619" s="37"/>
      <c r="AI619" s="37"/>
      <c r="AJ619" s="37"/>
      <c r="AK619" s="39"/>
      <c r="AL619" s="37"/>
      <c r="AM619" s="37"/>
      <c r="AN619" s="37"/>
      <c r="AO619" s="37"/>
    </row>
    <row r="620" spans="1:41" ht="13.2">
      <c r="A620" s="37"/>
      <c r="B620" s="37"/>
      <c r="C620" s="37"/>
      <c r="D620" s="37"/>
      <c r="E620" s="37"/>
      <c r="F620" s="37"/>
      <c r="G620" s="37"/>
      <c r="H620" s="40"/>
      <c r="I620" s="40"/>
      <c r="J620" s="40"/>
      <c r="K620" s="403"/>
      <c r="L620" s="403"/>
      <c r="M620" s="403"/>
      <c r="N620" s="403"/>
      <c r="O620" s="403"/>
      <c r="P620" s="403"/>
      <c r="Q620" s="37"/>
      <c r="R620" s="37"/>
      <c r="S620" s="37"/>
      <c r="T620" s="37"/>
      <c r="U620" s="37"/>
      <c r="V620" s="37"/>
      <c r="W620" s="37"/>
      <c r="X620" s="37"/>
      <c r="Y620" s="37"/>
      <c r="Z620" s="37"/>
      <c r="AA620" s="37"/>
      <c r="AB620" s="37"/>
      <c r="AC620" s="37"/>
      <c r="AD620" s="37"/>
      <c r="AE620" s="37"/>
      <c r="AF620" s="37"/>
      <c r="AG620" s="37"/>
      <c r="AH620" s="37"/>
      <c r="AI620" s="37"/>
      <c r="AJ620" s="37"/>
      <c r="AK620" s="39"/>
      <c r="AL620" s="37"/>
      <c r="AM620" s="37"/>
      <c r="AN620" s="37"/>
      <c r="AO620" s="37"/>
    </row>
    <row r="621" spans="1:41" ht="13.2">
      <c r="A621" s="37"/>
      <c r="B621" s="37"/>
      <c r="C621" s="37"/>
      <c r="D621" s="37"/>
      <c r="E621" s="37"/>
      <c r="F621" s="37"/>
      <c r="G621" s="37"/>
      <c r="H621" s="40"/>
      <c r="I621" s="40"/>
      <c r="J621" s="40"/>
      <c r="K621" s="403"/>
      <c r="L621" s="403"/>
      <c r="M621" s="403"/>
      <c r="N621" s="403"/>
      <c r="O621" s="403"/>
      <c r="P621" s="403"/>
      <c r="Q621" s="37"/>
      <c r="R621" s="37"/>
      <c r="S621" s="37"/>
      <c r="T621" s="37"/>
      <c r="U621" s="37"/>
      <c r="V621" s="37"/>
      <c r="W621" s="37"/>
      <c r="X621" s="37"/>
      <c r="Y621" s="37"/>
      <c r="Z621" s="37"/>
      <c r="AA621" s="37"/>
      <c r="AB621" s="37"/>
      <c r="AC621" s="37"/>
      <c r="AD621" s="37"/>
      <c r="AE621" s="37"/>
      <c r="AF621" s="37"/>
      <c r="AG621" s="37"/>
      <c r="AH621" s="37"/>
      <c r="AI621" s="37"/>
      <c r="AJ621" s="37"/>
      <c r="AK621" s="39"/>
      <c r="AL621" s="37"/>
      <c r="AM621" s="37"/>
      <c r="AN621" s="37"/>
      <c r="AO621" s="37"/>
    </row>
    <row r="622" spans="1:41" ht="13.2">
      <c r="A622" s="37"/>
      <c r="B622" s="37"/>
      <c r="C622" s="37"/>
      <c r="D622" s="37"/>
      <c r="E622" s="37"/>
      <c r="F622" s="37"/>
      <c r="G622" s="37"/>
      <c r="H622" s="40"/>
      <c r="I622" s="40"/>
      <c r="J622" s="40"/>
      <c r="K622" s="403"/>
      <c r="L622" s="403"/>
      <c r="M622" s="403"/>
      <c r="N622" s="403"/>
      <c r="O622" s="403"/>
      <c r="P622" s="403"/>
      <c r="Q622" s="37"/>
      <c r="R622" s="37"/>
      <c r="S622" s="37"/>
      <c r="T622" s="37"/>
      <c r="U622" s="37"/>
      <c r="V622" s="37"/>
      <c r="W622" s="37"/>
      <c r="X622" s="37"/>
      <c r="Y622" s="37"/>
      <c r="Z622" s="37"/>
      <c r="AA622" s="37"/>
      <c r="AB622" s="37"/>
      <c r="AC622" s="37"/>
      <c r="AD622" s="37"/>
      <c r="AE622" s="37"/>
      <c r="AF622" s="37"/>
      <c r="AG622" s="37"/>
      <c r="AH622" s="37"/>
      <c r="AI622" s="37"/>
      <c r="AJ622" s="37"/>
      <c r="AK622" s="39"/>
      <c r="AL622" s="37"/>
      <c r="AM622" s="37"/>
      <c r="AN622" s="37"/>
      <c r="AO622" s="37"/>
    </row>
    <row r="623" spans="1:41" ht="13.2">
      <c r="A623" s="37"/>
      <c r="B623" s="37"/>
      <c r="C623" s="37"/>
      <c r="D623" s="37"/>
      <c r="E623" s="37"/>
      <c r="F623" s="37"/>
      <c r="G623" s="37"/>
      <c r="H623" s="40"/>
      <c r="I623" s="40"/>
      <c r="J623" s="40"/>
      <c r="K623" s="403"/>
      <c r="L623" s="403"/>
      <c r="M623" s="403"/>
      <c r="N623" s="403"/>
      <c r="O623" s="403"/>
      <c r="P623" s="403"/>
      <c r="Q623" s="37"/>
      <c r="R623" s="37"/>
      <c r="S623" s="37"/>
      <c r="T623" s="37"/>
      <c r="U623" s="37"/>
      <c r="V623" s="37"/>
      <c r="W623" s="37"/>
      <c r="X623" s="37"/>
      <c r="Y623" s="37"/>
      <c r="Z623" s="37"/>
      <c r="AA623" s="37"/>
      <c r="AB623" s="37"/>
      <c r="AC623" s="37"/>
      <c r="AD623" s="37"/>
      <c r="AE623" s="37"/>
      <c r="AF623" s="37"/>
      <c r="AG623" s="37"/>
      <c r="AH623" s="37"/>
      <c r="AI623" s="37"/>
      <c r="AJ623" s="37"/>
      <c r="AK623" s="39"/>
      <c r="AL623" s="37"/>
      <c r="AM623" s="37"/>
      <c r="AN623" s="37"/>
      <c r="AO623" s="37"/>
    </row>
    <row r="624" spans="1:41" ht="13.2">
      <c r="A624" s="37"/>
      <c r="B624" s="37"/>
      <c r="C624" s="37"/>
      <c r="D624" s="37"/>
      <c r="E624" s="37"/>
      <c r="F624" s="37"/>
      <c r="G624" s="37"/>
      <c r="H624" s="40"/>
      <c r="I624" s="40"/>
      <c r="J624" s="40"/>
      <c r="K624" s="403"/>
      <c r="L624" s="403"/>
      <c r="M624" s="403"/>
      <c r="N624" s="403"/>
      <c r="O624" s="403"/>
      <c r="P624" s="403"/>
      <c r="Q624" s="37"/>
      <c r="R624" s="37"/>
      <c r="S624" s="37"/>
      <c r="T624" s="37"/>
      <c r="U624" s="37"/>
      <c r="V624" s="37"/>
      <c r="W624" s="37"/>
      <c r="X624" s="37"/>
      <c r="Y624" s="37"/>
      <c r="Z624" s="37"/>
      <c r="AA624" s="37"/>
      <c r="AB624" s="37"/>
      <c r="AC624" s="37"/>
      <c r="AD624" s="37"/>
      <c r="AE624" s="37"/>
      <c r="AF624" s="37"/>
      <c r="AG624" s="37"/>
      <c r="AH624" s="37"/>
      <c r="AI624" s="37"/>
      <c r="AJ624" s="37"/>
      <c r="AK624" s="39"/>
      <c r="AL624" s="37"/>
      <c r="AM624" s="37"/>
      <c r="AN624" s="37"/>
      <c r="AO624" s="37"/>
    </row>
    <row r="625" spans="1:41" ht="13.2">
      <c r="A625" s="37"/>
      <c r="B625" s="37"/>
      <c r="C625" s="37"/>
      <c r="D625" s="37"/>
      <c r="E625" s="37"/>
      <c r="F625" s="37"/>
      <c r="G625" s="37"/>
      <c r="H625" s="40"/>
      <c r="I625" s="40"/>
      <c r="J625" s="40"/>
      <c r="K625" s="403"/>
      <c r="L625" s="403"/>
      <c r="M625" s="403"/>
      <c r="N625" s="403"/>
      <c r="O625" s="403"/>
      <c r="P625" s="403"/>
      <c r="Q625" s="37"/>
      <c r="R625" s="37"/>
      <c r="S625" s="37"/>
      <c r="T625" s="37"/>
      <c r="U625" s="37"/>
      <c r="V625" s="37"/>
      <c r="W625" s="37"/>
      <c r="X625" s="37"/>
      <c r="Y625" s="37"/>
      <c r="Z625" s="37"/>
      <c r="AA625" s="37"/>
      <c r="AB625" s="37"/>
      <c r="AC625" s="37"/>
      <c r="AD625" s="37"/>
      <c r="AE625" s="37"/>
      <c r="AF625" s="37"/>
      <c r="AG625" s="37"/>
      <c r="AH625" s="37"/>
      <c r="AI625" s="37"/>
      <c r="AJ625" s="37"/>
      <c r="AK625" s="39"/>
      <c r="AL625" s="37"/>
      <c r="AM625" s="37"/>
      <c r="AN625" s="37"/>
      <c r="AO625" s="37"/>
    </row>
    <row r="626" spans="1:41" ht="13.2">
      <c r="A626" s="37"/>
      <c r="B626" s="37"/>
      <c r="C626" s="37"/>
      <c r="D626" s="37"/>
      <c r="E626" s="37"/>
      <c r="F626" s="37"/>
      <c r="G626" s="37"/>
      <c r="H626" s="40"/>
      <c r="I626" s="40"/>
      <c r="J626" s="40"/>
      <c r="K626" s="403"/>
      <c r="L626" s="403"/>
      <c r="M626" s="403"/>
      <c r="N626" s="403"/>
      <c r="O626" s="403"/>
      <c r="P626" s="403"/>
      <c r="Q626" s="37"/>
      <c r="R626" s="37"/>
      <c r="S626" s="37"/>
      <c r="T626" s="37"/>
      <c r="U626" s="37"/>
      <c r="V626" s="37"/>
      <c r="W626" s="37"/>
      <c r="X626" s="37"/>
      <c r="Y626" s="37"/>
      <c r="Z626" s="37"/>
      <c r="AA626" s="37"/>
      <c r="AB626" s="37"/>
      <c r="AC626" s="37"/>
      <c r="AD626" s="37"/>
      <c r="AE626" s="37"/>
      <c r="AF626" s="37"/>
      <c r="AG626" s="37"/>
      <c r="AH626" s="37"/>
      <c r="AI626" s="37"/>
      <c r="AJ626" s="37"/>
      <c r="AK626" s="39"/>
      <c r="AL626" s="37"/>
      <c r="AM626" s="37"/>
      <c r="AN626" s="37"/>
      <c r="AO626" s="37"/>
    </row>
    <row r="627" spans="1:41" ht="13.2">
      <c r="A627" s="37"/>
      <c r="B627" s="37"/>
      <c r="C627" s="37"/>
      <c r="D627" s="37"/>
      <c r="E627" s="37"/>
      <c r="F627" s="37"/>
      <c r="G627" s="37"/>
      <c r="H627" s="40"/>
      <c r="I627" s="40"/>
      <c r="J627" s="40"/>
      <c r="K627" s="403"/>
      <c r="L627" s="403"/>
      <c r="M627" s="403"/>
      <c r="N627" s="403"/>
      <c r="O627" s="403"/>
      <c r="P627" s="403"/>
      <c r="Q627" s="37"/>
      <c r="R627" s="37"/>
      <c r="S627" s="37"/>
      <c r="T627" s="37"/>
      <c r="U627" s="37"/>
      <c r="V627" s="37"/>
      <c r="W627" s="37"/>
      <c r="X627" s="37"/>
      <c r="Y627" s="37"/>
      <c r="Z627" s="37"/>
      <c r="AA627" s="37"/>
      <c r="AB627" s="37"/>
      <c r="AC627" s="37"/>
      <c r="AD627" s="37"/>
      <c r="AE627" s="37"/>
      <c r="AF627" s="37"/>
      <c r="AG627" s="37"/>
      <c r="AH627" s="37"/>
      <c r="AI627" s="37"/>
      <c r="AJ627" s="37"/>
      <c r="AK627" s="39"/>
      <c r="AL627" s="37"/>
      <c r="AM627" s="37"/>
      <c r="AN627" s="37"/>
      <c r="AO627" s="37"/>
    </row>
    <row r="628" spans="1:41" ht="13.2">
      <c r="A628" s="37"/>
      <c r="B628" s="37"/>
      <c r="C628" s="37"/>
      <c r="D628" s="37"/>
      <c r="E628" s="37"/>
      <c r="F628" s="37"/>
      <c r="G628" s="37"/>
      <c r="H628" s="40"/>
      <c r="I628" s="40"/>
      <c r="J628" s="40"/>
      <c r="K628" s="403"/>
      <c r="L628" s="403"/>
      <c r="M628" s="403"/>
      <c r="N628" s="403"/>
      <c r="O628" s="403"/>
      <c r="P628" s="403"/>
      <c r="Q628" s="37"/>
      <c r="R628" s="37"/>
      <c r="S628" s="37"/>
      <c r="T628" s="37"/>
      <c r="U628" s="37"/>
      <c r="V628" s="37"/>
      <c r="W628" s="37"/>
      <c r="X628" s="37"/>
      <c r="Y628" s="37"/>
      <c r="Z628" s="37"/>
      <c r="AA628" s="37"/>
      <c r="AB628" s="37"/>
      <c r="AC628" s="37"/>
      <c r="AD628" s="37"/>
      <c r="AE628" s="37"/>
      <c r="AF628" s="37"/>
      <c r="AG628" s="37"/>
      <c r="AH628" s="37"/>
      <c r="AI628" s="37"/>
      <c r="AJ628" s="37"/>
      <c r="AK628" s="39"/>
      <c r="AL628" s="37"/>
      <c r="AM628" s="37"/>
      <c r="AN628" s="37"/>
      <c r="AO628" s="37"/>
    </row>
    <row r="629" spans="1:41" ht="13.2">
      <c r="A629" s="37"/>
      <c r="B629" s="37"/>
      <c r="C629" s="37"/>
      <c r="D629" s="37"/>
      <c r="E629" s="37"/>
      <c r="F629" s="37"/>
      <c r="G629" s="37"/>
      <c r="H629" s="40"/>
      <c r="I629" s="40"/>
      <c r="J629" s="40"/>
      <c r="K629" s="403"/>
      <c r="L629" s="403"/>
      <c r="M629" s="403"/>
      <c r="N629" s="403"/>
      <c r="O629" s="403"/>
      <c r="P629" s="403"/>
      <c r="Q629" s="37"/>
      <c r="R629" s="37"/>
      <c r="S629" s="37"/>
      <c r="T629" s="37"/>
      <c r="U629" s="37"/>
      <c r="V629" s="37"/>
      <c r="W629" s="37"/>
      <c r="X629" s="37"/>
      <c r="Y629" s="37"/>
      <c r="Z629" s="37"/>
      <c r="AA629" s="37"/>
      <c r="AB629" s="37"/>
      <c r="AC629" s="37"/>
      <c r="AD629" s="37"/>
      <c r="AE629" s="37"/>
      <c r="AF629" s="37"/>
      <c r="AG629" s="37"/>
      <c r="AH629" s="37"/>
      <c r="AI629" s="37"/>
      <c r="AJ629" s="37"/>
      <c r="AK629" s="39"/>
      <c r="AL629" s="37"/>
      <c r="AM629" s="37"/>
      <c r="AN629" s="37"/>
      <c r="AO629" s="37"/>
    </row>
    <row r="630" spans="1:41" ht="13.2">
      <c r="A630" s="37"/>
      <c r="B630" s="37"/>
      <c r="C630" s="37"/>
      <c r="D630" s="37"/>
      <c r="E630" s="37"/>
      <c r="F630" s="37"/>
      <c r="G630" s="37"/>
      <c r="H630" s="40"/>
      <c r="I630" s="40"/>
      <c r="J630" s="40"/>
      <c r="K630" s="403"/>
      <c r="L630" s="403"/>
      <c r="M630" s="403"/>
      <c r="N630" s="403"/>
      <c r="O630" s="403"/>
      <c r="P630" s="403"/>
      <c r="Q630" s="37"/>
      <c r="R630" s="37"/>
      <c r="S630" s="37"/>
      <c r="T630" s="37"/>
      <c r="U630" s="37"/>
      <c r="V630" s="37"/>
      <c r="W630" s="37"/>
      <c r="X630" s="37"/>
      <c r="Y630" s="37"/>
      <c r="Z630" s="37"/>
      <c r="AA630" s="37"/>
      <c r="AB630" s="37"/>
      <c r="AC630" s="37"/>
      <c r="AD630" s="37"/>
      <c r="AE630" s="37"/>
      <c r="AF630" s="37"/>
      <c r="AG630" s="37"/>
      <c r="AH630" s="37"/>
      <c r="AI630" s="37"/>
      <c r="AJ630" s="37"/>
      <c r="AK630" s="39"/>
      <c r="AL630" s="37"/>
      <c r="AM630" s="37"/>
      <c r="AN630" s="37"/>
      <c r="AO630" s="37"/>
    </row>
    <row r="631" spans="1:41" ht="13.2">
      <c r="A631" s="37"/>
      <c r="B631" s="37"/>
      <c r="C631" s="37"/>
      <c r="D631" s="37"/>
      <c r="E631" s="37"/>
      <c r="F631" s="37"/>
      <c r="G631" s="37"/>
      <c r="H631" s="40"/>
      <c r="I631" s="40"/>
      <c r="J631" s="40"/>
      <c r="K631" s="403"/>
      <c r="L631" s="403"/>
      <c r="M631" s="403"/>
      <c r="N631" s="403"/>
      <c r="O631" s="403"/>
      <c r="P631" s="403"/>
      <c r="Q631" s="37"/>
      <c r="R631" s="37"/>
      <c r="S631" s="37"/>
      <c r="T631" s="37"/>
      <c r="U631" s="37"/>
      <c r="V631" s="37"/>
      <c r="W631" s="37"/>
      <c r="X631" s="37"/>
      <c r="Y631" s="37"/>
      <c r="Z631" s="37"/>
      <c r="AA631" s="37"/>
      <c r="AB631" s="37"/>
      <c r="AC631" s="37"/>
      <c r="AD631" s="37"/>
      <c r="AE631" s="37"/>
      <c r="AF631" s="37"/>
      <c r="AG631" s="37"/>
      <c r="AH631" s="37"/>
      <c r="AI631" s="37"/>
      <c r="AJ631" s="37"/>
      <c r="AK631" s="39"/>
      <c r="AL631" s="37"/>
      <c r="AM631" s="37"/>
      <c r="AN631" s="37"/>
      <c r="AO631" s="37"/>
    </row>
    <row r="632" spans="1:41" ht="13.2">
      <c r="A632" s="37"/>
      <c r="B632" s="37"/>
      <c r="C632" s="37"/>
      <c r="D632" s="37"/>
      <c r="E632" s="37"/>
      <c r="F632" s="37"/>
      <c r="G632" s="37"/>
      <c r="H632" s="40"/>
      <c r="I632" s="40"/>
      <c r="J632" s="40"/>
      <c r="K632" s="403"/>
      <c r="L632" s="403"/>
      <c r="M632" s="403"/>
      <c r="N632" s="403"/>
      <c r="O632" s="403"/>
      <c r="P632" s="403"/>
      <c r="Q632" s="37"/>
      <c r="R632" s="37"/>
      <c r="S632" s="37"/>
      <c r="T632" s="37"/>
      <c r="U632" s="37"/>
      <c r="V632" s="37"/>
      <c r="W632" s="37"/>
      <c r="X632" s="37"/>
      <c r="Y632" s="37"/>
      <c r="Z632" s="37"/>
      <c r="AA632" s="37"/>
      <c r="AB632" s="37"/>
      <c r="AC632" s="37"/>
      <c r="AD632" s="37"/>
      <c r="AE632" s="37"/>
      <c r="AF632" s="37"/>
      <c r="AG632" s="37"/>
      <c r="AH632" s="37"/>
      <c r="AI632" s="37"/>
      <c r="AJ632" s="37"/>
      <c r="AK632" s="39"/>
      <c r="AL632" s="37"/>
      <c r="AM632" s="37"/>
      <c r="AN632" s="37"/>
      <c r="AO632" s="37"/>
    </row>
    <row r="633" spans="1:41" ht="13.2">
      <c r="A633" s="37"/>
      <c r="B633" s="37"/>
      <c r="C633" s="37"/>
      <c r="D633" s="37"/>
      <c r="E633" s="37"/>
      <c r="F633" s="37"/>
      <c r="G633" s="37"/>
      <c r="H633" s="40"/>
      <c r="I633" s="40"/>
      <c r="J633" s="40"/>
      <c r="K633" s="403"/>
      <c r="L633" s="403"/>
      <c r="M633" s="403"/>
      <c r="N633" s="403"/>
      <c r="O633" s="403"/>
      <c r="P633" s="403"/>
      <c r="Q633" s="37"/>
      <c r="R633" s="37"/>
      <c r="S633" s="37"/>
      <c r="T633" s="37"/>
      <c r="U633" s="37"/>
      <c r="V633" s="37"/>
      <c r="W633" s="37"/>
      <c r="X633" s="37"/>
      <c r="Y633" s="37"/>
      <c r="Z633" s="37"/>
      <c r="AA633" s="37"/>
      <c r="AB633" s="37"/>
      <c r="AC633" s="37"/>
      <c r="AD633" s="37"/>
      <c r="AE633" s="37"/>
      <c r="AF633" s="37"/>
      <c r="AG633" s="37"/>
      <c r="AH633" s="37"/>
      <c r="AI633" s="37"/>
      <c r="AJ633" s="37"/>
      <c r="AK633" s="39"/>
      <c r="AL633" s="37"/>
      <c r="AM633" s="37"/>
      <c r="AN633" s="37"/>
      <c r="AO633" s="37"/>
    </row>
    <row r="634" spans="1:41" ht="13.2">
      <c r="A634" s="37"/>
      <c r="B634" s="37"/>
      <c r="C634" s="37"/>
      <c r="D634" s="37"/>
      <c r="E634" s="37"/>
      <c r="F634" s="37"/>
      <c r="G634" s="37"/>
      <c r="H634" s="40"/>
      <c r="I634" s="40"/>
      <c r="J634" s="40"/>
      <c r="K634" s="403"/>
      <c r="L634" s="403"/>
      <c r="M634" s="403"/>
      <c r="N634" s="403"/>
      <c r="O634" s="403"/>
      <c r="P634" s="403"/>
      <c r="Q634" s="37"/>
      <c r="R634" s="37"/>
      <c r="S634" s="37"/>
      <c r="T634" s="37"/>
      <c r="U634" s="37"/>
      <c r="V634" s="37"/>
      <c r="W634" s="37"/>
      <c r="X634" s="37"/>
      <c r="Y634" s="37"/>
      <c r="Z634" s="37"/>
      <c r="AA634" s="37"/>
      <c r="AB634" s="37"/>
      <c r="AC634" s="37"/>
      <c r="AD634" s="37"/>
      <c r="AE634" s="37"/>
      <c r="AF634" s="37"/>
      <c r="AG634" s="37"/>
      <c r="AH634" s="37"/>
      <c r="AI634" s="37"/>
      <c r="AJ634" s="37"/>
      <c r="AK634" s="39"/>
      <c r="AL634" s="37"/>
      <c r="AM634" s="37"/>
      <c r="AN634" s="37"/>
      <c r="AO634" s="37"/>
    </row>
    <row r="635" spans="1:41" ht="13.2">
      <c r="A635" s="37"/>
      <c r="B635" s="37"/>
      <c r="C635" s="37"/>
      <c r="D635" s="37"/>
      <c r="E635" s="37"/>
      <c r="F635" s="37"/>
      <c r="G635" s="37"/>
      <c r="H635" s="40"/>
      <c r="I635" s="40"/>
      <c r="J635" s="40"/>
      <c r="K635" s="403"/>
      <c r="L635" s="403"/>
      <c r="M635" s="403"/>
      <c r="N635" s="403"/>
      <c r="O635" s="403"/>
      <c r="P635" s="403"/>
      <c r="Q635" s="37"/>
      <c r="R635" s="37"/>
      <c r="S635" s="37"/>
      <c r="T635" s="37"/>
      <c r="U635" s="37"/>
      <c r="V635" s="37"/>
      <c r="W635" s="37"/>
      <c r="X635" s="37"/>
      <c r="Y635" s="37"/>
      <c r="Z635" s="37"/>
      <c r="AA635" s="37"/>
      <c r="AB635" s="37"/>
      <c r="AC635" s="37"/>
      <c r="AD635" s="37"/>
      <c r="AE635" s="37"/>
      <c r="AF635" s="37"/>
      <c r="AG635" s="37"/>
      <c r="AH635" s="37"/>
      <c r="AI635" s="37"/>
      <c r="AJ635" s="37"/>
      <c r="AK635" s="39"/>
      <c r="AL635" s="37"/>
      <c r="AM635" s="37"/>
      <c r="AN635" s="37"/>
      <c r="AO635" s="37"/>
    </row>
    <row r="636" spans="1:41" ht="13.2">
      <c r="A636" s="37"/>
      <c r="B636" s="37"/>
      <c r="C636" s="37"/>
      <c r="D636" s="37"/>
      <c r="E636" s="37"/>
      <c r="F636" s="37"/>
      <c r="G636" s="37"/>
      <c r="H636" s="40"/>
      <c r="I636" s="40"/>
      <c r="J636" s="40"/>
      <c r="K636" s="403"/>
      <c r="L636" s="403"/>
      <c r="M636" s="403"/>
      <c r="N636" s="403"/>
      <c r="O636" s="403"/>
      <c r="P636" s="403"/>
      <c r="Q636" s="37"/>
      <c r="R636" s="37"/>
      <c r="S636" s="37"/>
      <c r="T636" s="37"/>
      <c r="U636" s="37"/>
      <c r="V636" s="37"/>
      <c r="W636" s="37"/>
      <c r="X636" s="37"/>
      <c r="Y636" s="37"/>
      <c r="Z636" s="37"/>
      <c r="AA636" s="37"/>
      <c r="AB636" s="37"/>
      <c r="AC636" s="37"/>
      <c r="AD636" s="37"/>
      <c r="AE636" s="37"/>
      <c r="AF636" s="37"/>
      <c r="AG636" s="37"/>
      <c r="AH636" s="37"/>
      <c r="AI636" s="37"/>
      <c r="AJ636" s="37"/>
      <c r="AK636" s="39"/>
      <c r="AL636" s="37"/>
      <c r="AM636" s="37"/>
      <c r="AN636" s="37"/>
      <c r="AO636" s="37"/>
    </row>
    <row r="637" spans="1:41" ht="13.2">
      <c r="A637" s="37"/>
      <c r="B637" s="37"/>
      <c r="C637" s="37"/>
      <c r="D637" s="37"/>
      <c r="E637" s="37"/>
      <c r="F637" s="37"/>
      <c r="G637" s="37"/>
      <c r="H637" s="40"/>
      <c r="I637" s="40"/>
      <c r="J637" s="40"/>
      <c r="K637" s="403"/>
      <c r="L637" s="403"/>
      <c r="M637" s="403"/>
      <c r="N637" s="403"/>
      <c r="O637" s="403"/>
      <c r="P637" s="403"/>
      <c r="Q637" s="37"/>
      <c r="R637" s="37"/>
      <c r="S637" s="37"/>
      <c r="T637" s="37"/>
      <c r="U637" s="37"/>
      <c r="V637" s="37"/>
      <c r="W637" s="37"/>
      <c r="X637" s="37"/>
      <c r="Y637" s="37"/>
      <c r="Z637" s="37"/>
      <c r="AA637" s="37"/>
      <c r="AB637" s="37"/>
      <c r="AC637" s="37"/>
      <c r="AD637" s="37"/>
      <c r="AE637" s="37"/>
      <c r="AF637" s="37"/>
      <c r="AG637" s="37"/>
      <c r="AH637" s="37"/>
      <c r="AI637" s="37"/>
      <c r="AJ637" s="37"/>
      <c r="AK637" s="39"/>
      <c r="AL637" s="37"/>
      <c r="AM637" s="37"/>
      <c r="AN637" s="37"/>
      <c r="AO637" s="37"/>
    </row>
    <row r="638" spans="1:41" ht="13.2">
      <c r="A638" s="37"/>
      <c r="B638" s="37"/>
      <c r="C638" s="37"/>
      <c r="D638" s="37"/>
      <c r="E638" s="37"/>
      <c r="F638" s="37"/>
      <c r="G638" s="37"/>
      <c r="H638" s="40"/>
      <c r="I638" s="40"/>
      <c r="J638" s="40"/>
      <c r="K638" s="403"/>
      <c r="L638" s="403"/>
      <c r="M638" s="403"/>
      <c r="N638" s="403"/>
      <c r="O638" s="403"/>
      <c r="P638" s="403"/>
      <c r="Q638" s="37"/>
      <c r="R638" s="37"/>
      <c r="S638" s="37"/>
      <c r="T638" s="37"/>
      <c r="U638" s="37"/>
      <c r="V638" s="37"/>
      <c r="W638" s="37"/>
      <c r="X638" s="37"/>
      <c r="Y638" s="37"/>
      <c r="Z638" s="37"/>
      <c r="AA638" s="37"/>
      <c r="AB638" s="37"/>
      <c r="AC638" s="37"/>
      <c r="AD638" s="37"/>
      <c r="AE638" s="37"/>
      <c r="AF638" s="37"/>
      <c r="AG638" s="37"/>
      <c r="AH638" s="37"/>
      <c r="AI638" s="37"/>
      <c r="AJ638" s="37"/>
      <c r="AK638" s="39"/>
      <c r="AL638" s="37"/>
      <c r="AM638" s="37"/>
      <c r="AN638" s="37"/>
      <c r="AO638" s="37"/>
    </row>
    <row r="639" spans="1:41" ht="13.2">
      <c r="A639" s="37"/>
      <c r="B639" s="37"/>
      <c r="C639" s="37"/>
      <c r="D639" s="37"/>
      <c r="E639" s="37"/>
      <c r="F639" s="37"/>
      <c r="G639" s="37"/>
      <c r="H639" s="40"/>
      <c r="I639" s="40"/>
      <c r="J639" s="40"/>
      <c r="K639" s="403"/>
      <c r="L639" s="403"/>
      <c r="M639" s="403"/>
      <c r="N639" s="403"/>
      <c r="O639" s="403"/>
      <c r="P639" s="403"/>
      <c r="Q639" s="37"/>
      <c r="R639" s="37"/>
      <c r="S639" s="37"/>
      <c r="T639" s="37"/>
      <c r="U639" s="37"/>
      <c r="V639" s="37"/>
      <c r="W639" s="37"/>
      <c r="X639" s="37"/>
      <c r="Y639" s="37"/>
      <c r="Z639" s="37"/>
      <c r="AA639" s="37"/>
      <c r="AB639" s="37"/>
      <c r="AC639" s="37"/>
      <c r="AD639" s="37"/>
      <c r="AE639" s="37"/>
      <c r="AF639" s="37"/>
      <c r="AG639" s="37"/>
      <c r="AH639" s="37"/>
      <c r="AI639" s="37"/>
      <c r="AJ639" s="37"/>
      <c r="AK639" s="39"/>
      <c r="AL639" s="37"/>
      <c r="AM639" s="37"/>
      <c r="AN639" s="37"/>
      <c r="AO639" s="37"/>
    </row>
    <row r="640" spans="1:41" ht="13.2">
      <c r="A640" s="37"/>
      <c r="B640" s="37"/>
      <c r="C640" s="37"/>
      <c r="D640" s="37"/>
      <c r="E640" s="37"/>
      <c r="F640" s="37"/>
      <c r="G640" s="37"/>
      <c r="H640" s="40"/>
      <c r="I640" s="40"/>
      <c r="J640" s="40"/>
      <c r="K640" s="403"/>
      <c r="L640" s="403"/>
      <c r="M640" s="403"/>
      <c r="N640" s="403"/>
      <c r="O640" s="403"/>
      <c r="P640" s="403"/>
      <c r="Q640" s="37"/>
      <c r="R640" s="37"/>
      <c r="S640" s="37"/>
      <c r="T640" s="37"/>
      <c r="U640" s="37"/>
      <c r="V640" s="37"/>
      <c r="W640" s="37"/>
      <c r="X640" s="37"/>
      <c r="Y640" s="37"/>
      <c r="Z640" s="37"/>
      <c r="AA640" s="37"/>
      <c r="AB640" s="37"/>
      <c r="AC640" s="37"/>
      <c r="AD640" s="37"/>
      <c r="AE640" s="37"/>
      <c r="AF640" s="37"/>
      <c r="AG640" s="37"/>
      <c r="AH640" s="37"/>
      <c r="AI640" s="37"/>
      <c r="AJ640" s="37"/>
      <c r="AK640" s="39"/>
      <c r="AL640" s="37"/>
      <c r="AM640" s="37"/>
      <c r="AN640" s="37"/>
      <c r="AO640" s="37"/>
    </row>
    <row r="641" spans="1:41" ht="13.2">
      <c r="A641" s="37"/>
      <c r="B641" s="37"/>
      <c r="C641" s="37"/>
      <c r="D641" s="37"/>
      <c r="E641" s="37"/>
      <c r="F641" s="37"/>
      <c r="G641" s="37"/>
      <c r="H641" s="40"/>
      <c r="I641" s="40"/>
      <c r="J641" s="40"/>
      <c r="K641" s="403"/>
      <c r="L641" s="403"/>
      <c r="M641" s="403"/>
      <c r="N641" s="403"/>
      <c r="O641" s="403"/>
      <c r="P641" s="403"/>
      <c r="Q641" s="37"/>
      <c r="R641" s="37"/>
      <c r="S641" s="37"/>
      <c r="T641" s="37"/>
      <c r="U641" s="37"/>
      <c r="V641" s="37"/>
      <c r="W641" s="37"/>
      <c r="X641" s="37"/>
      <c r="Y641" s="37"/>
      <c r="Z641" s="37"/>
      <c r="AA641" s="37"/>
      <c r="AB641" s="37"/>
      <c r="AC641" s="37"/>
      <c r="AD641" s="37"/>
      <c r="AE641" s="37"/>
      <c r="AF641" s="37"/>
      <c r="AG641" s="37"/>
      <c r="AH641" s="37"/>
      <c r="AI641" s="37"/>
      <c r="AJ641" s="37"/>
      <c r="AK641" s="39"/>
      <c r="AL641" s="37"/>
      <c r="AM641" s="37"/>
      <c r="AN641" s="37"/>
      <c r="AO641" s="37"/>
    </row>
    <row r="642" spans="1:41" ht="13.2">
      <c r="A642" s="37"/>
      <c r="B642" s="37"/>
      <c r="C642" s="37"/>
      <c r="D642" s="37"/>
      <c r="E642" s="37"/>
      <c r="F642" s="37"/>
      <c r="G642" s="37"/>
      <c r="H642" s="40"/>
      <c r="I642" s="40"/>
      <c r="J642" s="40"/>
      <c r="K642" s="403"/>
      <c r="L642" s="403"/>
      <c r="M642" s="403"/>
      <c r="N642" s="403"/>
      <c r="O642" s="403"/>
      <c r="P642" s="403"/>
      <c r="Q642" s="37"/>
      <c r="R642" s="37"/>
      <c r="S642" s="37"/>
      <c r="T642" s="37"/>
      <c r="U642" s="37"/>
      <c r="V642" s="37"/>
      <c r="W642" s="37"/>
      <c r="X642" s="37"/>
      <c r="Y642" s="37"/>
      <c r="Z642" s="37"/>
      <c r="AA642" s="37"/>
      <c r="AB642" s="37"/>
      <c r="AC642" s="37"/>
      <c r="AD642" s="37"/>
      <c r="AE642" s="37"/>
      <c r="AF642" s="37"/>
      <c r="AG642" s="37"/>
      <c r="AH642" s="37"/>
      <c r="AI642" s="37"/>
      <c r="AJ642" s="37"/>
      <c r="AK642" s="39"/>
      <c r="AL642" s="37"/>
      <c r="AM642" s="37"/>
      <c r="AN642" s="37"/>
      <c r="AO642" s="37"/>
    </row>
    <row r="643" spans="1:41" ht="13.2">
      <c r="A643" s="37"/>
      <c r="B643" s="37"/>
      <c r="C643" s="37"/>
      <c r="D643" s="37"/>
      <c r="E643" s="37"/>
      <c r="F643" s="37"/>
      <c r="G643" s="37"/>
      <c r="H643" s="40"/>
      <c r="I643" s="40"/>
      <c r="J643" s="40"/>
      <c r="K643" s="403"/>
      <c r="L643" s="403"/>
      <c r="M643" s="403"/>
      <c r="N643" s="403"/>
      <c r="O643" s="403"/>
      <c r="P643" s="403"/>
      <c r="Q643" s="37"/>
      <c r="R643" s="37"/>
      <c r="S643" s="37"/>
      <c r="T643" s="37"/>
      <c r="U643" s="37"/>
      <c r="V643" s="37"/>
      <c r="W643" s="37"/>
      <c r="X643" s="37"/>
      <c r="Y643" s="37"/>
      <c r="Z643" s="37"/>
      <c r="AA643" s="37"/>
      <c r="AB643" s="37"/>
      <c r="AC643" s="37"/>
      <c r="AD643" s="37"/>
      <c r="AE643" s="37"/>
      <c r="AF643" s="37"/>
      <c r="AG643" s="37"/>
      <c r="AH643" s="37"/>
      <c r="AI643" s="37"/>
      <c r="AJ643" s="37"/>
      <c r="AK643" s="39"/>
      <c r="AL643" s="37"/>
      <c r="AM643" s="37"/>
      <c r="AN643" s="37"/>
      <c r="AO643" s="37"/>
    </row>
    <row r="644" spans="1:41" ht="13.2">
      <c r="A644" s="37"/>
      <c r="B644" s="37"/>
      <c r="C644" s="37"/>
      <c r="D644" s="37"/>
      <c r="E644" s="37"/>
      <c r="F644" s="37"/>
      <c r="G644" s="37"/>
      <c r="H644" s="40"/>
      <c r="I644" s="40"/>
      <c r="J644" s="40"/>
      <c r="K644" s="403"/>
      <c r="L644" s="403"/>
      <c r="M644" s="403"/>
      <c r="N644" s="403"/>
      <c r="O644" s="403"/>
      <c r="P644" s="403"/>
      <c r="Q644" s="37"/>
      <c r="R644" s="37"/>
      <c r="S644" s="37"/>
      <c r="T644" s="37"/>
      <c r="U644" s="37"/>
      <c r="V644" s="37"/>
      <c r="W644" s="37"/>
      <c r="X644" s="37"/>
      <c r="Y644" s="37"/>
      <c r="Z644" s="37"/>
      <c r="AA644" s="37"/>
      <c r="AB644" s="37"/>
      <c r="AC644" s="37"/>
      <c r="AD644" s="37"/>
      <c r="AE644" s="37"/>
      <c r="AF644" s="37"/>
      <c r="AG644" s="37"/>
      <c r="AH644" s="37"/>
      <c r="AI644" s="37"/>
      <c r="AJ644" s="37"/>
      <c r="AK644" s="39"/>
      <c r="AL644" s="37"/>
      <c r="AM644" s="37"/>
      <c r="AN644" s="37"/>
      <c r="AO644" s="37"/>
    </row>
    <row r="645" spans="1:41" ht="13.2">
      <c r="A645" s="37"/>
      <c r="B645" s="37"/>
      <c r="C645" s="37"/>
      <c r="D645" s="37"/>
      <c r="E645" s="37"/>
      <c r="F645" s="37"/>
      <c r="G645" s="37"/>
      <c r="H645" s="40"/>
      <c r="I645" s="40"/>
      <c r="J645" s="40"/>
      <c r="K645" s="403"/>
      <c r="L645" s="403"/>
      <c r="M645" s="403"/>
      <c r="N645" s="403"/>
      <c r="O645" s="403"/>
      <c r="P645" s="403"/>
      <c r="Q645" s="37"/>
      <c r="R645" s="37"/>
      <c r="S645" s="37"/>
      <c r="T645" s="37"/>
      <c r="U645" s="37"/>
      <c r="V645" s="37"/>
      <c r="W645" s="37"/>
      <c r="X645" s="37"/>
      <c r="Y645" s="37"/>
      <c r="Z645" s="37"/>
      <c r="AA645" s="37"/>
      <c r="AB645" s="37"/>
      <c r="AC645" s="37"/>
      <c r="AD645" s="37"/>
      <c r="AE645" s="37"/>
      <c r="AF645" s="37"/>
      <c r="AG645" s="37"/>
      <c r="AH645" s="37"/>
      <c r="AI645" s="37"/>
      <c r="AJ645" s="37"/>
      <c r="AK645" s="39"/>
      <c r="AL645" s="37"/>
      <c r="AM645" s="37"/>
      <c r="AN645" s="37"/>
      <c r="AO645" s="37"/>
    </row>
    <row r="646" spans="1:41" ht="13.2">
      <c r="A646" s="37"/>
      <c r="B646" s="37"/>
      <c r="C646" s="37"/>
      <c r="D646" s="37"/>
      <c r="E646" s="37"/>
      <c r="F646" s="37"/>
      <c r="G646" s="37"/>
      <c r="H646" s="40"/>
      <c r="I646" s="40"/>
      <c r="J646" s="40"/>
      <c r="K646" s="403"/>
      <c r="L646" s="403"/>
      <c r="M646" s="403"/>
      <c r="N646" s="403"/>
      <c r="O646" s="403"/>
      <c r="P646" s="403"/>
      <c r="Q646" s="37"/>
      <c r="R646" s="37"/>
      <c r="S646" s="37"/>
      <c r="T646" s="37"/>
      <c r="U646" s="37"/>
      <c r="V646" s="37"/>
      <c r="W646" s="37"/>
      <c r="X646" s="37"/>
      <c r="Y646" s="37"/>
      <c r="Z646" s="37"/>
      <c r="AA646" s="37"/>
      <c r="AB646" s="37"/>
      <c r="AC646" s="37"/>
      <c r="AD646" s="37"/>
      <c r="AE646" s="37"/>
      <c r="AF646" s="37"/>
      <c r="AG646" s="37"/>
      <c r="AH646" s="37"/>
      <c r="AI646" s="37"/>
      <c r="AJ646" s="37"/>
      <c r="AK646" s="39"/>
      <c r="AL646" s="37"/>
      <c r="AM646" s="37"/>
      <c r="AN646" s="37"/>
      <c r="AO646" s="37"/>
    </row>
    <row r="647" spans="1:41" ht="13.2">
      <c r="A647" s="37"/>
      <c r="B647" s="37"/>
      <c r="C647" s="37"/>
      <c r="D647" s="37"/>
      <c r="E647" s="37"/>
      <c r="F647" s="37"/>
      <c r="G647" s="37"/>
      <c r="H647" s="40"/>
      <c r="I647" s="40"/>
      <c r="J647" s="40"/>
      <c r="K647" s="403"/>
      <c r="L647" s="403"/>
      <c r="M647" s="403"/>
      <c r="N647" s="403"/>
      <c r="O647" s="403"/>
      <c r="P647" s="403"/>
      <c r="Q647" s="37"/>
      <c r="R647" s="37"/>
      <c r="S647" s="37"/>
      <c r="T647" s="37"/>
      <c r="U647" s="37"/>
      <c r="V647" s="37"/>
      <c r="W647" s="37"/>
      <c r="X647" s="37"/>
      <c r="Y647" s="37"/>
      <c r="Z647" s="37"/>
      <c r="AA647" s="37"/>
      <c r="AB647" s="37"/>
      <c r="AC647" s="37"/>
      <c r="AD647" s="37"/>
      <c r="AE647" s="37"/>
      <c r="AF647" s="37"/>
      <c r="AG647" s="37"/>
      <c r="AH647" s="37"/>
      <c r="AI647" s="37"/>
      <c r="AJ647" s="37"/>
      <c r="AK647" s="39"/>
      <c r="AL647" s="37"/>
      <c r="AM647" s="37"/>
      <c r="AN647" s="37"/>
      <c r="AO647" s="37"/>
    </row>
    <row r="648" spans="1:41" ht="13.2">
      <c r="A648" s="37"/>
      <c r="B648" s="37"/>
      <c r="C648" s="37"/>
      <c r="D648" s="37"/>
      <c r="E648" s="37"/>
      <c r="F648" s="37"/>
      <c r="G648" s="37"/>
      <c r="H648" s="40"/>
      <c r="I648" s="40"/>
      <c r="J648" s="40"/>
      <c r="K648" s="403"/>
      <c r="L648" s="403"/>
      <c r="M648" s="403"/>
      <c r="N648" s="403"/>
      <c r="O648" s="403"/>
      <c r="P648" s="403"/>
      <c r="Q648" s="37"/>
      <c r="R648" s="37"/>
      <c r="S648" s="37"/>
      <c r="T648" s="37"/>
      <c r="U648" s="37"/>
      <c r="V648" s="37"/>
      <c r="W648" s="37"/>
      <c r="X648" s="37"/>
      <c r="Y648" s="37"/>
      <c r="Z648" s="37"/>
      <c r="AA648" s="37"/>
      <c r="AB648" s="37"/>
      <c r="AC648" s="37"/>
      <c r="AD648" s="37"/>
      <c r="AE648" s="37"/>
      <c r="AF648" s="37"/>
      <c r="AG648" s="37"/>
      <c r="AH648" s="37"/>
      <c r="AI648" s="37"/>
      <c r="AJ648" s="37"/>
      <c r="AK648" s="39"/>
      <c r="AL648" s="37"/>
      <c r="AM648" s="37"/>
      <c r="AN648" s="37"/>
      <c r="AO648" s="37"/>
    </row>
    <row r="649" spans="1:41" ht="13.2">
      <c r="A649" s="37"/>
      <c r="B649" s="37"/>
      <c r="C649" s="37"/>
      <c r="D649" s="37"/>
      <c r="E649" s="37"/>
      <c r="F649" s="37"/>
      <c r="G649" s="37"/>
      <c r="H649" s="40"/>
      <c r="I649" s="40"/>
      <c r="J649" s="40"/>
      <c r="K649" s="403"/>
      <c r="L649" s="403"/>
      <c r="M649" s="403"/>
      <c r="N649" s="403"/>
      <c r="O649" s="403"/>
      <c r="P649" s="403"/>
      <c r="Q649" s="37"/>
      <c r="R649" s="37"/>
      <c r="S649" s="37"/>
      <c r="T649" s="37"/>
      <c r="U649" s="37"/>
      <c r="V649" s="37"/>
      <c r="W649" s="37"/>
      <c r="X649" s="37"/>
      <c r="Y649" s="37"/>
      <c r="Z649" s="37"/>
      <c r="AA649" s="37"/>
      <c r="AB649" s="37"/>
      <c r="AC649" s="37"/>
      <c r="AD649" s="37"/>
      <c r="AE649" s="37"/>
      <c r="AF649" s="37"/>
      <c r="AG649" s="37"/>
      <c r="AH649" s="37"/>
      <c r="AI649" s="37"/>
      <c r="AJ649" s="37"/>
      <c r="AK649" s="39"/>
      <c r="AL649" s="37"/>
      <c r="AM649" s="37"/>
      <c r="AN649" s="37"/>
      <c r="AO649" s="37"/>
    </row>
    <row r="650" spans="1:41" ht="13.2">
      <c r="A650" s="37"/>
      <c r="B650" s="37"/>
      <c r="C650" s="37"/>
      <c r="D650" s="37"/>
      <c r="E650" s="37"/>
      <c r="F650" s="37"/>
      <c r="G650" s="37"/>
      <c r="H650" s="40"/>
      <c r="I650" s="40"/>
      <c r="J650" s="40"/>
      <c r="K650" s="403"/>
      <c r="L650" s="403"/>
      <c r="M650" s="403"/>
      <c r="N650" s="403"/>
      <c r="O650" s="403"/>
      <c r="P650" s="403"/>
      <c r="Q650" s="37"/>
      <c r="R650" s="37"/>
      <c r="S650" s="37"/>
      <c r="T650" s="37"/>
      <c r="U650" s="37"/>
      <c r="V650" s="37"/>
      <c r="W650" s="37"/>
      <c r="X650" s="37"/>
      <c r="Y650" s="37"/>
      <c r="Z650" s="37"/>
      <c r="AA650" s="37"/>
      <c r="AB650" s="37"/>
      <c r="AC650" s="37"/>
      <c r="AD650" s="37"/>
      <c r="AE650" s="37"/>
      <c r="AF650" s="37"/>
      <c r="AG650" s="37"/>
      <c r="AH650" s="37"/>
      <c r="AI650" s="37"/>
      <c r="AJ650" s="37"/>
      <c r="AK650" s="39"/>
      <c r="AL650" s="37"/>
      <c r="AM650" s="37"/>
      <c r="AN650" s="37"/>
      <c r="AO650" s="37"/>
    </row>
    <row r="651" spans="1:41" ht="13.2">
      <c r="A651" s="37"/>
      <c r="B651" s="37"/>
      <c r="C651" s="37"/>
      <c r="D651" s="37"/>
      <c r="E651" s="37"/>
      <c r="F651" s="37"/>
      <c r="G651" s="37"/>
      <c r="H651" s="40"/>
      <c r="I651" s="40"/>
      <c r="J651" s="40"/>
      <c r="K651" s="403"/>
      <c r="L651" s="403"/>
      <c r="M651" s="403"/>
      <c r="N651" s="403"/>
      <c r="O651" s="403"/>
      <c r="P651" s="403"/>
      <c r="Q651" s="37"/>
      <c r="R651" s="37"/>
      <c r="S651" s="37"/>
      <c r="T651" s="37"/>
      <c r="U651" s="37"/>
      <c r="V651" s="37"/>
      <c r="W651" s="37"/>
      <c r="X651" s="37"/>
      <c r="Y651" s="37"/>
      <c r="Z651" s="37"/>
      <c r="AA651" s="37"/>
      <c r="AB651" s="37"/>
      <c r="AC651" s="37"/>
      <c r="AD651" s="37"/>
      <c r="AE651" s="37"/>
      <c r="AF651" s="37"/>
      <c r="AG651" s="37"/>
      <c r="AH651" s="37"/>
      <c r="AI651" s="37"/>
      <c r="AJ651" s="37"/>
      <c r="AK651" s="39"/>
      <c r="AL651" s="37"/>
      <c r="AM651" s="37"/>
      <c r="AN651" s="37"/>
      <c r="AO651" s="37"/>
    </row>
    <row r="652" spans="1:41" ht="13.2">
      <c r="A652" s="37"/>
      <c r="B652" s="37"/>
      <c r="C652" s="37"/>
      <c r="D652" s="37"/>
      <c r="E652" s="37"/>
      <c r="F652" s="37"/>
      <c r="G652" s="37"/>
      <c r="H652" s="40"/>
      <c r="I652" s="40"/>
      <c r="J652" s="40"/>
      <c r="K652" s="403"/>
      <c r="L652" s="403"/>
      <c r="M652" s="403"/>
      <c r="N652" s="403"/>
      <c r="O652" s="403"/>
      <c r="P652" s="403"/>
      <c r="Q652" s="37"/>
      <c r="R652" s="37"/>
      <c r="S652" s="37"/>
      <c r="T652" s="37"/>
      <c r="U652" s="37"/>
      <c r="V652" s="37"/>
      <c r="W652" s="37"/>
      <c r="X652" s="37"/>
      <c r="Y652" s="37"/>
      <c r="Z652" s="37"/>
      <c r="AA652" s="37"/>
      <c r="AB652" s="37"/>
      <c r="AC652" s="37"/>
      <c r="AD652" s="37"/>
      <c r="AE652" s="37"/>
      <c r="AF652" s="37"/>
      <c r="AG652" s="37"/>
      <c r="AH652" s="37"/>
      <c r="AI652" s="37"/>
      <c r="AJ652" s="37"/>
      <c r="AK652" s="39"/>
      <c r="AL652" s="37"/>
      <c r="AM652" s="37"/>
      <c r="AN652" s="37"/>
      <c r="AO652" s="37"/>
    </row>
    <row r="653" spans="1:41" ht="13.2">
      <c r="A653" s="37"/>
      <c r="B653" s="37"/>
      <c r="C653" s="37"/>
      <c r="D653" s="37"/>
      <c r="E653" s="37"/>
      <c r="F653" s="37"/>
      <c r="G653" s="37"/>
      <c r="H653" s="40"/>
      <c r="I653" s="40"/>
      <c r="J653" s="40"/>
      <c r="K653" s="403"/>
      <c r="L653" s="403"/>
      <c r="M653" s="403"/>
      <c r="N653" s="403"/>
      <c r="O653" s="403"/>
      <c r="P653" s="403"/>
      <c r="Q653" s="37"/>
      <c r="R653" s="37"/>
      <c r="S653" s="37"/>
      <c r="T653" s="37"/>
      <c r="U653" s="37"/>
      <c r="V653" s="37"/>
      <c r="W653" s="37"/>
      <c r="X653" s="37"/>
      <c r="Y653" s="37"/>
      <c r="Z653" s="37"/>
      <c r="AA653" s="37"/>
      <c r="AB653" s="37"/>
      <c r="AC653" s="37"/>
      <c r="AD653" s="37"/>
      <c r="AE653" s="37"/>
      <c r="AF653" s="37"/>
      <c r="AG653" s="37"/>
      <c r="AH653" s="37"/>
      <c r="AI653" s="37"/>
      <c r="AJ653" s="37"/>
      <c r="AK653" s="39"/>
      <c r="AL653" s="37"/>
      <c r="AM653" s="37"/>
      <c r="AN653" s="37"/>
      <c r="AO653" s="37"/>
    </row>
    <row r="654" spans="1:41" ht="13.2">
      <c r="A654" s="37"/>
      <c r="B654" s="37"/>
      <c r="C654" s="37"/>
      <c r="D654" s="37"/>
      <c r="E654" s="37"/>
      <c r="F654" s="37"/>
      <c r="G654" s="37"/>
      <c r="H654" s="40"/>
      <c r="I654" s="40"/>
      <c r="J654" s="40"/>
      <c r="K654" s="403"/>
      <c r="L654" s="403"/>
      <c r="M654" s="403"/>
      <c r="N654" s="403"/>
      <c r="O654" s="403"/>
      <c r="P654" s="403"/>
      <c r="Q654" s="37"/>
      <c r="R654" s="37"/>
      <c r="S654" s="37"/>
      <c r="T654" s="37"/>
      <c r="U654" s="37"/>
      <c r="V654" s="37"/>
      <c r="W654" s="37"/>
      <c r="X654" s="37"/>
      <c r="Y654" s="37"/>
      <c r="Z654" s="37"/>
      <c r="AA654" s="37"/>
      <c r="AB654" s="37"/>
      <c r="AC654" s="37"/>
      <c r="AD654" s="37"/>
      <c r="AE654" s="37"/>
      <c r="AF654" s="37"/>
      <c r="AG654" s="37"/>
      <c r="AH654" s="37"/>
      <c r="AI654" s="37"/>
      <c r="AJ654" s="37"/>
      <c r="AK654" s="39"/>
      <c r="AL654" s="37"/>
      <c r="AM654" s="37"/>
      <c r="AN654" s="37"/>
      <c r="AO654" s="37"/>
    </row>
    <row r="655" spans="1:41" ht="13.2">
      <c r="A655" s="37"/>
      <c r="B655" s="37"/>
      <c r="C655" s="37"/>
      <c r="D655" s="37"/>
      <c r="E655" s="37"/>
      <c r="F655" s="37"/>
      <c r="G655" s="37"/>
      <c r="H655" s="40"/>
      <c r="I655" s="40"/>
      <c r="J655" s="40"/>
      <c r="K655" s="403"/>
      <c r="L655" s="403"/>
      <c r="M655" s="403"/>
      <c r="N655" s="403"/>
      <c r="O655" s="403"/>
      <c r="P655" s="403"/>
      <c r="Q655" s="37"/>
      <c r="R655" s="37"/>
      <c r="S655" s="37"/>
      <c r="T655" s="37"/>
      <c r="U655" s="37"/>
      <c r="V655" s="37"/>
      <c r="W655" s="37"/>
      <c r="X655" s="37"/>
      <c r="Y655" s="37"/>
      <c r="Z655" s="37"/>
      <c r="AA655" s="37"/>
      <c r="AB655" s="37"/>
      <c r="AC655" s="37"/>
      <c r="AD655" s="37"/>
      <c r="AE655" s="37"/>
      <c r="AF655" s="37"/>
      <c r="AG655" s="37"/>
      <c r="AH655" s="37"/>
      <c r="AI655" s="37"/>
      <c r="AJ655" s="37"/>
      <c r="AK655" s="39"/>
      <c r="AL655" s="37"/>
      <c r="AM655" s="37"/>
      <c r="AN655" s="37"/>
      <c r="AO655" s="37"/>
    </row>
    <row r="656" spans="1:41" ht="13.2">
      <c r="A656" s="37"/>
      <c r="B656" s="37"/>
      <c r="C656" s="37"/>
      <c r="D656" s="37"/>
      <c r="E656" s="37"/>
      <c r="F656" s="37"/>
      <c r="G656" s="37"/>
      <c r="H656" s="40"/>
      <c r="I656" s="40"/>
      <c r="J656" s="40"/>
      <c r="K656" s="403"/>
      <c r="L656" s="403"/>
      <c r="M656" s="403"/>
      <c r="N656" s="403"/>
      <c r="O656" s="403"/>
      <c r="P656" s="403"/>
      <c r="Q656" s="37"/>
      <c r="R656" s="37"/>
      <c r="S656" s="37"/>
      <c r="T656" s="37"/>
      <c r="U656" s="37"/>
      <c r="V656" s="37"/>
      <c r="W656" s="37"/>
      <c r="X656" s="37"/>
      <c r="Y656" s="37"/>
      <c r="Z656" s="37"/>
      <c r="AA656" s="37"/>
      <c r="AB656" s="37"/>
      <c r="AC656" s="37"/>
      <c r="AD656" s="37"/>
      <c r="AE656" s="37"/>
      <c r="AF656" s="37"/>
      <c r="AG656" s="37"/>
      <c r="AH656" s="37"/>
      <c r="AI656" s="37"/>
      <c r="AJ656" s="37"/>
      <c r="AK656" s="39"/>
      <c r="AL656" s="37"/>
      <c r="AM656" s="37"/>
      <c r="AN656" s="37"/>
      <c r="AO656" s="37"/>
    </row>
    <row r="657" spans="1:41" ht="13.2">
      <c r="A657" s="37"/>
      <c r="B657" s="37"/>
      <c r="C657" s="37"/>
      <c r="D657" s="37"/>
      <c r="E657" s="37"/>
      <c r="F657" s="37"/>
      <c r="G657" s="37"/>
      <c r="H657" s="40"/>
      <c r="I657" s="40"/>
      <c r="J657" s="40"/>
      <c r="K657" s="403"/>
      <c r="L657" s="403"/>
      <c r="M657" s="403"/>
      <c r="N657" s="403"/>
      <c r="O657" s="403"/>
      <c r="P657" s="403"/>
      <c r="Q657" s="37"/>
      <c r="R657" s="37"/>
      <c r="S657" s="37"/>
      <c r="T657" s="37"/>
      <c r="U657" s="37"/>
      <c r="V657" s="37"/>
      <c r="W657" s="37"/>
      <c r="X657" s="37"/>
      <c r="Y657" s="37"/>
      <c r="Z657" s="37"/>
      <c r="AA657" s="37"/>
      <c r="AB657" s="37"/>
      <c r="AC657" s="37"/>
      <c r="AD657" s="37"/>
      <c r="AE657" s="37"/>
      <c r="AF657" s="37"/>
      <c r="AG657" s="37"/>
      <c r="AH657" s="37"/>
      <c r="AI657" s="37"/>
      <c r="AJ657" s="37"/>
      <c r="AK657" s="39"/>
      <c r="AL657" s="37"/>
      <c r="AM657" s="37"/>
      <c r="AN657" s="37"/>
      <c r="AO657" s="37"/>
    </row>
    <row r="658" spans="1:41" ht="13.2">
      <c r="A658" s="37"/>
      <c r="B658" s="37"/>
      <c r="C658" s="37"/>
      <c r="D658" s="37"/>
      <c r="E658" s="37"/>
      <c r="F658" s="37"/>
      <c r="G658" s="37"/>
      <c r="H658" s="40"/>
      <c r="I658" s="40"/>
      <c r="J658" s="40"/>
      <c r="K658" s="403"/>
      <c r="L658" s="403"/>
      <c r="M658" s="403"/>
      <c r="N658" s="403"/>
      <c r="O658" s="403"/>
      <c r="P658" s="403"/>
      <c r="Q658" s="37"/>
      <c r="R658" s="37"/>
      <c r="S658" s="37"/>
      <c r="T658" s="37"/>
      <c r="U658" s="37"/>
      <c r="V658" s="37"/>
      <c r="W658" s="37"/>
      <c r="X658" s="37"/>
      <c r="Y658" s="37"/>
      <c r="Z658" s="37"/>
      <c r="AA658" s="37"/>
      <c r="AB658" s="37"/>
      <c r="AC658" s="37"/>
      <c r="AD658" s="37"/>
      <c r="AE658" s="37"/>
      <c r="AF658" s="37"/>
      <c r="AG658" s="37"/>
      <c r="AH658" s="37"/>
      <c r="AI658" s="37"/>
      <c r="AJ658" s="37"/>
      <c r="AK658" s="39"/>
      <c r="AL658" s="37"/>
      <c r="AM658" s="37"/>
      <c r="AN658" s="37"/>
      <c r="AO658" s="37"/>
    </row>
    <row r="659" spans="1:41" ht="13.2">
      <c r="A659" s="37"/>
      <c r="B659" s="37"/>
      <c r="C659" s="37"/>
      <c r="D659" s="37"/>
      <c r="E659" s="37"/>
      <c r="F659" s="37"/>
      <c r="G659" s="37"/>
      <c r="H659" s="40"/>
      <c r="I659" s="40"/>
      <c r="J659" s="40"/>
      <c r="K659" s="403"/>
      <c r="L659" s="403"/>
      <c r="M659" s="403"/>
      <c r="N659" s="403"/>
      <c r="O659" s="403"/>
      <c r="P659" s="403"/>
      <c r="Q659" s="37"/>
      <c r="R659" s="37"/>
      <c r="S659" s="37"/>
      <c r="T659" s="37"/>
      <c r="U659" s="37"/>
      <c r="V659" s="37"/>
      <c r="W659" s="37"/>
      <c r="X659" s="37"/>
      <c r="Y659" s="37"/>
      <c r="Z659" s="37"/>
      <c r="AA659" s="37"/>
      <c r="AB659" s="37"/>
      <c r="AC659" s="37"/>
      <c r="AD659" s="37"/>
      <c r="AE659" s="37"/>
      <c r="AF659" s="37"/>
      <c r="AG659" s="37"/>
      <c r="AH659" s="37"/>
      <c r="AI659" s="37"/>
      <c r="AJ659" s="37"/>
      <c r="AK659" s="39"/>
      <c r="AL659" s="37"/>
      <c r="AM659" s="37"/>
      <c r="AN659" s="37"/>
      <c r="AO659" s="37"/>
    </row>
    <row r="660" spans="1:41" ht="13.2">
      <c r="A660" s="37"/>
      <c r="B660" s="37"/>
      <c r="C660" s="37"/>
      <c r="D660" s="37"/>
      <c r="E660" s="37"/>
      <c r="F660" s="37"/>
      <c r="G660" s="37"/>
      <c r="H660" s="40"/>
      <c r="I660" s="40"/>
      <c r="J660" s="40"/>
      <c r="K660" s="403"/>
      <c r="L660" s="403"/>
      <c r="M660" s="403"/>
      <c r="N660" s="403"/>
      <c r="O660" s="403"/>
      <c r="P660" s="403"/>
      <c r="Q660" s="37"/>
      <c r="R660" s="37"/>
      <c r="S660" s="37"/>
      <c r="T660" s="37"/>
      <c r="U660" s="37"/>
      <c r="V660" s="37"/>
      <c r="W660" s="37"/>
      <c r="X660" s="37"/>
      <c r="Y660" s="37"/>
      <c r="Z660" s="37"/>
      <c r="AA660" s="37"/>
      <c r="AB660" s="37"/>
      <c r="AC660" s="37"/>
      <c r="AD660" s="37"/>
      <c r="AE660" s="37"/>
      <c r="AF660" s="37"/>
      <c r="AG660" s="37"/>
      <c r="AH660" s="37"/>
      <c r="AI660" s="37"/>
      <c r="AJ660" s="37"/>
      <c r="AK660" s="39"/>
      <c r="AL660" s="37"/>
      <c r="AM660" s="37"/>
      <c r="AN660" s="37"/>
      <c r="AO660" s="37"/>
    </row>
    <row r="661" spans="1:41" ht="13.2">
      <c r="A661" s="37"/>
      <c r="B661" s="37"/>
      <c r="C661" s="37"/>
      <c r="D661" s="37"/>
      <c r="E661" s="37"/>
      <c r="F661" s="37"/>
      <c r="G661" s="37"/>
      <c r="H661" s="40"/>
      <c r="I661" s="40"/>
      <c r="J661" s="40"/>
      <c r="K661" s="403"/>
      <c r="L661" s="403"/>
      <c r="M661" s="403"/>
      <c r="N661" s="403"/>
      <c r="O661" s="403"/>
      <c r="P661" s="403"/>
      <c r="Q661" s="37"/>
      <c r="R661" s="37"/>
      <c r="S661" s="37"/>
      <c r="T661" s="37"/>
      <c r="U661" s="37"/>
      <c r="V661" s="37"/>
      <c r="W661" s="37"/>
      <c r="X661" s="37"/>
      <c r="Y661" s="37"/>
      <c r="Z661" s="37"/>
      <c r="AA661" s="37"/>
      <c r="AB661" s="37"/>
      <c r="AC661" s="37"/>
      <c r="AD661" s="37"/>
      <c r="AE661" s="37"/>
      <c r="AF661" s="37"/>
      <c r="AG661" s="37"/>
      <c r="AH661" s="37"/>
      <c r="AI661" s="37"/>
      <c r="AJ661" s="37"/>
      <c r="AK661" s="39"/>
      <c r="AL661" s="37"/>
      <c r="AM661" s="37"/>
      <c r="AN661" s="37"/>
      <c r="AO661" s="37"/>
    </row>
    <row r="662" spans="1:41" ht="13.2">
      <c r="A662" s="37"/>
      <c r="B662" s="37"/>
      <c r="C662" s="37"/>
      <c r="D662" s="37"/>
      <c r="E662" s="37"/>
      <c r="F662" s="37"/>
      <c r="G662" s="37"/>
      <c r="H662" s="40"/>
      <c r="I662" s="40"/>
      <c r="J662" s="40"/>
      <c r="K662" s="403"/>
      <c r="L662" s="403"/>
      <c r="M662" s="403"/>
      <c r="N662" s="403"/>
      <c r="O662" s="403"/>
      <c r="P662" s="403"/>
      <c r="Q662" s="37"/>
      <c r="R662" s="37"/>
      <c r="S662" s="37"/>
      <c r="T662" s="37"/>
      <c r="U662" s="37"/>
      <c r="V662" s="37"/>
      <c r="W662" s="37"/>
      <c r="X662" s="37"/>
      <c r="Y662" s="37"/>
      <c r="Z662" s="37"/>
      <c r="AA662" s="37"/>
      <c r="AB662" s="37"/>
      <c r="AC662" s="37"/>
      <c r="AD662" s="37"/>
      <c r="AE662" s="37"/>
      <c r="AF662" s="37"/>
      <c r="AG662" s="37"/>
      <c r="AH662" s="37"/>
      <c r="AI662" s="37"/>
      <c r="AJ662" s="37"/>
      <c r="AK662" s="39"/>
      <c r="AL662" s="37"/>
      <c r="AM662" s="37"/>
      <c r="AN662" s="37"/>
      <c r="AO662" s="37"/>
    </row>
    <row r="663" spans="1:41" ht="13.2">
      <c r="A663" s="37"/>
      <c r="B663" s="37"/>
      <c r="C663" s="37"/>
      <c r="D663" s="37"/>
      <c r="E663" s="37"/>
      <c r="F663" s="37"/>
      <c r="G663" s="37"/>
      <c r="H663" s="40"/>
      <c r="I663" s="40"/>
      <c r="J663" s="40"/>
      <c r="K663" s="403"/>
      <c r="L663" s="403"/>
      <c r="M663" s="403"/>
      <c r="N663" s="403"/>
      <c r="O663" s="403"/>
      <c r="P663" s="403"/>
      <c r="Q663" s="37"/>
      <c r="R663" s="37"/>
      <c r="S663" s="37"/>
      <c r="T663" s="37"/>
      <c r="U663" s="37"/>
      <c r="V663" s="37"/>
      <c r="W663" s="37"/>
      <c r="X663" s="37"/>
      <c r="Y663" s="37"/>
      <c r="Z663" s="37"/>
      <c r="AA663" s="37"/>
      <c r="AB663" s="37"/>
      <c r="AC663" s="37"/>
      <c r="AD663" s="37"/>
      <c r="AE663" s="37"/>
      <c r="AF663" s="37"/>
      <c r="AG663" s="37"/>
      <c r="AH663" s="37"/>
      <c r="AI663" s="37"/>
      <c r="AJ663" s="37"/>
      <c r="AK663" s="39"/>
      <c r="AL663" s="37"/>
      <c r="AM663" s="37"/>
      <c r="AN663" s="37"/>
      <c r="AO663" s="37"/>
    </row>
    <row r="664" spans="1:41" ht="13.2">
      <c r="A664" s="37"/>
      <c r="B664" s="37"/>
      <c r="C664" s="37"/>
      <c r="D664" s="37"/>
      <c r="E664" s="37"/>
      <c r="F664" s="37"/>
      <c r="G664" s="37"/>
      <c r="H664" s="40"/>
      <c r="I664" s="40"/>
      <c r="J664" s="40"/>
      <c r="K664" s="403"/>
      <c r="L664" s="403"/>
      <c r="M664" s="403"/>
      <c r="N664" s="403"/>
      <c r="O664" s="403"/>
      <c r="P664" s="403"/>
      <c r="Q664" s="37"/>
      <c r="R664" s="37"/>
      <c r="S664" s="37"/>
      <c r="T664" s="37"/>
      <c r="U664" s="37"/>
      <c r="V664" s="37"/>
      <c r="W664" s="37"/>
      <c r="X664" s="37"/>
      <c r="Y664" s="37"/>
      <c r="Z664" s="37"/>
      <c r="AA664" s="37"/>
      <c r="AB664" s="37"/>
      <c r="AC664" s="37"/>
      <c r="AD664" s="37"/>
      <c r="AE664" s="37"/>
      <c r="AF664" s="37"/>
      <c r="AG664" s="37"/>
      <c r="AH664" s="37"/>
      <c r="AI664" s="37"/>
      <c r="AJ664" s="37"/>
      <c r="AK664" s="39"/>
      <c r="AL664" s="37"/>
      <c r="AM664" s="37"/>
      <c r="AN664" s="37"/>
      <c r="AO664" s="37"/>
    </row>
    <row r="665" spans="1:41" ht="13.2">
      <c r="A665" s="37"/>
      <c r="B665" s="37"/>
      <c r="C665" s="37"/>
      <c r="D665" s="37"/>
      <c r="E665" s="37"/>
      <c r="F665" s="37"/>
      <c r="G665" s="37"/>
      <c r="H665" s="40"/>
      <c r="I665" s="40"/>
      <c r="J665" s="40"/>
      <c r="K665" s="403"/>
      <c r="L665" s="403"/>
      <c r="M665" s="403"/>
      <c r="N665" s="403"/>
      <c r="O665" s="403"/>
      <c r="P665" s="403"/>
      <c r="Q665" s="37"/>
      <c r="R665" s="37"/>
      <c r="S665" s="37"/>
      <c r="T665" s="37"/>
      <c r="U665" s="37"/>
      <c r="V665" s="37"/>
      <c r="W665" s="37"/>
      <c r="X665" s="37"/>
      <c r="Y665" s="37"/>
      <c r="Z665" s="37"/>
      <c r="AA665" s="37"/>
      <c r="AB665" s="37"/>
      <c r="AC665" s="37"/>
      <c r="AD665" s="37"/>
      <c r="AE665" s="37"/>
      <c r="AF665" s="37"/>
      <c r="AG665" s="37"/>
      <c r="AH665" s="37"/>
      <c r="AI665" s="37"/>
      <c r="AJ665" s="37"/>
      <c r="AK665" s="39"/>
      <c r="AL665" s="37"/>
      <c r="AM665" s="37"/>
      <c r="AN665" s="37"/>
      <c r="AO665" s="37"/>
    </row>
    <row r="666" spans="1:41" ht="13.2">
      <c r="A666" s="37"/>
      <c r="B666" s="37"/>
      <c r="C666" s="37"/>
      <c r="D666" s="37"/>
      <c r="E666" s="37"/>
      <c r="F666" s="37"/>
      <c r="G666" s="37"/>
      <c r="H666" s="40"/>
      <c r="I666" s="40"/>
      <c r="J666" s="40"/>
      <c r="K666" s="403"/>
      <c r="L666" s="403"/>
      <c r="M666" s="403"/>
      <c r="N666" s="403"/>
      <c r="O666" s="403"/>
      <c r="P666" s="403"/>
      <c r="Q666" s="37"/>
      <c r="R666" s="37"/>
      <c r="S666" s="37"/>
      <c r="T666" s="37"/>
      <c r="U666" s="37"/>
      <c r="V666" s="37"/>
      <c r="W666" s="37"/>
      <c r="X666" s="37"/>
      <c r="Y666" s="37"/>
      <c r="Z666" s="37"/>
      <c r="AA666" s="37"/>
      <c r="AB666" s="37"/>
      <c r="AC666" s="37"/>
      <c r="AD666" s="37"/>
      <c r="AE666" s="37"/>
      <c r="AF666" s="37"/>
      <c r="AG666" s="37"/>
      <c r="AH666" s="37"/>
      <c r="AI666" s="37"/>
      <c r="AJ666" s="37"/>
      <c r="AK666" s="39"/>
      <c r="AL666" s="37"/>
      <c r="AM666" s="37"/>
      <c r="AN666" s="37"/>
      <c r="AO666" s="37"/>
    </row>
    <row r="667" spans="1:41" ht="13.2">
      <c r="A667" s="37"/>
      <c r="B667" s="37"/>
      <c r="C667" s="37"/>
      <c r="D667" s="37"/>
      <c r="E667" s="37"/>
      <c r="F667" s="37"/>
      <c r="G667" s="37"/>
      <c r="H667" s="40"/>
      <c r="I667" s="40"/>
      <c r="J667" s="40"/>
      <c r="K667" s="403"/>
      <c r="L667" s="403"/>
      <c r="M667" s="403"/>
      <c r="N667" s="403"/>
      <c r="O667" s="403"/>
      <c r="P667" s="403"/>
      <c r="Q667" s="37"/>
      <c r="R667" s="37"/>
      <c r="S667" s="37"/>
      <c r="T667" s="37"/>
      <c r="U667" s="37"/>
      <c r="V667" s="37"/>
      <c r="W667" s="37"/>
      <c r="X667" s="37"/>
      <c r="Y667" s="37"/>
      <c r="Z667" s="37"/>
      <c r="AA667" s="37"/>
      <c r="AB667" s="37"/>
      <c r="AC667" s="37"/>
      <c r="AD667" s="37"/>
      <c r="AE667" s="37"/>
      <c r="AF667" s="37"/>
      <c r="AG667" s="37"/>
      <c r="AH667" s="37"/>
      <c r="AI667" s="37"/>
      <c r="AJ667" s="37"/>
      <c r="AK667" s="39"/>
      <c r="AL667" s="37"/>
      <c r="AM667" s="37"/>
      <c r="AN667" s="37"/>
      <c r="AO667" s="37"/>
    </row>
    <row r="668" spans="1:41" ht="13.2">
      <c r="A668" s="37"/>
      <c r="B668" s="37"/>
      <c r="C668" s="37"/>
      <c r="D668" s="37"/>
      <c r="E668" s="37"/>
      <c r="F668" s="37"/>
      <c r="G668" s="37"/>
      <c r="H668" s="40"/>
      <c r="I668" s="40"/>
      <c r="J668" s="40"/>
      <c r="K668" s="403"/>
      <c r="L668" s="403"/>
      <c r="M668" s="403"/>
      <c r="N668" s="403"/>
      <c r="O668" s="403"/>
      <c r="P668" s="403"/>
      <c r="Q668" s="37"/>
      <c r="R668" s="37"/>
      <c r="S668" s="37"/>
      <c r="T668" s="37"/>
      <c r="U668" s="37"/>
      <c r="V668" s="37"/>
      <c r="W668" s="37"/>
      <c r="X668" s="37"/>
      <c r="Y668" s="37"/>
      <c r="Z668" s="37"/>
      <c r="AA668" s="37"/>
      <c r="AB668" s="37"/>
      <c r="AC668" s="37"/>
      <c r="AD668" s="37"/>
      <c r="AE668" s="37"/>
      <c r="AF668" s="37"/>
      <c r="AG668" s="37"/>
      <c r="AH668" s="37"/>
      <c r="AI668" s="37"/>
      <c r="AJ668" s="37"/>
      <c r="AK668" s="39"/>
      <c r="AL668" s="37"/>
      <c r="AM668" s="37"/>
      <c r="AN668" s="37"/>
      <c r="AO668" s="37"/>
    </row>
    <row r="669" spans="1:41" ht="13.2">
      <c r="A669" s="37"/>
      <c r="B669" s="37"/>
      <c r="C669" s="37"/>
      <c r="D669" s="37"/>
      <c r="E669" s="37"/>
      <c r="F669" s="37"/>
      <c r="G669" s="37"/>
      <c r="H669" s="40"/>
      <c r="I669" s="40"/>
      <c r="J669" s="40"/>
      <c r="K669" s="403"/>
      <c r="L669" s="403"/>
      <c r="M669" s="403"/>
      <c r="N669" s="403"/>
      <c r="O669" s="403"/>
      <c r="P669" s="403"/>
      <c r="Q669" s="37"/>
      <c r="R669" s="37"/>
      <c r="S669" s="37"/>
      <c r="T669" s="37"/>
      <c r="U669" s="37"/>
      <c r="V669" s="37"/>
      <c r="W669" s="37"/>
      <c r="X669" s="37"/>
      <c r="Y669" s="37"/>
      <c r="Z669" s="37"/>
      <c r="AA669" s="37"/>
      <c r="AB669" s="37"/>
      <c r="AC669" s="37"/>
      <c r="AD669" s="37"/>
      <c r="AE669" s="37"/>
      <c r="AF669" s="37"/>
      <c r="AG669" s="37"/>
      <c r="AH669" s="37"/>
      <c r="AI669" s="37"/>
      <c r="AJ669" s="37"/>
      <c r="AK669" s="39"/>
      <c r="AL669" s="37"/>
      <c r="AM669" s="37"/>
      <c r="AN669" s="37"/>
      <c r="AO669" s="37"/>
    </row>
    <row r="670" spans="1:41" ht="13.2">
      <c r="A670" s="37"/>
      <c r="B670" s="37"/>
      <c r="C670" s="37"/>
      <c r="D670" s="37"/>
      <c r="E670" s="37"/>
      <c r="F670" s="37"/>
      <c r="G670" s="37"/>
      <c r="H670" s="40"/>
      <c r="I670" s="40"/>
      <c r="J670" s="40"/>
      <c r="K670" s="403"/>
      <c r="L670" s="403"/>
      <c r="M670" s="403"/>
      <c r="N670" s="403"/>
      <c r="O670" s="403"/>
      <c r="P670" s="403"/>
      <c r="Q670" s="37"/>
      <c r="R670" s="37"/>
      <c r="S670" s="37"/>
      <c r="T670" s="37"/>
      <c r="U670" s="37"/>
      <c r="V670" s="37"/>
      <c r="W670" s="37"/>
      <c r="X670" s="37"/>
      <c r="Y670" s="37"/>
      <c r="Z670" s="37"/>
      <c r="AA670" s="37"/>
      <c r="AB670" s="37"/>
      <c r="AC670" s="37"/>
      <c r="AD670" s="37"/>
      <c r="AE670" s="37"/>
      <c r="AF670" s="37"/>
      <c r="AG670" s="37"/>
      <c r="AH670" s="37"/>
      <c r="AI670" s="37"/>
      <c r="AJ670" s="37"/>
      <c r="AK670" s="39"/>
      <c r="AL670" s="37"/>
      <c r="AM670" s="37"/>
      <c r="AN670" s="37"/>
      <c r="AO670" s="37"/>
    </row>
    <row r="671" spans="1:41" ht="13.2">
      <c r="A671" s="37"/>
      <c r="B671" s="37"/>
      <c r="C671" s="37"/>
      <c r="D671" s="37"/>
      <c r="E671" s="37"/>
      <c r="F671" s="37"/>
      <c r="G671" s="37"/>
      <c r="H671" s="40"/>
      <c r="I671" s="40"/>
      <c r="J671" s="40"/>
      <c r="K671" s="403"/>
      <c r="L671" s="403"/>
      <c r="M671" s="403"/>
      <c r="N671" s="403"/>
      <c r="O671" s="403"/>
      <c r="P671" s="403"/>
      <c r="Q671" s="37"/>
      <c r="R671" s="37"/>
      <c r="S671" s="37"/>
      <c r="T671" s="37"/>
      <c r="U671" s="37"/>
      <c r="V671" s="37"/>
      <c r="W671" s="37"/>
      <c r="X671" s="37"/>
      <c r="Y671" s="37"/>
      <c r="Z671" s="37"/>
      <c r="AA671" s="37"/>
      <c r="AB671" s="37"/>
      <c r="AC671" s="37"/>
      <c r="AD671" s="37"/>
      <c r="AE671" s="37"/>
      <c r="AF671" s="37"/>
      <c r="AG671" s="37"/>
      <c r="AH671" s="37"/>
      <c r="AI671" s="37"/>
      <c r="AJ671" s="37"/>
      <c r="AK671" s="39"/>
      <c r="AL671" s="37"/>
      <c r="AM671" s="37"/>
      <c r="AN671" s="37"/>
      <c r="AO671" s="37"/>
    </row>
    <row r="672" spans="1:41" ht="13.2">
      <c r="A672" s="37"/>
      <c r="B672" s="37"/>
      <c r="C672" s="37"/>
      <c r="D672" s="37"/>
      <c r="E672" s="37"/>
      <c r="F672" s="37"/>
      <c r="G672" s="37"/>
      <c r="H672" s="40"/>
      <c r="I672" s="40"/>
      <c r="J672" s="40"/>
      <c r="K672" s="403"/>
      <c r="L672" s="403"/>
      <c r="M672" s="403"/>
      <c r="N672" s="403"/>
      <c r="O672" s="403"/>
      <c r="P672" s="403"/>
      <c r="Q672" s="37"/>
      <c r="R672" s="37"/>
      <c r="S672" s="37"/>
      <c r="T672" s="37"/>
      <c r="U672" s="37"/>
      <c r="V672" s="37"/>
      <c r="W672" s="37"/>
      <c r="X672" s="37"/>
      <c r="Y672" s="37"/>
      <c r="Z672" s="37"/>
      <c r="AA672" s="37"/>
      <c r="AB672" s="37"/>
      <c r="AC672" s="37"/>
      <c r="AD672" s="37"/>
      <c r="AE672" s="37"/>
      <c r="AF672" s="37"/>
      <c r="AG672" s="37"/>
      <c r="AH672" s="37"/>
      <c r="AI672" s="37"/>
      <c r="AJ672" s="37"/>
      <c r="AK672" s="39"/>
      <c r="AL672" s="37"/>
      <c r="AM672" s="37"/>
      <c r="AN672" s="37"/>
      <c r="AO672" s="37"/>
    </row>
    <row r="673" spans="1:41" ht="13.2">
      <c r="A673" s="37"/>
      <c r="B673" s="37"/>
      <c r="C673" s="37"/>
      <c r="D673" s="37"/>
      <c r="E673" s="37"/>
      <c r="F673" s="37"/>
      <c r="G673" s="37"/>
      <c r="H673" s="40"/>
      <c r="I673" s="40"/>
      <c r="J673" s="40"/>
      <c r="K673" s="403"/>
      <c r="L673" s="403"/>
      <c r="M673" s="403"/>
      <c r="N673" s="403"/>
      <c r="O673" s="403"/>
      <c r="P673" s="403"/>
      <c r="Q673" s="37"/>
      <c r="R673" s="37"/>
      <c r="S673" s="37"/>
      <c r="T673" s="37"/>
      <c r="U673" s="37"/>
      <c r="V673" s="37"/>
      <c r="W673" s="37"/>
      <c r="X673" s="37"/>
      <c r="Y673" s="37"/>
      <c r="Z673" s="37"/>
      <c r="AA673" s="37"/>
      <c r="AB673" s="37"/>
      <c r="AC673" s="37"/>
      <c r="AD673" s="37"/>
      <c r="AE673" s="37"/>
      <c r="AF673" s="37"/>
      <c r="AG673" s="37"/>
      <c r="AH673" s="37"/>
      <c r="AI673" s="37"/>
      <c r="AJ673" s="37"/>
      <c r="AK673" s="39"/>
      <c r="AL673" s="37"/>
      <c r="AM673" s="37"/>
      <c r="AN673" s="37"/>
      <c r="AO673" s="37"/>
    </row>
    <row r="674" spans="1:41" ht="13.2">
      <c r="A674" s="37"/>
      <c r="B674" s="37"/>
      <c r="C674" s="37"/>
      <c r="D674" s="37"/>
      <c r="E674" s="37"/>
      <c r="F674" s="37"/>
      <c r="G674" s="37"/>
      <c r="H674" s="40"/>
      <c r="I674" s="40"/>
      <c r="J674" s="40"/>
      <c r="K674" s="403"/>
      <c r="L674" s="403"/>
      <c r="M674" s="403"/>
      <c r="N674" s="403"/>
      <c r="O674" s="403"/>
      <c r="P674" s="403"/>
      <c r="Q674" s="37"/>
      <c r="R674" s="37"/>
      <c r="S674" s="37"/>
      <c r="T674" s="37"/>
      <c r="U674" s="37"/>
      <c r="V674" s="37"/>
      <c r="W674" s="37"/>
      <c r="X674" s="37"/>
      <c r="Y674" s="37"/>
      <c r="Z674" s="37"/>
      <c r="AA674" s="37"/>
      <c r="AB674" s="37"/>
      <c r="AC674" s="37"/>
      <c r="AD674" s="37"/>
      <c r="AE674" s="37"/>
      <c r="AF674" s="37"/>
      <c r="AG674" s="37"/>
      <c r="AH674" s="37"/>
      <c r="AI674" s="37"/>
      <c r="AJ674" s="37"/>
      <c r="AK674" s="39"/>
      <c r="AL674" s="37"/>
      <c r="AM674" s="37"/>
      <c r="AN674" s="37"/>
      <c r="AO674" s="37"/>
    </row>
    <row r="675" spans="1:41" ht="13.2">
      <c r="A675" s="37"/>
      <c r="B675" s="37"/>
      <c r="C675" s="37"/>
      <c r="D675" s="37"/>
      <c r="E675" s="37"/>
      <c r="F675" s="37"/>
      <c r="G675" s="37"/>
      <c r="H675" s="40"/>
      <c r="I675" s="40"/>
      <c r="J675" s="40"/>
      <c r="K675" s="403"/>
      <c r="L675" s="403"/>
      <c r="M675" s="403"/>
      <c r="N675" s="403"/>
      <c r="O675" s="403"/>
      <c r="P675" s="403"/>
      <c r="Q675" s="37"/>
      <c r="R675" s="37"/>
      <c r="S675" s="37"/>
      <c r="T675" s="37"/>
      <c r="U675" s="37"/>
      <c r="V675" s="37"/>
      <c r="W675" s="37"/>
      <c r="X675" s="37"/>
      <c r="Y675" s="37"/>
      <c r="Z675" s="37"/>
      <c r="AA675" s="37"/>
      <c r="AB675" s="37"/>
      <c r="AC675" s="37"/>
      <c r="AD675" s="37"/>
      <c r="AE675" s="37"/>
      <c r="AF675" s="37"/>
      <c r="AG675" s="37"/>
      <c r="AH675" s="37"/>
      <c r="AI675" s="37"/>
      <c r="AJ675" s="37"/>
      <c r="AK675" s="39"/>
      <c r="AL675" s="37"/>
      <c r="AM675" s="37"/>
      <c r="AN675" s="37"/>
      <c r="AO675" s="37"/>
    </row>
    <row r="676" spans="1:41" ht="13.2">
      <c r="A676" s="37"/>
      <c r="B676" s="37"/>
      <c r="C676" s="37"/>
      <c r="D676" s="37"/>
      <c r="E676" s="37"/>
      <c r="F676" s="37"/>
      <c r="G676" s="37"/>
      <c r="H676" s="40"/>
      <c r="I676" s="40"/>
      <c r="J676" s="40"/>
      <c r="K676" s="403"/>
      <c r="L676" s="403"/>
      <c r="M676" s="403"/>
      <c r="N676" s="403"/>
      <c r="O676" s="403"/>
      <c r="P676" s="403"/>
      <c r="Q676" s="37"/>
      <c r="R676" s="37"/>
      <c r="S676" s="37"/>
      <c r="T676" s="37"/>
      <c r="U676" s="37"/>
      <c r="V676" s="37"/>
      <c r="W676" s="37"/>
      <c r="X676" s="37"/>
      <c r="Y676" s="37"/>
      <c r="Z676" s="37"/>
      <c r="AA676" s="37"/>
      <c r="AB676" s="37"/>
      <c r="AC676" s="37"/>
      <c r="AD676" s="37"/>
      <c r="AE676" s="37"/>
      <c r="AF676" s="37"/>
      <c r="AG676" s="37"/>
      <c r="AH676" s="37"/>
      <c r="AI676" s="37"/>
      <c r="AJ676" s="37"/>
      <c r="AK676" s="39"/>
      <c r="AL676" s="37"/>
      <c r="AM676" s="37"/>
      <c r="AN676" s="37"/>
      <c r="AO676" s="37"/>
    </row>
    <row r="677" spans="1:41" ht="13.2">
      <c r="A677" s="37"/>
      <c r="B677" s="37"/>
      <c r="C677" s="37"/>
      <c r="D677" s="37"/>
      <c r="E677" s="37"/>
      <c r="F677" s="37"/>
      <c r="G677" s="37"/>
      <c r="H677" s="40"/>
      <c r="I677" s="40"/>
      <c r="J677" s="40"/>
      <c r="K677" s="403"/>
      <c r="L677" s="403"/>
      <c r="M677" s="403"/>
      <c r="N677" s="403"/>
      <c r="O677" s="403"/>
      <c r="P677" s="403"/>
      <c r="Q677" s="37"/>
      <c r="R677" s="37"/>
      <c r="S677" s="37"/>
      <c r="T677" s="37"/>
      <c r="U677" s="37"/>
      <c r="V677" s="37"/>
      <c r="W677" s="37"/>
      <c r="X677" s="37"/>
      <c r="Y677" s="37"/>
      <c r="Z677" s="37"/>
      <c r="AA677" s="37"/>
      <c r="AB677" s="37"/>
      <c r="AC677" s="37"/>
      <c r="AD677" s="37"/>
      <c r="AE677" s="37"/>
      <c r="AF677" s="37"/>
      <c r="AG677" s="37"/>
      <c r="AH677" s="37"/>
      <c r="AI677" s="37"/>
      <c r="AJ677" s="37"/>
      <c r="AK677" s="39"/>
      <c r="AL677" s="37"/>
      <c r="AM677" s="37"/>
      <c r="AN677" s="37"/>
      <c r="AO677" s="37"/>
    </row>
    <row r="678" spans="1:41" ht="13.2">
      <c r="A678" s="37"/>
      <c r="B678" s="37"/>
      <c r="C678" s="37"/>
      <c r="D678" s="37"/>
      <c r="E678" s="37"/>
      <c r="F678" s="37"/>
      <c r="G678" s="37"/>
      <c r="H678" s="40"/>
      <c r="I678" s="40"/>
      <c r="J678" s="40"/>
      <c r="K678" s="403"/>
      <c r="L678" s="403"/>
      <c r="M678" s="403"/>
      <c r="N678" s="403"/>
      <c r="O678" s="403"/>
      <c r="P678" s="403"/>
      <c r="Q678" s="37"/>
      <c r="R678" s="37"/>
      <c r="S678" s="37"/>
      <c r="T678" s="37"/>
      <c r="U678" s="37"/>
      <c r="V678" s="37"/>
      <c r="W678" s="37"/>
      <c r="X678" s="37"/>
      <c r="Y678" s="37"/>
      <c r="Z678" s="37"/>
      <c r="AA678" s="37"/>
      <c r="AB678" s="37"/>
      <c r="AC678" s="37"/>
      <c r="AD678" s="37"/>
      <c r="AE678" s="37"/>
      <c r="AF678" s="37"/>
      <c r="AG678" s="37"/>
      <c r="AH678" s="37"/>
      <c r="AI678" s="37"/>
      <c r="AJ678" s="37"/>
      <c r="AK678" s="39"/>
      <c r="AL678" s="37"/>
      <c r="AM678" s="37"/>
      <c r="AN678" s="37"/>
      <c r="AO678" s="37"/>
    </row>
    <row r="679" spans="1:41" ht="13.2">
      <c r="A679" s="37"/>
      <c r="B679" s="37"/>
      <c r="C679" s="37"/>
      <c r="D679" s="37"/>
      <c r="E679" s="37"/>
      <c r="F679" s="37"/>
      <c r="G679" s="37"/>
      <c r="H679" s="40"/>
      <c r="I679" s="40"/>
      <c r="J679" s="40"/>
      <c r="K679" s="403"/>
      <c r="L679" s="403"/>
      <c r="M679" s="403"/>
      <c r="N679" s="403"/>
      <c r="O679" s="403"/>
      <c r="P679" s="403"/>
      <c r="Q679" s="37"/>
      <c r="R679" s="37"/>
      <c r="S679" s="37"/>
      <c r="T679" s="37"/>
      <c r="U679" s="37"/>
      <c r="V679" s="37"/>
      <c r="W679" s="37"/>
      <c r="X679" s="37"/>
      <c r="Y679" s="37"/>
      <c r="Z679" s="37"/>
      <c r="AA679" s="37"/>
      <c r="AB679" s="37"/>
      <c r="AC679" s="37"/>
      <c r="AD679" s="37"/>
      <c r="AE679" s="37"/>
      <c r="AF679" s="37"/>
      <c r="AG679" s="37"/>
      <c r="AH679" s="37"/>
      <c r="AI679" s="37"/>
      <c r="AJ679" s="37"/>
      <c r="AK679" s="39"/>
      <c r="AL679" s="37"/>
      <c r="AM679" s="37"/>
      <c r="AN679" s="37"/>
      <c r="AO679" s="37"/>
    </row>
    <row r="680" spans="1:41" ht="13.2">
      <c r="A680" s="37"/>
      <c r="B680" s="37"/>
      <c r="C680" s="37"/>
      <c r="D680" s="37"/>
      <c r="E680" s="37"/>
      <c r="F680" s="37"/>
      <c r="G680" s="37"/>
      <c r="H680" s="40"/>
      <c r="I680" s="40"/>
      <c r="J680" s="40"/>
      <c r="K680" s="403"/>
      <c r="L680" s="403"/>
      <c r="M680" s="403"/>
      <c r="N680" s="403"/>
      <c r="O680" s="403"/>
      <c r="P680" s="403"/>
      <c r="Q680" s="37"/>
      <c r="R680" s="37"/>
      <c r="S680" s="37"/>
      <c r="T680" s="37"/>
      <c r="U680" s="37"/>
      <c r="V680" s="37"/>
      <c r="W680" s="37"/>
      <c r="X680" s="37"/>
      <c r="Y680" s="37"/>
      <c r="Z680" s="37"/>
      <c r="AA680" s="37"/>
      <c r="AB680" s="37"/>
      <c r="AC680" s="37"/>
      <c r="AD680" s="37"/>
      <c r="AE680" s="37"/>
      <c r="AF680" s="37"/>
      <c r="AG680" s="37"/>
      <c r="AH680" s="37"/>
      <c r="AI680" s="37"/>
      <c r="AJ680" s="37"/>
      <c r="AK680" s="39"/>
      <c r="AL680" s="37"/>
      <c r="AM680" s="37"/>
      <c r="AN680" s="37"/>
      <c r="AO680" s="37"/>
    </row>
    <row r="681" spans="1:41" ht="13.2">
      <c r="A681" s="37"/>
      <c r="B681" s="37"/>
      <c r="C681" s="37"/>
      <c r="D681" s="37"/>
      <c r="E681" s="37"/>
      <c r="F681" s="37"/>
      <c r="G681" s="37"/>
      <c r="H681" s="40"/>
      <c r="I681" s="40"/>
      <c r="J681" s="40"/>
      <c r="K681" s="403"/>
      <c r="L681" s="403"/>
      <c r="M681" s="403"/>
      <c r="N681" s="403"/>
      <c r="O681" s="403"/>
      <c r="P681" s="403"/>
      <c r="Q681" s="37"/>
      <c r="R681" s="37"/>
      <c r="S681" s="37"/>
      <c r="T681" s="37"/>
      <c r="U681" s="37"/>
      <c r="V681" s="37"/>
      <c r="W681" s="37"/>
      <c r="X681" s="37"/>
      <c r="Y681" s="37"/>
      <c r="Z681" s="37"/>
      <c r="AA681" s="37"/>
      <c r="AB681" s="37"/>
      <c r="AC681" s="37"/>
      <c r="AD681" s="37"/>
      <c r="AE681" s="37"/>
      <c r="AF681" s="37"/>
      <c r="AG681" s="37"/>
      <c r="AH681" s="37"/>
      <c r="AI681" s="37"/>
      <c r="AJ681" s="37"/>
      <c r="AK681" s="39"/>
      <c r="AL681" s="37"/>
      <c r="AM681" s="37"/>
      <c r="AN681" s="37"/>
      <c r="AO681" s="37"/>
    </row>
    <row r="682" spans="1:41" ht="13.2">
      <c r="A682" s="37"/>
      <c r="B682" s="37"/>
      <c r="C682" s="37"/>
      <c r="D682" s="37"/>
      <c r="E682" s="37"/>
      <c r="F682" s="37"/>
      <c r="G682" s="37"/>
      <c r="H682" s="40"/>
      <c r="I682" s="40"/>
      <c r="J682" s="40"/>
      <c r="K682" s="403"/>
      <c r="L682" s="403"/>
      <c r="M682" s="403"/>
      <c r="N682" s="403"/>
      <c r="O682" s="403"/>
      <c r="P682" s="403"/>
      <c r="Q682" s="37"/>
      <c r="R682" s="37"/>
      <c r="S682" s="37"/>
      <c r="T682" s="37"/>
      <c r="U682" s="37"/>
      <c r="V682" s="37"/>
      <c r="W682" s="37"/>
      <c r="X682" s="37"/>
      <c r="Y682" s="37"/>
      <c r="Z682" s="37"/>
      <c r="AA682" s="37"/>
      <c r="AB682" s="37"/>
      <c r="AC682" s="37"/>
      <c r="AD682" s="37"/>
      <c r="AE682" s="37"/>
      <c r="AF682" s="37"/>
      <c r="AG682" s="37"/>
      <c r="AH682" s="37"/>
      <c r="AI682" s="37"/>
      <c r="AJ682" s="37"/>
      <c r="AK682" s="39"/>
      <c r="AL682" s="37"/>
      <c r="AM682" s="37"/>
      <c r="AN682" s="37"/>
      <c r="AO682" s="37"/>
    </row>
    <row r="683" spans="1:41" ht="13.2">
      <c r="A683" s="37"/>
      <c r="B683" s="37"/>
      <c r="C683" s="37"/>
      <c r="D683" s="37"/>
      <c r="E683" s="37"/>
      <c r="F683" s="37"/>
      <c r="G683" s="37"/>
      <c r="H683" s="40"/>
      <c r="I683" s="40"/>
      <c r="J683" s="40"/>
      <c r="K683" s="403"/>
      <c r="L683" s="403"/>
      <c r="M683" s="403"/>
      <c r="N683" s="403"/>
      <c r="O683" s="403"/>
      <c r="P683" s="403"/>
      <c r="Q683" s="37"/>
      <c r="R683" s="37"/>
      <c r="S683" s="37"/>
      <c r="T683" s="37"/>
      <c r="U683" s="37"/>
      <c r="V683" s="37"/>
      <c r="W683" s="37"/>
      <c r="X683" s="37"/>
      <c r="Y683" s="37"/>
      <c r="Z683" s="37"/>
      <c r="AA683" s="37"/>
      <c r="AB683" s="37"/>
      <c r="AC683" s="37"/>
      <c r="AD683" s="37"/>
      <c r="AE683" s="37"/>
      <c r="AF683" s="37"/>
      <c r="AG683" s="37"/>
      <c r="AH683" s="37"/>
      <c r="AI683" s="37"/>
      <c r="AJ683" s="37"/>
      <c r="AK683" s="39"/>
      <c r="AL683" s="37"/>
      <c r="AM683" s="37"/>
      <c r="AN683" s="37"/>
      <c r="AO683" s="37"/>
    </row>
    <row r="684" spans="1:41" ht="13.2">
      <c r="A684" s="37"/>
      <c r="B684" s="37"/>
      <c r="C684" s="37"/>
      <c r="D684" s="37"/>
      <c r="E684" s="37"/>
      <c r="F684" s="37"/>
      <c r="G684" s="37"/>
      <c r="H684" s="40"/>
      <c r="I684" s="40"/>
      <c r="J684" s="40"/>
      <c r="K684" s="403"/>
      <c r="L684" s="403"/>
      <c r="M684" s="403"/>
      <c r="N684" s="403"/>
      <c r="O684" s="403"/>
      <c r="P684" s="403"/>
      <c r="Q684" s="37"/>
      <c r="R684" s="37"/>
      <c r="S684" s="37"/>
      <c r="T684" s="37"/>
      <c r="U684" s="37"/>
      <c r="V684" s="37"/>
      <c r="W684" s="37"/>
      <c r="X684" s="37"/>
      <c r="Y684" s="37"/>
      <c r="Z684" s="37"/>
      <c r="AA684" s="37"/>
      <c r="AB684" s="37"/>
      <c r="AC684" s="37"/>
      <c r="AD684" s="37"/>
      <c r="AE684" s="37"/>
      <c r="AF684" s="37"/>
      <c r="AG684" s="37"/>
      <c r="AH684" s="37"/>
      <c r="AI684" s="37"/>
      <c r="AJ684" s="37"/>
      <c r="AK684" s="39"/>
      <c r="AL684" s="37"/>
      <c r="AM684" s="37"/>
      <c r="AN684" s="37"/>
      <c r="AO684" s="37"/>
    </row>
    <row r="685" spans="1:41" ht="13.2">
      <c r="A685" s="37"/>
      <c r="B685" s="37"/>
      <c r="C685" s="37"/>
      <c r="D685" s="37"/>
      <c r="E685" s="37"/>
      <c r="F685" s="37"/>
      <c r="G685" s="37"/>
      <c r="H685" s="40"/>
      <c r="I685" s="40"/>
      <c r="J685" s="40"/>
      <c r="K685" s="403"/>
      <c r="L685" s="403"/>
      <c r="M685" s="403"/>
      <c r="N685" s="403"/>
      <c r="O685" s="403"/>
      <c r="P685" s="403"/>
      <c r="Q685" s="37"/>
      <c r="R685" s="37"/>
      <c r="S685" s="37"/>
      <c r="T685" s="37"/>
      <c r="U685" s="37"/>
      <c r="V685" s="37"/>
      <c r="W685" s="37"/>
      <c r="X685" s="37"/>
      <c r="Y685" s="37"/>
      <c r="Z685" s="37"/>
      <c r="AA685" s="37"/>
      <c r="AB685" s="37"/>
      <c r="AC685" s="37"/>
      <c r="AD685" s="37"/>
      <c r="AE685" s="37"/>
      <c r="AF685" s="37"/>
      <c r="AG685" s="37"/>
      <c r="AH685" s="37"/>
      <c r="AI685" s="37"/>
      <c r="AJ685" s="37"/>
      <c r="AK685" s="39"/>
      <c r="AL685" s="37"/>
      <c r="AM685" s="37"/>
      <c r="AN685" s="37"/>
      <c r="AO685" s="37"/>
    </row>
    <row r="686" spans="1:41" ht="13.2">
      <c r="A686" s="37"/>
      <c r="B686" s="37"/>
      <c r="C686" s="37"/>
      <c r="D686" s="37"/>
      <c r="E686" s="37"/>
      <c r="F686" s="37"/>
      <c r="G686" s="37"/>
      <c r="H686" s="40"/>
      <c r="I686" s="40"/>
      <c r="J686" s="40"/>
      <c r="K686" s="403"/>
      <c r="L686" s="403"/>
      <c r="M686" s="403"/>
      <c r="N686" s="403"/>
      <c r="O686" s="403"/>
      <c r="P686" s="403"/>
      <c r="Q686" s="37"/>
      <c r="R686" s="37"/>
      <c r="S686" s="37"/>
      <c r="T686" s="37"/>
      <c r="U686" s="37"/>
      <c r="V686" s="37"/>
      <c r="W686" s="37"/>
      <c r="X686" s="37"/>
      <c r="Y686" s="37"/>
      <c r="Z686" s="37"/>
      <c r="AA686" s="37"/>
      <c r="AB686" s="37"/>
      <c r="AC686" s="37"/>
      <c r="AD686" s="37"/>
      <c r="AE686" s="37"/>
      <c r="AF686" s="37"/>
      <c r="AG686" s="37"/>
      <c r="AH686" s="37"/>
      <c r="AI686" s="37"/>
      <c r="AJ686" s="37"/>
      <c r="AK686" s="39"/>
      <c r="AL686" s="37"/>
      <c r="AM686" s="37"/>
      <c r="AN686" s="37"/>
      <c r="AO686" s="37"/>
    </row>
    <row r="687" spans="1:41" ht="13.2">
      <c r="A687" s="37"/>
      <c r="B687" s="37"/>
      <c r="C687" s="37"/>
      <c r="D687" s="37"/>
      <c r="E687" s="37"/>
      <c r="F687" s="37"/>
      <c r="G687" s="37"/>
      <c r="H687" s="40"/>
      <c r="I687" s="40"/>
      <c r="J687" s="40"/>
      <c r="K687" s="403"/>
      <c r="L687" s="403"/>
      <c r="M687" s="403"/>
      <c r="N687" s="403"/>
      <c r="O687" s="403"/>
      <c r="P687" s="403"/>
      <c r="Q687" s="37"/>
      <c r="R687" s="37"/>
      <c r="S687" s="37"/>
      <c r="T687" s="37"/>
      <c r="U687" s="37"/>
      <c r="V687" s="37"/>
      <c r="W687" s="37"/>
      <c r="X687" s="37"/>
      <c r="Y687" s="37"/>
      <c r="Z687" s="37"/>
      <c r="AA687" s="37"/>
      <c r="AB687" s="37"/>
      <c r="AC687" s="37"/>
      <c r="AD687" s="37"/>
      <c r="AE687" s="37"/>
      <c r="AF687" s="37"/>
      <c r="AG687" s="37"/>
      <c r="AH687" s="37"/>
      <c r="AI687" s="37"/>
      <c r="AJ687" s="37"/>
      <c r="AK687" s="39"/>
      <c r="AL687" s="37"/>
      <c r="AM687" s="37"/>
      <c r="AN687" s="37"/>
      <c r="AO687" s="37"/>
    </row>
    <row r="688" spans="1:41" ht="13.2">
      <c r="A688" s="37"/>
      <c r="B688" s="37"/>
      <c r="C688" s="37"/>
      <c r="D688" s="37"/>
      <c r="E688" s="37"/>
      <c r="F688" s="37"/>
      <c r="G688" s="37"/>
      <c r="H688" s="40"/>
      <c r="I688" s="40"/>
      <c r="J688" s="40"/>
      <c r="K688" s="403"/>
      <c r="L688" s="403"/>
      <c r="M688" s="403"/>
      <c r="N688" s="403"/>
      <c r="O688" s="403"/>
      <c r="P688" s="403"/>
      <c r="Q688" s="37"/>
      <c r="R688" s="37"/>
      <c r="S688" s="37"/>
      <c r="T688" s="37"/>
      <c r="U688" s="37"/>
      <c r="V688" s="37"/>
      <c r="W688" s="37"/>
      <c r="X688" s="37"/>
      <c r="Y688" s="37"/>
      <c r="Z688" s="37"/>
      <c r="AA688" s="37"/>
      <c r="AB688" s="37"/>
      <c r="AC688" s="37"/>
      <c r="AD688" s="37"/>
      <c r="AE688" s="37"/>
      <c r="AF688" s="37"/>
      <c r="AG688" s="37"/>
      <c r="AH688" s="37"/>
      <c r="AI688" s="37"/>
      <c r="AJ688" s="37"/>
      <c r="AK688" s="39"/>
      <c r="AL688" s="37"/>
      <c r="AM688" s="37"/>
      <c r="AN688" s="37"/>
      <c r="AO688" s="37"/>
    </row>
    <row r="689" spans="1:41" ht="13.2">
      <c r="A689" s="37"/>
      <c r="B689" s="37"/>
      <c r="C689" s="37"/>
      <c r="D689" s="37"/>
      <c r="E689" s="37"/>
      <c r="F689" s="37"/>
      <c r="G689" s="37"/>
      <c r="H689" s="40"/>
      <c r="I689" s="40"/>
      <c r="J689" s="40"/>
      <c r="K689" s="403"/>
      <c r="L689" s="403"/>
      <c r="M689" s="403"/>
      <c r="N689" s="403"/>
      <c r="O689" s="403"/>
      <c r="P689" s="403"/>
      <c r="Q689" s="37"/>
      <c r="R689" s="37"/>
      <c r="S689" s="37"/>
      <c r="T689" s="37"/>
      <c r="U689" s="37"/>
      <c r="V689" s="37"/>
      <c r="W689" s="37"/>
      <c r="X689" s="37"/>
      <c r="Y689" s="37"/>
      <c r="Z689" s="37"/>
      <c r="AA689" s="37"/>
      <c r="AB689" s="37"/>
      <c r="AC689" s="37"/>
      <c r="AD689" s="37"/>
      <c r="AE689" s="37"/>
      <c r="AF689" s="37"/>
      <c r="AG689" s="37"/>
      <c r="AH689" s="37"/>
      <c r="AI689" s="37"/>
      <c r="AJ689" s="37"/>
      <c r="AK689" s="39"/>
      <c r="AL689" s="37"/>
      <c r="AM689" s="37"/>
      <c r="AN689" s="37"/>
      <c r="AO689" s="37"/>
    </row>
    <row r="690" spans="1:41" ht="13.2">
      <c r="A690" s="37"/>
      <c r="B690" s="37"/>
      <c r="C690" s="37"/>
      <c r="D690" s="37"/>
      <c r="E690" s="37"/>
      <c r="F690" s="37"/>
      <c r="G690" s="37"/>
      <c r="H690" s="40"/>
      <c r="I690" s="40"/>
      <c r="J690" s="40"/>
      <c r="K690" s="403"/>
      <c r="L690" s="403"/>
      <c r="M690" s="403"/>
      <c r="N690" s="403"/>
      <c r="O690" s="403"/>
      <c r="P690" s="403"/>
      <c r="Q690" s="37"/>
      <c r="R690" s="37"/>
      <c r="S690" s="37"/>
      <c r="T690" s="37"/>
      <c r="U690" s="37"/>
      <c r="V690" s="37"/>
      <c r="W690" s="37"/>
      <c r="X690" s="37"/>
      <c r="Y690" s="37"/>
      <c r="Z690" s="37"/>
      <c r="AA690" s="37"/>
      <c r="AB690" s="37"/>
      <c r="AC690" s="37"/>
      <c r="AD690" s="37"/>
      <c r="AE690" s="37"/>
      <c r="AF690" s="37"/>
      <c r="AG690" s="37"/>
      <c r="AH690" s="37"/>
      <c r="AI690" s="37"/>
      <c r="AJ690" s="37"/>
      <c r="AK690" s="39"/>
      <c r="AL690" s="37"/>
      <c r="AM690" s="37"/>
      <c r="AN690" s="37"/>
      <c r="AO690" s="37"/>
    </row>
    <row r="691" spans="1:41" ht="13.2">
      <c r="A691" s="37"/>
      <c r="B691" s="37"/>
      <c r="C691" s="37"/>
      <c r="D691" s="37"/>
      <c r="E691" s="37"/>
      <c r="F691" s="37"/>
      <c r="G691" s="37"/>
      <c r="H691" s="40"/>
      <c r="I691" s="40"/>
      <c r="J691" s="40"/>
      <c r="K691" s="403"/>
      <c r="L691" s="403"/>
      <c r="M691" s="403"/>
      <c r="N691" s="403"/>
      <c r="O691" s="403"/>
      <c r="P691" s="403"/>
      <c r="Q691" s="37"/>
      <c r="R691" s="37"/>
      <c r="S691" s="37"/>
      <c r="T691" s="37"/>
      <c r="U691" s="37"/>
      <c r="V691" s="37"/>
      <c r="W691" s="37"/>
      <c r="X691" s="37"/>
      <c r="Y691" s="37"/>
      <c r="Z691" s="37"/>
      <c r="AA691" s="37"/>
      <c r="AB691" s="37"/>
      <c r="AC691" s="37"/>
      <c r="AD691" s="37"/>
      <c r="AE691" s="37"/>
      <c r="AF691" s="37"/>
      <c r="AG691" s="37"/>
      <c r="AH691" s="37"/>
      <c r="AI691" s="37"/>
      <c r="AJ691" s="37"/>
      <c r="AK691" s="39"/>
      <c r="AL691" s="37"/>
      <c r="AM691" s="37"/>
      <c r="AN691" s="37"/>
      <c r="AO691" s="37"/>
    </row>
    <row r="692" spans="1:41" ht="13.2">
      <c r="A692" s="37"/>
      <c r="B692" s="37"/>
      <c r="C692" s="37"/>
      <c r="D692" s="37"/>
      <c r="E692" s="37"/>
      <c r="F692" s="37"/>
      <c r="G692" s="37"/>
      <c r="H692" s="40"/>
      <c r="I692" s="40"/>
      <c r="J692" s="40"/>
      <c r="K692" s="403"/>
      <c r="L692" s="403"/>
      <c r="M692" s="403"/>
      <c r="N692" s="403"/>
      <c r="O692" s="403"/>
      <c r="P692" s="403"/>
      <c r="Q692" s="37"/>
      <c r="R692" s="37"/>
      <c r="S692" s="37"/>
      <c r="T692" s="37"/>
      <c r="U692" s="37"/>
      <c r="V692" s="37"/>
      <c r="W692" s="37"/>
      <c r="X692" s="37"/>
      <c r="Y692" s="37"/>
      <c r="Z692" s="37"/>
      <c r="AA692" s="37"/>
      <c r="AB692" s="37"/>
      <c r="AC692" s="37"/>
      <c r="AD692" s="37"/>
      <c r="AE692" s="37"/>
      <c r="AF692" s="37"/>
      <c r="AG692" s="37"/>
      <c r="AH692" s="37"/>
      <c r="AI692" s="37"/>
      <c r="AJ692" s="37"/>
      <c r="AK692" s="39"/>
      <c r="AL692" s="37"/>
      <c r="AM692" s="37"/>
      <c r="AN692" s="37"/>
      <c r="AO692" s="37"/>
    </row>
    <row r="693" spans="1:41" ht="13.2">
      <c r="A693" s="37"/>
      <c r="B693" s="37"/>
      <c r="C693" s="37"/>
      <c r="D693" s="37"/>
      <c r="E693" s="37"/>
      <c r="F693" s="37"/>
      <c r="G693" s="37"/>
      <c r="H693" s="40"/>
      <c r="I693" s="40"/>
      <c r="J693" s="40"/>
      <c r="K693" s="403"/>
      <c r="L693" s="403"/>
      <c r="M693" s="403"/>
      <c r="N693" s="403"/>
      <c r="O693" s="403"/>
      <c r="P693" s="403"/>
      <c r="Q693" s="37"/>
      <c r="R693" s="37"/>
      <c r="S693" s="37"/>
      <c r="T693" s="37"/>
      <c r="U693" s="37"/>
      <c r="V693" s="37"/>
      <c r="W693" s="37"/>
      <c r="X693" s="37"/>
      <c r="Y693" s="37"/>
      <c r="Z693" s="37"/>
      <c r="AA693" s="37"/>
      <c r="AB693" s="37"/>
      <c r="AC693" s="37"/>
      <c r="AD693" s="37"/>
      <c r="AE693" s="37"/>
      <c r="AF693" s="37"/>
      <c r="AG693" s="37"/>
      <c r="AH693" s="37"/>
      <c r="AI693" s="37"/>
      <c r="AJ693" s="37"/>
      <c r="AK693" s="39"/>
      <c r="AL693" s="37"/>
      <c r="AM693" s="37"/>
      <c r="AN693" s="37"/>
      <c r="AO693" s="37"/>
    </row>
    <row r="694" spans="1:41" ht="13.2">
      <c r="A694" s="37"/>
      <c r="B694" s="37"/>
      <c r="C694" s="37"/>
      <c r="D694" s="37"/>
      <c r="E694" s="37"/>
      <c r="F694" s="37"/>
      <c r="G694" s="37"/>
      <c r="H694" s="40"/>
      <c r="I694" s="40"/>
      <c r="J694" s="40"/>
      <c r="K694" s="403"/>
      <c r="L694" s="403"/>
      <c r="M694" s="403"/>
      <c r="N694" s="403"/>
      <c r="O694" s="403"/>
      <c r="P694" s="403"/>
      <c r="Q694" s="37"/>
      <c r="R694" s="37"/>
      <c r="S694" s="37"/>
      <c r="T694" s="37"/>
      <c r="U694" s="37"/>
      <c r="V694" s="37"/>
      <c r="W694" s="37"/>
      <c r="X694" s="37"/>
      <c r="Y694" s="37"/>
      <c r="Z694" s="37"/>
      <c r="AA694" s="37"/>
      <c r="AB694" s="37"/>
      <c r="AC694" s="37"/>
      <c r="AD694" s="37"/>
      <c r="AE694" s="37"/>
      <c r="AF694" s="37"/>
      <c r="AG694" s="37"/>
      <c r="AH694" s="37"/>
      <c r="AI694" s="37"/>
      <c r="AJ694" s="37"/>
      <c r="AK694" s="39"/>
      <c r="AL694" s="37"/>
      <c r="AM694" s="37"/>
      <c r="AN694" s="37"/>
      <c r="AO694" s="37"/>
    </row>
    <row r="695" spans="1:41">
      <c r="A695" s="37"/>
      <c r="B695" s="37"/>
      <c r="C695" s="37"/>
      <c r="D695" s="37"/>
      <c r="E695" s="37"/>
      <c r="F695" s="37"/>
      <c r="G695" s="37"/>
      <c r="H695" s="40"/>
      <c r="I695" s="40"/>
      <c r="J695" s="40"/>
      <c r="K695" s="37"/>
      <c r="L695" s="37"/>
      <c r="M695" s="37"/>
      <c r="N695" s="37"/>
      <c r="O695" s="37"/>
      <c r="P695" s="37"/>
      <c r="Q695" s="37"/>
      <c r="R695" s="37"/>
      <c r="S695" s="37"/>
      <c r="T695" s="37"/>
      <c r="U695" s="37"/>
      <c r="V695" s="37"/>
      <c r="W695" s="37"/>
      <c r="X695" s="37"/>
      <c r="Y695" s="37"/>
      <c r="Z695" s="37"/>
      <c r="AA695" s="37"/>
      <c r="AB695" s="37"/>
      <c r="AC695" s="37"/>
      <c r="AD695" s="37"/>
      <c r="AE695" s="37"/>
      <c r="AF695" s="37"/>
      <c r="AG695" s="37"/>
      <c r="AH695" s="37"/>
      <c r="AI695" s="37"/>
      <c r="AJ695" s="37"/>
      <c r="AK695" s="39"/>
      <c r="AL695" s="37"/>
      <c r="AM695" s="37"/>
      <c r="AN695" s="37"/>
      <c r="AO695" s="37"/>
    </row>
    <row r="696" spans="1:41">
      <c r="A696" s="37"/>
      <c r="B696" s="37"/>
      <c r="C696" s="37"/>
      <c r="D696" s="37"/>
      <c r="E696" s="37"/>
      <c r="F696" s="37"/>
      <c r="G696" s="37"/>
      <c r="H696" s="40"/>
      <c r="I696" s="40"/>
      <c r="J696" s="40"/>
      <c r="K696" s="37"/>
      <c r="L696" s="37"/>
      <c r="M696" s="37"/>
      <c r="N696" s="37"/>
      <c r="O696" s="37"/>
      <c r="P696" s="37"/>
      <c r="Q696" s="37"/>
      <c r="R696" s="37"/>
      <c r="S696" s="37"/>
      <c r="T696" s="37"/>
      <c r="U696" s="37"/>
      <c r="V696" s="37"/>
      <c r="W696" s="37"/>
      <c r="X696" s="37"/>
      <c r="Y696" s="37"/>
      <c r="Z696" s="37"/>
      <c r="AA696" s="37"/>
      <c r="AB696" s="37"/>
      <c r="AC696" s="37"/>
      <c r="AD696" s="37"/>
      <c r="AE696" s="37"/>
      <c r="AF696" s="37"/>
      <c r="AG696" s="37"/>
      <c r="AH696" s="37"/>
      <c r="AI696" s="37"/>
      <c r="AJ696" s="37"/>
      <c r="AK696" s="39"/>
      <c r="AL696" s="37"/>
      <c r="AM696" s="37"/>
      <c r="AN696" s="37"/>
      <c r="AO696" s="37"/>
    </row>
    <row r="697" spans="1:41">
      <c r="A697" s="37"/>
      <c r="B697" s="37"/>
      <c r="C697" s="37"/>
      <c r="D697" s="37"/>
      <c r="E697" s="37"/>
      <c r="F697" s="37"/>
      <c r="G697" s="37"/>
      <c r="H697" s="40"/>
      <c r="I697" s="40"/>
      <c r="J697" s="40"/>
      <c r="K697" s="37"/>
      <c r="L697" s="37"/>
      <c r="M697" s="37"/>
      <c r="N697" s="37"/>
      <c r="O697" s="37"/>
      <c r="P697" s="37"/>
      <c r="Q697" s="37"/>
      <c r="R697" s="37"/>
      <c r="S697" s="37"/>
      <c r="T697" s="37"/>
      <c r="U697" s="37"/>
      <c r="V697" s="37"/>
      <c r="W697" s="37"/>
      <c r="X697" s="37"/>
      <c r="Y697" s="37"/>
      <c r="Z697" s="37"/>
      <c r="AA697" s="37"/>
      <c r="AB697" s="37"/>
      <c r="AC697" s="37"/>
      <c r="AD697" s="37"/>
      <c r="AE697" s="37"/>
      <c r="AF697" s="37"/>
      <c r="AG697" s="37"/>
      <c r="AH697" s="37"/>
      <c r="AI697" s="37"/>
      <c r="AJ697" s="37"/>
      <c r="AK697" s="39"/>
      <c r="AL697" s="37"/>
      <c r="AM697" s="37"/>
      <c r="AN697" s="37"/>
      <c r="AO697" s="37"/>
    </row>
    <row r="698" spans="1:41">
      <c r="A698" s="37"/>
      <c r="B698" s="37"/>
      <c r="C698" s="37"/>
      <c r="D698" s="37"/>
      <c r="E698" s="37"/>
      <c r="F698" s="37"/>
      <c r="G698" s="37"/>
      <c r="H698" s="40"/>
      <c r="I698" s="40"/>
      <c r="J698" s="40"/>
      <c r="K698" s="37"/>
      <c r="L698" s="37"/>
      <c r="M698" s="37"/>
      <c r="N698" s="37"/>
      <c r="O698" s="37"/>
      <c r="P698" s="37"/>
      <c r="Q698" s="37"/>
      <c r="R698" s="37"/>
      <c r="S698" s="37"/>
      <c r="T698" s="37"/>
      <c r="U698" s="37"/>
      <c r="V698" s="37"/>
      <c r="W698" s="37"/>
      <c r="X698" s="37"/>
      <c r="Y698" s="37"/>
      <c r="Z698" s="37"/>
      <c r="AA698" s="37"/>
      <c r="AB698" s="37"/>
      <c r="AC698" s="37"/>
      <c r="AD698" s="37"/>
      <c r="AE698" s="37"/>
      <c r="AF698" s="37"/>
      <c r="AG698" s="37"/>
      <c r="AH698" s="37"/>
      <c r="AI698" s="37"/>
      <c r="AJ698" s="37"/>
      <c r="AK698" s="39"/>
      <c r="AL698" s="37"/>
      <c r="AM698" s="37"/>
      <c r="AN698" s="37"/>
      <c r="AO698" s="37"/>
    </row>
    <row r="699" spans="1:41">
      <c r="A699" s="37"/>
      <c r="B699" s="37"/>
      <c r="C699" s="37"/>
      <c r="D699" s="37"/>
      <c r="E699" s="37"/>
      <c r="F699" s="37"/>
      <c r="G699" s="37"/>
      <c r="H699" s="40"/>
      <c r="I699" s="40"/>
      <c r="J699" s="40"/>
      <c r="K699" s="37"/>
      <c r="L699" s="37"/>
      <c r="M699" s="37"/>
      <c r="N699" s="37"/>
      <c r="O699" s="37"/>
      <c r="P699" s="37"/>
      <c r="Q699" s="37"/>
      <c r="R699" s="37"/>
      <c r="S699" s="37"/>
      <c r="T699" s="37"/>
      <c r="U699" s="37"/>
      <c r="V699" s="37"/>
      <c r="W699" s="37"/>
      <c r="X699" s="37"/>
      <c r="Y699" s="37"/>
      <c r="Z699" s="37"/>
      <c r="AA699" s="37"/>
      <c r="AB699" s="37"/>
      <c r="AC699" s="37"/>
      <c r="AD699" s="37"/>
      <c r="AE699" s="37"/>
      <c r="AF699" s="37"/>
      <c r="AG699" s="37"/>
      <c r="AH699" s="37"/>
      <c r="AI699" s="37"/>
      <c r="AJ699" s="37"/>
      <c r="AK699" s="39"/>
      <c r="AL699" s="37"/>
      <c r="AM699" s="37"/>
      <c r="AN699" s="37"/>
      <c r="AO699" s="37"/>
    </row>
    <row r="700" spans="1:41">
      <c r="A700" s="37"/>
      <c r="B700" s="37"/>
      <c r="C700" s="37"/>
      <c r="D700" s="37"/>
      <c r="E700" s="37"/>
      <c r="F700" s="37"/>
      <c r="G700" s="37"/>
      <c r="H700" s="40"/>
      <c r="I700" s="40"/>
      <c r="J700" s="40"/>
      <c r="K700" s="37"/>
      <c r="L700" s="37"/>
      <c r="M700" s="37"/>
      <c r="N700" s="37"/>
      <c r="O700" s="37"/>
      <c r="P700" s="37"/>
      <c r="Q700" s="37"/>
      <c r="R700" s="37"/>
      <c r="S700" s="37"/>
      <c r="T700" s="37"/>
      <c r="U700" s="37"/>
      <c r="V700" s="37"/>
      <c r="W700" s="37"/>
      <c r="X700" s="37"/>
      <c r="Y700" s="37"/>
      <c r="Z700" s="37"/>
      <c r="AA700" s="37"/>
      <c r="AB700" s="37"/>
      <c r="AC700" s="37"/>
      <c r="AD700" s="37"/>
      <c r="AE700" s="37"/>
      <c r="AF700" s="37"/>
      <c r="AG700" s="37"/>
      <c r="AH700" s="37"/>
      <c r="AI700" s="37"/>
      <c r="AJ700" s="37"/>
      <c r="AK700" s="39"/>
      <c r="AL700" s="37"/>
      <c r="AM700" s="37"/>
      <c r="AN700" s="37"/>
      <c r="AO700" s="37"/>
    </row>
    <row r="701" spans="1:41">
      <c r="A701" s="37"/>
      <c r="B701" s="37"/>
      <c r="C701" s="37"/>
      <c r="D701" s="37"/>
      <c r="E701" s="37"/>
      <c r="F701" s="37"/>
      <c r="G701" s="37"/>
      <c r="H701" s="40"/>
      <c r="I701" s="40"/>
      <c r="J701" s="40"/>
      <c r="K701" s="37"/>
      <c r="L701" s="37"/>
      <c r="M701" s="37"/>
      <c r="N701" s="37"/>
      <c r="O701" s="37"/>
      <c r="P701" s="37"/>
      <c r="Q701" s="37"/>
      <c r="R701" s="37"/>
      <c r="S701" s="37"/>
      <c r="T701" s="37"/>
      <c r="U701" s="37"/>
      <c r="V701" s="37"/>
      <c r="W701" s="37"/>
      <c r="X701" s="37"/>
      <c r="Y701" s="37"/>
      <c r="Z701" s="37"/>
      <c r="AA701" s="37"/>
      <c r="AB701" s="37"/>
      <c r="AC701" s="37"/>
      <c r="AD701" s="37"/>
      <c r="AE701" s="37"/>
      <c r="AF701" s="37"/>
      <c r="AG701" s="37"/>
      <c r="AH701" s="37"/>
      <c r="AI701" s="37"/>
      <c r="AJ701" s="37"/>
      <c r="AK701" s="39"/>
      <c r="AL701" s="37"/>
      <c r="AM701" s="37"/>
      <c r="AN701" s="37"/>
      <c r="AO701" s="37"/>
    </row>
    <row r="702" spans="1:41">
      <c r="A702" s="37"/>
      <c r="B702" s="37"/>
      <c r="C702" s="37"/>
      <c r="D702" s="37"/>
      <c r="E702" s="37"/>
      <c r="F702" s="37"/>
      <c r="G702" s="37"/>
      <c r="H702" s="40"/>
      <c r="I702" s="40"/>
      <c r="J702" s="40"/>
      <c r="K702" s="37"/>
      <c r="L702" s="37"/>
      <c r="M702" s="37"/>
      <c r="N702" s="37"/>
      <c r="O702" s="37"/>
      <c r="P702" s="37"/>
      <c r="Q702" s="37"/>
      <c r="R702" s="37"/>
      <c r="S702" s="37"/>
      <c r="T702" s="37"/>
      <c r="U702" s="37"/>
      <c r="V702" s="37"/>
      <c r="W702" s="37"/>
      <c r="X702" s="37"/>
      <c r="Y702" s="37"/>
      <c r="Z702" s="37"/>
      <c r="AA702" s="37"/>
      <c r="AB702" s="37"/>
      <c r="AC702" s="37"/>
      <c r="AD702" s="37"/>
      <c r="AE702" s="37"/>
      <c r="AF702" s="37"/>
      <c r="AG702" s="37"/>
      <c r="AH702" s="37"/>
      <c r="AI702" s="37"/>
      <c r="AJ702" s="37"/>
      <c r="AK702" s="39"/>
      <c r="AL702" s="37"/>
      <c r="AM702" s="37"/>
      <c r="AN702" s="37"/>
      <c r="AO702" s="37"/>
    </row>
    <row r="703" spans="1:41">
      <c r="A703" s="37"/>
      <c r="B703" s="37"/>
      <c r="C703" s="37"/>
      <c r="D703" s="37"/>
      <c r="E703" s="37"/>
      <c r="F703" s="37"/>
      <c r="G703" s="37"/>
      <c r="H703" s="40"/>
      <c r="I703" s="40"/>
      <c r="J703" s="40"/>
      <c r="K703" s="37"/>
      <c r="L703" s="37"/>
      <c r="M703" s="37"/>
      <c r="N703" s="37"/>
      <c r="O703" s="37"/>
      <c r="P703" s="37"/>
      <c r="Q703" s="37"/>
      <c r="R703" s="37"/>
      <c r="S703" s="37"/>
      <c r="T703" s="37"/>
      <c r="U703" s="37"/>
      <c r="V703" s="37"/>
      <c r="W703" s="37"/>
      <c r="X703" s="37"/>
      <c r="Y703" s="37"/>
      <c r="Z703" s="37"/>
      <c r="AA703" s="37"/>
      <c r="AB703" s="37"/>
      <c r="AC703" s="37"/>
      <c r="AD703" s="37"/>
      <c r="AE703" s="37"/>
      <c r="AF703" s="37"/>
      <c r="AG703" s="37"/>
      <c r="AH703" s="37"/>
      <c r="AI703" s="37"/>
      <c r="AJ703" s="37"/>
      <c r="AK703" s="39"/>
      <c r="AL703" s="37"/>
      <c r="AM703" s="37"/>
      <c r="AN703" s="37"/>
      <c r="AO703" s="37"/>
    </row>
    <row r="704" spans="1:41">
      <c r="A704" s="37"/>
      <c r="B704" s="37"/>
      <c r="C704" s="37"/>
      <c r="D704" s="37"/>
      <c r="E704" s="37"/>
      <c r="F704" s="37"/>
      <c r="G704" s="37"/>
      <c r="H704" s="40"/>
      <c r="I704" s="40"/>
      <c r="J704" s="40"/>
      <c r="K704" s="37"/>
      <c r="L704" s="37"/>
      <c r="M704" s="37"/>
      <c r="N704" s="37"/>
      <c r="O704" s="37"/>
      <c r="P704" s="37"/>
      <c r="Q704" s="37"/>
      <c r="R704" s="37"/>
      <c r="S704" s="37"/>
      <c r="T704" s="37"/>
      <c r="U704" s="37"/>
      <c r="V704" s="37"/>
      <c r="W704" s="37"/>
      <c r="X704" s="37"/>
      <c r="Y704" s="37"/>
      <c r="Z704" s="37"/>
      <c r="AA704" s="37"/>
      <c r="AB704" s="37"/>
      <c r="AC704" s="37"/>
      <c r="AD704" s="37"/>
      <c r="AE704" s="37"/>
      <c r="AF704" s="37"/>
      <c r="AG704" s="37"/>
      <c r="AH704" s="37"/>
      <c r="AI704" s="37"/>
      <c r="AJ704" s="37"/>
      <c r="AK704" s="39"/>
      <c r="AL704" s="37"/>
      <c r="AM704" s="37"/>
      <c r="AN704" s="37"/>
      <c r="AO704" s="37"/>
    </row>
    <row r="705" spans="1:41">
      <c r="A705" s="37"/>
      <c r="B705" s="37"/>
      <c r="C705" s="37"/>
      <c r="D705" s="37"/>
      <c r="E705" s="37"/>
      <c r="F705" s="37"/>
      <c r="G705" s="37"/>
      <c r="H705" s="40"/>
      <c r="I705" s="40"/>
      <c r="J705" s="40"/>
      <c r="K705" s="37"/>
      <c r="L705" s="37"/>
      <c r="M705" s="37"/>
      <c r="N705" s="37"/>
      <c r="O705" s="37"/>
      <c r="P705" s="37"/>
      <c r="Q705" s="37"/>
      <c r="R705" s="37"/>
      <c r="S705" s="37"/>
      <c r="T705" s="37"/>
      <c r="U705" s="37"/>
      <c r="V705" s="37"/>
      <c r="W705" s="37"/>
      <c r="X705" s="37"/>
      <c r="Y705" s="37"/>
      <c r="Z705" s="37"/>
      <c r="AA705" s="37"/>
      <c r="AB705" s="37"/>
      <c r="AC705" s="37"/>
      <c r="AD705" s="37"/>
      <c r="AE705" s="37"/>
      <c r="AF705" s="37"/>
      <c r="AG705" s="37"/>
      <c r="AH705" s="37"/>
      <c r="AI705" s="37"/>
      <c r="AJ705" s="37"/>
      <c r="AK705" s="39"/>
      <c r="AL705" s="37"/>
      <c r="AM705" s="37"/>
      <c r="AN705" s="37"/>
      <c r="AO705" s="37"/>
    </row>
    <row r="706" spans="1:41">
      <c r="A706" s="37"/>
      <c r="B706" s="37"/>
      <c r="C706" s="37"/>
      <c r="D706" s="37"/>
      <c r="E706" s="37"/>
      <c r="F706" s="37"/>
      <c r="G706" s="37"/>
      <c r="H706" s="40"/>
      <c r="I706" s="40"/>
      <c r="J706" s="40"/>
      <c r="K706" s="37"/>
      <c r="L706" s="37"/>
      <c r="M706" s="37"/>
      <c r="N706" s="37"/>
      <c r="O706" s="37"/>
      <c r="P706" s="37"/>
      <c r="Q706" s="37"/>
      <c r="R706" s="37"/>
      <c r="S706" s="37"/>
      <c r="T706" s="37"/>
      <c r="U706" s="37"/>
      <c r="V706" s="37"/>
      <c r="W706" s="37"/>
      <c r="X706" s="37"/>
      <c r="Y706" s="37"/>
      <c r="Z706" s="37"/>
      <c r="AA706" s="37"/>
      <c r="AB706" s="37"/>
      <c r="AC706" s="37"/>
      <c r="AD706" s="37"/>
      <c r="AE706" s="37"/>
      <c r="AF706" s="37"/>
      <c r="AG706" s="37"/>
      <c r="AH706" s="37"/>
      <c r="AI706" s="37"/>
      <c r="AJ706" s="37"/>
      <c r="AK706" s="39"/>
      <c r="AL706" s="37"/>
      <c r="AM706" s="37"/>
      <c r="AN706" s="37"/>
      <c r="AO706" s="37"/>
    </row>
    <row r="707" spans="1:41">
      <c r="A707" s="37"/>
      <c r="B707" s="37"/>
      <c r="C707" s="37"/>
      <c r="D707" s="37"/>
      <c r="E707" s="37"/>
      <c r="F707" s="37"/>
      <c r="G707" s="37"/>
      <c r="H707" s="40"/>
      <c r="I707" s="40"/>
      <c r="J707" s="40"/>
      <c r="K707" s="37"/>
      <c r="L707" s="37"/>
      <c r="M707" s="37"/>
      <c r="N707" s="37"/>
      <c r="O707" s="37"/>
      <c r="P707" s="37"/>
      <c r="Q707" s="37"/>
      <c r="R707" s="37"/>
      <c r="S707" s="37"/>
      <c r="T707" s="37"/>
      <c r="U707" s="37"/>
      <c r="V707" s="37"/>
      <c r="W707" s="37"/>
      <c r="X707" s="37"/>
      <c r="Y707" s="37"/>
      <c r="Z707" s="37"/>
      <c r="AA707" s="37"/>
      <c r="AB707" s="37"/>
      <c r="AC707" s="37"/>
      <c r="AD707" s="37"/>
      <c r="AE707" s="37"/>
      <c r="AF707" s="37"/>
      <c r="AG707" s="37"/>
      <c r="AH707" s="37"/>
      <c r="AI707" s="37"/>
      <c r="AJ707" s="37"/>
      <c r="AK707" s="39"/>
      <c r="AL707" s="37"/>
      <c r="AM707" s="37"/>
      <c r="AN707" s="37"/>
      <c r="AO707" s="37"/>
    </row>
    <row r="708" spans="1:41">
      <c r="A708" s="37"/>
      <c r="B708" s="37"/>
      <c r="C708" s="37"/>
      <c r="D708" s="37"/>
      <c r="E708" s="37"/>
      <c r="F708" s="37"/>
      <c r="G708" s="37"/>
      <c r="H708" s="40"/>
      <c r="I708" s="40"/>
      <c r="J708" s="40"/>
      <c r="K708" s="37"/>
      <c r="L708" s="37"/>
      <c r="M708" s="37"/>
      <c r="N708" s="37"/>
      <c r="O708" s="37"/>
      <c r="P708" s="37"/>
      <c r="Q708" s="37"/>
      <c r="R708" s="37"/>
      <c r="S708" s="37"/>
      <c r="T708" s="37"/>
      <c r="U708" s="37"/>
      <c r="V708" s="37"/>
      <c r="W708" s="37"/>
      <c r="X708" s="37"/>
      <c r="Y708" s="37"/>
      <c r="Z708" s="37"/>
      <c r="AA708" s="37"/>
      <c r="AB708" s="37"/>
      <c r="AC708" s="37"/>
      <c r="AD708" s="37"/>
      <c r="AE708" s="37"/>
      <c r="AF708" s="37"/>
      <c r="AG708" s="37"/>
      <c r="AH708" s="37"/>
      <c r="AI708" s="37"/>
      <c r="AJ708" s="37"/>
      <c r="AK708" s="39"/>
      <c r="AL708" s="37"/>
      <c r="AM708" s="37"/>
      <c r="AN708" s="37"/>
      <c r="AO708" s="37"/>
    </row>
    <row r="709" spans="1:41">
      <c r="A709" s="37"/>
      <c r="B709" s="37"/>
      <c r="C709" s="37"/>
      <c r="D709" s="37"/>
      <c r="E709" s="37"/>
      <c r="F709" s="37"/>
      <c r="G709" s="37"/>
      <c r="H709" s="40"/>
      <c r="I709" s="40"/>
      <c r="J709" s="40"/>
      <c r="K709" s="37"/>
      <c r="L709" s="37"/>
      <c r="M709" s="37"/>
      <c r="N709" s="37"/>
      <c r="O709" s="37"/>
      <c r="P709" s="37"/>
      <c r="Q709" s="37"/>
      <c r="R709" s="37"/>
      <c r="S709" s="37"/>
      <c r="T709" s="37"/>
      <c r="U709" s="37"/>
      <c r="V709" s="37"/>
      <c r="W709" s="37"/>
      <c r="X709" s="37"/>
      <c r="Y709" s="37"/>
      <c r="Z709" s="37"/>
      <c r="AA709" s="37"/>
      <c r="AB709" s="37"/>
      <c r="AC709" s="37"/>
      <c r="AD709" s="37"/>
      <c r="AE709" s="37"/>
      <c r="AF709" s="37"/>
      <c r="AG709" s="37"/>
      <c r="AH709" s="37"/>
      <c r="AI709" s="37"/>
      <c r="AJ709" s="37"/>
      <c r="AK709" s="39"/>
      <c r="AL709" s="37"/>
      <c r="AM709" s="37"/>
      <c r="AN709" s="37"/>
      <c r="AO709" s="37"/>
    </row>
    <row r="710" spans="1:41">
      <c r="A710" s="37"/>
      <c r="B710" s="37"/>
      <c r="C710" s="37"/>
      <c r="D710" s="37"/>
      <c r="E710" s="37"/>
      <c r="F710" s="37"/>
      <c r="G710" s="37"/>
      <c r="H710" s="40"/>
      <c r="I710" s="40"/>
      <c r="J710" s="40"/>
      <c r="K710" s="37"/>
      <c r="L710" s="37"/>
      <c r="M710" s="37"/>
      <c r="N710" s="37"/>
      <c r="O710" s="37"/>
      <c r="P710" s="37"/>
      <c r="Q710" s="37"/>
      <c r="R710" s="37"/>
      <c r="S710" s="37"/>
      <c r="T710" s="37"/>
      <c r="U710" s="37"/>
      <c r="V710" s="37"/>
      <c r="W710" s="37"/>
      <c r="X710" s="37"/>
      <c r="Y710" s="37"/>
      <c r="Z710" s="37"/>
      <c r="AA710" s="37"/>
      <c r="AB710" s="37"/>
      <c r="AC710" s="37"/>
      <c r="AD710" s="37"/>
      <c r="AE710" s="37"/>
      <c r="AF710" s="37"/>
      <c r="AG710" s="37"/>
      <c r="AH710" s="37"/>
      <c r="AI710" s="37"/>
      <c r="AJ710" s="37"/>
      <c r="AK710" s="39"/>
      <c r="AL710" s="37"/>
      <c r="AM710" s="37"/>
      <c r="AN710" s="37"/>
      <c r="AO710" s="37"/>
    </row>
    <row r="711" spans="1:41">
      <c r="A711" s="37"/>
      <c r="B711" s="37"/>
      <c r="C711" s="37"/>
      <c r="D711" s="37"/>
      <c r="E711" s="37"/>
      <c r="F711" s="37"/>
      <c r="G711" s="37"/>
      <c r="H711" s="40"/>
      <c r="I711" s="40"/>
      <c r="J711" s="40"/>
      <c r="K711" s="37"/>
      <c r="L711" s="37"/>
      <c r="M711" s="37"/>
      <c r="N711" s="37"/>
      <c r="O711" s="37"/>
      <c r="P711" s="37"/>
      <c r="Q711" s="37"/>
      <c r="R711" s="37"/>
      <c r="S711" s="37"/>
      <c r="T711" s="37"/>
      <c r="U711" s="37"/>
      <c r="V711" s="37"/>
      <c r="W711" s="37"/>
      <c r="X711" s="37"/>
      <c r="Y711" s="37"/>
      <c r="Z711" s="37"/>
      <c r="AA711" s="37"/>
      <c r="AB711" s="37"/>
      <c r="AC711" s="37"/>
      <c r="AD711" s="37"/>
      <c r="AE711" s="37"/>
      <c r="AF711" s="37"/>
      <c r="AG711" s="37"/>
      <c r="AH711" s="37"/>
      <c r="AI711" s="37"/>
      <c r="AJ711" s="37"/>
      <c r="AK711" s="39"/>
      <c r="AL711" s="37"/>
      <c r="AM711" s="37"/>
      <c r="AN711" s="37"/>
      <c r="AO711" s="37"/>
    </row>
    <row r="712" spans="1:41">
      <c r="A712" s="37"/>
      <c r="B712" s="37"/>
      <c r="C712" s="37"/>
      <c r="D712" s="37"/>
      <c r="E712" s="37"/>
      <c r="F712" s="37"/>
      <c r="G712" s="37"/>
      <c r="H712" s="40"/>
      <c r="I712" s="40"/>
      <c r="J712" s="40"/>
      <c r="K712" s="37"/>
      <c r="L712" s="37"/>
      <c r="M712" s="37"/>
      <c r="N712" s="37"/>
      <c r="O712" s="37"/>
      <c r="P712" s="37"/>
      <c r="Q712" s="37"/>
      <c r="R712" s="37"/>
      <c r="S712" s="37"/>
      <c r="T712" s="37"/>
      <c r="U712" s="37"/>
      <c r="V712" s="37"/>
      <c r="W712" s="37"/>
      <c r="X712" s="37"/>
      <c r="Y712" s="37"/>
      <c r="Z712" s="37"/>
      <c r="AA712" s="37"/>
      <c r="AB712" s="37"/>
      <c r="AC712" s="37"/>
      <c r="AD712" s="37"/>
      <c r="AE712" s="37"/>
      <c r="AF712" s="37"/>
      <c r="AG712" s="37"/>
      <c r="AH712" s="37"/>
      <c r="AI712" s="37"/>
      <c r="AJ712" s="37"/>
      <c r="AK712" s="39"/>
      <c r="AL712" s="37"/>
      <c r="AM712" s="37"/>
      <c r="AN712" s="37"/>
      <c r="AO712" s="37"/>
    </row>
    <row r="713" spans="1:41">
      <c r="A713" s="37"/>
      <c r="B713" s="37"/>
      <c r="C713" s="37"/>
      <c r="D713" s="37"/>
      <c r="E713" s="37"/>
      <c r="F713" s="37"/>
      <c r="G713" s="37"/>
      <c r="H713" s="40"/>
      <c r="I713" s="40"/>
      <c r="J713" s="40"/>
      <c r="K713" s="37"/>
      <c r="L713" s="37"/>
      <c r="M713" s="37"/>
      <c r="N713" s="37"/>
      <c r="O713" s="37"/>
      <c r="P713" s="37"/>
      <c r="Q713" s="37"/>
      <c r="R713" s="37"/>
      <c r="S713" s="37"/>
      <c r="T713" s="37"/>
      <c r="U713" s="37"/>
      <c r="V713" s="37"/>
      <c r="W713" s="37"/>
      <c r="X713" s="37"/>
      <c r="Y713" s="37"/>
      <c r="Z713" s="37"/>
      <c r="AA713" s="37"/>
      <c r="AB713" s="37"/>
      <c r="AC713" s="37"/>
      <c r="AD713" s="37"/>
      <c r="AE713" s="37"/>
      <c r="AF713" s="37"/>
      <c r="AG713" s="37"/>
      <c r="AH713" s="37"/>
      <c r="AI713" s="37"/>
      <c r="AJ713" s="37"/>
      <c r="AK713" s="39"/>
      <c r="AL713" s="37"/>
      <c r="AM713" s="37"/>
      <c r="AN713" s="37"/>
      <c r="AO713" s="37"/>
    </row>
    <row r="714" spans="1:41">
      <c r="A714" s="37"/>
      <c r="B714" s="37"/>
      <c r="C714" s="37"/>
      <c r="D714" s="37"/>
      <c r="E714" s="37"/>
      <c r="F714" s="37"/>
      <c r="G714" s="37"/>
      <c r="H714" s="40"/>
      <c r="I714" s="40"/>
      <c r="J714" s="40"/>
      <c r="K714" s="37"/>
      <c r="L714" s="37"/>
      <c r="M714" s="37"/>
      <c r="N714" s="37"/>
      <c r="O714" s="37"/>
      <c r="P714" s="37"/>
      <c r="Q714" s="37"/>
      <c r="R714" s="37"/>
      <c r="S714" s="37"/>
      <c r="T714" s="37"/>
      <c r="U714" s="37"/>
      <c r="V714" s="37"/>
      <c r="W714" s="37"/>
      <c r="X714" s="37"/>
      <c r="Y714" s="37"/>
      <c r="Z714" s="37"/>
      <c r="AA714" s="37"/>
      <c r="AB714" s="37"/>
      <c r="AC714" s="37"/>
      <c r="AD714" s="37"/>
      <c r="AE714" s="37"/>
      <c r="AF714" s="37"/>
      <c r="AG714" s="37"/>
      <c r="AH714" s="37"/>
      <c r="AI714" s="37"/>
      <c r="AJ714" s="37"/>
      <c r="AK714" s="39"/>
      <c r="AL714" s="37"/>
      <c r="AM714" s="37"/>
      <c r="AN714" s="37"/>
      <c r="AO714" s="37"/>
    </row>
    <row r="715" spans="1:41">
      <c r="A715" s="37"/>
      <c r="B715" s="37"/>
      <c r="C715" s="37"/>
      <c r="D715" s="37"/>
      <c r="E715" s="37"/>
      <c r="F715" s="37"/>
      <c r="G715" s="37"/>
      <c r="H715" s="40"/>
      <c r="I715" s="40"/>
      <c r="J715" s="40"/>
      <c r="K715" s="37"/>
      <c r="L715" s="37"/>
      <c r="M715" s="37"/>
      <c r="N715" s="37"/>
      <c r="O715" s="37"/>
      <c r="P715" s="37"/>
      <c r="Q715" s="37"/>
      <c r="R715" s="37"/>
      <c r="S715" s="37"/>
      <c r="T715" s="37"/>
      <c r="U715" s="37"/>
      <c r="V715" s="37"/>
      <c r="W715" s="37"/>
      <c r="X715" s="37"/>
      <c r="Y715" s="37"/>
      <c r="Z715" s="37"/>
      <c r="AA715" s="37"/>
      <c r="AB715" s="37"/>
      <c r="AC715" s="37"/>
      <c r="AD715" s="37"/>
      <c r="AE715" s="37"/>
      <c r="AF715" s="37"/>
      <c r="AG715" s="37"/>
      <c r="AH715" s="37"/>
      <c r="AI715" s="37"/>
      <c r="AJ715" s="37"/>
      <c r="AK715" s="39"/>
      <c r="AL715" s="37"/>
      <c r="AM715" s="37"/>
      <c r="AN715" s="37"/>
      <c r="AO715" s="37"/>
    </row>
    <row r="716" spans="1:41">
      <c r="A716" s="37"/>
      <c r="B716" s="37"/>
      <c r="C716" s="37"/>
      <c r="D716" s="37"/>
      <c r="E716" s="37"/>
      <c r="F716" s="37"/>
      <c r="G716" s="37"/>
      <c r="H716" s="40"/>
      <c r="I716" s="40"/>
      <c r="J716" s="40"/>
      <c r="K716" s="37"/>
      <c r="L716" s="37"/>
      <c r="M716" s="37"/>
      <c r="N716" s="37"/>
      <c r="O716" s="37"/>
      <c r="P716" s="37"/>
      <c r="Q716" s="37"/>
      <c r="R716" s="37"/>
      <c r="S716" s="37"/>
      <c r="T716" s="37"/>
      <c r="U716" s="37"/>
      <c r="V716" s="37"/>
      <c r="W716" s="37"/>
      <c r="X716" s="37"/>
      <c r="Y716" s="37"/>
      <c r="Z716" s="37"/>
      <c r="AA716" s="37"/>
      <c r="AB716" s="37"/>
      <c r="AC716" s="37"/>
      <c r="AD716" s="37"/>
      <c r="AE716" s="37"/>
      <c r="AF716" s="37"/>
      <c r="AG716" s="37"/>
      <c r="AH716" s="37"/>
      <c r="AI716" s="37"/>
      <c r="AJ716" s="37"/>
      <c r="AK716" s="39"/>
      <c r="AL716" s="37"/>
      <c r="AM716" s="37"/>
      <c r="AN716" s="37"/>
      <c r="AO716" s="37"/>
    </row>
    <row r="717" spans="1:41">
      <c r="A717" s="37"/>
      <c r="B717" s="37"/>
      <c r="C717" s="37"/>
      <c r="D717" s="37"/>
      <c r="E717" s="37"/>
      <c r="F717" s="37"/>
      <c r="G717" s="37"/>
      <c r="H717" s="40"/>
      <c r="I717" s="40"/>
      <c r="J717" s="40"/>
      <c r="K717" s="37"/>
      <c r="L717" s="37"/>
      <c r="M717" s="37"/>
      <c r="N717" s="37"/>
      <c r="O717" s="37"/>
      <c r="P717" s="37"/>
      <c r="Q717" s="37"/>
      <c r="R717" s="37"/>
      <c r="S717" s="37"/>
      <c r="T717" s="37"/>
      <c r="U717" s="37"/>
      <c r="V717" s="37"/>
      <c r="W717" s="37"/>
      <c r="X717" s="37"/>
      <c r="Y717" s="37"/>
      <c r="Z717" s="37"/>
      <c r="AA717" s="37"/>
      <c r="AB717" s="37"/>
      <c r="AC717" s="37"/>
      <c r="AD717" s="37"/>
      <c r="AE717" s="37"/>
      <c r="AF717" s="37"/>
      <c r="AG717" s="37"/>
      <c r="AH717" s="37"/>
      <c r="AI717" s="37"/>
      <c r="AJ717" s="37"/>
      <c r="AK717" s="39"/>
      <c r="AL717" s="37"/>
      <c r="AM717" s="37"/>
      <c r="AN717" s="37"/>
      <c r="AO717" s="37"/>
    </row>
    <row r="718" spans="1:41">
      <c r="A718" s="37"/>
      <c r="B718" s="37"/>
      <c r="C718" s="37"/>
      <c r="D718" s="37"/>
      <c r="E718" s="37"/>
      <c r="F718" s="37"/>
      <c r="G718" s="37"/>
      <c r="H718" s="40"/>
      <c r="I718" s="40"/>
      <c r="J718" s="40"/>
      <c r="K718" s="37"/>
      <c r="L718" s="37"/>
      <c r="M718" s="37"/>
      <c r="N718" s="37"/>
      <c r="O718" s="37"/>
      <c r="P718" s="37"/>
      <c r="Q718" s="37"/>
      <c r="R718" s="37"/>
      <c r="S718" s="37"/>
      <c r="T718" s="37"/>
      <c r="U718" s="37"/>
      <c r="V718" s="37"/>
      <c r="W718" s="37"/>
      <c r="X718" s="37"/>
      <c r="Y718" s="37"/>
      <c r="Z718" s="37"/>
      <c r="AA718" s="37"/>
      <c r="AB718" s="37"/>
      <c r="AC718" s="37"/>
      <c r="AD718" s="37"/>
      <c r="AE718" s="37"/>
      <c r="AF718" s="37"/>
      <c r="AG718" s="37"/>
      <c r="AH718" s="37"/>
      <c r="AI718" s="37"/>
      <c r="AJ718" s="37"/>
      <c r="AK718" s="39"/>
      <c r="AL718" s="37"/>
      <c r="AM718" s="37"/>
      <c r="AN718" s="37"/>
      <c r="AO718" s="37"/>
    </row>
    <row r="719" spans="1:41">
      <c r="A719" s="37"/>
      <c r="B719" s="37"/>
      <c r="C719" s="37"/>
      <c r="D719" s="37"/>
      <c r="E719" s="37"/>
      <c r="F719" s="37"/>
      <c r="G719" s="37"/>
      <c r="H719" s="40"/>
      <c r="I719" s="40"/>
      <c r="J719" s="40"/>
      <c r="K719" s="37"/>
      <c r="L719" s="37"/>
      <c r="M719" s="37"/>
      <c r="N719" s="37"/>
      <c r="O719" s="37"/>
      <c r="P719" s="37"/>
      <c r="Q719" s="37"/>
      <c r="R719" s="37"/>
      <c r="S719" s="37"/>
      <c r="T719" s="37"/>
      <c r="U719" s="37"/>
      <c r="V719" s="37"/>
      <c r="W719" s="37"/>
      <c r="X719" s="37"/>
      <c r="Y719" s="37"/>
      <c r="Z719" s="37"/>
      <c r="AA719" s="37"/>
      <c r="AB719" s="37"/>
      <c r="AC719" s="37"/>
      <c r="AD719" s="37"/>
      <c r="AE719" s="37"/>
      <c r="AF719" s="37"/>
      <c r="AG719" s="37"/>
      <c r="AH719" s="37"/>
      <c r="AI719" s="37"/>
      <c r="AJ719" s="37"/>
      <c r="AK719" s="39"/>
      <c r="AL719" s="37"/>
      <c r="AM719" s="37"/>
      <c r="AN719" s="37"/>
      <c r="AO719" s="37"/>
    </row>
    <row r="720" spans="1:41">
      <c r="A720" s="37"/>
      <c r="B720" s="37"/>
      <c r="C720" s="37"/>
      <c r="D720" s="37"/>
      <c r="E720" s="37"/>
      <c r="F720" s="37"/>
      <c r="G720" s="37"/>
      <c r="H720" s="40"/>
      <c r="I720" s="40"/>
      <c r="J720" s="40"/>
      <c r="K720" s="37"/>
      <c r="L720" s="37"/>
      <c r="M720" s="37"/>
      <c r="N720" s="37"/>
      <c r="O720" s="37"/>
      <c r="P720" s="37"/>
      <c r="Q720" s="37"/>
      <c r="R720" s="37"/>
      <c r="S720" s="37"/>
      <c r="T720" s="37"/>
      <c r="U720" s="37"/>
      <c r="V720" s="37"/>
      <c r="W720" s="37"/>
      <c r="X720" s="37"/>
      <c r="Y720" s="37"/>
      <c r="Z720" s="37"/>
      <c r="AA720" s="37"/>
      <c r="AB720" s="37"/>
      <c r="AC720" s="37"/>
      <c r="AD720" s="37"/>
      <c r="AE720" s="37"/>
      <c r="AF720" s="37"/>
      <c r="AG720" s="37"/>
      <c r="AH720" s="37"/>
      <c r="AI720" s="37"/>
      <c r="AJ720" s="37"/>
      <c r="AK720" s="39"/>
      <c r="AL720" s="37"/>
      <c r="AM720" s="37"/>
      <c r="AN720" s="37"/>
      <c r="AO720" s="37"/>
    </row>
    <row r="721" spans="1:41">
      <c r="A721" s="37"/>
      <c r="B721" s="37"/>
      <c r="C721" s="37"/>
      <c r="D721" s="37"/>
      <c r="E721" s="37"/>
      <c r="F721" s="37"/>
      <c r="G721" s="37"/>
      <c r="H721" s="40"/>
      <c r="I721" s="40"/>
      <c r="J721" s="40"/>
      <c r="K721" s="37"/>
      <c r="L721" s="37"/>
      <c r="M721" s="37"/>
      <c r="N721" s="37"/>
      <c r="O721" s="37"/>
      <c r="P721" s="37"/>
      <c r="Q721" s="37"/>
      <c r="R721" s="37"/>
      <c r="S721" s="37"/>
      <c r="T721" s="37"/>
      <c r="U721" s="37"/>
      <c r="V721" s="37"/>
      <c r="W721" s="37"/>
      <c r="X721" s="37"/>
      <c r="Y721" s="37"/>
      <c r="Z721" s="37"/>
      <c r="AA721" s="37"/>
      <c r="AB721" s="37"/>
      <c r="AC721" s="37"/>
      <c r="AD721" s="37"/>
      <c r="AE721" s="37"/>
      <c r="AF721" s="37"/>
      <c r="AG721" s="37"/>
      <c r="AH721" s="37"/>
      <c r="AI721" s="37"/>
      <c r="AJ721" s="37"/>
      <c r="AK721" s="39"/>
      <c r="AL721" s="37"/>
      <c r="AM721" s="37"/>
      <c r="AN721" s="37"/>
      <c r="AO721" s="37"/>
    </row>
    <row r="722" spans="1:41">
      <c r="A722" s="37"/>
      <c r="B722" s="37"/>
      <c r="C722" s="37"/>
      <c r="D722" s="37"/>
      <c r="E722" s="37"/>
      <c r="F722" s="37"/>
      <c r="G722" s="37"/>
      <c r="H722" s="40"/>
      <c r="I722" s="40"/>
      <c r="J722" s="40"/>
      <c r="K722" s="37"/>
      <c r="L722" s="37"/>
      <c r="M722" s="37"/>
      <c r="N722" s="37"/>
      <c r="O722" s="37"/>
      <c r="P722" s="37"/>
      <c r="Q722" s="37"/>
      <c r="R722" s="37"/>
      <c r="S722" s="37"/>
      <c r="T722" s="37"/>
      <c r="U722" s="37"/>
      <c r="V722" s="37"/>
      <c r="W722" s="37"/>
      <c r="X722" s="37"/>
      <c r="Y722" s="37"/>
      <c r="Z722" s="37"/>
      <c r="AA722" s="37"/>
      <c r="AB722" s="37"/>
      <c r="AC722" s="37"/>
      <c r="AD722" s="37"/>
      <c r="AE722" s="37"/>
      <c r="AF722" s="37"/>
      <c r="AG722" s="37"/>
      <c r="AH722" s="37"/>
      <c r="AI722" s="37"/>
      <c r="AJ722" s="37"/>
      <c r="AK722" s="39"/>
      <c r="AL722" s="37"/>
      <c r="AM722" s="37"/>
      <c r="AN722" s="37"/>
      <c r="AO722" s="37"/>
    </row>
    <row r="723" spans="1:41">
      <c r="A723" s="37"/>
      <c r="B723" s="37"/>
      <c r="C723" s="37"/>
      <c r="D723" s="37"/>
      <c r="E723" s="37"/>
      <c r="F723" s="37"/>
      <c r="G723" s="37"/>
      <c r="H723" s="40"/>
      <c r="I723" s="40"/>
      <c r="J723" s="40"/>
      <c r="K723" s="37"/>
      <c r="L723" s="37"/>
      <c r="M723" s="37"/>
      <c r="N723" s="37"/>
      <c r="O723" s="37"/>
      <c r="P723" s="37"/>
      <c r="Q723" s="37"/>
      <c r="R723" s="37"/>
      <c r="S723" s="37"/>
      <c r="T723" s="37"/>
      <c r="U723" s="37"/>
      <c r="V723" s="37"/>
      <c r="W723" s="37"/>
      <c r="X723" s="37"/>
      <c r="Y723" s="37"/>
      <c r="Z723" s="37"/>
      <c r="AA723" s="37"/>
      <c r="AB723" s="37"/>
      <c r="AC723" s="37"/>
      <c r="AD723" s="37"/>
      <c r="AE723" s="37"/>
      <c r="AF723" s="37"/>
      <c r="AG723" s="37"/>
      <c r="AH723" s="37"/>
      <c r="AI723" s="37"/>
      <c r="AJ723" s="37"/>
      <c r="AK723" s="39"/>
      <c r="AL723" s="37"/>
      <c r="AM723" s="37"/>
      <c r="AN723" s="37"/>
      <c r="AO723" s="37"/>
    </row>
    <row r="724" spans="1:41">
      <c r="A724" s="37"/>
      <c r="B724" s="37"/>
      <c r="C724" s="37"/>
      <c r="D724" s="37"/>
      <c r="E724" s="37"/>
      <c r="F724" s="37"/>
      <c r="G724" s="37"/>
      <c r="H724" s="40"/>
      <c r="I724" s="40"/>
      <c r="J724" s="40"/>
      <c r="K724" s="37"/>
      <c r="L724" s="37"/>
      <c r="M724" s="37"/>
      <c r="N724" s="37"/>
      <c r="O724" s="37"/>
      <c r="P724" s="37"/>
      <c r="Q724" s="37"/>
      <c r="R724" s="37"/>
      <c r="S724" s="37"/>
      <c r="T724" s="37"/>
      <c r="U724" s="37"/>
      <c r="V724" s="37"/>
      <c r="W724" s="37"/>
      <c r="X724" s="37"/>
      <c r="Y724" s="37"/>
      <c r="Z724" s="37"/>
      <c r="AA724" s="37"/>
      <c r="AB724" s="37"/>
      <c r="AC724" s="37"/>
      <c r="AD724" s="37"/>
      <c r="AE724" s="37"/>
      <c r="AF724" s="37"/>
      <c r="AG724" s="37"/>
      <c r="AH724" s="37"/>
      <c r="AI724" s="37"/>
      <c r="AJ724" s="37"/>
      <c r="AK724" s="39"/>
      <c r="AL724" s="37"/>
      <c r="AM724" s="37"/>
      <c r="AN724" s="37"/>
      <c r="AO724" s="37"/>
    </row>
    <row r="725" spans="1:41">
      <c r="A725" s="37"/>
      <c r="B725" s="37"/>
      <c r="C725" s="37"/>
      <c r="D725" s="37"/>
      <c r="E725" s="37"/>
      <c r="F725" s="37"/>
      <c r="G725" s="37"/>
      <c r="H725" s="40"/>
      <c r="I725" s="40"/>
      <c r="J725" s="40"/>
      <c r="K725" s="37"/>
      <c r="L725" s="37"/>
      <c r="M725" s="37"/>
      <c r="N725" s="37"/>
      <c r="O725" s="37"/>
      <c r="P725" s="37"/>
      <c r="Q725" s="37"/>
      <c r="R725" s="37"/>
      <c r="S725" s="37"/>
      <c r="T725" s="37"/>
      <c r="U725" s="37"/>
      <c r="V725" s="37"/>
      <c r="W725" s="37"/>
      <c r="X725" s="37"/>
      <c r="Y725" s="37"/>
      <c r="Z725" s="37"/>
      <c r="AA725" s="37"/>
      <c r="AB725" s="37"/>
      <c r="AC725" s="37"/>
      <c r="AD725" s="37"/>
      <c r="AE725" s="37"/>
      <c r="AF725" s="37"/>
      <c r="AG725" s="37"/>
      <c r="AH725" s="37"/>
      <c r="AI725" s="37"/>
      <c r="AJ725" s="37"/>
      <c r="AK725" s="39"/>
      <c r="AL725" s="37"/>
      <c r="AM725" s="37"/>
      <c r="AN725" s="37"/>
      <c r="AO725" s="37"/>
    </row>
    <row r="726" spans="1:41">
      <c r="A726" s="37"/>
      <c r="B726" s="37"/>
      <c r="C726" s="37"/>
      <c r="D726" s="37"/>
      <c r="E726" s="37"/>
      <c r="F726" s="37"/>
      <c r="G726" s="37"/>
      <c r="H726" s="40"/>
      <c r="I726" s="40"/>
      <c r="J726" s="40"/>
      <c r="K726" s="37"/>
      <c r="L726" s="37"/>
      <c r="M726" s="37"/>
      <c r="N726" s="37"/>
      <c r="O726" s="37"/>
      <c r="P726" s="37"/>
      <c r="Q726" s="37"/>
      <c r="R726" s="37"/>
      <c r="S726" s="37"/>
      <c r="T726" s="37"/>
      <c r="U726" s="37"/>
      <c r="V726" s="37"/>
      <c r="W726" s="37"/>
      <c r="X726" s="37"/>
      <c r="Y726" s="37"/>
      <c r="Z726" s="37"/>
      <c r="AA726" s="37"/>
      <c r="AB726" s="37"/>
      <c r="AC726" s="37"/>
      <c r="AD726" s="37"/>
      <c r="AE726" s="37"/>
      <c r="AF726" s="37"/>
      <c r="AG726" s="37"/>
      <c r="AH726" s="37"/>
      <c r="AI726" s="37"/>
      <c r="AJ726" s="37"/>
      <c r="AK726" s="39"/>
      <c r="AL726" s="37"/>
      <c r="AM726" s="37"/>
      <c r="AN726" s="37"/>
      <c r="AO726" s="37"/>
    </row>
    <row r="727" spans="1:41">
      <c r="A727" s="37"/>
      <c r="B727" s="37"/>
      <c r="C727" s="37"/>
      <c r="D727" s="37"/>
      <c r="E727" s="37"/>
      <c r="F727" s="37"/>
      <c r="G727" s="37"/>
      <c r="H727" s="40"/>
      <c r="I727" s="40"/>
      <c r="J727" s="40"/>
      <c r="K727" s="37"/>
      <c r="L727" s="37"/>
      <c r="M727" s="37"/>
      <c r="N727" s="37"/>
      <c r="O727" s="37"/>
      <c r="P727" s="37"/>
      <c r="Q727" s="37"/>
      <c r="R727" s="37"/>
      <c r="S727" s="37"/>
      <c r="T727" s="37"/>
      <c r="U727" s="37"/>
      <c r="V727" s="37"/>
      <c r="W727" s="37"/>
      <c r="X727" s="37"/>
      <c r="Y727" s="37"/>
      <c r="Z727" s="37"/>
      <c r="AA727" s="37"/>
      <c r="AB727" s="37"/>
      <c r="AC727" s="37"/>
      <c r="AD727" s="37"/>
      <c r="AE727" s="37"/>
      <c r="AF727" s="37"/>
      <c r="AG727" s="37"/>
      <c r="AH727" s="37"/>
      <c r="AI727" s="37"/>
      <c r="AJ727" s="37"/>
      <c r="AK727" s="39"/>
      <c r="AL727" s="37"/>
      <c r="AM727" s="37"/>
      <c r="AN727" s="37"/>
      <c r="AO727" s="37"/>
    </row>
    <row r="728" spans="1:41">
      <c r="A728" s="37"/>
      <c r="B728" s="37"/>
      <c r="C728" s="37"/>
      <c r="D728" s="37"/>
      <c r="E728" s="37"/>
      <c r="F728" s="37"/>
      <c r="G728" s="37"/>
      <c r="H728" s="40"/>
      <c r="I728" s="40"/>
      <c r="J728" s="40"/>
      <c r="K728" s="37"/>
      <c r="L728" s="37"/>
      <c r="M728" s="37"/>
      <c r="N728" s="37"/>
      <c r="O728" s="37"/>
      <c r="P728" s="37"/>
      <c r="Q728" s="37"/>
      <c r="R728" s="37"/>
      <c r="S728" s="37"/>
      <c r="T728" s="37"/>
      <c r="U728" s="37"/>
      <c r="V728" s="37"/>
      <c r="W728" s="37"/>
      <c r="X728" s="37"/>
      <c r="Y728" s="37"/>
      <c r="Z728" s="37"/>
      <c r="AA728" s="37"/>
      <c r="AB728" s="37"/>
      <c r="AC728" s="37"/>
      <c r="AD728" s="37"/>
      <c r="AE728" s="37"/>
      <c r="AF728" s="37"/>
      <c r="AG728" s="37"/>
      <c r="AH728" s="37"/>
      <c r="AI728" s="37"/>
      <c r="AJ728" s="37"/>
      <c r="AK728" s="39"/>
      <c r="AL728" s="37"/>
      <c r="AM728" s="37"/>
      <c r="AN728" s="37"/>
      <c r="AO728" s="37"/>
    </row>
    <row r="729" spans="1:41">
      <c r="A729" s="37"/>
      <c r="B729" s="37"/>
      <c r="C729" s="37"/>
      <c r="D729" s="37"/>
      <c r="E729" s="37"/>
      <c r="F729" s="37"/>
      <c r="G729" s="37"/>
      <c r="H729" s="40"/>
      <c r="I729" s="40"/>
      <c r="J729" s="40"/>
      <c r="K729" s="37"/>
      <c r="L729" s="37"/>
      <c r="M729" s="37"/>
      <c r="N729" s="37"/>
      <c r="O729" s="37"/>
      <c r="P729" s="37"/>
      <c r="Q729" s="37"/>
      <c r="R729" s="37"/>
      <c r="S729" s="37"/>
      <c r="T729" s="37"/>
      <c r="U729" s="37"/>
      <c r="V729" s="37"/>
      <c r="W729" s="37"/>
      <c r="X729" s="37"/>
      <c r="Y729" s="37"/>
      <c r="Z729" s="37"/>
      <c r="AA729" s="37"/>
      <c r="AB729" s="37"/>
      <c r="AC729" s="37"/>
      <c r="AD729" s="37"/>
      <c r="AE729" s="37"/>
      <c r="AF729" s="37"/>
      <c r="AG729" s="37"/>
      <c r="AH729" s="37"/>
      <c r="AI729" s="37"/>
      <c r="AJ729" s="37"/>
      <c r="AK729" s="39"/>
      <c r="AL729" s="37"/>
      <c r="AM729" s="37"/>
      <c r="AN729" s="37"/>
      <c r="AO729" s="37"/>
    </row>
    <row r="730" spans="1:41">
      <c r="A730" s="37"/>
      <c r="B730" s="37"/>
      <c r="C730" s="37"/>
      <c r="D730" s="37"/>
      <c r="E730" s="37"/>
      <c r="F730" s="37"/>
      <c r="G730" s="37"/>
      <c r="H730" s="40"/>
      <c r="I730" s="40"/>
      <c r="J730" s="40"/>
      <c r="K730" s="37"/>
      <c r="L730" s="37"/>
      <c r="M730" s="37"/>
      <c r="N730" s="37"/>
      <c r="O730" s="37"/>
      <c r="P730" s="37"/>
      <c r="Q730" s="37"/>
      <c r="R730" s="37"/>
      <c r="S730" s="37"/>
      <c r="T730" s="37"/>
      <c r="U730" s="37"/>
      <c r="V730" s="37"/>
      <c r="W730" s="37"/>
      <c r="X730" s="37"/>
      <c r="Y730" s="37"/>
      <c r="Z730" s="37"/>
      <c r="AA730" s="37"/>
      <c r="AB730" s="37"/>
      <c r="AC730" s="37"/>
      <c r="AD730" s="37"/>
      <c r="AE730" s="37"/>
      <c r="AF730" s="37"/>
      <c r="AG730" s="37"/>
      <c r="AH730" s="37"/>
      <c r="AI730" s="37"/>
      <c r="AJ730" s="37"/>
      <c r="AK730" s="39"/>
      <c r="AL730" s="37"/>
      <c r="AM730" s="37"/>
      <c r="AN730" s="37"/>
      <c r="AO730" s="37"/>
    </row>
    <row r="731" spans="1:41">
      <c r="A731" s="37"/>
      <c r="B731" s="37"/>
      <c r="C731" s="37"/>
      <c r="D731" s="37"/>
      <c r="E731" s="37"/>
      <c r="F731" s="37"/>
      <c r="G731" s="37"/>
      <c r="H731" s="40"/>
      <c r="I731" s="40"/>
      <c r="J731" s="40"/>
      <c r="K731" s="37"/>
      <c r="L731" s="37"/>
      <c r="M731" s="37"/>
      <c r="N731" s="37"/>
      <c r="O731" s="37"/>
      <c r="P731" s="37"/>
      <c r="Q731" s="37"/>
      <c r="R731" s="37"/>
      <c r="S731" s="37"/>
      <c r="T731" s="37"/>
      <c r="U731" s="37"/>
      <c r="V731" s="37"/>
      <c r="W731" s="37"/>
      <c r="X731" s="37"/>
      <c r="Y731" s="37"/>
      <c r="Z731" s="37"/>
      <c r="AA731" s="37"/>
      <c r="AB731" s="37"/>
      <c r="AC731" s="37"/>
      <c r="AD731" s="37"/>
      <c r="AE731" s="37"/>
      <c r="AF731" s="37"/>
      <c r="AG731" s="37"/>
      <c r="AH731" s="37"/>
      <c r="AI731" s="37"/>
      <c r="AJ731" s="37"/>
      <c r="AK731" s="39"/>
      <c r="AL731" s="37"/>
      <c r="AM731" s="37"/>
      <c r="AN731" s="37"/>
      <c r="AO731" s="37"/>
    </row>
    <row r="732" spans="1:41">
      <c r="A732" s="37"/>
      <c r="B732" s="37"/>
      <c r="C732" s="37"/>
      <c r="D732" s="37"/>
      <c r="E732" s="37"/>
      <c r="F732" s="37"/>
      <c r="G732" s="37"/>
      <c r="H732" s="40"/>
      <c r="I732" s="40"/>
      <c r="J732" s="40"/>
      <c r="K732" s="37"/>
      <c r="L732" s="37"/>
      <c r="M732" s="37"/>
      <c r="N732" s="37"/>
      <c r="O732" s="37"/>
      <c r="P732" s="37"/>
      <c r="Q732" s="37"/>
      <c r="R732" s="37"/>
      <c r="S732" s="37"/>
      <c r="T732" s="37"/>
      <c r="U732" s="37"/>
      <c r="V732" s="37"/>
      <c r="W732" s="37"/>
      <c r="X732" s="37"/>
      <c r="Y732" s="37"/>
      <c r="Z732" s="37"/>
      <c r="AA732" s="37"/>
      <c r="AB732" s="37"/>
      <c r="AC732" s="37"/>
      <c r="AD732" s="37"/>
      <c r="AE732" s="37"/>
      <c r="AF732" s="37"/>
      <c r="AG732" s="37"/>
      <c r="AH732" s="37"/>
      <c r="AI732" s="37"/>
      <c r="AJ732" s="37"/>
      <c r="AK732" s="39"/>
      <c r="AL732" s="37"/>
      <c r="AM732" s="37"/>
      <c r="AN732" s="37"/>
      <c r="AO732" s="37"/>
    </row>
    <row r="733" spans="1:41">
      <c r="A733" s="37"/>
      <c r="B733" s="37"/>
      <c r="C733" s="37"/>
      <c r="D733" s="37"/>
      <c r="E733" s="37"/>
      <c r="F733" s="37"/>
      <c r="G733" s="37"/>
      <c r="H733" s="40"/>
      <c r="I733" s="40"/>
      <c r="J733" s="40"/>
      <c r="K733" s="37"/>
      <c r="L733" s="37"/>
      <c r="M733" s="37"/>
      <c r="N733" s="37"/>
      <c r="O733" s="37"/>
      <c r="P733" s="37"/>
      <c r="Q733" s="37"/>
      <c r="R733" s="37"/>
      <c r="S733" s="37"/>
      <c r="T733" s="37"/>
      <c r="U733" s="37"/>
      <c r="V733" s="37"/>
      <c r="W733" s="37"/>
      <c r="X733" s="37"/>
      <c r="Y733" s="37"/>
      <c r="Z733" s="37"/>
      <c r="AA733" s="37"/>
      <c r="AB733" s="37"/>
      <c r="AC733" s="37"/>
      <c r="AD733" s="37"/>
      <c r="AE733" s="37"/>
      <c r="AF733" s="37"/>
      <c r="AG733" s="37"/>
      <c r="AH733" s="37"/>
      <c r="AI733" s="37"/>
      <c r="AJ733" s="37"/>
      <c r="AK733" s="39"/>
      <c r="AL733" s="37"/>
      <c r="AM733" s="37"/>
      <c r="AN733" s="37"/>
      <c r="AO733" s="37"/>
    </row>
    <row r="734" spans="1:41">
      <c r="A734" s="37"/>
      <c r="B734" s="37"/>
      <c r="C734" s="37"/>
      <c r="D734" s="37"/>
      <c r="E734" s="37"/>
      <c r="F734" s="37"/>
      <c r="G734" s="37"/>
      <c r="H734" s="40"/>
      <c r="I734" s="40"/>
      <c r="J734" s="40"/>
      <c r="K734" s="37"/>
      <c r="L734" s="37"/>
      <c r="M734" s="37"/>
      <c r="N734" s="37"/>
      <c r="O734" s="37"/>
      <c r="P734" s="37"/>
      <c r="Q734" s="37"/>
      <c r="R734" s="37"/>
      <c r="S734" s="37"/>
      <c r="T734" s="37"/>
      <c r="U734" s="37"/>
      <c r="V734" s="37"/>
      <c r="W734" s="37"/>
      <c r="X734" s="37"/>
      <c r="Y734" s="37"/>
      <c r="Z734" s="37"/>
      <c r="AA734" s="37"/>
      <c r="AB734" s="37"/>
      <c r="AC734" s="37"/>
      <c r="AD734" s="37"/>
      <c r="AE734" s="37"/>
      <c r="AF734" s="37"/>
      <c r="AG734" s="37"/>
      <c r="AH734" s="37"/>
      <c r="AI734" s="37"/>
      <c r="AJ734" s="37"/>
      <c r="AK734" s="39"/>
      <c r="AL734" s="37"/>
      <c r="AM734" s="37"/>
      <c r="AN734" s="37"/>
      <c r="AO734" s="37"/>
    </row>
    <row r="735" spans="1:41">
      <c r="A735" s="37"/>
      <c r="B735" s="37"/>
      <c r="C735" s="37"/>
      <c r="D735" s="37"/>
      <c r="E735" s="37"/>
      <c r="F735" s="37"/>
      <c r="G735" s="37"/>
      <c r="H735" s="40"/>
      <c r="I735" s="40"/>
      <c r="J735" s="40"/>
      <c r="K735" s="37"/>
      <c r="L735" s="37"/>
      <c r="M735" s="37"/>
      <c r="N735" s="37"/>
      <c r="O735" s="37"/>
      <c r="P735" s="37"/>
      <c r="Q735" s="37"/>
      <c r="R735" s="37"/>
      <c r="S735" s="37"/>
      <c r="T735" s="37"/>
      <c r="U735" s="37"/>
      <c r="V735" s="37"/>
      <c r="W735" s="37"/>
      <c r="X735" s="37"/>
      <c r="Y735" s="37"/>
      <c r="Z735" s="37"/>
      <c r="AA735" s="37"/>
      <c r="AB735" s="37"/>
      <c r="AC735" s="37"/>
      <c r="AD735" s="37"/>
      <c r="AE735" s="37"/>
      <c r="AF735" s="37"/>
      <c r="AG735" s="37"/>
      <c r="AH735" s="37"/>
      <c r="AI735" s="37"/>
      <c r="AJ735" s="37"/>
      <c r="AK735" s="39"/>
      <c r="AL735" s="37"/>
      <c r="AM735" s="37"/>
      <c r="AN735" s="37"/>
      <c r="AO735" s="37"/>
    </row>
    <row r="736" spans="1:41">
      <c r="A736" s="37"/>
      <c r="B736" s="37"/>
      <c r="C736" s="37"/>
      <c r="D736" s="37"/>
      <c r="E736" s="37"/>
      <c r="F736" s="37"/>
      <c r="G736" s="37"/>
      <c r="H736" s="40"/>
      <c r="I736" s="40"/>
      <c r="J736" s="40"/>
      <c r="K736" s="37"/>
      <c r="L736" s="37"/>
      <c r="M736" s="37"/>
      <c r="N736" s="37"/>
      <c r="O736" s="37"/>
      <c r="P736" s="37"/>
      <c r="Q736" s="37"/>
      <c r="R736" s="37"/>
      <c r="S736" s="37"/>
      <c r="T736" s="37"/>
      <c r="U736" s="37"/>
      <c r="V736" s="37"/>
      <c r="W736" s="37"/>
      <c r="X736" s="37"/>
      <c r="Y736" s="37"/>
      <c r="Z736" s="37"/>
      <c r="AA736" s="37"/>
      <c r="AB736" s="37"/>
      <c r="AC736" s="37"/>
      <c r="AD736" s="37"/>
      <c r="AE736" s="37"/>
      <c r="AF736" s="37"/>
      <c r="AG736" s="37"/>
      <c r="AH736" s="37"/>
      <c r="AI736" s="37"/>
      <c r="AJ736" s="37"/>
      <c r="AK736" s="39"/>
      <c r="AL736" s="37"/>
      <c r="AM736" s="37"/>
      <c r="AN736" s="37"/>
      <c r="AO736" s="37"/>
    </row>
    <row r="737" spans="1:41">
      <c r="A737" s="37"/>
      <c r="B737" s="37"/>
      <c r="C737" s="37"/>
      <c r="D737" s="37"/>
      <c r="E737" s="37"/>
      <c r="F737" s="37"/>
      <c r="G737" s="37"/>
      <c r="H737" s="40"/>
      <c r="I737" s="40"/>
      <c r="J737" s="40"/>
      <c r="K737" s="37"/>
      <c r="L737" s="37"/>
      <c r="M737" s="37"/>
      <c r="N737" s="37"/>
      <c r="O737" s="37"/>
      <c r="P737" s="37"/>
      <c r="Q737" s="37"/>
      <c r="R737" s="37"/>
      <c r="S737" s="37"/>
      <c r="T737" s="37"/>
      <c r="U737" s="37"/>
      <c r="V737" s="37"/>
      <c r="W737" s="37"/>
      <c r="X737" s="37"/>
      <c r="Y737" s="37"/>
      <c r="Z737" s="37"/>
      <c r="AA737" s="37"/>
      <c r="AB737" s="37"/>
      <c r="AC737" s="37"/>
      <c r="AD737" s="37"/>
      <c r="AE737" s="37"/>
      <c r="AF737" s="37"/>
      <c r="AG737" s="37"/>
      <c r="AH737" s="37"/>
      <c r="AI737" s="37"/>
      <c r="AJ737" s="37"/>
      <c r="AK737" s="39"/>
      <c r="AL737" s="37"/>
      <c r="AM737" s="37"/>
      <c r="AN737" s="37"/>
      <c r="AO737" s="37"/>
    </row>
    <row r="738" spans="1:41">
      <c r="A738" s="37"/>
      <c r="B738" s="37"/>
      <c r="C738" s="37"/>
      <c r="D738" s="37"/>
      <c r="E738" s="37"/>
      <c r="F738" s="37"/>
      <c r="G738" s="37"/>
      <c r="H738" s="40"/>
      <c r="I738" s="40"/>
      <c r="J738" s="40"/>
      <c r="K738" s="37"/>
      <c r="L738" s="37"/>
      <c r="M738" s="37"/>
      <c r="N738" s="37"/>
      <c r="O738" s="37"/>
      <c r="P738" s="37"/>
      <c r="Q738" s="37"/>
      <c r="R738" s="37"/>
      <c r="S738" s="37"/>
      <c r="T738" s="37"/>
      <c r="U738" s="37"/>
      <c r="V738" s="37"/>
      <c r="W738" s="37"/>
      <c r="X738" s="37"/>
      <c r="Y738" s="37"/>
      <c r="Z738" s="37"/>
      <c r="AA738" s="37"/>
      <c r="AB738" s="37"/>
      <c r="AC738" s="37"/>
      <c r="AD738" s="37"/>
      <c r="AE738" s="37"/>
      <c r="AF738" s="37"/>
      <c r="AG738" s="37"/>
      <c r="AH738" s="37"/>
      <c r="AI738" s="37"/>
      <c r="AJ738" s="37"/>
      <c r="AK738" s="39"/>
      <c r="AL738" s="37"/>
      <c r="AM738" s="37"/>
      <c r="AN738" s="37"/>
      <c r="AO738" s="37"/>
    </row>
    <row r="739" spans="1:41">
      <c r="A739" s="37"/>
      <c r="B739" s="37"/>
      <c r="C739" s="37"/>
      <c r="D739" s="37"/>
      <c r="E739" s="37"/>
      <c r="F739" s="37"/>
      <c r="G739" s="37"/>
      <c r="H739" s="40"/>
      <c r="I739" s="40"/>
      <c r="J739" s="40"/>
      <c r="K739" s="37"/>
      <c r="L739" s="37"/>
      <c r="M739" s="37"/>
      <c r="N739" s="37"/>
      <c r="O739" s="37"/>
      <c r="P739" s="37"/>
      <c r="Q739" s="37"/>
      <c r="R739" s="37"/>
      <c r="S739" s="37"/>
      <c r="T739" s="37"/>
      <c r="U739" s="37"/>
      <c r="V739" s="37"/>
      <c r="W739" s="37"/>
      <c r="X739" s="37"/>
      <c r="Y739" s="37"/>
      <c r="Z739" s="37"/>
      <c r="AA739" s="37"/>
      <c r="AB739" s="37"/>
      <c r="AC739" s="37"/>
      <c r="AD739" s="37"/>
      <c r="AE739" s="37"/>
      <c r="AF739" s="37"/>
      <c r="AG739" s="37"/>
      <c r="AH739" s="37"/>
      <c r="AI739" s="37"/>
      <c r="AJ739" s="37"/>
      <c r="AK739" s="39"/>
      <c r="AL739" s="37"/>
      <c r="AM739" s="37"/>
      <c r="AN739" s="37"/>
      <c r="AO739" s="37"/>
    </row>
    <row r="740" spans="1:41">
      <c r="A740" s="37"/>
      <c r="B740" s="37"/>
      <c r="C740" s="37"/>
      <c r="D740" s="37"/>
      <c r="E740" s="37"/>
      <c r="F740" s="37"/>
      <c r="G740" s="37"/>
      <c r="H740" s="40"/>
      <c r="I740" s="40"/>
      <c r="J740" s="40"/>
      <c r="K740" s="37"/>
      <c r="L740" s="37"/>
      <c r="M740" s="37"/>
      <c r="N740" s="37"/>
      <c r="O740" s="37"/>
      <c r="P740" s="37"/>
      <c r="Q740" s="37"/>
      <c r="R740" s="37"/>
      <c r="S740" s="37"/>
      <c r="T740" s="37"/>
      <c r="U740" s="37"/>
      <c r="V740" s="37"/>
      <c r="W740" s="37"/>
      <c r="X740" s="37"/>
      <c r="Y740" s="37"/>
      <c r="Z740" s="37"/>
      <c r="AA740" s="37"/>
      <c r="AB740" s="37"/>
      <c r="AC740" s="37"/>
      <c r="AD740" s="37"/>
      <c r="AE740" s="37"/>
      <c r="AF740" s="37"/>
      <c r="AG740" s="37"/>
      <c r="AH740" s="37"/>
      <c r="AI740" s="37"/>
      <c r="AJ740" s="37"/>
      <c r="AK740" s="39"/>
      <c r="AL740" s="37"/>
      <c r="AM740" s="37"/>
      <c r="AN740" s="37"/>
      <c r="AO740" s="37"/>
    </row>
    <row r="741" spans="1:41">
      <c r="A741" s="37"/>
      <c r="B741" s="37"/>
      <c r="C741" s="37"/>
      <c r="D741" s="37"/>
      <c r="E741" s="37"/>
      <c r="F741" s="37"/>
      <c r="G741" s="37"/>
      <c r="H741" s="40"/>
      <c r="I741" s="40"/>
      <c r="J741" s="40"/>
      <c r="K741" s="37"/>
      <c r="L741" s="37"/>
      <c r="M741" s="37"/>
      <c r="N741" s="37"/>
      <c r="O741" s="37"/>
      <c r="P741" s="37"/>
      <c r="Q741" s="37"/>
      <c r="R741" s="37"/>
      <c r="S741" s="37"/>
      <c r="T741" s="37"/>
      <c r="U741" s="37"/>
      <c r="V741" s="37"/>
      <c r="W741" s="37"/>
      <c r="X741" s="37"/>
      <c r="Y741" s="37"/>
      <c r="Z741" s="37"/>
      <c r="AA741" s="37"/>
      <c r="AB741" s="37"/>
      <c r="AC741" s="37"/>
      <c r="AD741" s="37"/>
      <c r="AE741" s="37"/>
      <c r="AF741" s="37"/>
      <c r="AG741" s="37"/>
      <c r="AH741" s="37"/>
      <c r="AI741" s="37"/>
      <c r="AJ741" s="37"/>
      <c r="AK741" s="39"/>
      <c r="AL741" s="37"/>
      <c r="AM741" s="37"/>
      <c r="AN741" s="37"/>
      <c r="AO741" s="37"/>
    </row>
    <row r="742" spans="1:41">
      <c r="A742" s="37"/>
      <c r="B742" s="37"/>
      <c r="C742" s="37"/>
      <c r="D742" s="37"/>
      <c r="E742" s="37"/>
      <c r="F742" s="37"/>
      <c r="G742" s="37"/>
      <c r="H742" s="40"/>
      <c r="I742" s="40"/>
      <c r="J742" s="40"/>
      <c r="K742" s="37"/>
      <c r="L742" s="37"/>
      <c r="M742" s="37"/>
      <c r="N742" s="37"/>
      <c r="O742" s="37"/>
      <c r="P742" s="37"/>
      <c r="Q742" s="37"/>
      <c r="R742" s="37"/>
      <c r="S742" s="37"/>
      <c r="T742" s="37"/>
      <c r="U742" s="37"/>
      <c r="V742" s="37"/>
      <c r="W742" s="37"/>
      <c r="X742" s="37"/>
      <c r="Y742" s="37"/>
      <c r="Z742" s="37"/>
      <c r="AA742" s="37"/>
      <c r="AB742" s="37"/>
      <c r="AC742" s="37"/>
      <c r="AD742" s="37"/>
      <c r="AE742" s="37"/>
      <c r="AF742" s="37"/>
      <c r="AG742" s="37"/>
      <c r="AH742" s="37"/>
      <c r="AI742" s="37"/>
      <c r="AJ742" s="37"/>
      <c r="AK742" s="39"/>
      <c r="AL742" s="37"/>
      <c r="AM742" s="37"/>
      <c r="AN742" s="37"/>
      <c r="AO742" s="37"/>
    </row>
    <row r="743" spans="1:41">
      <c r="A743" s="37"/>
      <c r="B743" s="37"/>
      <c r="C743" s="37"/>
      <c r="D743" s="37"/>
      <c r="E743" s="37"/>
      <c r="F743" s="37"/>
      <c r="G743" s="37"/>
      <c r="H743" s="40"/>
      <c r="I743" s="40"/>
      <c r="J743" s="40"/>
      <c r="K743" s="37"/>
      <c r="L743" s="37"/>
      <c r="M743" s="37"/>
      <c r="N743" s="37"/>
      <c r="O743" s="37"/>
      <c r="P743" s="37"/>
      <c r="Q743" s="37"/>
      <c r="R743" s="37"/>
      <c r="S743" s="37"/>
      <c r="T743" s="37"/>
      <c r="U743" s="37"/>
      <c r="V743" s="37"/>
      <c r="W743" s="37"/>
      <c r="X743" s="37"/>
      <c r="Y743" s="37"/>
      <c r="Z743" s="37"/>
      <c r="AA743" s="37"/>
      <c r="AB743" s="37"/>
      <c r="AC743" s="37"/>
      <c r="AD743" s="37"/>
      <c r="AE743" s="37"/>
      <c r="AF743" s="37"/>
      <c r="AG743" s="37"/>
      <c r="AH743" s="37"/>
      <c r="AI743" s="37"/>
      <c r="AJ743" s="37"/>
      <c r="AK743" s="39"/>
      <c r="AL743" s="37"/>
      <c r="AM743" s="37"/>
      <c r="AN743" s="37"/>
      <c r="AO743" s="37"/>
    </row>
    <row r="744" spans="1:41">
      <c r="A744" s="37"/>
      <c r="B744" s="37"/>
      <c r="C744" s="37"/>
      <c r="D744" s="37"/>
      <c r="E744" s="37"/>
      <c r="F744" s="37"/>
      <c r="G744" s="37"/>
      <c r="H744" s="40"/>
      <c r="I744" s="40"/>
      <c r="J744" s="40"/>
      <c r="K744" s="37"/>
      <c r="L744" s="37"/>
      <c r="M744" s="37"/>
      <c r="N744" s="37"/>
      <c r="O744" s="37"/>
      <c r="P744" s="37"/>
      <c r="Q744" s="37"/>
      <c r="R744" s="37"/>
      <c r="S744" s="37"/>
      <c r="T744" s="37"/>
      <c r="U744" s="37"/>
      <c r="V744" s="37"/>
      <c r="W744" s="37"/>
      <c r="X744" s="37"/>
      <c r="Y744" s="37"/>
      <c r="Z744" s="37"/>
      <c r="AA744" s="37"/>
      <c r="AB744" s="37"/>
      <c r="AC744" s="37"/>
      <c r="AD744" s="37"/>
      <c r="AE744" s="37"/>
      <c r="AF744" s="37"/>
      <c r="AG744" s="37"/>
      <c r="AH744" s="37"/>
      <c r="AI744" s="37"/>
      <c r="AJ744" s="37"/>
      <c r="AK744" s="39"/>
      <c r="AL744" s="37"/>
      <c r="AM744" s="37"/>
      <c r="AN744" s="37"/>
      <c r="AO744" s="37"/>
    </row>
    <row r="745" spans="1:41">
      <c r="A745" s="37"/>
      <c r="B745" s="37"/>
      <c r="C745" s="37"/>
      <c r="D745" s="37"/>
      <c r="E745" s="37"/>
      <c r="F745" s="37"/>
      <c r="G745" s="37"/>
      <c r="H745" s="40"/>
      <c r="I745" s="40"/>
      <c r="J745" s="40"/>
      <c r="K745" s="37"/>
      <c r="L745" s="37"/>
      <c r="M745" s="37"/>
      <c r="N745" s="37"/>
      <c r="O745" s="37"/>
      <c r="P745" s="37"/>
      <c r="Q745" s="37"/>
      <c r="R745" s="37"/>
      <c r="S745" s="37"/>
      <c r="T745" s="37"/>
      <c r="U745" s="37"/>
      <c r="V745" s="37"/>
      <c r="W745" s="37"/>
      <c r="X745" s="37"/>
      <c r="Y745" s="37"/>
      <c r="Z745" s="37"/>
      <c r="AA745" s="37"/>
      <c r="AB745" s="37"/>
      <c r="AC745" s="37"/>
      <c r="AD745" s="37"/>
      <c r="AE745" s="37"/>
      <c r="AF745" s="37"/>
      <c r="AG745" s="37"/>
      <c r="AH745" s="37"/>
      <c r="AI745" s="37"/>
      <c r="AJ745" s="37"/>
      <c r="AK745" s="39"/>
      <c r="AL745" s="37"/>
      <c r="AM745" s="37"/>
      <c r="AN745" s="37"/>
      <c r="AO745" s="37"/>
    </row>
    <row r="746" spans="1:41">
      <c r="A746" s="37"/>
      <c r="B746" s="37"/>
      <c r="C746" s="37"/>
      <c r="D746" s="37"/>
      <c r="E746" s="37"/>
      <c r="F746" s="37"/>
      <c r="G746" s="37"/>
      <c r="H746" s="40"/>
      <c r="I746" s="40"/>
      <c r="J746" s="40"/>
      <c r="K746" s="37"/>
      <c r="L746" s="37"/>
      <c r="M746" s="37"/>
      <c r="N746" s="37"/>
      <c r="O746" s="37"/>
      <c r="P746" s="37"/>
      <c r="Q746" s="37"/>
      <c r="R746" s="37"/>
      <c r="S746" s="37"/>
      <c r="T746" s="37"/>
      <c r="U746" s="37"/>
      <c r="V746" s="37"/>
      <c r="W746" s="37"/>
      <c r="X746" s="37"/>
      <c r="Y746" s="37"/>
      <c r="Z746" s="37"/>
      <c r="AA746" s="37"/>
      <c r="AB746" s="37"/>
      <c r="AC746" s="37"/>
      <c r="AD746" s="37"/>
      <c r="AE746" s="37"/>
      <c r="AF746" s="37"/>
      <c r="AG746" s="37"/>
      <c r="AH746" s="37"/>
      <c r="AI746" s="37"/>
      <c r="AJ746" s="37"/>
      <c r="AK746" s="39"/>
      <c r="AL746" s="37"/>
      <c r="AM746" s="37"/>
      <c r="AN746" s="37"/>
      <c r="AO746" s="37"/>
    </row>
    <row r="747" spans="1:41">
      <c r="A747" s="37"/>
      <c r="B747" s="37"/>
      <c r="C747" s="37"/>
      <c r="D747" s="37"/>
      <c r="E747" s="37"/>
      <c r="F747" s="37"/>
      <c r="G747" s="37"/>
      <c r="H747" s="40"/>
      <c r="I747" s="40"/>
      <c r="J747" s="40"/>
      <c r="K747" s="37"/>
      <c r="L747" s="37"/>
      <c r="M747" s="37"/>
      <c r="N747" s="37"/>
      <c r="O747" s="37"/>
      <c r="P747" s="37"/>
      <c r="Q747" s="37"/>
      <c r="R747" s="37"/>
      <c r="S747" s="37"/>
      <c r="T747" s="37"/>
      <c r="U747" s="37"/>
      <c r="V747" s="37"/>
      <c r="W747" s="37"/>
      <c r="X747" s="37"/>
      <c r="Y747" s="37"/>
      <c r="Z747" s="37"/>
      <c r="AA747" s="37"/>
      <c r="AB747" s="37"/>
      <c r="AC747" s="37"/>
      <c r="AD747" s="37"/>
      <c r="AE747" s="37"/>
      <c r="AF747" s="37"/>
      <c r="AG747" s="37"/>
      <c r="AH747" s="37"/>
      <c r="AI747" s="37"/>
      <c r="AJ747" s="37"/>
      <c r="AK747" s="39"/>
      <c r="AL747" s="37"/>
      <c r="AM747" s="37"/>
      <c r="AN747" s="37"/>
      <c r="AO747" s="37"/>
    </row>
    <row r="748" spans="1:41">
      <c r="A748" s="37"/>
      <c r="B748" s="37"/>
      <c r="C748" s="37"/>
      <c r="D748" s="37"/>
      <c r="E748" s="37"/>
      <c r="F748" s="37"/>
      <c r="G748" s="37"/>
      <c r="H748" s="40"/>
      <c r="I748" s="40"/>
      <c r="J748" s="40"/>
      <c r="K748" s="37"/>
      <c r="L748" s="37"/>
      <c r="M748" s="37"/>
      <c r="N748" s="37"/>
      <c r="O748" s="37"/>
      <c r="P748" s="37"/>
      <c r="Q748" s="37"/>
      <c r="R748" s="37"/>
      <c r="S748" s="37"/>
      <c r="T748" s="37"/>
      <c r="U748" s="37"/>
      <c r="V748" s="37"/>
      <c r="W748" s="37"/>
      <c r="X748" s="37"/>
      <c r="Y748" s="37"/>
      <c r="Z748" s="37"/>
      <c r="AA748" s="37"/>
      <c r="AB748" s="37"/>
      <c r="AC748" s="37"/>
      <c r="AD748" s="37"/>
      <c r="AE748" s="37"/>
      <c r="AF748" s="37"/>
      <c r="AG748" s="37"/>
      <c r="AH748" s="37"/>
      <c r="AI748" s="37"/>
      <c r="AJ748" s="37"/>
      <c r="AK748" s="39"/>
      <c r="AL748" s="37"/>
      <c r="AM748" s="37"/>
      <c r="AN748" s="37"/>
      <c r="AO748" s="37"/>
    </row>
    <row r="749" spans="1:41">
      <c r="A749" s="37"/>
      <c r="B749" s="37"/>
      <c r="C749" s="37"/>
      <c r="D749" s="37"/>
      <c r="E749" s="37"/>
      <c r="F749" s="37"/>
      <c r="G749" s="37"/>
      <c r="H749" s="40"/>
      <c r="I749" s="40"/>
      <c r="J749" s="40"/>
      <c r="K749" s="37"/>
      <c r="L749" s="37"/>
      <c r="M749" s="37"/>
      <c r="N749" s="37"/>
      <c r="O749" s="37"/>
      <c r="P749" s="37"/>
      <c r="Q749" s="37"/>
      <c r="R749" s="37"/>
      <c r="S749" s="37"/>
      <c r="T749" s="37"/>
      <c r="U749" s="37"/>
      <c r="V749" s="37"/>
      <c r="W749" s="37"/>
      <c r="X749" s="37"/>
      <c r="Y749" s="37"/>
      <c r="Z749" s="37"/>
      <c r="AA749" s="37"/>
      <c r="AB749" s="37"/>
      <c r="AC749" s="37"/>
      <c r="AD749" s="37"/>
      <c r="AE749" s="37"/>
      <c r="AF749" s="37"/>
      <c r="AG749" s="37"/>
      <c r="AH749" s="37"/>
      <c r="AI749" s="37"/>
      <c r="AJ749" s="37"/>
      <c r="AK749" s="39"/>
      <c r="AL749" s="37"/>
      <c r="AM749" s="37"/>
      <c r="AN749" s="37"/>
      <c r="AO749" s="37"/>
    </row>
    <row r="750" spans="1:41">
      <c r="A750" s="37"/>
      <c r="B750" s="37"/>
      <c r="C750" s="37"/>
      <c r="D750" s="37"/>
      <c r="E750" s="37"/>
      <c r="F750" s="37"/>
      <c r="G750" s="37"/>
      <c r="H750" s="40"/>
      <c r="I750" s="40"/>
      <c r="J750" s="40"/>
      <c r="K750" s="37"/>
      <c r="L750" s="37"/>
      <c r="M750" s="37"/>
      <c r="N750" s="37"/>
      <c r="O750" s="37"/>
      <c r="P750" s="37"/>
      <c r="Q750" s="37"/>
      <c r="R750" s="37"/>
      <c r="S750" s="37"/>
      <c r="T750" s="37"/>
      <c r="U750" s="37"/>
      <c r="V750" s="37"/>
      <c r="W750" s="37"/>
      <c r="X750" s="37"/>
      <c r="Y750" s="37"/>
      <c r="Z750" s="37"/>
      <c r="AA750" s="37"/>
      <c r="AB750" s="37"/>
      <c r="AC750" s="37"/>
      <c r="AD750" s="37"/>
      <c r="AE750" s="37"/>
      <c r="AF750" s="37"/>
      <c r="AG750" s="37"/>
      <c r="AH750" s="37"/>
      <c r="AI750" s="37"/>
      <c r="AJ750" s="37"/>
      <c r="AK750" s="39"/>
      <c r="AL750" s="37"/>
      <c r="AM750" s="37"/>
      <c r="AN750" s="37"/>
      <c r="AO750" s="37"/>
    </row>
    <row r="751" spans="1:41">
      <c r="A751" s="37"/>
      <c r="B751" s="37"/>
      <c r="C751" s="37"/>
      <c r="D751" s="37"/>
      <c r="E751" s="37"/>
      <c r="F751" s="37"/>
      <c r="G751" s="37"/>
      <c r="H751" s="40"/>
      <c r="I751" s="40"/>
      <c r="J751" s="40"/>
      <c r="K751" s="37"/>
      <c r="L751" s="37"/>
      <c r="M751" s="37"/>
      <c r="N751" s="37"/>
      <c r="O751" s="37"/>
      <c r="P751" s="37"/>
      <c r="Q751" s="37"/>
      <c r="R751" s="37"/>
      <c r="S751" s="37"/>
      <c r="T751" s="37"/>
      <c r="U751" s="37"/>
      <c r="V751" s="37"/>
      <c r="W751" s="37"/>
      <c r="X751" s="37"/>
      <c r="Y751" s="37"/>
      <c r="Z751" s="37"/>
      <c r="AA751" s="37"/>
      <c r="AB751" s="37"/>
      <c r="AC751" s="37"/>
      <c r="AD751" s="37"/>
      <c r="AE751" s="37"/>
      <c r="AF751" s="37"/>
      <c r="AG751" s="37"/>
      <c r="AH751" s="37"/>
      <c r="AI751" s="37"/>
      <c r="AJ751" s="37"/>
      <c r="AK751" s="39"/>
      <c r="AL751" s="37"/>
      <c r="AM751" s="37"/>
      <c r="AN751" s="37"/>
      <c r="AO751" s="37"/>
    </row>
    <row r="752" spans="1:41">
      <c r="A752" s="37"/>
      <c r="B752" s="37"/>
      <c r="C752" s="37"/>
      <c r="D752" s="37"/>
      <c r="E752" s="37"/>
      <c r="F752" s="37"/>
      <c r="G752" s="37"/>
      <c r="H752" s="40"/>
      <c r="I752" s="40"/>
      <c r="J752" s="40"/>
      <c r="K752" s="37"/>
      <c r="L752" s="37"/>
      <c r="M752" s="37"/>
      <c r="N752" s="37"/>
      <c r="O752" s="37"/>
      <c r="P752" s="37"/>
      <c r="Q752" s="37"/>
      <c r="R752" s="37"/>
      <c r="S752" s="37"/>
      <c r="T752" s="37"/>
      <c r="U752" s="37"/>
      <c r="V752" s="37"/>
      <c r="W752" s="37"/>
      <c r="X752" s="37"/>
      <c r="Y752" s="37"/>
      <c r="Z752" s="37"/>
      <c r="AA752" s="37"/>
      <c r="AB752" s="37"/>
      <c r="AC752" s="37"/>
      <c r="AD752" s="37"/>
      <c r="AE752" s="37"/>
      <c r="AF752" s="37"/>
      <c r="AG752" s="37"/>
      <c r="AH752" s="37"/>
      <c r="AI752" s="37"/>
      <c r="AJ752" s="37"/>
      <c r="AK752" s="39"/>
      <c r="AL752" s="37"/>
      <c r="AM752" s="37"/>
      <c r="AN752" s="37"/>
      <c r="AO752" s="37"/>
    </row>
    <row r="753" spans="1:41">
      <c r="A753" s="37"/>
      <c r="B753" s="37"/>
      <c r="C753" s="37"/>
      <c r="D753" s="37"/>
      <c r="E753" s="37"/>
      <c r="F753" s="37"/>
      <c r="G753" s="37"/>
      <c r="H753" s="40"/>
      <c r="I753" s="40"/>
      <c r="J753" s="40"/>
      <c r="K753" s="37"/>
      <c r="L753" s="37"/>
      <c r="M753" s="37"/>
      <c r="N753" s="37"/>
      <c r="O753" s="37"/>
      <c r="P753" s="37"/>
      <c r="Q753" s="37"/>
      <c r="R753" s="37"/>
      <c r="S753" s="37"/>
      <c r="T753" s="37"/>
      <c r="U753" s="37"/>
      <c r="V753" s="37"/>
      <c r="W753" s="37"/>
      <c r="X753" s="37"/>
      <c r="Y753" s="37"/>
      <c r="Z753" s="37"/>
      <c r="AA753" s="37"/>
      <c r="AB753" s="37"/>
      <c r="AC753" s="37"/>
      <c r="AD753" s="37"/>
      <c r="AE753" s="37"/>
      <c r="AF753" s="37"/>
      <c r="AG753" s="37"/>
      <c r="AH753" s="37"/>
      <c r="AI753" s="37"/>
      <c r="AJ753" s="37"/>
      <c r="AK753" s="39"/>
      <c r="AL753" s="37"/>
      <c r="AM753" s="37"/>
      <c r="AN753" s="37"/>
      <c r="AO753" s="37"/>
    </row>
    <row r="754" spans="1:41">
      <c r="A754" s="37"/>
      <c r="B754" s="37"/>
      <c r="C754" s="37"/>
      <c r="D754" s="37"/>
      <c r="E754" s="37"/>
      <c r="F754" s="37"/>
      <c r="G754" s="37"/>
      <c r="H754" s="40"/>
      <c r="I754" s="40"/>
      <c r="J754" s="40"/>
      <c r="K754" s="37"/>
      <c r="L754" s="37"/>
      <c r="M754" s="37"/>
      <c r="N754" s="37"/>
      <c r="O754" s="37"/>
      <c r="P754" s="37"/>
      <c r="Q754" s="37"/>
      <c r="R754" s="37"/>
      <c r="S754" s="37"/>
      <c r="T754" s="37"/>
      <c r="U754" s="37"/>
      <c r="V754" s="37"/>
      <c r="W754" s="37"/>
      <c r="X754" s="37"/>
      <c r="Y754" s="37"/>
      <c r="Z754" s="37"/>
      <c r="AA754" s="37"/>
      <c r="AB754" s="37"/>
      <c r="AC754" s="37"/>
      <c r="AD754" s="37"/>
      <c r="AE754" s="37"/>
      <c r="AF754" s="37"/>
      <c r="AG754" s="37"/>
      <c r="AH754" s="37"/>
      <c r="AI754" s="37"/>
      <c r="AJ754" s="37"/>
      <c r="AK754" s="39"/>
      <c r="AL754" s="37"/>
      <c r="AM754" s="37"/>
      <c r="AN754" s="37"/>
      <c r="AO754" s="37"/>
    </row>
    <row r="755" spans="1:41">
      <c r="A755" s="37"/>
      <c r="B755" s="37"/>
      <c r="C755" s="37"/>
      <c r="D755" s="37"/>
      <c r="E755" s="37"/>
      <c r="F755" s="37"/>
      <c r="G755" s="37"/>
      <c r="H755" s="40"/>
      <c r="I755" s="40"/>
      <c r="J755" s="40"/>
      <c r="K755" s="37"/>
      <c r="L755" s="37"/>
      <c r="M755" s="37"/>
      <c r="N755" s="37"/>
      <c r="O755" s="37"/>
      <c r="P755" s="37"/>
      <c r="Q755" s="37"/>
      <c r="R755" s="37"/>
      <c r="S755" s="37"/>
      <c r="T755" s="37"/>
      <c r="U755" s="37"/>
      <c r="V755" s="37"/>
      <c r="W755" s="37"/>
      <c r="X755" s="37"/>
      <c r="Y755" s="37"/>
      <c r="Z755" s="37"/>
      <c r="AA755" s="37"/>
      <c r="AB755" s="37"/>
      <c r="AC755" s="37"/>
      <c r="AD755" s="37"/>
      <c r="AE755" s="37"/>
      <c r="AF755" s="37"/>
      <c r="AG755" s="37"/>
      <c r="AH755" s="37"/>
      <c r="AI755" s="37"/>
      <c r="AJ755" s="37"/>
      <c r="AK755" s="39"/>
      <c r="AL755" s="37"/>
      <c r="AM755" s="37"/>
      <c r="AN755" s="37"/>
      <c r="AO755" s="37"/>
    </row>
    <row r="756" spans="1:41">
      <c r="A756" s="37"/>
      <c r="B756" s="37"/>
      <c r="C756" s="37"/>
      <c r="D756" s="37"/>
      <c r="E756" s="37"/>
      <c r="F756" s="37"/>
      <c r="G756" s="37"/>
      <c r="H756" s="40"/>
      <c r="I756" s="40"/>
      <c r="J756" s="40"/>
      <c r="K756" s="37"/>
      <c r="L756" s="37"/>
      <c r="M756" s="37"/>
      <c r="N756" s="37"/>
      <c r="O756" s="37"/>
      <c r="P756" s="37"/>
      <c r="Q756" s="37"/>
      <c r="R756" s="37"/>
      <c r="S756" s="37"/>
      <c r="T756" s="37"/>
      <c r="U756" s="37"/>
      <c r="V756" s="37"/>
      <c r="W756" s="37"/>
      <c r="X756" s="37"/>
      <c r="Y756" s="37"/>
      <c r="Z756" s="37"/>
      <c r="AA756" s="37"/>
      <c r="AB756" s="37"/>
      <c r="AC756" s="37"/>
      <c r="AD756" s="37"/>
      <c r="AE756" s="37"/>
      <c r="AF756" s="37"/>
      <c r="AG756" s="37"/>
      <c r="AH756" s="37"/>
      <c r="AI756" s="37"/>
      <c r="AJ756" s="37"/>
      <c r="AK756" s="39"/>
      <c r="AL756" s="37"/>
      <c r="AM756" s="37"/>
      <c r="AN756" s="37"/>
      <c r="AO756" s="37"/>
    </row>
    <row r="757" spans="1:41">
      <c r="A757" s="37"/>
      <c r="B757" s="37"/>
      <c r="C757" s="37"/>
      <c r="D757" s="37"/>
      <c r="E757" s="37"/>
      <c r="F757" s="37"/>
      <c r="G757" s="37"/>
      <c r="H757" s="40"/>
      <c r="I757" s="40"/>
      <c r="J757" s="40"/>
      <c r="K757" s="37"/>
      <c r="L757" s="37"/>
      <c r="M757" s="37"/>
      <c r="N757" s="37"/>
      <c r="O757" s="37"/>
      <c r="P757" s="37"/>
      <c r="Q757" s="37"/>
      <c r="R757" s="37"/>
      <c r="S757" s="37"/>
      <c r="T757" s="37"/>
      <c r="U757" s="37"/>
      <c r="V757" s="37"/>
      <c r="W757" s="37"/>
      <c r="X757" s="37"/>
      <c r="Y757" s="37"/>
      <c r="Z757" s="37"/>
      <c r="AA757" s="37"/>
      <c r="AB757" s="37"/>
      <c r="AC757" s="37"/>
      <c r="AD757" s="37"/>
      <c r="AE757" s="37"/>
      <c r="AF757" s="37"/>
      <c r="AG757" s="37"/>
      <c r="AH757" s="37"/>
      <c r="AI757" s="37"/>
      <c r="AJ757" s="37"/>
      <c r="AK757" s="39"/>
      <c r="AL757" s="37"/>
      <c r="AM757" s="37"/>
      <c r="AN757" s="37"/>
      <c r="AO757" s="37"/>
    </row>
    <row r="758" spans="1:41">
      <c r="A758" s="37"/>
      <c r="B758" s="37"/>
      <c r="C758" s="37"/>
      <c r="D758" s="37"/>
      <c r="E758" s="37"/>
      <c r="F758" s="37"/>
      <c r="G758" s="37"/>
      <c r="H758" s="40"/>
      <c r="I758" s="40"/>
      <c r="J758" s="40"/>
      <c r="K758" s="37"/>
      <c r="L758" s="37"/>
      <c r="M758" s="37"/>
      <c r="N758" s="37"/>
      <c r="O758" s="37"/>
      <c r="P758" s="37"/>
      <c r="Q758" s="37"/>
      <c r="R758" s="37"/>
      <c r="S758" s="37"/>
      <c r="T758" s="37"/>
      <c r="U758" s="37"/>
      <c r="V758" s="37"/>
      <c r="W758" s="37"/>
      <c r="X758" s="37"/>
      <c r="Y758" s="37"/>
      <c r="Z758" s="37"/>
      <c r="AA758" s="37"/>
      <c r="AB758" s="37"/>
      <c r="AC758" s="37"/>
      <c r="AD758" s="37"/>
      <c r="AE758" s="37"/>
      <c r="AF758" s="37"/>
      <c r="AG758" s="37"/>
      <c r="AH758" s="37"/>
      <c r="AI758" s="37"/>
      <c r="AJ758" s="37"/>
      <c r="AK758" s="39"/>
      <c r="AL758" s="37"/>
      <c r="AM758" s="37"/>
      <c r="AN758" s="37"/>
      <c r="AO758" s="37"/>
    </row>
    <row r="759" spans="1:41">
      <c r="A759" s="37"/>
      <c r="B759" s="37"/>
      <c r="C759" s="37"/>
      <c r="D759" s="37"/>
      <c r="E759" s="37"/>
      <c r="F759" s="37"/>
      <c r="G759" s="37"/>
      <c r="H759" s="40"/>
      <c r="I759" s="40"/>
      <c r="J759" s="40"/>
      <c r="K759" s="37"/>
      <c r="L759" s="37"/>
      <c r="M759" s="37"/>
      <c r="N759" s="37"/>
      <c r="O759" s="37"/>
      <c r="P759" s="37"/>
      <c r="Q759" s="37"/>
      <c r="R759" s="37"/>
      <c r="S759" s="37"/>
      <c r="T759" s="37"/>
      <c r="U759" s="37"/>
      <c r="V759" s="37"/>
      <c r="W759" s="37"/>
      <c r="X759" s="37"/>
      <c r="Y759" s="37"/>
      <c r="Z759" s="37"/>
      <c r="AA759" s="37"/>
      <c r="AB759" s="37"/>
      <c r="AC759" s="37"/>
      <c r="AD759" s="37"/>
      <c r="AE759" s="37"/>
      <c r="AF759" s="37"/>
      <c r="AG759" s="37"/>
      <c r="AH759" s="37"/>
      <c r="AI759" s="37"/>
      <c r="AJ759" s="37"/>
      <c r="AK759" s="39"/>
      <c r="AL759" s="37"/>
      <c r="AM759" s="37"/>
      <c r="AN759" s="37"/>
      <c r="AO759" s="37"/>
    </row>
    <row r="760" spans="1:41">
      <c r="A760" s="37"/>
      <c r="B760" s="37"/>
      <c r="C760" s="37"/>
      <c r="D760" s="37"/>
      <c r="E760" s="37"/>
      <c r="F760" s="37"/>
      <c r="G760" s="37"/>
      <c r="H760" s="40"/>
      <c r="I760" s="40"/>
      <c r="J760" s="40"/>
      <c r="K760" s="37"/>
      <c r="L760" s="37"/>
      <c r="M760" s="37"/>
      <c r="N760" s="37"/>
      <c r="O760" s="37"/>
      <c r="P760" s="37"/>
      <c r="Q760" s="37"/>
      <c r="R760" s="37"/>
      <c r="S760" s="37"/>
      <c r="T760" s="37"/>
      <c r="U760" s="37"/>
      <c r="V760" s="37"/>
      <c r="W760" s="37"/>
      <c r="X760" s="37"/>
      <c r="Y760" s="37"/>
      <c r="Z760" s="37"/>
      <c r="AA760" s="37"/>
      <c r="AB760" s="37"/>
      <c r="AC760" s="37"/>
      <c r="AD760" s="37"/>
      <c r="AE760" s="37"/>
      <c r="AF760" s="37"/>
      <c r="AG760" s="37"/>
      <c r="AH760" s="37"/>
      <c r="AI760" s="37"/>
      <c r="AJ760" s="37"/>
      <c r="AK760" s="39"/>
      <c r="AL760" s="37"/>
      <c r="AM760" s="37"/>
      <c r="AN760" s="37"/>
      <c r="AO760" s="37"/>
    </row>
    <row r="761" spans="1:41">
      <c r="A761" s="37"/>
      <c r="B761" s="37"/>
      <c r="C761" s="37"/>
      <c r="D761" s="37"/>
      <c r="E761" s="37"/>
      <c r="F761" s="37"/>
      <c r="G761" s="37"/>
      <c r="H761" s="40"/>
      <c r="I761" s="40"/>
      <c r="J761" s="40"/>
      <c r="K761" s="37"/>
      <c r="L761" s="37"/>
      <c r="M761" s="37"/>
      <c r="N761" s="37"/>
      <c r="O761" s="37"/>
      <c r="P761" s="37"/>
      <c r="Q761" s="37"/>
      <c r="R761" s="37"/>
      <c r="S761" s="37"/>
      <c r="T761" s="37"/>
      <c r="U761" s="37"/>
      <c r="V761" s="37"/>
      <c r="W761" s="37"/>
      <c r="X761" s="37"/>
      <c r="Y761" s="37"/>
      <c r="Z761" s="37"/>
      <c r="AA761" s="37"/>
      <c r="AB761" s="37"/>
      <c r="AC761" s="37"/>
      <c r="AD761" s="37"/>
      <c r="AE761" s="37"/>
      <c r="AF761" s="37"/>
      <c r="AG761" s="37"/>
      <c r="AH761" s="37"/>
      <c r="AI761" s="37"/>
      <c r="AJ761" s="37"/>
      <c r="AK761" s="39"/>
      <c r="AL761" s="37"/>
      <c r="AM761" s="37"/>
      <c r="AN761" s="37"/>
      <c r="AO761" s="37"/>
    </row>
    <row r="762" spans="1:41">
      <c r="A762" s="37"/>
      <c r="B762" s="37"/>
      <c r="C762" s="37"/>
      <c r="D762" s="37"/>
      <c r="E762" s="37"/>
      <c r="F762" s="37"/>
      <c r="G762" s="37"/>
      <c r="H762" s="40"/>
      <c r="I762" s="40"/>
      <c r="J762" s="40"/>
      <c r="K762" s="37"/>
      <c r="L762" s="37"/>
      <c r="M762" s="37"/>
      <c r="N762" s="37"/>
      <c r="O762" s="37"/>
      <c r="P762" s="37"/>
      <c r="Q762" s="37"/>
      <c r="R762" s="37"/>
      <c r="S762" s="37"/>
      <c r="T762" s="37"/>
      <c r="U762" s="37"/>
      <c r="V762" s="37"/>
      <c r="W762" s="37"/>
      <c r="X762" s="37"/>
      <c r="Y762" s="37"/>
      <c r="Z762" s="37"/>
      <c r="AA762" s="37"/>
      <c r="AB762" s="37"/>
      <c r="AC762" s="37"/>
      <c r="AD762" s="37"/>
      <c r="AE762" s="37"/>
      <c r="AF762" s="37"/>
      <c r="AG762" s="37"/>
      <c r="AH762" s="37"/>
      <c r="AI762" s="37"/>
      <c r="AJ762" s="37"/>
      <c r="AK762" s="39"/>
      <c r="AL762" s="37"/>
      <c r="AM762" s="37"/>
      <c r="AN762" s="37"/>
      <c r="AO762" s="37"/>
    </row>
    <row r="763" spans="1:41">
      <c r="A763" s="37"/>
      <c r="B763" s="37"/>
      <c r="C763" s="37"/>
      <c r="D763" s="37"/>
      <c r="E763" s="37"/>
      <c r="F763" s="37"/>
      <c r="G763" s="37"/>
      <c r="H763" s="40"/>
      <c r="I763" s="40"/>
      <c r="J763" s="40"/>
      <c r="K763" s="37"/>
      <c r="L763" s="37"/>
      <c r="M763" s="37"/>
      <c r="N763" s="37"/>
      <c r="O763" s="37"/>
      <c r="P763" s="37"/>
      <c r="Q763" s="37"/>
      <c r="R763" s="37"/>
      <c r="S763" s="37"/>
      <c r="T763" s="37"/>
      <c r="U763" s="37"/>
      <c r="V763" s="37"/>
      <c r="W763" s="37"/>
      <c r="X763" s="37"/>
      <c r="Y763" s="37"/>
      <c r="Z763" s="37"/>
      <c r="AA763" s="37"/>
      <c r="AB763" s="37"/>
      <c r="AC763" s="37"/>
      <c r="AD763" s="37"/>
      <c r="AE763" s="37"/>
      <c r="AF763" s="37"/>
      <c r="AG763" s="37"/>
      <c r="AH763" s="37"/>
      <c r="AI763" s="37"/>
      <c r="AJ763" s="37"/>
      <c r="AK763" s="39"/>
      <c r="AL763" s="37"/>
      <c r="AM763" s="37"/>
      <c r="AN763" s="37"/>
      <c r="AO763" s="37"/>
    </row>
    <row r="764" spans="1:41">
      <c r="A764" s="37"/>
      <c r="B764" s="37"/>
      <c r="C764" s="37"/>
      <c r="D764" s="37"/>
      <c r="E764" s="37"/>
      <c r="F764" s="37"/>
      <c r="G764" s="37"/>
      <c r="H764" s="40"/>
      <c r="I764" s="40"/>
      <c r="J764" s="40"/>
      <c r="K764" s="37"/>
      <c r="L764" s="37"/>
      <c r="M764" s="37"/>
      <c r="N764" s="37"/>
      <c r="O764" s="37"/>
      <c r="P764" s="37"/>
      <c r="Q764" s="37"/>
      <c r="R764" s="37"/>
      <c r="S764" s="37"/>
      <c r="T764" s="37"/>
      <c r="U764" s="37"/>
      <c r="V764" s="37"/>
      <c r="W764" s="37"/>
      <c r="X764" s="37"/>
      <c r="Y764" s="37"/>
      <c r="Z764" s="37"/>
      <c r="AA764" s="37"/>
      <c r="AB764" s="37"/>
      <c r="AC764" s="37"/>
      <c r="AD764" s="37"/>
      <c r="AE764" s="37"/>
      <c r="AF764" s="37"/>
      <c r="AG764" s="37"/>
      <c r="AH764" s="37"/>
      <c r="AI764" s="37"/>
      <c r="AJ764" s="37"/>
      <c r="AK764" s="39"/>
      <c r="AL764" s="37"/>
      <c r="AM764" s="37"/>
      <c r="AN764" s="37"/>
      <c r="AO764" s="37"/>
    </row>
    <row r="765" spans="1:41">
      <c r="A765" s="37"/>
      <c r="B765" s="37"/>
      <c r="C765" s="37"/>
      <c r="D765" s="37"/>
      <c r="E765" s="37"/>
      <c r="F765" s="37"/>
      <c r="G765" s="37"/>
      <c r="H765" s="40"/>
      <c r="I765" s="40"/>
      <c r="J765" s="40"/>
      <c r="K765" s="37"/>
      <c r="L765" s="37"/>
      <c r="M765" s="37"/>
      <c r="N765" s="37"/>
      <c r="O765" s="37"/>
      <c r="P765" s="37"/>
      <c r="Q765" s="37"/>
      <c r="R765" s="37"/>
      <c r="S765" s="37"/>
      <c r="T765" s="37"/>
      <c r="U765" s="37"/>
      <c r="V765" s="37"/>
      <c r="W765" s="37"/>
      <c r="X765" s="37"/>
      <c r="Y765" s="37"/>
      <c r="Z765" s="37"/>
      <c r="AA765" s="37"/>
      <c r="AB765" s="37"/>
      <c r="AC765" s="37"/>
      <c r="AD765" s="37"/>
      <c r="AE765" s="37"/>
      <c r="AF765" s="37"/>
      <c r="AG765" s="37"/>
      <c r="AH765" s="37"/>
      <c r="AI765" s="37"/>
      <c r="AJ765" s="37"/>
      <c r="AK765" s="39"/>
      <c r="AL765" s="37"/>
      <c r="AM765" s="37"/>
      <c r="AN765" s="37"/>
      <c r="AO765" s="37"/>
    </row>
    <row r="766" spans="1:41">
      <c r="A766" s="37"/>
      <c r="B766" s="37"/>
      <c r="C766" s="37"/>
      <c r="D766" s="37"/>
      <c r="E766" s="37"/>
      <c r="F766" s="37"/>
      <c r="G766" s="37"/>
      <c r="H766" s="40"/>
      <c r="I766" s="40"/>
      <c r="J766" s="40"/>
      <c r="K766" s="37"/>
      <c r="L766" s="37"/>
      <c r="M766" s="37"/>
      <c r="N766" s="37"/>
      <c r="O766" s="37"/>
      <c r="P766" s="37"/>
      <c r="Q766" s="37"/>
      <c r="R766" s="37"/>
      <c r="S766" s="37"/>
      <c r="T766" s="37"/>
      <c r="U766" s="37"/>
      <c r="V766" s="37"/>
      <c r="W766" s="37"/>
      <c r="X766" s="37"/>
      <c r="Y766" s="37"/>
      <c r="Z766" s="37"/>
      <c r="AA766" s="37"/>
      <c r="AB766" s="37"/>
      <c r="AC766" s="37"/>
      <c r="AD766" s="37"/>
      <c r="AE766" s="37"/>
      <c r="AF766" s="37"/>
      <c r="AG766" s="37"/>
      <c r="AH766" s="37"/>
      <c r="AI766" s="37"/>
      <c r="AJ766" s="37"/>
      <c r="AK766" s="39"/>
      <c r="AL766" s="37"/>
      <c r="AM766" s="37"/>
      <c r="AN766" s="37"/>
      <c r="AO766" s="37"/>
    </row>
    <row r="767" spans="1:41">
      <c r="A767" s="37"/>
      <c r="B767" s="37"/>
      <c r="C767" s="37"/>
      <c r="D767" s="37"/>
      <c r="E767" s="37"/>
      <c r="F767" s="37"/>
      <c r="G767" s="37"/>
      <c r="H767" s="40"/>
      <c r="I767" s="40"/>
      <c r="J767" s="40"/>
      <c r="K767" s="37"/>
      <c r="L767" s="37"/>
      <c r="M767" s="37"/>
      <c r="N767" s="37"/>
      <c r="O767" s="37"/>
      <c r="P767" s="37"/>
      <c r="Q767" s="37"/>
      <c r="R767" s="37"/>
      <c r="S767" s="37"/>
      <c r="T767" s="37"/>
      <c r="U767" s="37"/>
      <c r="V767" s="37"/>
      <c r="W767" s="37"/>
      <c r="X767" s="37"/>
      <c r="Y767" s="37"/>
      <c r="Z767" s="37"/>
      <c r="AA767" s="37"/>
      <c r="AB767" s="37"/>
      <c r="AC767" s="37"/>
      <c r="AD767" s="37"/>
      <c r="AE767" s="37"/>
      <c r="AF767" s="37"/>
      <c r="AG767" s="37"/>
      <c r="AH767" s="37"/>
      <c r="AI767" s="37"/>
      <c r="AJ767" s="37"/>
      <c r="AK767" s="39"/>
      <c r="AL767" s="37"/>
      <c r="AM767" s="37"/>
      <c r="AN767" s="37"/>
      <c r="AO767" s="37"/>
    </row>
    <row r="768" spans="1:41">
      <c r="A768" s="37"/>
      <c r="B768" s="37"/>
      <c r="C768" s="37"/>
      <c r="D768" s="37"/>
      <c r="E768" s="37"/>
      <c r="F768" s="37"/>
      <c r="G768" s="37"/>
      <c r="H768" s="40"/>
      <c r="I768" s="40"/>
      <c r="J768" s="40"/>
      <c r="K768" s="37"/>
      <c r="L768" s="37"/>
      <c r="M768" s="37"/>
      <c r="N768" s="37"/>
      <c r="O768" s="37"/>
      <c r="P768" s="37"/>
      <c r="Q768" s="37"/>
      <c r="R768" s="37"/>
      <c r="S768" s="37"/>
      <c r="T768" s="37"/>
      <c r="U768" s="37"/>
      <c r="V768" s="37"/>
      <c r="W768" s="37"/>
      <c r="X768" s="37"/>
      <c r="Y768" s="37"/>
      <c r="Z768" s="37"/>
      <c r="AA768" s="37"/>
      <c r="AB768" s="37"/>
      <c r="AC768" s="37"/>
      <c r="AD768" s="37"/>
      <c r="AE768" s="37"/>
      <c r="AF768" s="37"/>
      <c r="AG768" s="37"/>
      <c r="AH768" s="37"/>
      <c r="AI768" s="37"/>
      <c r="AJ768" s="37"/>
      <c r="AK768" s="39"/>
      <c r="AL768" s="37"/>
      <c r="AM768" s="37"/>
      <c r="AN768" s="37"/>
      <c r="AO768" s="37"/>
    </row>
    <row r="769" spans="1:41">
      <c r="A769" s="37"/>
      <c r="B769" s="37"/>
      <c r="C769" s="37"/>
      <c r="D769" s="37"/>
      <c r="E769" s="37"/>
      <c r="F769" s="37"/>
      <c r="G769" s="37"/>
      <c r="H769" s="40"/>
      <c r="I769" s="40"/>
      <c r="J769" s="40"/>
      <c r="K769" s="37"/>
      <c r="L769" s="37"/>
      <c r="M769" s="37"/>
      <c r="N769" s="37"/>
      <c r="O769" s="37"/>
      <c r="P769" s="37"/>
      <c r="Q769" s="37"/>
      <c r="R769" s="37"/>
      <c r="S769" s="37"/>
      <c r="T769" s="37"/>
      <c r="U769" s="37"/>
      <c r="V769" s="37"/>
      <c r="W769" s="37"/>
      <c r="X769" s="37"/>
      <c r="Y769" s="37"/>
      <c r="Z769" s="37"/>
      <c r="AA769" s="37"/>
      <c r="AB769" s="37"/>
      <c r="AC769" s="37"/>
      <c r="AD769" s="37"/>
      <c r="AE769" s="37"/>
      <c r="AF769" s="37"/>
      <c r="AG769" s="37"/>
      <c r="AH769" s="37"/>
      <c r="AI769" s="37"/>
      <c r="AJ769" s="37"/>
      <c r="AK769" s="39"/>
      <c r="AL769" s="37"/>
      <c r="AM769" s="37"/>
      <c r="AN769" s="37"/>
      <c r="AO769" s="37"/>
    </row>
    <row r="770" spans="1:41">
      <c r="A770" s="37"/>
      <c r="B770" s="37"/>
      <c r="C770" s="37"/>
      <c r="D770" s="37"/>
      <c r="E770" s="37"/>
      <c r="F770" s="37"/>
      <c r="G770" s="37"/>
      <c r="H770" s="40"/>
      <c r="I770" s="40"/>
      <c r="J770" s="40"/>
      <c r="K770" s="37"/>
      <c r="L770" s="37"/>
      <c r="M770" s="37"/>
      <c r="N770" s="37"/>
      <c r="O770" s="37"/>
      <c r="P770" s="37"/>
      <c r="Q770" s="37"/>
      <c r="R770" s="37"/>
      <c r="S770" s="37"/>
      <c r="T770" s="37"/>
      <c r="U770" s="37"/>
      <c r="V770" s="37"/>
      <c r="W770" s="37"/>
      <c r="X770" s="37"/>
      <c r="Y770" s="37"/>
      <c r="Z770" s="37"/>
      <c r="AA770" s="37"/>
      <c r="AB770" s="37"/>
      <c r="AC770" s="37"/>
      <c r="AD770" s="37"/>
      <c r="AE770" s="37"/>
      <c r="AF770" s="37"/>
      <c r="AG770" s="37"/>
      <c r="AH770" s="37"/>
      <c r="AI770" s="37"/>
      <c r="AJ770" s="37"/>
      <c r="AK770" s="39"/>
      <c r="AL770" s="37"/>
      <c r="AM770" s="37"/>
      <c r="AN770" s="37"/>
      <c r="AO770" s="37"/>
    </row>
    <row r="771" spans="1:41">
      <c r="A771" s="37"/>
      <c r="B771" s="37"/>
      <c r="C771" s="37"/>
      <c r="D771" s="37"/>
      <c r="E771" s="37"/>
      <c r="F771" s="37"/>
      <c r="G771" s="37"/>
      <c r="H771" s="40"/>
      <c r="I771" s="40"/>
      <c r="J771" s="40"/>
      <c r="K771" s="37"/>
      <c r="L771" s="37"/>
      <c r="M771" s="37"/>
      <c r="N771" s="37"/>
      <c r="O771" s="37"/>
      <c r="P771" s="37"/>
      <c r="Q771" s="37"/>
      <c r="R771" s="37"/>
      <c r="S771" s="37"/>
      <c r="T771" s="37"/>
      <c r="U771" s="37"/>
      <c r="V771" s="37"/>
      <c r="W771" s="37"/>
      <c r="X771" s="37"/>
      <c r="Y771" s="37"/>
      <c r="Z771" s="37"/>
      <c r="AA771" s="37"/>
      <c r="AB771" s="37"/>
      <c r="AC771" s="37"/>
      <c r="AD771" s="37"/>
      <c r="AE771" s="37"/>
      <c r="AF771" s="37"/>
      <c r="AG771" s="37"/>
      <c r="AH771" s="37"/>
      <c r="AI771" s="37"/>
      <c r="AJ771" s="37"/>
      <c r="AK771" s="39"/>
      <c r="AL771" s="37"/>
      <c r="AM771" s="37"/>
      <c r="AN771" s="37"/>
      <c r="AO771" s="37"/>
    </row>
    <row r="772" spans="1:41">
      <c r="A772" s="37"/>
      <c r="B772" s="37"/>
      <c r="C772" s="37"/>
      <c r="D772" s="37"/>
      <c r="E772" s="37"/>
      <c r="F772" s="37"/>
      <c r="G772" s="37"/>
      <c r="H772" s="40"/>
      <c r="I772" s="40"/>
      <c r="J772" s="40"/>
      <c r="K772" s="37"/>
      <c r="L772" s="37"/>
      <c r="M772" s="37"/>
      <c r="N772" s="37"/>
      <c r="O772" s="37"/>
      <c r="P772" s="37"/>
      <c r="Q772" s="37"/>
      <c r="R772" s="37"/>
      <c r="S772" s="37"/>
      <c r="T772" s="37"/>
      <c r="U772" s="37"/>
      <c r="V772" s="37"/>
      <c r="W772" s="37"/>
      <c r="X772" s="37"/>
      <c r="Y772" s="37"/>
      <c r="Z772" s="37"/>
      <c r="AA772" s="37"/>
      <c r="AB772" s="37"/>
      <c r="AC772" s="37"/>
      <c r="AD772" s="37"/>
      <c r="AE772" s="37"/>
      <c r="AF772" s="37"/>
      <c r="AG772" s="37"/>
      <c r="AH772" s="37"/>
      <c r="AI772" s="37"/>
      <c r="AJ772" s="37"/>
      <c r="AK772" s="39"/>
      <c r="AL772" s="37"/>
      <c r="AM772" s="37"/>
      <c r="AN772" s="37"/>
      <c r="AO772" s="37"/>
    </row>
    <row r="773" spans="1:41">
      <c r="A773" s="37"/>
      <c r="B773" s="37"/>
      <c r="C773" s="37"/>
      <c r="D773" s="37"/>
      <c r="E773" s="37"/>
      <c r="F773" s="37"/>
      <c r="G773" s="37"/>
      <c r="H773" s="40"/>
      <c r="I773" s="40"/>
      <c r="J773" s="40"/>
      <c r="K773" s="37"/>
      <c r="L773" s="37"/>
      <c r="M773" s="37"/>
      <c r="N773" s="37"/>
      <c r="O773" s="37"/>
      <c r="P773" s="37"/>
      <c r="Q773" s="37"/>
      <c r="R773" s="37"/>
      <c r="S773" s="37"/>
      <c r="T773" s="37"/>
      <c r="U773" s="37"/>
      <c r="V773" s="37"/>
      <c r="W773" s="37"/>
      <c r="X773" s="37"/>
      <c r="Y773" s="37"/>
      <c r="Z773" s="37"/>
      <c r="AA773" s="37"/>
      <c r="AB773" s="37"/>
      <c r="AC773" s="37"/>
      <c r="AD773" s="37"/>
      <c r="AE773" s="37"/>
      <c r="AF773" s="37"/>
      <c r="AG773" s="37"/>
      <c r="AH773" s="37"/>
      <c r="AI773" s="37"/>
      <c r="AJ773" s="37"/>
      <c r="AK773" s="39"/>
      <c r="AL773" s="37"/>
      <c r="AM773" s="37"/>
      <c r="AN773" s="37"/>
      <c r="AO773" s="37"/>
    </row>
    <row r="774" spans="1:41">
      <c r="A774" s="37"/>
      <c r="B774" s="37"/>
      <c r="C774" s="37"/>
      <c r="D774" s="37"/>
      <c r="E774" s="37"/>
      <c r="F774" s="37"/>
      <c r="G774" s="37"/>
      <c r="H774" s="40"/>
      <c r="I774" s="40"/>
      <c r="J774" s="40"/>
      <c r="K774" s="37"/>
      <c r="L774" s="37"/>
      <c r="M774" s="37"/>
      <c r="N774" s="37"/>
      <c r="O774" s="37"/>
      <c r="P774" s="37"/>
      <c r="Q774" s="37"/>
      <c r="R774" s="37"/>
      <c r="S774" s="37"/>
      <c r="T774" s="37"/>
      <c r="U774" s="37"/>
      <c r="V774" s="37"/>
      <c r="W774" s="37"/>
      <c r="X774" s="37"/>
      <c r="Y774" s="37"/>
      <c r="Z774" s="37"/>
      <c r="AA774" s="37"/>
      <c r="AB774" s="37"/>
      <c r="AC774" s="37"/>
      <c r="AD774" s="37"/>
      <c r="AE774" s="37"/>
      <c r="AF774" s="37"/>
      <c r="AG774" s="37"/>
      <c r="AH774" s="37"/>
      <c r="AI774" s="37"/>
      <c r="AJ774" s="37"/>
      <c r="AK774" s="39"/>
      <c r="AL774" s="37"/>
      <c r="AM774" s="37"/>
      <c r="AN774" s="37"/>
      <c r="AO774" s="37"/>
    </row>
    <row r="775" spans="1:41">
      <c r="A775" s="37"/>
      <c r="B775" s="37"/>
      <c r="C775" s="37"/>
      <c r="D775" s="37"/>
      <c r="E775" s="37"/>
      <c r="F775" s="37"/>
      <c r="G775" s="37"/>
      <c r="H775" s="40"/>
      <c r="I775" s="40"/>
      <c r="J775" s="40"/>
      <c r="K775" s="37"/>
      <c r="L775" s="37"/>
      <c r="M775" s="37"/>
      <c r="N775" s="37"/>
      <c r="O775" s="37"/>
      <c r="P775" s="37"/>
      <c r="Q775" s="37"/>
      <c r="R775" s="37"/>
      <c r="S775" s="37"/>
      <c r="T775" s="37"/>
      <c r="U775" s="37"/>
      <c r="V775" s="37"/>
      <c r="W775" s="37"/>
      <c r="X775" s="37"/>
      <c r="Y775" s="37"/>
      <c r="Z775" s="37"/>
      <c r="AA775" s="37"/>
      <c r="AB775" s="37"/>
      <c r="AC775" s="37"/>
      <c r="AD775" s="37"/>
      <c r="AE775" s="37"/>
      <c r="AF775" s="37"/>
      <c r="AG775" s="37"/>
      <c r="AH775" s="37"/>
      <c r="AI775" s="37"/>
      <c r="AJ775" s="37"/>
      <c r="AK775" s="39"/>
      <c r="AL775" s="37"/>
      <c r="AM775" s="37"/>
      <c r="AN775" s="37"/>
      <c r="AO775" s="37"/>
    </row>
    <row r="776" spans="1:41">
      <c r="A776" s="37"/>
      <c r="B776" s="37"/>
      <c r="C776" s="37"/>
      <c r="D776" s="37"/>
      <c r="E776" s="37"/>
      <c r="F776" s="37"/>
      <c r="G776" s="37"/>
      <c r="H776" s="40"/>
      <c r="I776" s="40"/>
      <c r="J776" s="40"/>
      <c r="K776" s="37"/>
      <c r="L776" s="37"/>
      <c r="M776" s="37"/>
      <c r="N776" s="37"/>
      <c r="O776" s="37"/>
      <c r="P776" s="37"/>
      <c r="Q776" s="37"/>
      <c r="R776" s="37"/>
      <c r="S776" s="37"/>
      <c r="T776" s="37"/>
      <c r="U776" s="37"/>
      <c r="V776" s="37"/>
      <c r="W776" s="37"/>
      <c r="X776" s="37"/>
      <c r="Y776" s="37"/>
      <c r="Z776" s="37"/>
      <c r="AA776" s="37"/>
      <c r="AB776" s="37"/>
      <c r="AC776" s="37"/>
      <c r="AD776" s="37"/>
      <c r="AE776" s="37"/>
      <c r="AF776" s="37"/>
      <c r="AG776" s="37"/>
      <c r="AH776" s="37"/>
      <c r="AI776" s="37"/>
      <c r="AJ776" s="37"/>
      <c r="AK776" s="39"/>
      <c r="AL776" s="37"/>
      <c r="AM776" s="37"/>
      <c r="AN776" s="37"/>
      <c r="AO776" s="37"/>
    </row>
    <row r="777" spans="1:41">
      <c r="A777" s="37"/>
      <c r="B777" s="37"/>
      <c r="C777" s="37"/>
      <c r="D777" s="37"/>
      <c r="E777" s="37"/>
      <c r="F777" s="37"/>
      <c r="G777" s="37"/>
      <c r="H777" s="40"/>
      <c r="I777" s="40"/>
      <c r="J777" s="40"/>
      <c r="K777" s="37"/>
      <c r="L777" s="37"/>
      <c r="M777" s="37"/>
      <c r="N777" s="37"/>
      <c r="O777" s="37"/>
      <c r="P777" s="37"/>
      <c r="Q777" s="37"/>
      <c r="R777" s="37"/>
      <c r="S777" s="37"/>
      <c r="T777" s="37"/>
      <c r="U777" s="37"/>
      <c r="V777" s="37"/>
      <c r="W777" s="37"/>
      <c r="X777" s="37"/>
      <c r="Y777" s="37"/>
      <c r="Z777" s="37"/>
      <c r="AA777" s="37"/>
      <c r="AB777" s="37"/>
      <c r="AC777" s="37"/>
      <c r="AD777" s="37"/>
      <c r="AE777" s="37"/>
      <c r="AF777" s="37"/>
      <c r="AG777" s="37"/>
      <c r="AH777" s="37"/>
      <c r="AI777" s="37"/>
      <c r="AJ777" s="37"/>
      <c r="AK777" s="39"/>
      <c r="AL777" s="37"/>
      <c r="AM777" s="37"/>
      <c r="AN777" s="37"/>
      <c r="AO777" s="37"/>
    </row>
    <row r="778" spans="1:41">
      <c r="A778" s="37"/>
      <c r="B778" s="37"/>
      <c r="C778" s="37"/>
      <c r="D778" s="37"/>
      <c r="E778" s="37"/>
      <c r="F778" s="37"/>
      <c r="G778" s="37"/>
      <c r="H778" s="40"/>
      <c r="I778" s="40"/>
      <c r="J778" s="40"/>
      <c r="K778" s="37"/>
      <c r="L778" s="37"/>
      <c r="M778" s="37"/>
      <c r="N778" s="37"/>
      <c r="O778" s="37"/>
      <c r="P778" s="37"/>
      <c r="Q778" s="37"/>
      <c r="R778" s="37"/>
      <c r="S778" s="37"/>
      <c r="T778" s="37"/>
      <c r="U778" s="37"/>
      <c r="V778" s="37"/>
      <c r="W778" s="37"/>
      <c r="X778" s="37"/>
      <c r="Y778" s="37"/>
      <c r="Z778" s="37"/>
      <c r="AA778" s="37"/>
      <c r="AB778" s="37"/>
      <c r="AC778" s="37"/>
      <c r="AD778" s="37"/>
      <c r="AE778" s="37"/>
      <c r="AF778" s="37"/>
      <c r="AG778" s="37"/>
      <c r="AH778" s="37"/>
      <c r="AI778" s="37"/>
      <c r="AJ778" s="37"/>
      <c r="AK778" s="39"/>
      <c r="AL778" s="37"/>
      <c r="AM778" s="37"/>
      <c r="AN778" s="37"/>
      <c r="AO778" s="37"/>
    </row>
    <row r="779" spans="1:41">
      <c r="A779" s="37"/>
      <c r="B779" s="37"/>
      <c r="C779" s="37"/>
      <c r="D779" s="37"/>
      <c r="E779" s="37"/>
      <c r="F779" s="37"/>
      <c r="G779" s="37"/>
      <c r="H779" s="40"/>
      <c r="I779" s="40"/>
      <c r="J779" s="40"/>
      <c r="K779" s="37"/>
      <c r="L779" s="37"/>
      <c r="M779" s="37"/>
      <c r="N779" s="37"/>
      <c r="O779" s="37"/>
      <c r="P779" s="37"/>
      <c r="Q779" s="37"/>
      <c r="R779" s="37"/>
      <c r="S779" s="37"/>
      <c r="T779" s="37"/>
      <c r="U779" s="37"/>
      <c r="V779" s="37"/>
      <c r="W779" s="37"/>
      <c r="X779" s="37"/>
      <c r="Y779" s="37"/>
      <c r="Z779" s="37"/>
      <c r="AA779" s="37"/>
      <c r="AB779" s="37"/>
      <c r="AC779" s="37"/>
      <c r="AD779" s="37"/>
      <c r="AE779" s="37"/>
      <c r="AF779" s="37"/>
      <c r="AG779" s="37"/>
      <c r="AH779" s="37"/>
      <c r="AI779" s="37"/>
      <c r="AJ779" s="37"/>
      <c r="AK779" s="39"/>
      <c r="AL779" s="37"/>
      <c r="AM779" s="37"/>
      <c r="AN779" s="37"/>
      <c r="AO779" s="37"/>
    </row>
    <row r="780" spans="1:41">
      <c r="A780" s="37"/>
      <c r="B780" s="37"/>
      <c r="C780" s="37"/>
      <c r="D780" s="37"/>
      <c r="E780" s="37"/>
      <c r="F780" s="37"/>
      <c r="G780" s="37"/>
      <c r="H780" s="40"/>
      <c r="I780" s="40"/>
      <c r="J780" s="40"/>
      <c r="K780" s="37"/>
      <c r="L780" s="37"/>
      <c r="M780" s="37"/>
      <c r="N780" s="37"/>
      <c r="O780" s="37"/>
      <c r="P780" s="37"/>
      <c r="Q780" s="37"/>
      <c r="R780" s="37"/>
      <c r="S780" s="37"/>
      <c r="T780" s="37"/>
      <c r="U780" s="37"/>
      <c r="V780" s="37"/>
      <c r="W780" s="37"/>
      <c r="X780" s="37"/>
      <c r="Y780" s="37"/>
      <c r="Z780" s="37"/>
      <c r="AA780" s="37"/>
      <c r="AB780" s="37"/>
      <c r="AC780" s="37"/>
      <c r="AD780" s="37"/>
      <c r="AE780" s="37"/>
      <c r="AF780" s="37"/>
      <c r="AG780" s="37"/>
      <c r="AH780" s="37"/>
      <c r="AI780" s="37"/>
      <c r="AJ780" s="37"/>
      <c r="AK780" s="39"/>
      <c r="AL780" s="37"/>
      <c r="AM780" s="37"/>
      <c r="AN780" s="37"/>
      <c r="AO780" s="37"/>
    </row>
    <row r="781" spans="1:41">
      <c r="A781" s="37"/>
      <c r="B781" s="37"/>
      <c r="C781" s="37"/>
      <c r="D781" s="37"/>
      <c r="E781" s="37"/>
      <c r="F781" s="37"/>
      <c r="G781" s="37"/>
      <c r="H781" s="40"/>
      <c r="I781" s="40"/>
      <c r="J781" s="40"/>
      <c r="K781" s="37"/>
      <c r="L781" s="37"/>
      <c r="M781" s="37"/>
      <c r="N781" s="37"/>
      <c r="O781" s="37"/>
      <c r="P781" s="37"/>
      <c r="Q781" s="37"/>
      <c r="R781" s="37"/>
      <c r="S781" s="37"/>
      <c r="T781" s="37"/>
      <c r="U781" s="37"/>
      <c r="V781" s="37"/>
      <c r="W781" s="37"/>
      <c r="X781" s="37"/>
      <c r="Y781" s="37"/>
      <c r="Z781" s="37"/>
      <c r="AA781" s="37"/>
      <c r="AB781" s="37"/>
      <c r="AC781" s="37"/>
      <c r="AD781" s="37"/>
      <c r="AE781" s="37"/>
      <c r="AF781" s="37"/>
      <c r="AG781" s="37"/>
      <c r="AH781" s="37"/>
      <c r="AI781" s="37"/>
      <c r="AJ781" s="37"/>
      <c r="AK781" s="39"/>
      <c r="AL781" s="37"/>
      <c r="AM781" s="37"/>
      <c r="AN781" s="37"/>
      <c r="AO781" s="37"/>
    </row>
    <row r="782" spans="1:41">
      <c r="A782" s="37"/>
      <c r="B782" s="37"/>
      <c r="C782" s="37"/>
      <c r="D782" s="37"/>
      <c r="E782" s="37"/>
      <c r="F782" s="37"/>
      <c r="G782" s="37"/>
      <c r="H782" s="40"/>
      <c r="I782" s="40"/>
      <c r="J782" s="40"/>
      <c r="K782" s="37"/>
      <c r="L782" s="37"/>
      <c r="M782" s="37"/>
      <c r="N782" s="37"/>
      <c r="O782" s="37"/>
      <c r="P782" s="37"/>
      <c r="Q782" s="37"/>
      <c r="R782" s="37"/>
      <c r="S782" s="37"/>
      <c r="T782" s="37"/>
      <c r="U782" s="37"/>
      <c r="V782" s="37"/>
      <c r="W782" s="37"/>
      <c r="X782" s="37"/>
      <c r="Y782" s="37"/>
      <c r="Z782" s="37"/>
      <c r="AA782" s="37"/>
      <c r="AB782" s="37"/>
      <c r="AC782" s="37"/>
      <c r="AD782" s="37"/>
      <c r="AE782" s="37"/>
      <c r="AF782" s="37"/>
      <c r="AG782" s="37"/>
      <c r="AH782" s="37"/>
      <c r="AI782" s="37"/>
      <c r="AJ782" s="37"/>
      <c r="AK782" s="39"/>
      <c r="AL782" s="37"/>
      <c r="AM782" s="37"/>
      <c r="AN782" s="37"/>
      <c r="AO782" s="37"/>
    </row>
    <row r="783" spans="1:41">
      <c r="A783" s="37"/>
      <c r="B783" s="37"/>
      <c r="C783" s="37"/>
      <c r="D783" s="37"/>
      <c r="E783" s="37"/>
      <c r="F783" s="37"/>
      <c r="G783" s="37"/>
      <c r="H783" s="40"/>
      <c r="I783" s="40"/>
      <c r="J783" s="40"/>
      <c r="K783" s="37"/>
      <c r="L783" s="37"/>
      <c r="M783" s="37"/>
      <c r="N783" s="37"/>
      <c r="O783" s="37"/>
      <c r="P783" s="37"/>
      <c r="Q783" s="37"/>
      <c r="R783" s="37"/>
      <c r="S783" s="37"/>
      <c r="T783" s="37"/>
      <c r="U783" s="37"/>
      <c r="V783" s="37"/>
      <c r="W783" s="37"/>
      <c r="X783" s="37"/>
      <c r="Y783" s="37"/>
      <c r="Z783" s="37"/>
      <c r="AA783" s="37"/>
      <c r="AB783" s="37"/>
      <c r="AC783" s="37"/>
      <c r="AD783" s="37"/>
      <c r="AE783" s="37"/>
      <c r="AF783" s="37"/>
      <c r="AG783" s="37"/>
      <c r="AH783" s="37"/>
      <c r="AI783" s="37"/>
      <c r="AJ783" s="37"/>
      <c r="AK783" s="39"/>
      <c r="AL783" s="37"/>
      <c r="AM783" s="37"/>
      <c r="AN783" s="37"/>
      <c r="AO783" s="37"/>
    </row>
    <row r="784" spans="1:41">
      <c r="A784" s="37"/>
      <c r="B784" s="37"/>
      <c r="C784" s="37"/>
      <c r="D784" s="37"/>
      <c r="E784" s="37"/>
      <c r="F784" s="37"/>
      <c r="G784" s="37"/>
      <c r="H784" s="40"/>
      <c r="I784" s="40"/>
      <c r="J784" s="40"/>
      <c r="K784" s="37"/>
      <c r="L784" s="37"/>
      <c r="M784" s="37"/>
      <c r="N784" s="37"/>
      <c r="O784" s="37"/>
      <c r="P784" s="37"/>
      <c r="Q784" s="37"/>
      <c r="R784" s="37"/>
      <c r="S784" s="37"/>
      <c r="T784" s="37"/>
      <c r="U784" s="37"/>
      <c r="V784" s="37"/>
      <c r="W784" s="37"/>
      <c r="X784" s="37"/>
      <c r="Y784" s="37"/>
      <c r="Z784" s="37"/>
      <c r="AA784" s="37"/>
      <c r="AB784" s="37"/>
      <c r="AC784" s="37"/>
      <c r="AD784" s="37"/>
      <c r="AE784" s="37"/>
      <c r="AF784" s="37"/>
      <c r="AG784" s="37"/>
      <c r="AH784" s="37"/>
      <c r="AI784" s="37"/>
      <c r="AJ784" s="37"/>
      <c r="AK784" s="39"/>
      <c r="AL784" s="37"/>
      <c r="AM784" s="37"/>
      <c r="AN784" s="37"/>
      <c r="AO784" s="37"/>
    </row>
    <row r="785" spans="1:41">
      <c r="A785" s="37"/>
      <c r="B785" s="37"/>
      <c r="C785" s="37"/>
      <c r="D785" s="37"/>
      <c r="E785" s="37"/>
      <c r="F785" s="37"/>
      <c r="G785" s="37"/>
      <c r="H785" s="40"/>
      <c r="I785" s="40"/>
      <c r="J785" s="40"/>
      <c r="K785" s="37"/>
      <c r="L785" s="37"/>
      <c r="M785" s="37"/>
      <c r="N785" s="37"/>
      <c r="O785" s="37"/>
      <c r="P785" s="37"/>
      <c r="Q785" s="37"/>
      <c r="R785" s="37"/>
      <c r="S785" s="37"/>
      <c r="T785" s="37"/>
      <c r="U785" s="37"/>
      <c r="V785" s="37"/>
      <c r="W785" s="37"/>
      <c r="X785" s="37"/>
      <c r="Y785" s="37"/>
      <c r="Z785" s="37"/>
      <c r="AA785" s="37"/>
      <c r="AB785" s="37"/>
      <c r="AC785" s="37"/>
      <c r="AD785" s="37"/>
      <c r="AE785" s="37"/>
      <c r="AF785" s="37"/>
      <c r="AG785" s="37"/>
      <c r="AH785" s="37"/>
      <c r="AI785" s="37"/>
      <c r="AJ785" s="37"/>
      <c r="AK785" s="39"/>
      <c r="AL785" s="37"/>
      <c r="AM785" s="37"/>
      <c r="AN785" s="37"/>
      <c r="AO785" s="37"/>
    </row>
    <row r="786" spans="1:41">
      <c r="A786" s="37"/>
      <c r="B786" s="37"/>
      <c r="C786" s="37"/>
      <c r="D786" s="37"/>
      <c r="E786" s="37"/>
      <c r="F786" s="37"/>
      <c r="G786" s="37"/>
      <c r="H786" s="40"/>
      <c r="I786" s="40"/>
      <c r="J786" s="40"/>
      <c r="K786" s="37"/>
      <c r="L786" s="37"/>
      <c r="M786" s="37"/>
      <c r="N786" s="37"/>
      <c r="O786" s="37"/>
      <c r="P786" s="37"/>
      <c r="Q786" s="37"/>
      <c r="R786" s="37"/>
      <c r="S786" s="37"/>
      <c r="T786" s="37"/>
      <c r="U786" s="37"/>
      <c r="V786" s="37"/>
      <c r="W786" s="37"/>
      <c r="X786" s="37"/>
      <c r="Y786" s="37"/>
      <c r="Z786" s="37"/>
      <c r="AA786" s="37"/>
      <c r="AB786" s="37"/>
      <c r="AC786" s="37"/>
      <c r="AD786" s="37"/>
      <c r="AE786" s="37"/>
      <c r="AF786" s="37"/>
      <c r="AG786" s="37"/>
      <c r="AH786" s="37"/>
      <c r="AI786" s="37"/>
      <c r="AJ786" s="37"/>
      <c r="AK786" s="39"/>
      <c r="AL786" s="37"/>
      <c r="AM786" s="37"/>
      <c r="AN786" s="37"/>
      <c r="AO786" s="37"/>
    </row>
    <row r="787" spans="1:41">
      <c r="A787" s="37"/>
      <c r="B787" s="37"/>
      <c r="C787" s="37"/>
      <c r="D787" s="37"/>
      <c r="E787" s="37"/>
      <c r="F787" s="37"/>
      <c r="G787" s="37"/>
      <c r="H787" s="40"/>
      <c r="I787" s="40"/>
      <c r="J787" s="40"/>
      <c r="K787" s="37"/>
      <c r="L787" s="37"/>
      <c r="M787" s="37"/>
      <c r="N787" s="37"/>
      <c r="O787" s="37"/>
      <c r="P787" s="37"/>
      <c r="Q787" s="37"/>
      <c r="R787" s="37"/>
      <c r="S787" s="37"/>
      <c r="T787" s="37"/>
      <c r="U787" s="37"/>
      <c r="V787" s="37"/>
      <c r="W787" s="37"/>
      <c r="X787" s="37"/>
      <c r="Y787" s="37"/>
      <c r="Z787" s="37"/>
      <c r="AA787" s="37"/>
      <c r="AB787" s="37"/>
      <c r="AC787" s="37"/>
      <c r="AD787" s="37"/>
      <c r="AE787" s="37"/>
      <c r="AF787" s="37"/>
      <c r="AG787" s="37"/>
      <c r="AH787" s="37"/>
      <c r="AI787" s="37"/>
      <c r="AJ787" s="37"/>
      <c r="AK787" s="39"/>
      <c r="AL787" s="37"/>
      <c r="AM787" s="37"/>
      <c r="AN787" s="37"/>
      <c r="AO787" s="37"/>
    </row>
    <row r="788" spans="1:41">
      <c r="A788" s="37"/>
      <c r="B788" s="37"/>
      <c r="C788" s="37"/>
      <c r="D788" s="37"/>
      <c r="E788" s="37"/>
      <c r="F788" s="37"/>
      <c r="G788" s="37"/>
      <c r="H788" s="40"/>
      <c r="I788" s="40"/>
      <c r="J788" s="40"/>
      <c r="K788" s="37"/>
      <c r="L788" s="37"/>
      <c r="M788" s="37"/>
      <c r="N788" s="37"/>
      <c r="O788" s="37"/>
      <c r="P788" s="37"/>
      <c r="Q788" s="37"/>
      <c r="R788" s="37"/>
      <c r="S788" s="37"/>
      <c r="T788" s="37"/>
      <c r="U788" s="37"/>
      <c r="V788" s="37"/>
      <c r="W788" s="37"/>
      <c r="X788" s="37"/>
      <c r="Y788" s="37"/>
      <c r="Z788" s="37"/>
      <c r="AA788" s="37"/>
      <c r="AB788" s="37"/>
      <c r="AC788" s="37"/>
      <c r="AD788" s="37"/>
      <c r="AE788" s="37"/>
      <c r="AF788" s="37"/>
      <c r="AG788" s="37"/>
      <c r="AH788" s="37"/>
      <c r="AI788" s="37"/>
      <c r="AJ788" s="37"/>
      <c r="AK788" s="39"/>
      <c r="AL788" s="37"/>
      <c r="AM788" s="37"/>
      <c r="AN788" s="37"/>
      <c r="AO788" s="37"/>
    </row>
    <row r="789" spans="1:41">
      <c r="A789" s="37"/>
      <c r="B789" s="37"/>
      <c r="C789" s="37"/>
      <c r="D789" s="37"/>
      <c r="E789" s="37"/>
      <c r="F789" s="37"/>
      <c r="G789" s="37"/>
      <c r="H789" s="40"/>
      <c r="I789" s="40"/>
      <c r="J789" s="40"/>
      <c r="K789" s="37"/>
      <c r="L789" s="37"/>
      <c r="M789" s="37"/>
      <c r="N789" s="37"/>
      <c r="O789" s="37"/>
      <c r="P789" s="37"/>
      <c r="Q789" s="37"/>
      <c r="R789" s="37"/>
      <c r="S789" s="37"/>
      <c r="T789" s="37"/>
      <c r="U789" s="37"/>
      <c r="V789" s="37"/>
      <c r="W789" s="37"/>
      <c r="X789" s="37"/>
      <c r="Y789" s="37"/>
      <c r="Z789" s="37"/>
      <c r="AA789" s="37"/>
      <c r="AB789" s="37"/>
      <c r="AC789" s="37"/>
      <c r="AD789" s="37"/>
      <c r="AE789" s="37"/>
      <c r="AF789" s="37"/>
      <c r="AG789" s="37"/>
      <c r="AH789" s="37"/>
      <c r="AI789" s="37"/>
      <c r="AJ789" s="37"/>
      <c r="AK789" s="39"/>
      <c r="AL789" s="37"/>
      <c r="AM789" s="37"/>
      <c r="AN789" s="37"/>
      <c r="AO789" s="37"/>
    </row>
    <row r="790" spans="1:41">
      <c r="A790" s="37"/>
      <c r="B790" s="37"/>
      <c r="C790" s="37"/>
      <c r="D790" s="37"/>
      <c r="E790" s="37"/>
      <c r="F790" s="37"/>
      <c r="G790" s="37"/>
      <c r="H790" s="40"/>
      <c r="I790" s="40"/>
      <c r="J790" s="40"/>
      <c r="K790" s="37"/>
      <c r="L790" s="37"/>
      <c r="M790" s="37"/>
      <c r="N790" s="37"/>
      <c r="O790" s="37"/>
      <c r="P790" s="37"/>
      <c r="Q790" s="37"/>
      <c r="R790" s="37"/>
      <c r="S790" s="37"/>
      <c r="T790" s="37"/>
      <c r="U790" s="37"/>
      <c r="V790" s="37"/>
      <c r="W790" s="37"/>
      <c r="X790" s="37"/>
      <c r="Y790" s="37"/>
      <c r="Z790" s="37"/>
      <c r="AA790" s="37"/>
      <c r="AB790" s="37"/>
      <c r="AC790" s="37"/>
      <c r="AD790" s="37"/>
      <c r="AE790" s="37"/>
      <c r="AF790" s="37"/>
      <c r="AG790" s="37"/>
      <c r="AH790" s="37"/>
      <c r="AI790" s="37"/>
      <c r="AJ790" s="37"/>
      <c r="AK790" s="39"/>
      <c r="AL790" s="37"/>
      <c r="AM790" s="37"/>
      <c r="AN790" s="37"/>
      <c r="AO790" s="37"/>
    </row>
    <row r="791" spans="1:41">
      <c r="A791" s="37"/>
      <c r="B791" s="37"/>
      <c r="C791" s="37"/>
      <c r="D791" s="37"/>
      <c r="E791" s="37"/>
      <c r="F791" s="37"/>
      <c r="G791" s="37"/>
      <c r="H791" s="40"/>
      <c r="I791" s="40"/>
      <c r="J791" s="40"/>
      <c r="K791" s="37"/>
      <c r="L791" s="37"/>
      <c r="M791" s="37"/>
      <c r="N791" s="37"/>
      <c r="O791" s="37"/>
      <c r="P791" s="37"/>
      <c r="Q791" s="37"/>
      <c r="R791" s="37"/>
      <c r="S791" s="37"/>
      <c r="T791" s="37"/>
      <c r="U791" s="37"/>
      <c r="V791" s="37"/>
      <c r="W791" s="37"/>
      <c r="X791" s="37"/>
      <c r="Y791" s="37"/>
      <c r="Z791" s="37"/>
      <c r="AA791" s="37"/>
      <c r="AB791" s="37"/>
      <c r="AC791" s="37"/>
      <c r="AD791" s="37"/>
      <c r="AE791" s="37"/>
      <c r="AF791" s="37"/>
      <c r="AG791" s="37"/>
      <c r="AH791" s="37"/>
      <c r="AI791" s="37"/>
      <c r="AJ791" s="37"/>
      <c r="AK791" s="39"/>
      <c r="AL791" s="37"/>
      <c r="AM791" s="37"/>
      <c r="AN791" s="37"/>
      <c r="AO791" s="37"/>
    </row>
    <row r="792" spans="1:41">
      <c r="A792" s="37"/>
      <c r="B792" s="37"/>
      <c r="C792" s="37"/>
      <c r="D792" s="37"/>
      <c r="E792" s="37"/>
      <c r="F792" s="37"/>
      <c r="G792" s="37"/>
      <c r="H792" s="40"/>
      <c r="I792" s="40"/>
      <c r="J792" s="40"/>
      <c r="K792" s="37"/>
      <c r="L792" s="37"/>
      <c r="M792" s="37"/>
      <c r="N792" s="37"/>
      <c r="O792" s="37"/>
      <c r="P792" s="37"/>
      <c r="Q792" s="37"/>
      <c r="R792" s="37"/>
      <c r="S792" s="37"/>
      <c r="T792" s="37"/>
      <c r="U792" s="37"/>
      <c r="V792" s="37"/>
      <c r="W792" s="37"/>
      <c r="X792" s="37"/>
      <c r="Y792" s="37"/>
      <c r="Z792" s="37"/>
      <c r="AA792" s="37"/>
      <c r="AB792" s="37"/>
      <c r="AC792" s="37"/>
      <c r="AD792" s="37"/>
      <c r="AE792" s="37"/>
      <c r="AF792" s="37"/>
      <c r="AG792" s="37"/>
      <c r="AH792" s="37"/>
      <c r="AI792" s="37"/>
      <c r="AJ792" s="37"/>
      <c r="AK792" s="39"/>
      <c r="AL792" s="37"/>
      <c r="AM792" s="37"/>
      <c r="AN792" s="37"/>
      <c r="AO792" s="37"/>
    </row>
    <row r="793" spans="1:41">
      <c r="A793" s="37"/>
      <c r="B793" s="37"/>
      <c r="C793" s="37"/>
      <c r="D793" s="37"/>
      <c r="E793" s="37"/>
      <c r="F793" s="37"/>
      <c r="G793" s="37"/>
      <c r="H793" s="40"/>
      <c r="I793" s="40"/>
      <c r="J793" s="40"/>
      <c r="K793" s="37"/>
      <c r="L793" s="37"/>
      <c r="M793" s="37"/>
      <c r="N793" s="37"/>
      <c r="O793" s="37"/>
      <c r="P793" s="37"/>
      <c r="Q793" s="37"/>
      <c r="R793" s="37"/>
      <c r="S793" s="37"/>
      <c r="T793" s="37"/>
      <c r="U793" s="37"/>
      <c r="V793" s="37"/>
      <c r="W793" s="37"/>
      <c r="X793" s="37"/>
      <c r="Y793" s="37"/>
      <c r="Z793" s="37"/>
      <c r="AA793" s="37"/>
      <c r="AB793" s="37"/>
      <c r="AC793" s="37"/>
      <c r="AD793" s="37"/>
      <c r="AE793" s="37"/>
      <c r="AF793" s="37"/>
      <c r="AG793" s="37"/>
      <c r="AH793" s="37"/>
      <c r="AI793" s="37"/>
      <c r="AJ793" s="37"/>
      <c r="AK793" s="39"/>
      <c r="AL793" s="37"/>
      <c r="AM793" s="37"/>
      <c r="AN793" s="37"/>
      <c r="AO793" s="37"/>
    </row>
    <row r="794" spans="1:41">
      <c r="A794" s="37"/>
      <c r="B794" s="37"/>
      <c r="C794" s="37"/>
      <c r="D794" s="37"/>
      <c r="E794" s="37"/>
      <c r="F794" s="37"/>
      <c r="G794" s="37"/>
      <c r="H794" s="40"/>
      <c r="I794" s="40"/>
      <c r="J794" s="40"/>
      <c r="K794" s="37"/>
      <c r="L794" s="37"/>
      <c r="M794" s="37"/>
      <c r="N794" s="37"/>
      <c r="O794" s="37"/>
      <c r="P794" s="37"/>
      <c r="Q794" s="37"/>
      <c r="R794" s="37"/>
      <c r="S794" s="37"/>
      <c r="T794" s="37"/>
      <c r="U794" s="37"/>
      <c r="V794" s="37"/>
      <c r="W794" s="37"/>
      <c r="X794" s="37"/>
      <c r="Y794" s="37"/>
      <c r="Z794" s="37"/>
      <c r="AA794" s="37"/>
      <c r="AB794" s="37"/>
      <c r="AC794" s="37"/>
      <c r="AD794" s="37"/>
      <c r="AE794" s="37"/>
      <c r="AF794" s="37"/>
      <c r="AG794" s="37"/>
      <c r="AH794" s="37"/>
      <c r="AI794" s="37"/>
      <c r="AJ794" s="37"/>
      <c r="AK794" s="39"/>
      <c r="AL794" s="37"/>
      <c r="AM794" s="37"/>
      <c r="AN794" s="37"/>
      <c r="AO794" s="37"/>
    </row>
    <row r="795" spans="1:41">
      <c r="A795" s="37"/>
      <c r="B795" s="37"/>
      <c r="C795" s="37"/>
      <c r="D795" s="37"/>
      <c r="E795" s="37"/>
      <c r="F795" s="37"/>
      <c r="G795" s="37"/>
      <c r="H795" s="40"/>
      <c r="I795" s="40"/>
      <c r="J795" s="40"/>
      <c r="K795" s="37"/>
      <c r="L795" s="37"/>
      <c r="M795" s="37"/>
      <c r="N795" s="37"/>
      <c r="O795" s="37"/>
      <c r="P795" s="37"/>
      <c r="Q795" s="37"/>
      <c r="R795" s="37"/>
      <c r="S795" s="37"/>
      <c r="T795" s="37"/>
      <c r="U795" s="37"/>
      <c r="V795" s="37"/>
      <c r="W795" s="37"/>
      <c r="X795" s="37"/>
      <c r="Y795" s="37"/>
      <c r="Z795" s="37"/>
      <c r="AA795" s="37"/>
      <c r="AB795" s="37"/>
      <c r="AC795" s="37"/>
      <c r="AD795" s="37"/>
      <c r="AE795" s="37"/>
      <c r="AF795" s="37"/>
      <c r="AG795" s="37"/>
      <c r="AH795" s="37"/>
      <c r="AI795" s="37"/>
      <c r="AJ795" s="37"/>
      <c r="AK795" s="39"/>
      <c r="AL795" s="37"/>
      <c r="AM795" s="37"/>
      <c r="AN795" s="37"/>
      <c r="AO795" s="37"/>
    </row>
    <row r="796" spans="1:41">
      <c r="A796" s="37"/>
      <c r="B796" s="37"/>
      <c r="C796" s="37"/>
      <c r="D796" s="37"/>
      <c r="E796" s="37"/>
      <c r="F796" s="37"/>
      <c r="G796" s="37"/>
      <c r="H796" s="40"/>
      <c r="I796" s="40"/>
      <c r="J796" s="40"/>
      <c r="K796" s="37"/>
      <c r="L796" s="37"/>
      <c r="M796" s="37"/>
      <c r="N796" s="37"/>
      <c r="O796" s="37"/>
      <c r="P796" s="37"/>
      <c r="Q796" s="37"/>
      <c r="R796" s="37"/>
      <c r="S796" s="37"/>
      <c r="T796" s="37"/>
      <c r="U796" s="37"/>
      <c r="V796" s="37"/>
      <c r="W796" s="37"/>
      <c r="X796" s="37"/>
      <c r="Y796" s="37"/>
      <c r="Z796" s="37"/>
      <c r="AA796" s="37"/>
      <c r="AB796" s="37"/>
      <c r="AC796" s="37"/>
      <c r="AD796" s="37"/>
      <c r="AE796" s="37"/>
      <c r="AF796" s="37"/>
      <c r="AG796" s="37"/>
      <c r="AH796" s="37"/>
      <c r="AI796" s="37"/>
      <c r="AJ796" s="37"/>
      <c r="AK796" s="39"/>
      <c r="AL796" s="37"/>
      <c r="AM796" s="37"/>
      <c r="AN796" s="37"/>
      <c r="AO796" s="37"/>
    </row>
    <row r="797" spans="1:41">
      <c r="A797" s="37"/>
      <c r="B797" s="37"/>
      <c r="C797" s="37"/>
      <c r="D797" s="37"/>
      <c r="E797" s="37"/>
      <c r="F797" s="37"/>
      <c r="G797" s="37"/>
      <c r="H797" s="40"/>
      <c r="I797" s="40"/>
      <c r="J797" s="40"/>
      <c r="K797" s="37"/>
      <c r="L797" s="37"/>
      <c r="M797" s="37"/>
      <c r="N797" s="37"/>
      <c r="O797" s="37"/>
      <c r="P797" s="37"/>
      <c r="Q797" s="37"/>
      <c r="R797" s="37"/>
      <c r="S797" s="37"/>
      <c r="T797" s="37"/>
      <c r="U797" s="37"/>
      <c r="V797" s="37"/>
      <c r="W797" s="37"/>
      <c r="X797" s="37"/>
      <c r="Y797" s="37"/>
      <c r="Z797" s="37"/>
      <c r="AA797" s="37"/>
      <c r="AB797" s="37"/>
      <c r="AC797" s="37"/>
      <c r="AD797" s="37"/>
      <c r="AE797" s="37"/>
      <c r="AF797" s="37"/>
      <c r="AG797" s="37"/>
      <c r="AH797" s="37"/>
      <c r="AI797" s="37"/>
      <c r="AJ797" s="37"/>
      <c r="AK797" s="39"/>
      <c r="AL797" s="37"/>
      <c r="AM797" s="37"/>
      <c r="AN797" s="37"/>
      <c r="AO797" s="37"/>
    </row>
    <row r="798" spans="1:41">
      <c r="A798" s="37"/>
      <c r="B798" s="37"/>
      <c r="C798" s="37"/>
      <c r="D798" s="37"/>
      <c r="E798" s="37"/>
      <c r="F798" s="37"/>
      <c r="G798" s="37"/>
      <c r="H798" s="40"/>
      <c r="I798" s="40"/>
      <c r="J798" s="40"/>
      <c r="K798" s="37"/>
      <c r="L798" s="37"/>
      <c r="M798" s="37"/>
      <c r="N798" s="37"/>
      <c r="O798" s="37"/>
      <c r="P798" s="37"/>
      <c r="Q798" s="37"/>
      <c r="R798" s="37"/>
      <c r="S798" s="37"/>
      <c r="T798" s="37"/>
      <c r="U798" s="37"/>
      <c r="V798" s="37"/>
      <c r="W798" s="37"/>
      <c r="X798" s="37"/>
      <c r="Y798" s="37"/>
      <c r="Z798" s="37"/>
      <c r="AA798" s="37"/>
      <c r="AB798" s="37"/>
      <c r="AC798" s="37"/>
      <c r="AD798" s="37"/>
      <c r="AE798" s="37"/>
      <c r="AF798" s="37"/>
      <c r="AG798" s="37"/>
      <c r="AH798" s="37"/>
      <c r="AI798" s="37"/>
      <c r="AJ798" s="37"/>
      <c r="AK798" s="39"/>
      <c r="AL798" s="37"/>
      <c r="AM798" s="37"/>
      <c r="AN798" s="37"/>
      <c r="AO798" s="37"/>
    </row>
    <row r="799" spans="1:41">
      <c r="A799" s="37"/>
      <c r="B799" s="37"/>
      <c r="C799" s="37"/>
      <c r="D799" s="37"/>
      <c r="E799" s="37"/>
      <c r="F799" s="37"/>
      <c r="G799" s="37"/>
      <c r="H799" s="40"/>
      <c r="I799" s="40"/>
      <c r="J799" s="40"/>
      <c r="K799" s="37"/>
      <c r="L799" s="37"/>
      <c r="M799" s="37"/>
      <c r="N799" s="37"/>
      <c r="O799" s="37"/>
      <c r="P799" s="37"/>
      <c r="Q799" s="37"/>
      <c r="R799" s="37"/>
      <c r="S799" s="37"/>
      <c r="T799" s="37"/>
      <c r="U799" s="37"/>
      <c r="V799" s="37"/>
      <c r="W799" s="37"/>
      <c r="X799" s="37"/>
      <c r="Y799" s="37"/>
      <c r="Z799" s="37"/>
      <c r="AA799" s="37"/>
      <c r="AB799" s="37"/>
      <c r="AC799" s="37"/>
      <c r="AD799" s="37"/>
      <c r="AE799" s="37"/>
      <c r="AF799" s="37"/>
      <c r="AG799" s="37"/>
      <c r="AH799" s="37"/>
      <c r="AI799" s="37"/>
      <c r="AJ799" s="37"/>
      <c r="AK799" s="39"/>
      <c r="AL799" s="37"/>
      <c r="AM799" s="37"/>
      <c r="AN799" s="37"/>
      <c r="AO799" s="37"/>
    </row>
    <row r="800" spans="1:41">
      <c r="A800" s="37"/>
      <c r="B800" s="37"/>
      <c r="C800" s="37"/>
      <c r="D800" s="37"/>
      <c r="E800" s="37"/>
      <c r="F800" s="37"/>
      <c r="G800" s="37"/>
      <c r="H800" s="40"/>
      <c r="I800" s="40"/>
      <c r="J800" s="40"/>
      <c r="K800" s="37"/>
      <c r="L800" s="37"/>
      <c r="M800" s="37"/>
      <c r="N800" s="37"/>
      <c r="O800" s="37"/>
      <c r="P800" s="37"/>
      <c r="Q800" s="37"/>
      <c r="R800" s="37"/>
      <c r="S800" s="37"/>
      <c r="T800" s="37"/>
      <c r="U800" s="37"/>
      <c r="V800" s="37"/>
      <c r="W800" s="37"/>
      <c r="X800" s="37"/>
      <c r="Y800" s="37"/>
      <c r="Z800" s="37"/>
      <c r="AA800" s="37"/>
      <c r="AB800" s="37"/>
      <c r="AC800" s="37"/>
      <c r="AD800" s="37"/>
      <c r="AE800" s="37"/>
      <c r="AF800" s="37"/>
      <c r="AG800" s="37"/>
      <c r="AH800" s="37"/>
      <c r="AI800" s="37"/>
      <c r="AJ800" s="37"/>
      <c r="AK800" s="39"/>
      <c r="AL800" s="37"/>
      <c r="AM800" s="37"/>
      <c r="AN800" s="37"/>
      <c r="AO800" s="37"/>
    </row>
    <row r="801" spans="1:41">
      <c r="A801" s="37"/>
      <c r="B801" s="37"/>
      <c r="C801" s="37"/>
      <c r="D801" s="37"/>
      <c r="E801" s="37"/>
      <c r="F801" s="37"/>
      <c r="G801" s="37"/>
      <c r="H801" s="40"/>
      <c r="I801" s="40"/>
      <c r="J801" s="40"/>
      <c r="K801" s="37"/>
      <c r="L801" s="37"/>
      <c r="M801" s="37"/>
      <c r="N801" s="37"/>
      <c r="O801" s="37"/>
      <c r="P801" s="37"/>
      <c r="Q801" s="37"/>
      <c r="R801" s="37"/>
      <c r="S801" s="37"/>
      <c r="T801" s="37"/>
      <c r="U801" s="37"/>
      <c r="V801" s="37"/>
      <c r="W801" s="37"/>
      <c r="X801" s="37"/>
      <c r="Y801" s="37"/>
      <c r="Z801" s="37"/>
      <c r="AA801" s="37"/>
      <c r="AB801" s="37"/>
      <c r="AC801" s="37"/>
      <c r="AD801" s="37"/>
      <c r="AE801" s="37"/>
      <c r="AF801" s="37"/>
      <c r="AG801" s="37"/>
      <c r="AH801" s="37"/>
      <c r="AI801" s="37"/>
      <c r="AJ801" s="37"/>
      <c r="AK801" s="39"/>
      <c r="AL801" s="37"/>
      <c r="AM801" s="37"/>
      <c r="AN801" s="37"/>
      <c r="AO801" s="37"/>
    </row>
    <row r="802" spans="1:41">
      <c r="A802" s="37"/>
      <c r="B802" s="37"/>
      <c r="C802" s="37"/>
      <c r="D802" s="37"/>
      <c r="E802" s="37"/>
      <c r="F802" s="37"/>
      <c r="G802" s="37"/>
      <c r="H802" s="40"/>
      <c r="I802" s="40"/>
      <c r="J802" s="40"/>
      <c r="K802" s="37"/>
      <c r="L802" s="37"/>
      <c r="M802" s="37"/>
      <c r="N802" s="37"/>
      <c r="O802" s="37"/>
      <c r="P802" s="37"/>
      <c r="Q802" s="37"/>
      <c r="R802" s="37"/>
      <c r="S802" s="37"/>
      <c r="T802" s="37"/>
      <c r="U802" s="37"/>
      <c r="V802" s="37"/>
      <c r="W802" s="37"/>
      <c r="X802" s="37"/>
      <c r="Y802" s="37"/>
      <c r="Z802" s="37"/>
      <c r="AA802" s="37"/>
      <c r="AB802" s="37"/>
      <c r="AC802" s="37"/>
      <c r="AD802" s="37"/>
      <c r="AE802" s="37"/>
      <c r="AF802" s="37"/>
      <c r="AG802" s="37"/>
      <c r="AH802" s="37"/>
      <c r="AI802" s="37"/>
      <c r="AJ802" s="37"/>
      <c r="AK802" s="39"/>
      <c r="AL802" s="37"/>
      <c r="AM802" s="37"/>
      <c r="AN802" s="37"/>
      <c r="AO802" s="37"/>
    </row>
    <row r="803" spans="1:41">
      <c r="A803" s="37"/>
      <c r="B803" s="37"/>
      <c r="C803" s="37"/>
      <c r="D803" s="37"/>
      <c r="E803" s="37"/>
      <c r="F803" s="37"/>
      <c r="G803" s="37"/>
      <c r="H803" s="40"/>
      <c r="I803" s="40"/>
      <c r="J803" s="40"/>
      <c r="K803" s="37"/>
      <c r="L803" s="37"/>
      <c r="M803" s="37"/>
      <c r="N803" s="37"/>
      <c r="O803" s="37"/>
      <c r="P803" s="37"/>
      <c r="Q803" s="37"/>
      <c r="R803" s="37"/>
      <c r="S803" s="37"/>
      <c r="T803" s="37"/>
      <c r="U803" s="37"/>
      <c r="V803" s="37"/>
      <c r="W803" s="37"/>
      <c r="X803" s="37"/>
      <c r="Y803" s="37"/>
      <c r="Z803" s="37"/>
      <c r="AA803" s="37"/>
      <c r="AB803" s="37"/>
      <c r="AC803" s="37"/>
      <c r="AD803" s="37"/>
      <c r="AE803" s="37"/>
      <c r="AF803" s="37"/>
      <c r="AG803" s="37"/>
      <c r="AH803" s="37"/>
      <c r="AI803" s="37"/>
      <c r="AJ803" s="37"/>
      <c r="AK803" s="39"/>
      <c r="AL803" s="37"/>
      <c r="AM803" s="37"/>
      <c r="AN803" s="37"/>
      <c r="AO803" s="37"/>
    </row>
    <row r="804" spans="1:41">
      <c r="A804" s="37"/>
      <c r="B804" s="37"/>
      <c r="C804" s="37"/>
      <c r="D804" s="37"/>
      <c r="E804" s="37"/>
      <c r="F804" s="37"/>
      <c r="G804" s="37"/>
      <c r="H804" s="40"/>
      <c r="I804" s="40"/>
      <c r="J804" s="40"/>
      <c r="K804" s="37"/>
      <c r="L804" s="37"/>
      <c r="M804" s="37"/>
      <c r="N804" s="37"/>
      <c r="O804" s="37"/>
      <c r="P804" s="37"/>
      <c r="Q804" s="37"/>
      <c r="R804" s="37"/>
      <c r="S804" s="37"/>
      <c r="T804" s="37"/>
      <c r="U804" s="37"/>
      <c r="V804" s="37"/>
      <c r="W804" s="37"/>
      <c r="X804" s="37"/>
      <c r="Y804" s="37"/>
      <c r="Z804" s="37"/>
      <c r="AA804" s="37"/>
      <c r="AB804" s="37"/>
      <c r="AC804" s="37"/>
      <c r="AD804" s="37"/>
      <c r="AE804" s="37"/>
      <c r="AF804" s="37"/>
      <c r="AG804" s="37"/>
      <c r="AH804" s="37"/>
      <c r="AI804" s="37"/>
      <c r="AJ804" s="37"/>
      <c r="AK804" s="39"/>
      <c r="AL804" s="37"/>
      <c r="AM804" s="37"/>
      <c r="AN804" s="37"/>
      <c r="AO804" s="37"/>
    </row>
    <row r="805" spans="1:41">
      <c r="A805" s="37"/>
      <c r="B805" s="37"/>
      <c r="C805" s="37"/>
      <c r="D805" s="37"/>
      <c r="E805" s="37"/>
      <c r="F805" s="37"/>
      <c r="G805" s="37"/>
      <c r="H805" s="40"/>
      <c r="I805" s="40"/>
      <c r="J805" s="40"/>
      <c r="K805" s="37"/>
      <c r="L805" s="37"/>
      <c r="M805" s="37"/>
      <c r="N805" s="37"/>
      <c r="O805" s="37"/>
      <c r="P805" s="37"/>
      <c r="Q805" s="37"/>
      <c r="R805" s="37"/>
      <c r="S805" s="37"/>
      <c r="T805" s="37"/>
      <c r="U805" s="37"/>
      <c r="V805" s="37"/>
      <c r="W805" s="37"/>
      <c r="X805" s="37"/>
      <c r="Y805" s="37"/>
      <c r="Z805" s="37"/>
      <c r="AA805" s="37"/>
      <c r="AB805" s="37"/>
      <c r="AC805" s="37"/>
      <c r="AD805" s="37"/>
      <c r="AE805" s="37"/>
      <c r="AF805" s="37"/>
      <c r="AG805" s="37"/>
      <c r="AH805" s="37"/>
      <c r="AI805" s="37"/>
      <c r="AJ805" s="37"/>
      <c r="AK805" s="39"/>
      <c r="AL805" s="37"/>
      <c r="AM805" s="37"/>
      <c r="AN805" s="37"/>
      <c r="AO805" s="37"/>
    </row>
    <row r="806" spans="1:41">
      <c r="A806" s="37"/>
      <c r="B806" s="37"/>
      <c r="C806" s="37"/>
      <c r="D806" s="37"/>
      <c r="E806" s="37"/>
      <c r="F806" s="37"/>
      <c r="G806" s="37"/>
      <c r="H806" s="40"/>
      <c r="I806" s="40"/>
      <c r="J806" s="40"/>
      <c r="K806" s="37"/>
      <c r="L806" s="37"/>
      <c r="M806" s="37"/>
      <c r="N806" s="37"/>
      <c r="O806" s="37"/>
      <c r="P806" s="37"/>
      <c r="Q806" s="37"/>
      <c r="R806" s="37"/>
      <c r="S806" s="37"/>
      <c r="T806" s="37"/>
      <c r="U806" s="37"/>
      <c r="V806" s="37"/>
      <c r="W806" s="37"/>
      <c r="X806" s="37"/>
      <c r="Y806" s="37"/>
      <c r="Z806" s="37"/>
      <c r="AA806" s="37"/>
      <c r="AB806" s="37"/>
      <c r="AC806" s="37"/>
      <c r="AD806" s="37"/>
      <c r="AE806" s="37"/>
      <c r="AF806" s="37"/>
      <c r="AG806" s="37"/>
      <c r="AH806" s="37"/>
      <c r="AI806" s="37"/>
      <c r="AJ806" s="37"/>
      <c r="AK806" s="39"/>
      <c r="AL806" s="37"/>
      <c r="AM806" s="37"/>
      <c r="AN806" s="37"/>
      <c r="AO806" s="37"/>
    </row>
    <row r="807" spans="1:41">
      <c r="A807" s="37"/>
      <c r="B807" s="37"/>
      <c r="C807" s="37"/>
      <c r="D807" s="37"/>
      <c r="E807" s="37"/>
      <c r="F807" s="37"/>
      <c r="G807" s="37"/>
      <c r="H807" s="40"/>
      <c r="I807" s="40"/>
      <c r="J807" s="40"/>
      <c r="K807" s="37"/>
      <c r="L807" s="37"/>
      <c r="M807" s="37"/>
      <c r="N807" s="37"/>
      <c r="O807" s="37"/>
      <c r="P807" s="37"/>
      <c r="Q807" s="37"/>
      <c r="R807" s="37"/>
      <c r="S807" s="37"/>
      <c r="T807" s="37"/>
      <c r="U807" s="37"/>
      <c r="V807" s="37"/>
      <c r="W807" s="37"/>
      <c r="X807" s="37"/>
      <c r="Y807" s="37"/>
      <c r="Z807" s="37"/>
      <c r="AA807" s="37"/>
      <c r="AB807" s="37"/>
      <c r="AC807" s="37"/>
      <c r="AD807" s="37"/>
      <c r="AE807" s="37"/>
      <c r="AF807" s="37"/>
      <c r="AG807" s="37"/>
      <c r="AH807" s="37"/>
      <c r="AI807" s="37"/>
      <c r="AJ807" s="37"/>
      <c r="AK807" s="39"/>
      <c r="AL807" s="37"/>
      <c r="AM807" s="37"/>
      <c r="AN807" s="37"/>
      <c r="AO807" s="37"/>
    </row>
    <row r="808" spans="1:41">
      <c r="A808" s="37"/>
      <c r="B808" s="37"/>
      <c r="C808" s="37"/>
      <c r="D808" s="37"/>
      <c r="E808" s="37"/>
      <c r="F808" s="37"/>
      <c r="G808" s="37"/>
      <c r="H808" s="40"/>
      <c r="I808" s="40"/>
      <c r="J808" s="40"/>
      <c r="K808" s="37"/>
      <c r="L808" s="37"/>
      <c r="M808" s="37"/>
      <c r="N808" s="37"/>
      <c r="O808" s="37"/>
      <c r="P808" s="37"/>
      <c r="Q808" s="37"/>
      <c r="R808" s="37"/>
      <c r="S808" s="37"/>
      <c r="T808" s="37"/>
      <c r="U808" s="37"/>
      <c r="V808" s="37"/>
      <c r="W808" s="37"/>
      <c r="X808" s="37"/>
      <c r="Y808" s="37"/>
      <c r="Z808" s="37"/>
      <c r="AA808" s="37"/>
      <c r="AB808" s="37"/>
      <c r="AC808" s="37"/>
      <c r="AD808" s="37"/>
      <c r="AE808" s="37"/>
      <c r="AF808" s="37"/>
      <c r="AG808" s="37"/>
      <c r="AH808" s="37"/>
      <c r="AI808" s="37"/>
      <c r="AJ808" s="37"/>
      <c r="AK808" s="39"/>
      <c r="AL808" s="37"/>
      <c r="AM808" s="37"/>
      <c r="AN808" s="37"/>
      <c r="AO808" s="37"/>
    </row>
    <row r="809" spans="1:41">
      <c r="A809" s="37"/>
      <c r="B809" s="37"/>
      <c r="C809" s="37"/>
      <c r="D809" s="37"/>
      <c r="E809" s="37"/>
      <c r="F809" s="37"/>
      <c r="G809" s="37"/>
      <c r="H809" s="40"/>
      <c r="I809" s="40"/>
      <c r="J809" s="40"/>
      <c r="K809" s="37"/>
      <c r="L809" s="37"/>
      <c r="M809" s="37"/>
      <c r="N809" s="37"/>
      <c r="O809" s="37"/>
      <c r="P809" s="37"/>
      <c r="Q809" s="37"/>
      <c r="R809" s="37"/>
      <c r="S809" s="37"/>
      <c r="T809" s="37"/>
      <c r="U809" s="37"/>
      <c r="V809" s="37"/>
      <c r="W809" s="37"/>
      <c r="X809" s="37"/>
      <c r="Y809" s="37"/>
      <c r="Z809" s="37"/>
      <c r="AA809" s="37"/>
      <c r="AB809" s="37"/>
      <c r="AC809" s="37"/>
      <c r="AD809" s="37"/>
      <c r="AE809" s="37"/>
      <c r="AF809" s="37"/>
      <c r="AG809" s="37"/>
      <c r="AH809" s="37"/>
      <c r="AI809" s="37"/>
      <c r="AJ809" s="37"/>
      <c r="AK809" s="39"/>
      <c r="AL809" s="37"/>
      <c r="AM809" s="37"/>
      <c r="AN809" s="37"/>
      <c r="AO809" s="37"/>
    </row>
    <row r="810" spans="1:41">
      <c r="A810" s="37"/>
      <c r="B810" s="37"/>
      <c r="C810" s="37"/>
      <c r="D810" s="37"/>
      <c r="E810" s="37"/>
      <c r="F810" s="37"/>
      <c r="G810" s="37"/>
      <c r="H810" s="40"/>
      <c r="I810" s="40"/>
      <c r="J810" s="40"/>
      <c r="K810" s="37"/>
      <c r="L810" s="37"/>
      <c r="M810" s="37"/>
      <c r="N810" s="37"/>
      <c r="O810" s="37"/>
      <c r="P810" s="37"/>
      <c r="Q810" s="37"/>
      <c r="R810" s="37"/>
      <c r="S810" s="37"/>
      <c r="T810" s="37"/>
      <c r="U810" s="37"/>
      <c r="V810" s="37"/>
      <c r="W810" s="37"/>
      <c r="X810" s="37"/>
      <c r="Y810" s="37"/>
      <c r="Z810" s="37"/>
      <c r="AA810" s="37"/>
      <c r="AB810" s="37"/>
      <c r="AC810" s="37"/>
      <c r="AD810" s="37"/>
      <c r="AE810" s="37"/>
      <c r="AF810" s="37"/>
      <c r="AG810" s="37"/>
      <c r="AH810" s="37"/>
      <c r="AI810" s="37"/>
      <c r="AJ810" s="37"/>
      <c r="AK810" s="39"/>
      <c r="AL810" s="37"/>
      <c r="AM810" s="37"/>
      <c r="AN810" s="37"/>
      <c r="AO810" s="37"/>
    </row>
    <row r="811" spans="1:41">
      <c r="A811" s="37"/>
      <c r="B811" s="37"/>
      <c r="C811" s="37"/>
      <c r="D811" s="37"/>
      <c r="E811" s="37"/>
      <c r="F811" s="37"/>
      <c r="G811" s="37"/>
      <c r="H811" s="40"/>
      <c r="I811" s="40"/>
      <c r="J811" s="40"/>
      <c r="K811" s="37"/>
      <c r="L811" s="37"/>
      <c r="M811" s="37"/>
      <c r="N811" s="37"/>
      <c r="O811" s="37"/>
      <c r="P811" s="37"/>
      <c r="Q811" s="37"/>
      <c r="R811" s="37"/>
      <c r="S811" s="37"/>
      <c r="T811" s="37"/>
      <c r="U811" s="37"/>
      <c r="V811" s="37"/>
      <c r="W811" s="37"/>
      <c r="X811" s="37"/>
      <c r="Y811" s="37"/>
      <c r="Z811" s="37"/>
      <c r="AA811" s="37"/>
      <c r="AB811" s="37"/>
      <c r="AC811" s="37"/>
      <c r="AD811" s="37"/>
      <c r="AE811" s="37"/>
      <c r="AF811" s="37"/>
      <c r="AG811" s="37"/>
      <c r="AH811" s="37"/>
      <c r="AI811" s="37"/>
      <c r="AJ811" s="37"/>
      <c r="AK811" s="39"/>
      <c r="AL811" s="37"/>
      <c r="AM811" s="37"/>
      <c r="AN811" s="37"/>
      <c r="AO811" s="37"/>
    </row>
    <row r="812" spans="1:41">
      <c r="A812" s="37"/>
      <c r="B812" s="37"/>
      <c r="C812" s="37"/>
      <c r="D812" s="37"/>
      <c r="E812" s="37"/>
      <c r="F812" s="37"/>
      <c r="G812" s="37"/>
      <c r="H812" s="40"/>
      <c r="I812" s="40"/>
      <c r="J812" s="40"/>
      <c r="K812" s="37"/>
      <c r="L812" s="37"/>
      <c r="M812" s="37"/>
      <c r="N812" s="37"/>
      <c r="O812" s="37"/>
      <c r="P812" s="37"/>
      <c r="Q812" s="37"/>
      <c r="R812" s="37"/>
      <c r="S812" s="37"/>
      <c r="T812" s="37"/>
      <c r="U812" s="37"/>
      <c r="V812" s="37"/>
      <c r="W812" s="37"/>
      <c r="X812" s="37"/>
      <c r="Y812" s="37"/>
      <c r="Z812" s="37"/>
      <c r="AA812" s="37"/>
      <c r="AB812" s="37"/>
      <c r="AC812" s="37"/>
      <c r="AD812" s="37"/>
      <c r="AE812" s="37"/>
      <c r="AF812" s="37"/>
      <c r="AG812" s="37"/>
      <c r="AH812" s="37"/>
      <c r="AI812" s="37"/>
      <c r="AJ812" s="37"/>
      <c r="AK812" s="39"/>
      <c r="AL812" s="37"/>
      <c r="AM812" s="37"/>
      <c r="AN812" s="37"/>
      <c r="AO812" s="37"/>
    </row>
    <row r="813" spans="1:41">
      <c r="A813" s="37"/>
      <c r="B813" s="37"/>
      <c r="C813" s="37"/>
      <c r="D813" s="37"/>
      <c r="E813" s="37"/>
      <c r="F813" s="37"/>
      <c r="G813" s="37"/>
      <c r="H813" s="40"/>
      <c r="I813" s="40"/>
      <c r="J813" s="40"/>
      <c r="K813" s="37"/>
      <c r="L813" s="37"/>
      <c r="M813" s="37"/>
      <c r="N813" s="37"/>
      <c r="O813" s="37"/>
      <c r="P813" s="37"/>
      <c r="Q813" s="37"/>
      <c r="R813" s="37"/>
      <c r="S813" s="37"/>
      <c r="T813" s="37"/>
      <c r="U813" s="37"/>
      <c r="V813" s="37"/>
      <c r="W813" s="37"/>
      <c r="X813" s="37"/>
      <c r="Y813" s="37"/>
      <c r="Z813" s="37"/>
      <c r="AA813" s="37"/>
      <c r="AB813" s="37"/>
      <c r="AC813" s="37"/>
      <c r="AD813" s="37"/>
      <c r="AE813" s="37"/>
      <c r="AF813" s="37"/>
      <c r="AG813" s="37"/>
      <c r="AH813" s="37"/>
      <c r="AI813" s="37"/>
      <c r="AJ813" s="37"/>
      <c r="AK813" s="39"/>
      <c r="AL813" s="37"/>
      <c r="AM813" s="37"/>
      <c r="AN813" s="37"/>
      <c r="AO813" s="37"/>
    </row>
    <row r="814" spans="1:41">
      <c r="A814" s="37"/>
      <c r="B814" s="37"/>
      <c r="C814" s="37"/>
      <c r="D814" s="37"/>
      <c r="E814" s="37"/>
      <c r="F814" s="37"/>
      <c r="G814" s="37"/>
      <c r="H814" s="40"/>
      <c r="I814" s="40"/>
      <c r="J814" s="40"/>
      <c r="K814" s="37"/>
      <c r="L814" s="37"/>
      <c r="M814" s="37"/>
      <c r="N814" s="37"/>
      <c r="O814" s="37"/>
      <c r="P814" s="37"/>
      <c r="Q814" s="37"/>
      <c r="R814" s="37"/>
      <c r="S814" s="37"/>
      <c r="T814" s="37"/>
      <c r="U814" s="37"/>
      <c r="V814" s="37"/>
      <c r="W814" s="37"/>
      <c r="X814" s="37"/>
      <c r="Y814" s="37"/>
      <c r="Z814" s="37"/>
      <c r="AA814" s="37"/>
      <c r="AB814" s="37"/>
      <c r="AC814" s="37"/>
      <c r="AD814" s="37"/>
      <c r="AE814" s="37"/>
      <c r="AF814" s="37"/>
      <c r="AG814" s="37"/>
      <c r="AH814" s="37"/>
      <c r="AI814" s="37"/>
      <c r="AJ814" s="37"/>
      <c r="AK814" s="39"/>
      <c r="AL814" s="37"/>
      <c r="AM814" s="37"/>
      <c r="AN814" s="37"/>
      <c r="AO814" s="37"/>
    </row>
    <row r="815" spans="1:41">
      <c r="A815" s="37"/>
      <c r="B815" s="37"/>
      <c r="C815" s="37"/>
      <c r="D815" s="37"/>
      <c r="E815" s="37"/>
      <c r="F815" s="37"/>
      <c r="G815" s="37"/>
      <c r="H815" s="40"/>
      <c r="I815" s="40"/>
      <c r="J815" s="40"/>
      <c r="K815" s="37"/>
      <c r="L815" s="37"/>
      <c r="M815" s="37"/>
      <c r="N815" s="37"/>
      <c r="O815" s="37"/>
      <c r="P815" s="37"/>
      <c r="Q815" s="37"/>
      <c r="R815" s="37"/>
      <c r="S815" s="37"/>
      <c r="T815" s="37"/>
      <c r="U815" s="37"/>
      <c r="V815" s="37"/>
      <c r="W815" s="37"/>
      <c r="X815" s="37"/>
      <c r="Y815" s="37"/>
      <c r="Z815" s="37"/>
      <c r="AA815" s="37"/>
      <c r="AB815" s="37"/>
      <c r="AC815" s="37"/>
      <c r="AD815" s="37"/>
      <c r="AE815" s="37"/>
      <c r="AF815" s="37"/>
      <c r="AG815" s="37"/>
      <c r="AH815" s="37"/>
      <c r="AI815" s="37"/>
      <c r="AJ815" s="37"/>
      <c r="AK815" s="39"/>
      <c r="AL815" s="37"/>
      <c r="AM815" s="37"/>
      <c r="AN815" s="37"/>
      <c r="AO815" s="37"/>
    </row>
    <row r="816" spans="1:41">
      <c r="A816" s="37"/>
      <c r="B816" s="37"/>
      <c r="C816" s="37"/>
      <c r="D816" s="37"/>
      <c r="E816" s="37"/>
      <c r="F816" s="37"/>
      <c r="G816" s="37"/>
      <c r="H816" s="40"/>
      <c r="I816" s="40"/>
      <c r="J816" s="40"/>
      <c r="K816" s="37"/>
      <c r="L816" s="37"/>
      <c r="M816" s="37"/>
      <c r="N816" s="37"/>
      <c r="O816" s="37"/>
      <c r="P816" s="37"/>
      <c r="Q816" s="37"/>
      <c r="R816" s="37"/>
      <c r="S816" s="37"/>
      <c r="T816" s="37"/>
      <c r="U816" s="37"/>
      <c r="V816" s="37"/>
      <c r="W816" s="37"/>
      <c r="X816" s="37"/>
      <c r="Y816" s="37"/>
      <c r="Z816" s="37"/>
      <c r="AA816" s="37"/>
      <c r="AB816" s="37"/>
      <c r="AC816" s="37"/>
      <c r="AD816" s="37"/>
      <c r="AE816" s="37"/>
      <c r="AF816" s="37"/>
      <c r="AG816" s="37"/>
      <c r="AH816" s="37"/>
      <c r="AI816" s="37"/>
      <c r="AJ816" s="37"/>
      <c r="AK816" s="39"/>
      <c r="AL816" s="37"/>
      <c r="AM816" s="37"/>
      <c r="AN816" s="37"/>
      <c r="AO816" s="37"/>
    </row>
    <row r="817" spans="1:41">
      <c r="A817" s="37"/>
      <c r="B817" s="37"/>
      <c r="C817" s="37"/>
      <c r="D817" s="37"/>
      <c r="E817" s="37"/>
      <c r="F817" s="37"/>
      <c r="G817" s="37"/>
      <c r="H817" s="40"/>
      <c r="I817" s="40"/>
      <c r="J817" s="40"/>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s="39"/>
      <c r="AL817" s="37"/>
      <c r="AM817" s="37"/>
      <c r="AN817" s="37"/>
      <c r="AO817" s="37"/>
    </row>
    <row r="818" spans="1:41">
      <c r="A818" s="37"/>
      <c r="B818" s="37"/>
      <c r="C818" s="37"/>
      <c r="D818" s="37"/>
      <c r="E818" s="37"/>
      <c r="F818" s="37"/>
      <c r="G818" s="37"/>
      <c r="H818" s="40"/>
      <c r="I818" s="40"/>
      <c r="J818" s="40"/>
      <c r="K818" s="37"/>
      <c r="L818" s="37"/>
      <c r="M818" s="37"/>
      <c r="N818" s="37"/>
      <c r="O818" s="37"/>
      <c r="P818" s="37"/>
      <c r="Q818" s="37"/>
      <c r="R818" s="37"/>
      <c r="S818" s="37"/>
      <c r="T818" s="37"/>
      <c r="U818" s="37"/>
      <c r="V818" s="37"/>
      <c r="W818" s="37"/>
      <c r="X818" s="37"/>
      <c r="Y818" s="37"/>
      <c r="Z818" s="37"/>
      <c r="AA818" s="37"/>
      <c r="AB818" s="37"/>
      <c r="AC818" s="37"/>
      <c r="AD818" s="37"/>
      <c r="AE818" s="37"/>
      <c r="AF818" s="37"/>
      <c r="AG818" s="37"/>
      <c r="AH818" s="37"/>
      <c r="AI818" s="37"/>
      <c r="AJ818" s="37"/>
      <c r="AK818" s="39"/>
      <c r="AL818" s="37"/>
      <c r="AM818" s="37"/>
      <c r="AN818" s="37"/>
      <c r="AO818" s="37"/>
    </row>
    <row r="819" spans="1:41">
      <c r="A819" s="37"/>
      <c r="B819" s="37"/>
      <c r="C819" s="37"/>
      <c r="D819" s="37"/>
      <c r="E819" s="37"/>
      <c r="F819" s="37"/>
      <c r="G819" s="37"/>
      <c r="H819" s="40"/>
      <c r="I819" s="40"/>
      <c r="J819" s="40"/>
      <c r="K819" s="37"/>
      <c r="L819" s="37"/>
      <c r="M819" s="37"/>
      <c r="N819" s="37"/>
      <c r="O819" s="37"/>
      <c r="P819" s="37"/>
      <c r="Q819" s="37"/>
      <c r="R819" s="37"/>
      <c r="S819" s="37"/>
      <c r="T819" s="37"/>
      <c r="U819" s="37"/>
      <c r="V819" s="37"/>
      <c r="W819" s="37"/>
      <c r="X819" s="37"/>
      <c r="Y819" s="37"/>
      <c r="Z819" s="37"/>
      <c r="AA819" s="37"/>
      <c r="AB819" s="37"/>
      <c r="AC819" s="37"/>
      <c r="AD819" s="37"/>
      <c r="AE819" s="37"/>
      <c r="AF819" s="37"/>
      <c r="AG819" s="37"/>
      <c r="AH819" s="37"/>
      <c r="AI819" s="37"/>
      <c r="AJ819" s="37"/>
      <c r="AK819" s="39"/>
      <c r="AL819" s="37"/>
      <c r="AM819" s="37"/>
      <c r="AN819" s="37"/>
      <c r="AO819" s="37"/>
    </row>
    <row r="820" spans="1:41">
      <c r="A820" s="37"/>
      <c r="B820" s="37"/>
      <c r="C820" s="37"/>
      <c r="D820" s="37"/>
      <c r="E820" s="37"/>
      <c r="F820" s="37"/>
      <c r="G820" s="37"/>
      <c r="H820" s="40"/>
      <c r="I820" s="40"/>
      <c r="J820" s="40"/>
      <c r="K820" s="37"/>
      <c r="L820" s="37"/>
      <c r="M820" s="37"/>
      <c r="N820" s="37"/>
      <c r="O820" s="37"/>
      <c r="P820" s="37"/>
      <c r="Q820" s="37"/>
      <c r="R820" s="37"/>
      <c r="S820" s="37"/>
      <c r="T820" s="37"/>
      <c r="U820" s="37"/>
      <c r="V820" s="37"/>
      <c r="W820" s="37"/>
      <c r="X820" s="37"/>
      <c r="Y820" s="37"/>
      <c r="Z820" s="37"/>
      <c r="AA820" s="37"/>
      <c r="AB820" s="37"/>
      <c r="AC820" s="37"/>
      <c r="AD820" s="37"/>
      <c r="AE820" s="37"/>
      <c r="AF820" s="37"/>
      <c r="AG820" s="37"/>
      <c r="AH820" s="37"/>
      <c r="AI820" s="37"/>
      <c r="AJ820" s="37"/>
      <c r="AK820" s="39"/>
      <c r="AL820" s="37"/>
      <c r="AM820" s="37"/>
      <c r="AN820" s="37"/>
      <c r="AO820" s="37"/>
    </row>
    <row r="821" spans="1:41">
      <c r="A821" s="37"/>
      <c r="B821" s="37"/>
      <c r="C821" s="37"/>
      <c r="D821" s="37"/>
      <c r="E821" s="37"/>
      <c r="F821" s="37"/>
      <c r="G821" s="37"/>
      <c r="H821" s="40"/>
      <c r="I821" s="40"/>
      <c r="J821" s="40"/>
      <c r="K821" s="37"/>
      <c r="L821" s="37"/>
      <c r="M821" s="37"/>
      <c r="N821" s="37"/>
      <c r="O821" s="37"/>
      <c r="P821" s="37"/>
      <c r="Q821" s="37"/>
      <c r="R821" s="37"/>
      <c r="S821" s="37"/>
      <c r="T821" s="37"/>
      <c r="U821" s="37"/>
      <c r="V821" s="37"/>
      <c r="W821" s="37"/>
      <c r="X821" s="37"/>
      <c r="Y821" s="37"/>
      <c r="Z821" s="37"/>
      <c r="AA821" s="37"/>
      <c r="AB821" s="37"/>
      <c r="AC821" s="37"/>
      <c r="AD821" s="37"/>
      <c r="AE821" s="37"/>
      <c r="AF821" s="37"/>
      <c r="AG821" s="37"/>
      <c r="AH821" s="37"/>
      <c r="AI821" s="37"/>
      <c r="AJ821" s="37"/>
      <c r="AK821" s="39"/>
      <c r="AL821" s="37"/>
      <c r="AM821" s="37"/>
      <c r="AN821" s="37"/>
      <c r="AO821" s="37"/>
    </row>
    <row r="822" spans="1:41">
      <c r="A822" s="37"/>
      <c r="B822" s="37"/>
      <c r="C822" s="37"/>
      <c r="D822" s="37"/>
      <c r="E822" s="37"/>
      <c r="F822" s="37"/>
      <c r="G822" s="37"/>
      <c r="H822" s="40"/>
      <c r="I822" s="40"/>
      <c r="J822" s="40"/>
      <c r="K822" s="37"/>
      <c r="L822" s="37"/>
      <c r="M822" s="37"/>
      <c r="N822" s="37"/>
      <c r="O822" s="37"/>
      <c r="P822" s="37"/>
      <c r="Q822" s="37"/>
      <c r="R822" s="37"/>
      <c r="S822" s="37"/>
      <c r="T822" s="37"/>
      <c r="U822" s="37"/>
      <c r="V822" s="37"/>
      <c r="W822" s="37"/>
      <c r="X822" s="37"/>
      <c r="Y822" s="37"/>
      <c r="Z822" s="37"/>
      <c r="AA822" s="37"/>
      <c r="AB822" s="37"/>
      <c r="AC822" s="37"/>
      <c r="AD822" s="37"/>
      <c r="AE822" s="37"/>
      <c r="AF822" s="37"/>
      <c r="AG822" s="37"/>
      <c r="AH822" s="37"/>
      <c r="AI822" s="37"/>
      <c r="AJ822" s="37"/>
      <c r="AK822" s="39"/>
      <c r="AL822" s="37"/>
      <c r="AM822" s="37"/>
      <c r="AN822" s="37"/>
      <c r="AO822" s="37"/>
    </row>
    <row r="823" spans="1:41">
      <c r="A823" s="37"/>
      <c r="B823" s="37"/>
      <c r="C823" s="37"/>
      <c r="D823" s="37"/>
      <c r="E823" s="37"/>
      <c r="F823" s="37"/>
      <c r="G823" s="37"/>
      <c r="H823" s="40"/>
      <c r="I823" s="40"/>
      <c r="J823" s="40"/>
      <c r="K823" s="37"/>
      <c r="L823" s="37"/>
      <c r="M823" s="37"/>
      <c r="N823" s="37"/>
      <c r="O823" s="37"/>
      <c r="P823" s="37"/>
      <c r="Q823" s="37"/>
      <c r="R823" s="37"/>
      <c r="S823" s="37"/>
      <c r="T823" s="37"/>
      <c r="U823" s="37"/>
      <c r="V823" s="37"/>
      <c r="W823" s="37"/>
      <c r="X823" s="37"/>
      <c r="Y823" s="37"/>
      <c r="Z823" s="37"/>
      <c r="AA823" s="37"/>
      <c r="AB823" s="37"/>
      <c r="AC823" s="37"/>
      <c r="AD823" s="37"/>
      <c r="AE823" s="37"/>
      <c r="AF823" s="37"/>
      <c r="AG823" s="37"/>
      <c r="AH823" s="37"/>
      <c r="AI823" s="37"/>
      <c r="AJ823" s="37"/>
      <c r="AK823" s="39"/>
      <c r="AL823" s="37"/>
      <c r="AM823" s="37"/>
      <c r="AN823" s="37"/>
      <c r="AO823" s="37"/>
    </row>
    <row r="824" spans="1:41">
      <c r="A824" s="37"/>
      <c r="B824" s="37"/>
      <c r="C824" s="37"/>
      <c r="D824" s="37"/>
      <c r="E824" s="37"/>
      <c r="F824" s="37"/>
      <c r="G824" s="37"/>
      <c r="H824" s="40"/>
      <c r="I824" s="40"/>
      <c r="J824" s="40"/>
      <c r="K824" s="37"/>
      <c r="L824" s="37"/>
      <c r="M824" s="37"/>
      <c r="N824" s="37"/>
      <c r="O824" s="37"/>
      <c r="P824" s="37"/>
      <c r="Q824" s="37"/>
      <c r="R824" s="37"/>
      <c r="S824" s="37"/>
      <c r="T824" s="37"/>
      <c r="U824" s="37"/>
      <c r="V824" s="37"/>
      <c r="W824" s="37"/>
      <c r="X824" s="37"/>
      <c r="Y824" s="37"/>
      <c r="Z824" s="37"/>
      <c r="AA824" s="37"/>
      <c r="AB824" s="37"/>
      <c r="AC824" s="37"/>
      <c r="AD824" s="37"/>
      <c r="AE824" s="37"/>
      <c r="AF824" s="37"/>
      <c r="AG824" s="37"/>
      <c r="AH824" s="37"/>
      <c r="AI824" s="37"/>
      <c r="AJ824" s="37"/>
      <c r="AK824" s="39"/>
      <c r="AL824" s="37"/>
      <c r="AM824" s="37"/>
      <c r="AN824" s="37"/>
      <c r="AO824" s="37"/>
    </row>
    <row r="825" spans="1:41">
      <c r="A825" s="37"/>
      <c r="B825" s="37"/>
      <c r="C825" s="37"/>
      <c r="D825" s="37"/>
      <c r="E825" s="37"/>
      <c r="F825" s="37"/>
      <c r="G825" s="37"/>
      <c r="H825" s="40"/>
      <c r="I825" s="40"/>
      <c r="J825" s="40"/>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s="39"/>
      <c r="AL825" s="37"/>
      <c r="AM825" s="37"/>
      <c r="AN825" s="37"/>
      <c r="AO825" s="37"/>
    </row>
    <row r="826" spans="1:41">
      <c r="A826" s="37"/>
      <c r="B826" s="37"/>
      <c r="C826" s="37"/>
      <c r="D826" s="37"/>
      <c r="E826" s="37"/>
      <c r="F826" s="37"/>
      <c r="G826" s="37"/>
      <c r="H826" s="40"/>
      <c r="I826" s="40"/>
      <c r="J826" s="40"/>
      <c r="K826" s="37"/>
      <c r="L826" s="37"/>
      <c r="M826" s="37"/>
      <c r="N826" s="37"/>
      <c r="O826" s="37"/>
      <c r="P826" s="37"/>
      <c r="Q826" s="37"/>
      <c r="R826" s="37"/>
      <c r="S826" s="37"/>
      <c r="T826" s="37"/>
      <c r="U826" s="37"/>
      <c r="V826" s="37"/>
      <c r="W826" s="37"/>
      <c r="X826" s="37"/>
      <c r="Y826" s="37"/>
      <c r="Z826" s="37"/>
      <c r="AA826" s="37"/>
      <c r="AB826" s="37"/>
      <c r="AC826" s="37"/>
      <c r="AD826" s="37"/>
      <c r="AE826" s="37"/>
      <c r="AF826" s="37"/>
      <c r="AG826" s="37"/>
      <c r="AH826" s="37"/>
      <c r="AI826" s="37"/>
      <c r="AJ826" s="37"/>
      <c r="AK826" s="39"/>
      <c r="AL826" s="37"/>
      <c r="AM826" s="37"/>
      <c r="AN826" s="37"/>
      <c r="AO826" s="37"/>
    </row>
    <row r="827" spans="1:41">
      <c r="A827" s="37"/>
      <c r="B827" s="37"/>
      <c r="C827" s="37"/>
      <c r="D827" s="37"/>
      <c r="E827" s="37"/>
      <c r="F827" s="37"/>
      <c r="G827" s="37"/>
      <c r="H827" s="40"/>
      <c r="I827" s="40"/>
      <c r="J827" s="40"/>
      <c r="K827" s="37"/>
      <c r="L827" s="37"/>
      <c r="M827" s="37"/>
      <c r="N827" s="37"/>
      <c r="O827" s="37"/>
      <c r="P827" s="37"/>
      <c r="Q827" s="37"/>
      <c r="R827" s="37"/>
      <c r="S827" s="37"/>
      <c r="T827" s="37"/>
      <c r="U827" s="37"/>
      <c r="V827" s="37"/>
      <c r="W827" s="37"/>
      <c r="X827" s="37"/>
      <c r="Y827" s="37"/>
      <c r="Z827" s="37"/>
      <c r="AA827" s="37"/>
      <c r="AB827" s="37"/>
      <c r="AC827" s="37"/>
      <c r="AD827" s="37"/>
      <c r="AE827" s="37"/>
      <c r="AF827" s="37"/>
      <c r="AG827" s="37"/>
      <c r="AH827" s="37"/>
      <c r="AI827" s="37"/>
      <c r="AJ827" s="37"/>
      <c r="AK827" s="39"/>
      <c r="AL827" s="37"/>
      <c r="AM827" s="37"/>
      <c r="AN827" s="37"/>
      <c r="AO827" s="37"/>
    </row>
    <row r="828" spans="1:41">
      <c r="A828" s="37"/>
      <c r="B828" s="37"/>
      <c r="C828" s="37"/>
      <c r="D828" s="37"/>
      <c r="E828" s="37"/>
      <c r="F828" s="37"/>
      <c r="G828" s="37"/>
      <c r="H828" s="40"/>
      <c r="I828" s="40"/>
      <c r="J828" s="40"/>
      <c r="K828" s="37"/>
      <c r="L828" s="37"/>
      <c r="M828" s="37"/>
      <c r="N828" s="37"/>
      <c r="O828" s="37"/>
      <c r="P828" s="37"/>
      <c r="Q828" s="37"/>
      <c r="R828" s="37"/>
      <c r="S828" s="37"/>
      <c r="T828" s="37"/>
      <c r="U828" s="37"/>
      <c r="V828" s="37"/>
      <c r="W828" s="37"/>
      <c r="X828" s="37"/>
      <c r="Y828" s="37"/>
      <c r="Z828" s="37"/>
      <c r="AA828" s="37"/>
      <c r="AB828" s="37"/>
      <c r="AC828" s="37"/>
      <c r="AD828" s="37"/>
      <c r="AE828" s="37"/>
      <c r="AF828" s="37"/>
      <c r="AG828" s="37"/>
      <c r="AH828" s="37"/>
      <c r="AI828" s="37"/>
      <c r="AJ828" s="37"/>
      <c r="AK828" s="39"/>
      <c r="AL828" s="37"/>
      <c r="AM828" s="37"/>
      <c r="AN828" s="37"/>
      <c r="AO828" s="37"/>
    </row>
    <row r="829" spans="1:41">
      <c r="A829" s="37"/>
      <c r="B829" s="37"/>
      <c r="C829" s="37"/>
      <c r="D829" s="37"/>
      <c r="E829" s="37"/>
      <c r="F829" s="37"/>
      <c r="G829" s="37"/>
      <c r="H829" s="40"/>
      <c r="I829" s="40"/>
      <c r="J829" s="40"/>
      <c r="K829" s="37"/>
      <c r="L829" s="37"/>
      <c r="M829" s="37"/>
      <c r="N829" s="37"/>
      <c r="O829" s="37"/>
      <c r="P829" s="37"/>
      <c r="Q829" s="37"/>
      <c r="R829" s="37"/>
      <c r="S829" s="37"/>
      <c r="T829" s="37"/>
      <c r="U829" s="37"/>
      <c r="V829" s="37"/>
      <c r="W829" s="37"/>
      <c r="X829" s="37"/>
      <c r="Y829" s="37"/>
      <c r="Z829" s="37"/>
      <c r="AA829" s="37"/>
      <c r="AB829" s="37"/>
      <c r="AC829" s="37"/>
      <c r="AD829" s="37"/>
      <c r="AE829" s="37"/>
      <c r="AF829" s="37"/>
      <c r="AG829" s="37"/>
      <c r="AH829" s="37"/>
      <c r="AI829" s="37"/>
      <c r="AJ829" s="37"/>
      <c r="AK829" s="39"/>
      <c r="AL829" s="37"/>
      <c r="AM829" s="37"/>
      <c r="AN829" s="37"/>
      <c r="AO829" s="37"/>
    </row>
    <row r="830" spans="1:41">
      <c r="A830" s="37"/>
      <c r="B830" s="37"/>
      <c r="C830" s="37"/>
      <c r="D830" s="37"/>
      <c r="E830" s="37"/>
      <c r="F830" s="37"/>
      <c r="G830" s="37"/>
      <c r="H830" s="40"/>
      <c r="I830" s="40"/>
      <c r="J830" s="40"/>
      <c r="K830" s="37"/>
      <c r="L830" s="37"/>
      <c r="M830" s="37"/>
      <c r="N830" s="37"/>
      <c r="O830" s="37"/>
      <c r="P830" s="37"/>
      <c r="Q830" s="37"/>
      <c r="R830" s="37"/>
      <c r="S830" s="37"/>
      <c r="T830" s="37"/>
      <c r="U830" s="37"/>
      <c r="V830" s="37"/>
      <c r="W830" s="37"/>
      <c r="X830" s="37"/>
      <c r="Y830" s="37"/>
      <c r="Z830" s="37"/>
      <c r="AA830" s="37"/>
      <c r="AB830" s="37"/>
      <c r="AC830" s="37"/>
      <c r="AD830" s="37"/>
      <c r="AE830" s="37"/>
      <c r="AF830" s="37"/>
      <c r="AG830" s="37"/>
      <c r="AH830" s="37"/>
      <c r="AI830" s="37"/>
      <c r="AJ830" s="37"/>
      <c r="AK830" s="39"/>
      <c r="AL830" s="37"/>
      <c r="AM830" s="37"/>
      <c r="AN830" s="37"/>
      <c r="AO830" s="37"/>
    </row>
    <row r="831" spans="1:41">
      <c r="A831" s="37"/>
      <c r="B831" s="37"/>
      <c r="C831" s="37"/>
      <c r="D831" s="37"/>
      <c r="E831" s="37"/>
      <c r="F831" s="37"/>
      <c r="G831" s="37"/>
      <c r="H831" s="40"/>
      <c r="I831" s="40"/>
      <c r="J831" s="40"/>
      <c r="K831" s="37"/>
      <c r="L831" s="37"/>
      <c r="M831" s="37"/>
      <c r="N831" s="37"/>
      <c r="O831" s="37"/>
      <c r="P831" s="37"/>
      <c r="Q831" s="37"/>
      <c r="R831" s="37"/>
      <c r="S831" s="37"/>
      <c r="T831" s="37"/>
      <c r="U831" s="37"/>
      <c r="V831" s="37"/>
      <c r="W831" s="37"/>
      <c r="X831" s="37"/>
      <c r="Y831" s="37"/>
      <c r="Z831" s="37"/>
      <c r="AA831" s="37"/>
      <c r="AB831" s="37"/>
      <c r="AC831" s="37"/>
      <c r="AD831" s="37"/>
      <c r="AE831" s="37"/>
      <c r="AF831" s="37"/>
      <c r="AG831" s="37"/>
      <c r="AH831" s="37"/>
      <c r="AI831" s="37"/>
      <c r="AJ831" s="37"/>
      <c r="AK831" s="39"/>
      <c r="AL831" s="37"/>
      <c r="AM831" s="37"/>
      <c r="AN831" s="37"/>
      <c r="AO831" s="37"/>
    </row>
    <row r="832" spans="1:41">
      <c r="A832" s="37"/>
      <c r="B832" s="37"/>
      <c r="C832" s="37"/>
      <c r="D832" s="37"/>
      <c r="E832" s="37"/>
      <c r="F832" s="37"/>
      <c r="G832" s="37"/>
      <c r="H832" s="40"/>
      <c r="I832" s="40"/>
      <c r="J832" s="40"/>
      <c r="K832" s="37"/>
      <c r="L832" s="37"/>
      <c r="M832" s="37"/>
      <c r="N832" s="37"/>
      <c r="O832" s="37"/>
      <c r="P832" s="37"/>
      <c r="Q832" s="37"/>
      <c r="R832" s="37"/>
      <c r="S832" s="37"/>
      <c r="T832" s="37"/>
      <c r="U832" s="37"/>
      <c r="V832" s="37"/>
      <c r="W832" s="37"/>
      <c r="X832" s="37"/>
      <c r="Y832" s="37"/>
      <c r="Z832" s="37"/>
      <c r="AA832" s="37"/>
      <c r="AB832" s="37"/>
      <c r="AC832" s="37"/>
      <c r="AD832" s="37"/>
      <c r="AE832" s="37"/>
      <c r="AF832" s="37"/>
      <c r="AG832" s="37"/>
      <c r="AH832" s="37"/>
      <c r="AI832" s="37"/>
      <c r="AJ832" s="37"/>
      <c r="AK832" s="39"/>
      <c r="AL832" s="37"/>
      <c r="AM832" s="37"/>
      <c r="AN832" s="37"/>
      <c r="AO832" s="37"/>
    </row>
    <row r="833" spans="1:41">
      <c r="A833" s="37"/>
      <c r="B833" s="37"/>
      <c r="C833" s="37"/>
      <c r="D833" s="37"/>
      <c r="E833" s="37"/>
      <c r="F833" s="37"/>
      <c r="G833" s="37"/>
      <c r="H833" s="40"/>
      <c r="I833" s="40"/>
      <c r="J833" s="40"/>
      <c r="K833" s="37"/>
      <c r="L833" s="37"/>
      <c r="M833" s="37"/>
      <c r="N833" s="37"/>
      <c r="O833" s="37"/>
      <c r="P833" s="37"/>
      <c r="Q833" s="37"/>
      <c r="R833" s="37"/>
      <c r="S833" s="37"/>
      <c r="T833" s="37"/>
      <c r="U833" s="37"/>
      <c r="V833" s="37"/>
      <c r="W833" s="37"/>
      <c r="X833" s="37"/>
      <c r="Y833" s="37"/>
      <c r="Z833" s="37"/>
      <c r="AA833" s="37"/>
      <c r="AB833" s="37"/>
      <c r="AC833" s="37"/>
      <c r="AD833" s="37"/>
      <c r="AE833" s="37"/>
      <c r="AF833" s="37"/>
      <c r="AG833" s="37"/>
      <c r="AH833" s="37"/>
      <c r="AI833" s="37"/>
      <c r="AJ833" s="37"/>
      <c r="AK833" s="39"/>
      <c r="AL833" s="37"/>
      <c r="AM833" s="37"/>
      <c r="AN833" s="37"/>
      <c r="AO833" s="37"/>
    </row>
    <row r="834" spans="1:41">
      <c r="A834" s="37"/>
      <c r="B834" s="37"/>
      <c r="C834" s="37"/>
      <c r="D834" s="37"/>
      <c r="E834" s="37"/>
      <c r="F834" s="37"/>
      <c r="G834" s="37"/>
      <c r="H834" s="40"/>
      <c r="I834" s="40"/>
      <c r="J834" s="40"/>
      <c r="K834" s="37"/>
      <c r="L834" s="37"/>
      <c r="M834" s="37"/>
      <c r="N834" s="37"/>
      <c r="O834" s="37"/>
      <c r="P834" s="37"/>
      <c r="Q834" s="37"/>
      <c r="R834" s="37"/>
      <c r="S834" s="37"/>
      <c r="T834" s="37"/>
      <c r="U834" s="37"/>
      <c r="V834" s="37"/>
      <c r="W834" s="37"/>
      <c r="X834" s="37"/>
      <c r="Y834" s="37"/>
      <c r="Z834" s="37"/>
      <c r="AA834" s="37"/>
      <c r="AB834" s="37"/>
      <c r="AC834" s="37"/>
      <c r="AD834" s="37"/>
      <c r="AE834" s="37"/>
      <c r="AF834" s="37"/>
      <c r="AG834" s="37"/>
      <c r="AH834" s="37"/>
      <c r="AI834" s="37"/>
      <c r="AJ834" s="37"/>
      <c r="AK834" s="39"/>
      <c r="AL834" s="37"/>
      <c r="AM834" s="37"/>
      <c r="AN834" s="37"/>
      <c r="AO834" s="37"/>
    </row>
    <row r="835" spans="1:41">
      <c r="A835" s="37"/>
      <c r="B835" s="37"/>
      <c r="C835" s="37"/>
      <c r="D835" s="37"/>
      <c r="E835" s="37"/>
      <c r="F835" s="37"/>
      <c r="G835" s="37"/>
      <c r="H835" s="40"/>
      <c r="I835" s="40"/>
      <c r="J835" s="40"/>
      <c r="K835" s="37"/>
      <c r="L835" s="37"/>
      <c r="M835" s="37"/>
      <c r="N835" s="37"/>
      <c r="O835" s="37"/>
      <c r="P835" s="37"/>
      <c r="Q835" s="37"/>
      <c r="R835" s="37"/>
      <c r="S835" s="37"/>
      <c r="T835" s="37"/>
      <c r="U835" s="37"/>
      <c r="V835" s="37"/>
      <c r="W835" s="37"/>
      <c r="X835" s="37"/>
      <c r="Y835" s="37"/>
      <c r="Z835" s="37"/>
      <c r="AA835" s="37"/>
      <c r="AB835" s="37"/>
      <c r="AC835" s="37"/>
      <c r="AD835" s="37"/>
      <c r="AE835" s="37"/>
      <c r="AF835" s="37"/>
      <c r="AG835" s="37"/>
      <c r="AH835" s="37"/>
      <c r="AI835" s="37"/>
      <c r="AJ835" s="37"/>
      <c r="AK835" s="39"/>
      <c r="AL835" s="37"/>
      <c r="AM835" s="37"/>
      <c r="AN835" s="37"/>
      <c r="AO835" s="37"/>
    </row>
    <row r="836" spans="1:41">
      <c r="A836" s="37"/>
      <c r="B836" s="37"/>
      <c r="C836" s="37"/>
      <c r="D836" s="37"/>
      <c r="E836" s="37"/>
      <c r="F836" s="37"/>
      <c r="G836" s="37"/>
      <c r="H836" s="40"/>
      <c r="I836" s="40"/>
      <c r="J836" s="40"/>
      <c r="K836" s="37"/>
      <c r="L836" s="37"/>
      <c r="M836" s="37"/>
      <c r="N836" s="37"/>
      <c r="O836" s="37"/>
      <c r="P836" s="37"/>
      <c r="Q836" s="37"/>
      <c r="R836" s="37"/>
      <c r="S836" s="37"/>
      <c r="T836" s="37"/>
      <c r="U836" s="37"/>
      <c r="V836" s="37"/>
      <c r="W836" s="37"/>
      <c r="X836" s="37"/>
      <c r="Y836" s="37"/>
      <c r="Z836" s="37"/>
      <c r="AA836" s="37"/>
      <c r="AB836" s="37"/>
      <c r="AC836" s="37"/>
      <c r="AD836" s="37"/>
      <c r="AE836" s="37"/>
      <c r="AF836" s="37"/>
      <c r="AG836" s="37"/>
      <c r="AH836" s="37"/>
      <c r="AI836" s="37"/>
      <c r="AJ836" s="37"/>
      <c r="AK836" s="39"/>
      <c r="AL836" s="37"/>
      <c r="AM836" s="37"/>
      <c r="AN836" s="37"/>
      <c r="AO836" s="37"/>
    </row>
    <row r="837" spans="1:41">
      <c r="A837" s="37"/>
      <c r="B837" s="37"/>
      <c r="C837" s="37"/>
      <c r="D837" s="37"/>
      <c r="E837" s="37"/>
      <c r="F837" s="37"/>
      <c r="G837" s="37"/>
      <c r="H837" s="40"/>
      <c r="I837" s="40"/>
      <c r="J837" s="40"/>
      <c r="K837" s="37"/>
      <c r="L837" s="37"/>
      <c r="M837" s="37"/>
      <c r="N837" s="37"/>
      <c r="O837" s="37"/>
      <c r="P837" s="37"/>
      <c r="Q837" s="37"/>
      <c r="R837" s="37"/>
      <c r="S837" s="37"/>
      <c r="T837" s="37"/>
      <c r="U837" s="37"/>
      <c r="V837" s="37"/>
      <c r="W837" s="37"/>
      <c r="X837" s="37"/>
      <c r="Y837" s="37"/>
      <c r="Z837" s="37"/>
      <c r="AA837" s="37"/>
      <c r="AB837" s="37"/>
      <c r="AC837" s="37"/>
      <c r="AD837" s="37"/>
      <c r="AE837" s="37"/>
      <c r="AF837" s="37"/>
      <c r="AG837" s="37"/>
      <c r="AH837" s="37"/>
      <c r="AI837" s="37"/>
      <c r="AJ837" s="37"/>
      <c r="AK837" s="39"/>
      <c r="AL837" s="37"/>
      <c r="AM837" s="37"/>
      <c r="AN837" s="37"/>
      <c r="AO837" s="37"/>
    </row>
    <row r="838" spans="1:41">
      <c r="A838" s="37"/>
      <c r="B838" s="37"/>
      <c r="C838" s="37"/>
      <c r="D838" s="37"/>
      <c r="E838" s="37"/>
      <c r="F838" s="37"/>
      <c r="G838" s="37"/>
      <c r="H838" s="40"/>
      <c r="I838" s="40"/>
      <c r="J838" s="40"/>
      <c r="K838" s="37"/>
      <c r="L838" s="37"/>
      <c r="M838" s="37"/>
      <c r="N838" s="37"/>
      <c r="O838" s="37"/>
      <c r="P838" s="37"/>
      <c r="Q838" s="37"/>
      <c r="R838" s="37"/>
      <c r="S838" s="37"/>
      <c r="T838" s="37"/>
      <c r="U838" s="37"/>
      <c r="V838" s="37"/>
      <c r="W838" s="37"/>
      <c r="X838" s="37"/>
      <c r="Y838" s="37"/>
      <c r="Z838" s="37"/>
      <c r="AA838" s="37"/>
      <c r="AB838" s="37"/>
      <c r="AC838" s="37"/>
      <c r="AD838" s="37"/>
      <c r="AE838" s="37"/>
      <c r="AF838" s="37"/>
      <c r="AG838" s="37"/>
      <c r="AH838" s="37"/>
      <c r="AI838" s="37"/>
      <c r="AJ838" s="37"/>
      <c r="AK838" s="39"/>
      <c r="AL838" s="37"/>
      <c r="AM838" s="37"/>
      <c r="AN838" s="37"/>
      <c r="AO838" s="37"/>
    </row>
    <row r="839" spans="1:41">
      <c r="A839" s="37"/>
      <c r="B839" s="37"/>
      <c r="C839" s="37"/>
      <c r="D839" s="37"/>
      <c r="E839" s="37"/>
      <c r="F839" s="37"/>
      <c r="G839" s="37"/>
      <c r="H839" s="40"/>
      <c r="I839" s="40"/>
      <c r="J839" s="40"/>
      <c r="K839" s="37"/>
      <c r="L839" s="37"/>
      <c r="M839" s="37"/>
      <c r="N839" s="37"/>
      <c r="O839" s="37"/>
      <c r="P839" s="37"/>
      <c r="Q839" s="37"/>
      <c r="R839" s="37"/>
      <c r="S839" s="37"/>
      <c r="T839" s="37"/>
      <c r="U839" s="37"/>
      <c r="V839" s="37"/>
      <c r="W839" s="37"/>
      <c r="X839" s="37"/>
      <c r="Y839" s="37"/>
      <c r="Z839" s="37"/>
      <c r="AA839" s="37"/>
      <c r="AB839" s="37"/>
      <c r="AC839" s="37"/>
      <c r="AD839" s="37"/>
      <c r="AE839" s="37"/>
      <c r="AF839" s="37"/>
      <c r="AG839" s="37"/>
      <c r="AH839" s="37"/>
      <c r="AI839" s="37"/>
      <c r="AJ839" s="37"/>
      <c r="AK839" s="39"/>
      <c r="AL839" s="37"/>
      <c r="AM839" s="37"/>
      <c r="AN839" s="37"/>
      <c r="AO839" s="37"/>
    </row>
    <row r="840" spans="1:41">
      <c r="A840" s="37"/>
      <c r="B840" s="37"/>
      <c r="C840" s="37"/>
      <c r="D840" s="37"/>
      <c r="E840" s="37"/>
      <c r="F840" s="37"/>
      <c r="G840" s="37"/>
      <c r="H840" s="40"/>
      <c r="I840" s="40"/>
      <c r="J840" s="40"/>
      <c r="K840" s="37"/>
      <c r="L840" s="37"/>
      <c r="M840" s="37"/>
      <c r="N840" s="37"/>
      <c r="O840" s="37"/>
      <c r="P840" s="37"/>
      <c r="Q840" s="37"/>
      <c r="R840" s="37"/>
      <c r="S840" s="37"/>
      <c r="T840" s="37"/>
      <c r="U840" s="37"/>
      <c r="V840" s="37"/>
      <c r="W840" s="37"/>
      <c r="X840" s="37"/>
      <c r="Y840" s="37"/>
      <c r="Z840" s="37"/>
      <c r="AA840" s="37"/>
      <c r="AB840" s="37"/>
      <c r="AC840" s="37"/>
      <c r="AD840" s="37"/>
      <c r="AE840" s="37"/>
      <c r="AF840" s="37"/>
      <c r="AG840" s="37"/>
      <c r="AH840" s="37"/>
      <c r="AI840" s="37"/>
      <c r="AJ840" s="37"/>
      <c r="AK840" s="39"/>
      <c r="AL840" s="37"/>
      <c r="AM840" s="37"/>
      <c r="AN840" s="37"/>
      <c r="AO840" s="37"/>
    </row>
    <row r="841" spans="1:41">
      <c r="A841" s="37"/>
      <c r="B841" s="37"/>
      <c r="C841" s="37"/>
      <c r="D841" s="37"/>
      <c r="E841" s="37"/>
      <c r="F841" s="37"/>
      <c r="G841" s="37"/>
      <c r="H841" s="40"/>
      <c r="I841" s="40"/>
      <c r="J841" s="40"/>
      <c r="K841" s="37"/>
      <c r="L841" s="37"/>
      <c r="M841" s="37"/>
      <c r="N841" s="37"/>
      <c r="O841" s="37"/>
      <c r="P841" s="37"/>
      <c r="Q841" s="37"/>
      <c r="R841" s="37"/>
      <c r="S841" s="37"/>
      <c r="T841" s="37"/>
      <c r="U841" s="37"/>
      <c r="V841" s="37"/>
      <c r="W841" s="37"/>
      <c r="X841" s="37"/>
      <c r="Y841" s="37"/>
      <c r="Z841" s="37"/>
      <c r="AA841" s="37"/>
      <c r="AB841" s="37"/>
      <c r="AC841" s="37"/>
      <c r="AD841" s="37"/>
      <c r="AE841" s="37"/>
      <c r="AF841" s="37"/>
      <c r="AG841" s="37"/>
      <c r="AH841" s="37"/>
      <c r="AI841" s="37"/>
      <c r="AJ841" s="37"/>
      <c r="AK841" s="39"/>
      <c r="AL841" s="37"/>
      <c r="AM841" s="37"/>
      <c r="AN841" s="37"/>
      <c r="AO841" s="37"/>
    </row>
    <row r="842" spans="1:41">
      <c r="A842" s="37"/>
      <c r="B842" s="37"/>
      <c r="C842" s="37"/>
      <c r="D842" s="37"/>
      <c r="E842" s="37"/>
      <c r="F842" s="37"/>
      <c r="G842" s="37"/>
      <c r="H842" s="40"/>
      <c r="I842" s="40"/>
      <c r="J842" s="40"/>
      <c r="K842" s="37"/>
      <c r="L842" s="37"/>
      <c r="M842" s="37"/>
      <c r="N842" s="37"/>
      <c r="O842" s="37"/>
      <c r="P842" s="37"/>
      <c r="Q842" s="37"/>
      <c r="R842" s="37"/>
      <c r="S842" s="37"/>
      <c r="T842" s="37"/>
      <c r="U842" s="37"/>
      <c r="V842" s="37"/>
      <c r="W842" s="37"/>
      <c r="X842" s="37"/>
      <c r="Y842" s="37"/>
      <c r="Z842" s="37"/>
      <c r="AA842" s="37"/>
      <c r="AB842" s="37"/>
      <c r="AC842" s="37"/>
      <c r="AD842" s="37"/>
      <c r="AE842" s="37"/>
      <c r="AF842" s="37"/>
      <c r="AG842" s="37"/>
      <c r="AH842" s="37"/>
      <c r="AI842" s="37"/>
      <c r="AJ842" s="37"/>
      <c r="AK842" s="39"/>
      <c r="AL842" s="37"/>
      <c r="AM842" s="37"/>
      <c r="AN842" s="37"/>
      <c r="AO842" s="37"/>
    </row>
    <row r="843" spans="1:41">
      <c r="A843" s="37"/>
      <c r="B843" s="37"/>
      <c r="C843" s="37"/>
      <c r="D843" s="37"/>
      <c r="E843" s="37"/>
      <c r="F843" s="37"/>
      <c r="G843" s="37"/>
      <c r="H843" s="40"/>
      <c r="I843" s="40"/>
      <c r="J843" s="40"/>
      <c r="K843" s="37"/>
      <c r="L843" s="37"/>
      <c r="M843" s="37"/>
      <c r="N843" s="37"/>
      <c r="O843" s="37"/>
      <c r="P843" s="37"/>
      <c r="Q843" s="37"/>
      <c r="R843" s="37"/>
      <c r="S843" s="37"/>
      <c r="T843" s="37"/>
      <c r="U843" s="37"/>
      <c r="V843" s="37"/>
      <c r="W843" s="37"/>
      <c r="X843" s="37"/>
      <c r="Y843" s="37"/>
      <c r="Z843" s="37"/>
      <c r="AA843" s="37"/>
      <c r="AB843" s="37"/>
      <c r="AC843" s="37"/>
      <c r="AD843" s="37"/>
      <c r="AE843" s="37"/>
      <c r="AF843" s="37"/>
      <c r="AG843" s="37"/>
      <c r="AH843" s="37"/>
      <c r="AI843" s="37"/>
      <c r="AJ843" s="37"/>
      <c r="AK843" s="39"/>
      <c r="AL843" s="37"/>
      <c r="AM843" s="37"/>
      <c r="AN843" s="37"/>
      <c r="AO843" s="37"/>
    </row>
    <row r="844" spans="1:41">
      <c r="A844" s="37"/>
      <c r="B844" s="37"/>
      <c r="C844" s="37"/>
      <c r="D844" s="37"/>
      <c r="E844" s="37"/>
      <c r="F844" s="37"/>
      <c r="G844" s="37"/>
      <c r="H844" s="40"/>
      <c r="I844" s="40"/>
      <c r="J844" s="40"/>
      <c r="K844" s="37"/>
      <c r="L844" s="37"/>
      <c r="M844" s="37"/>
      <c r="N844" s="37"/>
      <c r="O844" s="37"/>
      <c r="P844" s="37"/>
      <c r="Q844" s="37"/>
      <c r="R844" s="37"/>
      <c r="S844" s="37"/>
      <c r="T844" s="37"/>
      <c r="U844" s="37"/>
      <c r="V844" s="37"/>
      <c r="W844" s="37"/>
      <c r="X844" s="37"/>
      <c r="Y844" s="37"/>
      <c r="Z844" s="37"/>
      <c r="AA844" s="37"/>
      <c r="AB844" s="37"/>
      <c r="AC844" s="37"/>
      <c r="AD844" s="37"/>
      <c r="AE844" s="37"/>
      <c r="AF844" s="37"/>
      <c r="AG844" s="37"/>
      <c r="AH844" s="37"/>
      <c r="AI844" s="37"/>
      <c r="AJ844" s="37"/>
      <c r="AK844" s="39"/>
      <c r="AL844" s="37"/>
      <c r="AM844" s="37"/>
      <c r="AN844" s="37"/>
      <c r="AO844" s="37"/>
    </row>
    <row r="845" spans="1:41">
      <c r="A845" s="37"/>
      <c r="B845" s="37"/>
      <c r="C845" s="37"/>
      <c r="D845" s="37"/>
      <c r="E845" s="37"/>
      <c r="F845" s="37"/>
      <c r="G845" s="37"/>
      <c r="H845" s="40"/>
      <c r="I845" s="40"/>
      <c r="J845" s="40"/>
      <c r="K845" s="37"/>
      <c r="L845" s="37"/>
      <c r="M845" s="37"/>
      <c r="N845" s="37"/>
      <c r="O845" s="37"/>
      <c r="P845" s="37"/>
      <c r="Q845" s="37"/>
      <c r="R845" s="37"/>
      <c r="S845" s="37"/>
      <c r="T845" s="37"/>
      <c r="U845" s="37"/>
      <c r="V845" s="37"/>
      <c r="W845" s="37"/>
      <c r="X845" s="37"/>
      <c r="Y845" s="37"/>
      <c r="Z845" s="37"/>
      <c r="AA845" s="37"/>
      <c r="AB845" s="37"/>
      <c r="AC845" s="37"/>
      <c r="AD845" s="37"/>
      <c r="AE845" s="37"/>
      <c r="AF845" s="37"/>
      <c r="AG845" s="37"/>
      <c r="AH845" s="37"/>
      <c r="AI845" s="37"/>
      <c r="AJ845" s="37"/>
      <c r="AK845" s="39"/>
      <c r="AL845" s="37"/>
      <c r="AM845" s="37"/>
      <c r="AN845" s="37"/>
      <c r="AO845" s="37"/>
    </row>
    <row r="846" spans="1:41">
      <c r="A846" s="37"/>
      <c r="B846" s="37"/>
      <c r="C846" s="37"/>
      <c r="D846" s="37"/>
      <c r="E846" s="37"/>
      <c r="F846" s="37"/>
      <c r="G846" s="37"/>
      <c r="H846" s="40"/>
      <c r="I846" s="40"/>
      <c r="J846" s="40"/>
      <c r="K846" s="37"/>
      <c r="L846" s="37"/>
      <c r="M846" s="37"/>
      <c r="N846" s="37"/>
      <c r="O846" s="37"/>
      <c r="P846" s="37"/>
      <c r="Q846" s="37"/>
      <c r="R846" s="37"/>
      <c r="S846" s="37"/>
      <c r="T846" s="37"/>
      <c r="U846" s="37"/>
      <c r="V846" s="37"/>
      <c r="W846" s="37"/>
      <c r="X846" s="37"/>
      <c r="Y846" s="37"/>
      <c r="Z846" s="37"/>
      <c r="AA846" s="37"/>
      <c r="AB846" s="37"/>
      <c r="AC846" s="37"/>
      <c r="AD846" s="37"/>
      <c r="AE846" s="37"/>
      <c r="AF846" s="37"/>
      <c r="AG846" s="37"/>
      <c r="AH846" s="37"/>
      <c r="AI846" s="37"/>
      <c r="AJ846" s="37"/>
      <c r="AK846" s="39"/>
      <c r="AL846" s="37"/>
      <c r="AM846" s="37"/>
      <c r="AN846" s="37"/>
      <c r="AO846" s="37"/>
    </row>
    <row r="847" spans="1:41">
      <c r="A847" s="37"/>
      <c r="B847" s="37"/>
      <c r="C847" s="37"/>
      <c r="D847" s="37"/>
      <c r="E847" s="37"/>
      <c r="F847" s="37"/>
      <c r="G847" s="37"/>
      <c r="H847" s="40"/>
      <c r="I847" s="40"/>
      <c r="J847" s="40"/>
      <c r="K847" s="37"/>
      <c r="L847" s="37"/>
      <c r="M847" s="37"/>
      <c r="N847" s="37"/>
      <c r="O847" s="37"/>
      <c r="P847" s="37"/>
      <c r="Q847" s="37"/>
      <c r="R847" s="37"/>
      <c r="S847" s="37"/>
      <c r="T847" s="37"/>
      <c r="U847" s="37"/>
      <c r="V847" s="37"/>
      <c r="W847" s="37"/>
      <c r="X847" s="37"/>
      <c r="Y847" s="37"/>
      <c r="Z847" s="37"/>
      <c r="AA847" s="37"/>
      <c r="AB847" s="37"/>
      <c r="AC847" s="37"/>
      <c r="AD847" s="37"/>
      <c r="AE847" s="37"/>
      <c r="AF847" s="37"/>
      <c r="AG847" s="37"/>
      <c r="AH847" s="37"/>
      <c r="AI847" s="37"/>
      <c r="AJ847" s="37"/>
      <c r="AK847" s="39"/>
      <c r="AL847" s="37"/>
      <c r="AM847" s="37"/>
      <c r="AN847" s="37"/>
      <c r="AO847" s="37"/>
    </row>
    <row r="848" spans="1:41">
      <c r="A848" s="37"/>
      <c r="B848" s="37"/>
      <c r="C848" s="37"/>
      <c r="D848" s="37"/>
      <c r="E848" s="37"/>
      <c r="F848" s="37"/>
      <c r="G848" s="37"/>
      <c r="H848" s="40"/>
      <c r="I848" s="40"/>
      <c r="J848" s="40"/>
      <c r="K848" s="37"/>
      <c r="L848" s="37"/>
      <c r="M848" s="37"/>
      <c r="N848" s="37"/>
      <c r="O848" s="37"/>
      <c r="P848" s="37"/>
      <c r="Q848" s="37"/>
      <c r="R848" s="37"/>
      <c r="S848" s="37"/>
      <c r="T848" s="37"/>
      <c r="U848" s="37"/>
      <c r="V848" s="37"/>
      <c r="W848" s="37"/>
      <c r="X848" s="37"/>
      <c r="Y848" s="37"/>
      <c r="Z848" s="37"/>
      <c r="AA848" s="37"/>
      <c r="AB848" s="37"/>
      <c r="AC848" s="37"/>
      <c r="AD848" s="37"/>
      <c r="AE848" s="37"/>
      <c r="AF848" s="37"/>
      <c r="AG848" s="37"/>
      <c r="AH848" s="37"/>
      <c r="AI848" s="37"/>
      <c r="AJ848" s="37"/>
      <c r="AK848" s="39"/>
      <c r="AL848" s="37"/>
      <c r="AM848" s="37"/>
      <c r="AN848" s="37"/>
      <c r="AO848" s="37"/>
    </row>
    <row r="849" spans="1:41">
      <c r="A849" s="37"/>
      <c r="B849" s="37"/>
      <c r="C849" s="37"/>
      <c r="D849" s="37"/>
      <c r="E849" s="37"/>
      <c r="F849" s="37"/>
      <c r="G849" s="37"/>
      <c r="H849" s="40"/>
      <c r="I849" s="40"/>
      <c r="J849" s="40"/>
      <c r="K849" s="37"/>
      <c r="L849" s="37"/>
      <c r="M849" s="37"/>
      <c r="N849" s="37"/>
      <c r="O849" s="37"/>
      <c r="P849" s="37"/>
      <c r="Q849" s="37"/>
      <c r="R849" s="37"/>
      <c r="S849" s="37"/>
      <c r="T849" s="37"/>
      <c r="U849" s="37"/>
      <c r="V849" s="37"/>
      <c r="W849" s="37"/>
      <c r="X849" s="37"/>
      <c r="Y849" s="37"/>
      <c r="Z849" s="37"/>
      <c r="AA849" s="37"/>
      <c r="AB849" s="37"/>
      <c r="AC849" s="37"/>
      <c r="AD849" s="37"/>
      <c r="AE849" s="37"/>
      <c r="AF849" s="37"/>
      <c r="AG849" s="37"/>
      <c r="AH849" s="37"/>
      <c r="AI849" s="37"/>
      <c r="AJ849" s="37"/>
      <c r="AK849" s="39"/>
      <c r="AL849" s="37"/>
      <c r="AM849" s="37"/>
      <c r="AN849" s="37"/>
      <c r="AO849" s="37"/>
    </row>
    <row r="850" spans="1:41">
      <c r="A850" s="37"/>
      <c r="B850" s="37"/>
      <c r="C850" s="37"/>
      <c r="D850" s="37"/>
      <c r="E850" s="37"/>
      <c r="F850" s="37"/>
      <c r="G850" s="37"/>
      <c r="H850" s="40"/>
      <c r="I850" s="40"/>
      <c r="J850" s="40"/>
      <c r="K850" s="37"/>
      <c r="L850" s="37"/>
      <c r="M850" s="37"/>
      <c r="N850" s="37"/>
      <c r="O850" s="37"/>
      <c r="P850" s="37"/>
      <c r="Q850" s="37"/>
      <c r="R850" s="37"/>
      <c r="S850" s="37"/>
      <c r="T850" s="37"/>
      <c r="U850" s="37"/>
      <c r="V850" s="37"/>
      <c r="W850" s="37"/>
      <c r="X850" s="37"/>
      <c r="Y850" s="37"/>
      <c r="Z850" s="37"/>
      <c r="AA850" s="37"/>
      <c r="AB850" s="37"/>
      <c r="AC850" s="37"/>
      <c r="AD850" s="37"/>
      <c r="AE850" s="37"/>
      <c r="AF850" s="37"/>
      <c r="AG850" s="37"/>
      <c r="AH850" s="37"/>
      <c r="AI850" s="37"/>
      <c r="AJ850" s="37"/>
      <c r="AK850" s="39"/>
      <c r="AL850" s="37"/>
      <c r="AM850" s="37"/>
      <c r="AN850" s="37"/>
      <c r="AO850" s="37"/>
    </row>
    <row r="851" spans="1:41">
      <c r="A851" s="37"/>
      <c r="B851" s="37"/>
      <c r="C851" s="37"/>
      <c r="D851" s="37"/>
      <c r="E851" s="37"/>
      <c r="F851" s="37"/>
      <c r="G851" s="37"/>
      <c r="H851" s="40"/>
      <c r="I851" s="40"/>
      <c r="J851" s="40"/>
      <c r="K851" s="37"/>
      <c r="L851" s="37"/>
      <c r="M851" s="37"/>
      <c r="N851" s="37"/>
      <c r="O851" s="37"/>
      <c r="P851" s="37"/>
      <c r="Q851" s="37"/>
      <c r="R851" s="37"/>
      <c r="S851" s="37"/>
      <c r="T851" s="37"/>
      <c r="U851" s="37"/>
      <c r="V851" s="37"/>
      <c r="W851" s="37"/>
      <c r="X851" s="37"/>
      <c r="Y851" s="37"/>
      <c r="Z851" s="37"/>
      <c r="AA851" s="37"/>
      <c r="AB851" s="37"/>
      <c r="AC851" s="37"/>
      <c r="AD851" s="37"/>
      <c r="AE851" s="37"/>
      <c r="AF851" s="37"/>
      <c r="AG851" s="37"/>
      <c r="AH851" s="37"/>
      <c r="AI851" s="37"/>
      <c r="AJ851" s="37"/>
      <c r="AK851" s="39"/>
      <c r="AL851" s="37"/>
      <c r="AM851" s="37"/>
      <c r="AN851" s="37"/>
      <c r="AO851" s="37"/>
    </row>
    <row r="852" spans="1:41">
      <c r="A852" s="37"/>
      <c r="B852" s="37"/>
      <c r="C852" s="37"/>
      <c r="D852" s="37"/>
      <c r="E852" s="37"/>
      <c r="F852" s="37"/>
      <c r="G852" s="37"/>
      <c r="H852" s="40"/>
      <c r="I852" s="40"/>
      <c r="J852" s="40"/>
      <c r="K852" s="37"/>
      <c r="L852" s="37"/>
      <c r="M852" s="37"/>
      <c r="N852" s="37"/>
      <c r="O852" s="37"/>
      <c r="P852" s="37"/>
      <c r="Q852" s="37"/>
      <c r="R852" s="37"/>
      <c r="S852" s="37"/>
      <c r="T852" s="37"/>
      <c r="U852" s="37"/>
      <c r="V852" s="37"/>
      <c r="W852" s="37"/>
      <c r="X852" s="37"/>
      <c r="Y852" s="37"/>
      <c r="Z852" s="37"/>
      <c r="AA852" s="37"/>
      <c r="AB852" s="37"/>
      <c r="AC852" s="37"/>
      <c r="AD852" s="37"/>
      <c r="AE852" s="37"/>
      <c r="AF852" s="37"/>
      <c r="AG852" s="37"/>
      <c r="AH852" s="37"/>
      <c r="AI852" s="37"/>
      <c r="AJ852" s="37"/>
      <c r="AK852" s="39"/>
      <c r="AL852" s="37"/>
      <c r="AM852" s="37"/>
      <c r="AN852" s="37"/>
      <c r="AO852" s="37"/>
    </row>
    <row r="853" spans="1:41">
      <c r="A853" s="37"/>
      <c r="B853" s="37"/>
      <c r="C853" s="37"/>
      <c r="D853" s="37"/>
      <c r="E853" s="37"/>
      <c r="F853" s="37"/>
      <c r="G853" s="37"/>
      <c r="H853" s="40"/>
      <c r="I853" s="40"/>
      <c r="J853" s="40"/>
      <c r="K853" s="37"/>
      <c r="L853" s="37"/>
      <c r="M853" s="37"/>
      <c r="N853" s="37"/>
      <c r="O853" s="37"/>
      <c r="P853" s="37"/>
      <c r="Q853" s="37"/>
      <c r="R853" s="37"/>
      <c r="S853" s="37"/>
      <c r="T853" s="37"/>
      <c r="U853" s="37"/>
      <c r="V853" s="37"/>
      <c r="W853" s="37"/>
      <c r="X853" s="37"/>
      <c r="Y853" s="37"/>
      <c r="Z853" s="37"/>
      <c r="AA853" s="37"/>
      <c r="AB853" s="37"/>
      <c r="AC853" s="37"/>
      <c r="AD853" s="37"/>
      <c r="AE853" s="37"/>
      <c r="AF853" s="37"/>
      <c r="AG853" s="37"/>
      <c r="AH853" s="37"/>
      <c r="AI853" s="37"/>
      <c r="AJ853" s="37"/>
      <c r="AK853" s="39"/>
      <c r="AL853" s="37"/>
      <c r="AM853" s="37"/>
      <c r="AN853" s="37"/>
      <c r="AO853" s="37"/>
    </row>
    <row r="854" spans="1:41">
      <c r="A854" s="37"/>
      <c r="B854" s="37"/>
      <c r="C854" s="37"/>
      <c r="D854" s="37"/>
      <c r="E854" s="37"/>
      <c r="F854" s="37"/>
      <c r="G854" s="37"/>
      <c r="H854" s="40"/>
      <c r="I854" s="40"/>
      <c r="J854" s="40"/>
      <c r="K854" s="37"/>
      <c r="L854" s="37"/>
      <c r="M854" s="37"/>
      <c r="N854" s="37"/>
      <c r="O854" s="37"/>
      <c r="P854" s="37"/>
      <c r="Q854" s="37"/>
      <c r="R854" s="37"/>
      <c r="S854" s="37"/>
      <c r="T854" s="37"/>
      <c r="U854" s="37"/>
      <c r="V854" s="37"/>
      <c r="W854" s="37"/>
      <c r="X854" s="37"/>
      <c r="Y854" s="37"/>
      <c r="Z854" s="37"/>
      <c r="AA854" s="37"/>
      <c r="AB854" s="37"/>
      <c r="AC854" s="37"/>
      <c r="AD854" s="37"/>
      <c r="AE854" s="37"/>
      <c r="AF854" s="37"/>
      <c r="AG854" s="37"/>
      <c r="AH854" s="37"/>
      <c r="AI854" s="37"/>
      <c r="AJ854" s="37"/>
      <c r="AK854" s="39"/>
      <c r="AL854" s="37"/>
      <c r="AM854" s="37"/>
      <c r="AN854" s="37"/>
      <c r="AO854" s="37"/>
    </row>
    <row r="855" spans="1:41">
      <c r="A855" s="37"/>
      <c r="B855" s="37"/>
      <c r="C855" s="37"/>
      <c r="D855" s="37"/>
      <c r="E855" s="37"/>
      <c r="F855" s="37"/>
      <c r="G855" s="37"/>
      <c r="H855" s="40"/>
      <c r="I855" s="40"/>
      <c r="J855" s="40"/>
      <c r="K855" s="37"/>
      <c r="L855" s="37"/>
      <c r="M855" s="37"/>
      <c r="N855" s="37"/>
      <c r="O855" s="37"/>
      <c r="P855" s="37"/>
      <c r="Q855" s="37"/>
      <c r="R855" s="37"/>
      <c r="S855" s="37"/>
      <c r="T855" s="37"/>
      <c r="U855" s="37"/>
      <c r="V855" s="37"/>
      <c r="W855" s="37"/>
      <c r="X855" s="37"/>
      <c r="Y855" s="37"/>
      <c r="Z855" s="37"/>
      <c r="AA855" s="37"/>
      <c r="AB855" s="37"/>
      <c r="AC855" s="37"/>
      <c r="AD855" s="37"/>
      <c r="AE855" s="37"/>
      <c r="AF855" s="37"/>
      <c r="AG855" s="37"/>
      <c r="AH855" s="37"/>
      <c r="AI855" s="37"/>
      <c r="AJ855" s="37"/>
      <c r="AK855" s="39"/>
      <c r="AL855" s="37"/>
      <c r="AM855" s="37"/>
      <c r="AN855" s="37"/>
      <c r="AO855" s="37"/>
    </row>
    <row r="856" spans="1:41">
      <c r="A856" s="37"/>
      <c r="B856" s="37"/>
      <c r="C856" s="37"/>
      <c r="D856" s="37"/>
      <c r="E856" s="37"/>
      <c r="F856" s="37"/>
      <c r="G856" s="37"/>
      <c r="H856" s="40"/>
      <c r="I856" s="40"/>
      <c r="J856" s="40"/>
      <c r="K856" s="37"/>
      <c r="L856" s="37"/>
      <c r="M856" s="37"/>
      <c r="N856" s="37"/>
      <c r="O856" s="37"/>
      <c r="P856" s="37"/>
      <c r="Q856" s="37"/>
      <c r="R856" s="37"/>
      <c r="S856" s="37"/>
      <c r="T856" s="37"/>
      <c r="U856" s="37"/>
      <c r="V856" s="37"/>
      <c r="W856" s="37"/>
      <c r="X856" s="37"/>
      <c r="Y856" s="37"/>
      <c r="Z856" s="37"/>
      <c r="AA856" s="37"/>
      <c r="AB856" s="37"/>
      <c r="AC856" s="37"/>
      <c r="AD856" s="37"/>
      <c r="AE856" s="37"/>
      <c r="AF856" s="37"/>
      <c r="AG856" s="37"/>
      <c r="AH856" s="37"/>
      <c r="AI856" s="37"/>
      <c r="AJ856" s="37"/>
      <c r="AK856" s="39"/>
      <c r="AL856" s="37"/>
      <c r="AM856" s="37"/>
      <c r="AN856" s="37"/>
      <c r="AO856" s="37"/>
    </row>
    <row r="857" spans="1:41">
      <c r="A857" s="37"/>
      <c r="B857" s="37"/>
      <c r="C857" s="37"/>
      <c r="D857" s="37"/>
      <c r="E857" s="37"/>
      <c r="F857" s="37"/>
      <c r="G857" s="37"/>
      <c r="H857" s="40"/>
      <c r="I857" s="40"/>
      <c r="J857" s="40"/>
      <c r="K857" s="37"/>
      <c r="L857" s="37"/>
      <c r="M857" s="37"/>
      <c r="N857" s="37"/>
      <c r="O857" s="37"/>
      <c r="P857" s="37"/>
      <c r="Q857" s="37"/>
      <c r="R857" s="37"/>
      <c r="S857" s="37"/>
      <c r="T857" s="37"/>
      <c r="U857" s="37"/>
      <c r="V857" s="37"/>
      <c r="W857" s="37"/>
      <c r="X857" s="37"/>
      <c r="Y857" s="37"/>
      <c r="Z857" s="37"/>
      <c r="AA857" s="37"/>
      <c r="AB857" s="37"/>
      <c r="AC857" s="37"/>
      <c r="AD857" s="37"/>
      <c r="AE857" s="37"/>
      <c r="AF857" s="37"/>
      <c r="AG857" s="37"/>
      <c r="AH857" s="37"/>
      <c r="AI857" s="37"/>
      <c r="AJ857" s="37"/>
      <c r="AK857" s="39"/>
      <c r="AL857" s="37"/>
      <c r="AM857" s="37"/>
      <c r="AN857" s="37"/>
      <c r="AO857" s="37"/>
    </row>
    <row r="858" spans="1:41">
      <c r="A858" s="37"/>
      <c r="B858" s="37"/>
      <c r="C858" s="37"/>
      <c r="D858" s="37"/>
      <c r="E858" s="37"/>
      <c r="F858" s="37"/>
      <c r="G858" s="37"/>
      <c r="H858" s="40"/>
      <c r="I858" s="40"/>
      <c r="J858" s="40"/>
      <c r="K858" s="37"/>
      <c r="L858" s="37"/>
      <c r="M858" s="37"/>
      <c r="N858" s="37"/>
      <c r="O858" s="37"/>
      <c r="P858" s="37"/>
      <c r="Q858" s="37"/>
      <c r="R858" s="37"/>
      <c r="S858" s="37"/>
      <c r="T858" s="37"/>
      <c r="U858" s="37"/>
      <c r="V858" s="37"/>
      <c r="W858" s="37"/>
      <c r="X858" s="37"/>
      <c r="Y858" s="37"/>
      <c r="Z858" s="37"/>
      <c r="AA858" s="37"/>
      <c r="AB858" s="37"/>
      <c r="AC858" s="37"/>
      <c r="AD858" s="37"/>
      <c r="AE858" s="37"/>
      <c r="AF858" s="37"/>
      <c r="AG858" s="37"/>
      <c r="AH858" s="37"/>
      <c r="AI858" s="37"/>
      <c r="AJ858" s="37"/>
      <c r="AK858" s="39"/>
      <c r="AL858" s="37"/>
      <c r="AM858" s="37"/>
      <c r="AN858" s="37"/>
      <c r="AO858" s="37"/>
    </row>
    <row r="859" spans="1:41">
      <c r="A859" s="37"/>
      <c r="B859" s="37"/>
      <c r="C859" s="37"/>
      <c r="D859" s="37"/>
      <c r="E859" s="37"/>
      <c r="F859" s="37"/>
      <c r="G859" s="37"/>
      <c r="H859" s="40"/>
      <c r="I859" s="40"/>
      <c r="J859" s="40"/>
      <c r="K859" s="37"/>
      <c r="L859" s="37"/>
      <c r="M859" s="37"/>
      <c r="N859" s="37"/>
      <c r="O859" s="37"/>
      <c r="P859" s="37"/>
      <c r="Q859" s="37"/>
      <c r="R859" s="37"/>
      <c r="S859" s="37"/>
      <c r="T859" s="37"/>
      <c r="U859" s="37"/>
      <c r="V859" s="37"/>
      <c r="W859" s="37"/>
      <c r="X859" s="37"/>
      <c r="Y859" s="37"/>
      <c r="Z859" s="37"/>
      <c r="AA859" s="37"/>
      <c r="AB859" s="37"/>
      <c r="AC859" s="37"/>
      <c r="AD859" s="37"/>
      <c r="AE859" s="37"/>
      <c r="AF859" s="37"/>
      <c r="AG859" s="37"/>
      <c r="AH859" s="37"/>
      <c r="AI859" s="37"/>
      <c r="AJ859" s="37"/>
      <c r="AK859" s="39"/>
      <c r="AL859" s="37"/>
      <c r="AM859" s="37"/>
      <c r="AN859" s="37"/>
      <c r="AO859" s="37"/>
    </row>
    <row r="860" spans="1:41">
      <c r="A860" s="37"/>
      <c r="B860" s="37"/>
      <c r="C860" s="37"/>
      <c r="D860" s="37"/>
      <c r="E860" s="37"/>
      <c r="F860" s="37"/>
      <c r="G860" s="37"/>
      <c r="H860" s="40"/>
      <c r="I860" s="40"/>
      <c r="J860" s="40"/>
      <c r="K860" s="37"/>
      <c r="L860" s="37"/>
      <c r="M860" s="37"/>
      <c r="N860" s="37"/>
      <c r="O860" s="37"/>
      <c r="P860" s="37"/>
      <c r="Q860" s="37"/>
      <c r="R860" s="37"/>
      <c r="S860" s="37"/>
      <c r="T860" s="37"/>
      <c r="U860" s="37"/>
      <c r="V860" s="37"/>
      <c r="W860" s="37"/>
      <c r="X860" s="37"/>
      <c r="Y860" s="37"/>
      <c r="Z860" s="37"/>
      <c r="AA860" s="37"/>
      <c r="AB860" s="37"/>
      <c r="AC860" s="37"/>
      <c r="AD860" s="37"/>
      <c r="AE860" s="37"/>
      <c r="AF860" s="37"/>
      <c r="AG860" s="37"/>
      <c r="AH860" s="37"/>
      <c r="AI860" s="37"/>
      <c r="AJ860" s="37"/>
      <c r="AK860" s="39"/>
      <c r="AL860" s="37"/>
      <c r="AM860" s="37"/>
      <c r="AN860" s="37"/>
      <c r="AO860" s="37"/>
    </row>
    <row r="861" spans="1:41">
      <c r="A861" s="37"/>
      <c r="B861" s="37"/>
      <c r="C861" s="37"/>
      <c r="D861" s="37"/>
      <c r="E861" s="37"/>
      <c r="F861" s="37"/>
      <c r="G861" s="37"/>
      <c r="H861" s="40"/>
      <c r="I861" s="40"/>
      <c r="J861" s="40"/>
      <c r="K861" s="37"/>
      <c r="L861" s="37"/>
      <c r="M861" s="37"/>
      <c r="N861" s="37"/>
      <c r="O861" s="37"/>
      <c r="P861" s="37"/>
      <c r="Q861" s="37"/>
      <c r="R861" s="37"/>
      <c r="S861" s="37"/>
      <c r="T861" s="37"/>
      <c r="U861" s="37"/>
      <c r="V861" s="37"/>
      <c r="W861" s="37"/>
      <c r="X861" s="37"/>
      <c r="Y861" s="37"/>
      <c r="Z861" s="37"/>
      <c r="AA861" s="37"/>
      <c r="AB861" s="37"/>
      <c r="AC861" s="37"/>
      <c r="AD861" s="37"/>
      <c r="AE861" s="37"/>
      <c r="AF861" s="37"/>
      <c r="AG861" s="37"/>
      <c r="AH861" s="37"/>
      <c r="AI861" s="37"/>
      <c r="AJ861" s="37"/>
      <c r="AK861" s="39"/>
      <c r="AL861" s="37"/>
      <c r="AM861" s="37"/>
      <c r="AN861" s="37"/>
      <c r="AO861" s="37"/>
    </row>
    <row r="862" spans="1:41">
      <c r="A862" s="37"/>
      <c r="B862" s="37"/>
      <c r="C862" s="37"/>
      <c r="D862" s="37"/>
      <c r="E862" s="37"/>
      <c r="F862" s="37"/>
      <c r="G862" s="37"/>
      <c r="H862" s="40"/>
      <c r="I862" s="40"/>
      <c r="J862" s="40"/>
      <c r="K862" s="37"/>
      <c r="L862" s="37"/>
      <c r="M862" s="37"/>
      <c r="N862" s="37"/>
      <c r="O862" s="37"/>
      <c r="P862" s="37"/>
      <c r="Q862" s="37"/>
      <c r="R862" s="37"/>
      <c r="S862" s="37"/>
      <c r="T862" s="37"/>
      <c r="U862" s="37"/>
      <c r="V862" s="37"/>
      <c r="W862" s="37"/>
      <c r="X862" s="37"/>
      <c r="Y862" s="37"/>
      <c r="Z862" s="37"/>
      <c r="AA862" s="37"/>
      <c r="AB862" s="37"/>
      <c r="AC862" s="37"/>
      <c r="AD862" s="37"/>
      <c r="AE862" s="37"/>
      <c r="AF862" s="37"/>
      <c r="AG862" s="37"/>
      <c r="AH862" s="37"/>
      <c r="AI862" s="37"/>
      <c r="AJ862" s="37"/>
      <c r="AK862" s="39"/>
      <c r="AL862" s="37"/>
      <c r="AM862" s="37"/>
      <c r="AN862" s="37"/>
      <c r="AO862" s="37"/>
    </row>
    <row r="863" spans="1:41">
      <c r="A863" s="37"/>
      <c r="B863" s="37"/>
      <c r="C863" s="37"/>
      <c r="D863" s="37"/>
      <c r="E863" s="37"/>
      <c r="F863" s="37"/>
      <c r="G863" s="37"/>
      <c r="H863" s="40"/>
      <c r="I863" s="40"/>
      <c r="J863" s="40"/>
      <c r="K863" s="37"/>
      <c r="L863" s="37"/>
      <c r="M863" s="37"/>
      <c r="N863" s="37"/>
      <c r="O863" s="37"/>
      <c r="P863" s="37"/>
      <c r="Q863" s="37"/>
      <c r="R863" s="37"/>
      <c r="S863" s="37"/>
      <c r="T863" s="37"/>
      <c r="U863" s="37"/>
      <c r="V863" s="37"/>
      <c r="W863" s="37"/>
      <c r="X863" s="37"/>
      <c r="Y863" s="37"/>
      <c r="Z863" s="37"/>
      <c r="AA863" s="37"/>
      <c r="AB863" s="37"/>
      <c r="AC863" s="37"/>
      <c r="AD863" s="37"/>
      <c r="AE863" s="37"/>
      <c r="AF863" s="37"/>
      <c r="AG863" s="37"/>
      <c r="AH863" s="37"/>
      <c r="AI863" s="37"/>
      <c r="AJ863" s="37"/>
      <c r="AK863" s="39"/>
      <c r="AL863" s="37"/>
      <c r="AM863" s="37"/>
      <c r="AN863" s="37"/>
      <c r="AO863" s="37"/>
    </row>
    <row r="864" spans="1:41">
      <c r="A864" s="37"/>
      <c r="B864" s="37"/>
      <c r="C864" s="37"/>
      <c r="D864" s="37"/>
      <c r="E864" s="37"/>
      <c r="F864" s="37"/>
      <c r="G864" s="37"/>
      <c r="H864" s="40"/>
      <c r="I864" s="40"/>
      <c r="J864" s="40"/>
      <c r="K864" s="37"/>
      <c r="L864" s="37"/>
      <c r="M864" s="37"/>
      <c r="N864" s="37"/>
      <c r="O864" s="37"/>
      <c r="P864" s="37"/>
      <c r="Q864" s="37"/>
      <c r="R864" s="37"/>
      <c r="S864" s="37"/>
      <c r="T864" s="37"/>
      <c r="U864" s="37"/>
      <c r="V864" s="37"/>
      <c r="W864" s="37"/>
      <c r="X864" s="37"/>
      <c r="Y864" s="37"/>
      <c r="Z864" s="37"/>
      <c r="AA864" s="37"/>
      <c r="AB864" s="37"/>
      <c r="AC864" s="37"/>
      <c r="AD864" s="37"/>
      <c r="AE864" s="37"/>
      <c r="AF864" s="37"/>
      <c r="AG864" s="37"/>
      <c r="AH864" s="37"/>
      <c r="AI864" s="37"/>
      <c r="AJ864" s="37"/>
      <c r="AK864" s="39"/>
      <c r="AL864" s="37"/>
      <c r="AM864" s="37"/>
      <c r="AN864" s="37"/>
      <c r="AO864" s="37"/>
    </row>
    <row r="865" spans="1:41">
      <c r="A865" s="37"/>
      <c r="B865" s="37"/>
      <c r="C865" s="37"/>
      <c r="D865" s="37"/>
      <c r="E865" s="37"/>
      <c r="F865" s="37"/>
      <c r="G865" s="37"/>
      <c r="H865" s="40"/>
      <c r="I865" s="40"/>
      <c r="J865" s="40"/>
      <c r="K865" s="37"/>
      <c r="L865" s="37"/>
      <c r="M865" s="37"/>
      <c r="N865" s="37"/>
      <c r="O865" s="37"/>
      <c r="P865" s="37"/>
      <c r="Q865" s="37"/>
      <c r="R865" s="37"/>
      <c r="S865" s="37"/>
      <c r="T865" s="37"/>
      <c r="U865" s="37"/>
      <c r="V865" s="37"/>
      <c r="W865" s="37"/>
      <c r="X865" s="37"/>
      <c r="Y865" s="37"/>
      <c r="Z865" s="37"/>
      <c r="AA865" s="37"/>
      <c r="AB865" s="37"/>
      <c r="AC865" s="37"/>
      <c r="AD865" s="37"/>
      <c r="AE865" s="37"/>
      <c r="AF865" s="37"/>
      <c r="AG865" s="37"/>
      <c r="AH865" s="37"/>
      <c r="AI865" s="37"/>
      <c r="AJ865" s="37"/>
      <c r="AK865" s="39"/>
      <c r="AL865" s="37"/>
      <c r="AM865" s="37"/>
      <c r="AN865" s="37"/>
      <c r="AO865" s="37"/>
    </row>
    <row r="866" spans="1:41">
      <c r="A866" s="37"/>
      <c r="B866" s="37"/>
      <c r="C866" s="37"/>
      <c r="D866" s="37"/>
      <c r="E866" s="37"/>
      <c r="F866" s="37"/>
      <c r="G866" s="37"/>
      <c r="H866" s="40"/>
      <c r="I866" s="40"/>
      <c r="J866" s="40"/>
      <c r="K866" s="37"/>
      <c r="L866" s="37"/>
      <c r="M866" s="37"/>
      <c r="N866" s="37"/>
      <c r="O866" s="37"/>
      <c r="P866" s="37"/>
      <c r="Q866" s="37"/>
      <c r="R866" s="37"/>
      <c r="S866" s="37"/>
      <c r="T866" s="37"/>
      <c r="U866" s="37"/>
      <c r="V866" s="37"/>
      <c r="W866" s="37"/>
      <c r="X866" s="37"/>
      <c r="Y866" s="37"/>
      <c r="Z866" s="37"/>
      <c r="AA866" s="37"/>
      <c r="AB866" s="37"/>
      <c r="AC866" s="37"/>
      <c r="AD866" s="37"/>
      <c r="AE866" s="37"/>
      <c r="AF866" s="37"/>
      <c r="AG866" s="37"/>
      <c r="AH866" s="37"/>
      <c r="AI866" s="37"/>
      <c r="AJ866" s="37"/>
      <c r="AK866" s="39"/>
      <c r="AL866" s="37"/>
      <c r="AM866" s="37"/>
      <c r="AN866" s="37"/>
      <c r="AO866" s="37"/>
    </row>
    <row r="867" spans="1:41">
      <c r="A867" s="37"/>
      <c r="B867" s="37"/>
      <c r="C867" s="37"/>
      <c r="D867" s="37"/>
      <c r="E867" s="37"/>
      <c r="F867" s="37"/>
      <c r="G867" s="37"/>
      <c r="H867" s="40"/>
      <c r="I867" s="40"/>
      <c r="J867" s="40"/>
      <c r="K867" s="37"/>
      <c r="L867" s="37"/>
      <c r="M867" s="37"/>
      <c r="N867" s="37"/>
      <c r="O867" s="37"/>
      <c r="P867" s="37"/>
      <c r="Q867" s="37"/>
      <c r="R867" s="37"/>
      <c r="S867" s="37"/>
      <c r="T867" s="37"/>
      <c r="U867" s="37"/>
      <c r="V867" s="37"/>
      <c r="W867" s="37"/>
      <c r="X867" s="37"/>
      <c r="Y867" s="37"/>
      <c r="Z867" s="37"/>
      <c r="AA867" s="37"/>
      <c r="AB867" s="37"/>
      <c r="AC867" s="37"/>
      <c r="AD867" s="37"/>
      <c r="AE867" s="37"/>
      <c r="AF867" s="37"/>
      <c r="AG867" s="37"/>
      <c r="AH867" s="37"/>
      <c r="AI867" s="37"/>
      <c r="AJ867" s="37"/>
      <c r="AK867" s="39"/>
      <c r="AL867" s="37"/>
      <c r="AM867" s="37"/>
      <c r="AN867" s="37"/>
      <c r="AO867" s="37"/>
    </row>
    <row r="868" spans="1:41">
      <c r="A868" s="37"/>
      <c r="B868" s="37"/>
      <c r="C868" s="37"/>
      <c r="D868" s="37"/>
      <c r="E868" s="37"/>
      <c r="F868" s="37"/>
      <c r="G868" s="37"/>
      <c r="H868" s="40"/>
      <c r="I868" s="40"/>
      <c r="J868" s="40"/>
      <c r="K868" s="37"/>
      <c r="L868" s="37"/>
      <c r="M868" s="37"/>
      <c r="N868" s="37"/>
      <c r="O868" s="37"/>
      <c r="P868" s="37"/>
      <c r="Q868" s="37"/>
      <c r="R868" s="37"/>
      <c r="S868" s="37"/>
      <c r="T868" s="37"/>
      <c r="U868" s="37"/>
      <c r="V868" s="37"/>
      <c r="W868" s="37"/>
      <c r="X868" s="37"/>
      <c r="Y868" s="37"/>
      <c r="Z868" s="37"/>
      <c r="AA868" s="37"/>
      <c r="AB868" s="37"/>
      <c r="AC868" s="37"/>
      <c r="AD868" s="37"/>
      <c r="AE868" s="37"/>
      <c r="AF868" s="37"/>
      <c r="AG868" s="37"/>
      <c r="AH868" s="37"/>
      <c r="AI868" s="37"/>
      <c r="AJ868" s="37"/>
      <c r="AK868" s="39"/>
      <c r="AL868" s="37"/>
      <c r="AM868" s="37"/>
      <c r="AN868" s="37"/>
      <c r="AO868" s="37"/>
    </row>
    <row r="869" spans="1:41">
      <c r="A869" s="37"/>
      <c r="B869" s="37"/>
      <c r="C869" s="37"/>
      <c r="D869" s="37"/>
      <c r="E869" s="37"/>
      <c r="F869" s="37"/>
      <c r="G869" s="37"/>
      <c r="H869" s="40"/>
      <c r="I869" s="40"/>
      <c r="J869" s="40"/>
      <c r="K869" s="37"/>
      <c r="L869" s="37"/>
      <c r="M869" s="37"/>
      <c r="N869" s="37"/>
      <c r="O869" s="37"/>
      <c r="P869" s="37"/>
      <c r="Q869" s="37"/>
      <c r="R869" s="37"/>
      <c r="S869" s="37"/>
      <c r="T869" s="37"/>
      <c r="U869" s="37"/>
      <c r="V869" s="37"/>
      <c r="W869" s="37"/>
      <c r="X869" s="37"/>
      <c r="Y869" s="37"/>
      <c r="Z869" s="37"/>
      <c r="AA869" s="37"/>
      <c r="AB869" s="37"/>
      <c r="AC869" s="37"/>
      <c r="AD869" s="37"/>
      <c r="AE869" s="37"/>
      <c r="AF869" s="37"/>
      <c r="AG869" s="37"/>
      <c r="AH869" s="37"/>
      <c r="AI869" s="37"/>
      <c r="AJ869" s="37"/>
      <c r="AK869" s="39"/>
      <c r="AL869" s="37"/>
      <c r="AM869" s="37"/>
      <c r="AN869" s="37"/>
      <c r="AO869" s="37"/>
    </row>
    <row r="870" spans="1:41">
      <c r="A870" s="37"/>
      <c r="B870" s="37"/>
      <c r="C870" s="37"/>
      <c r="D870" s="37"/>
      <c r="E870" s="37"/>
      <c r="F870" s="37"/>
      <c r="G870" s="37"/>
      <c r="H870" s="40"/>
      <c r="I870" s="40"/>
      <c r="J870" s="40"/>
      <c r="K870" s="37"/>
      <c r="L870" s="37"/>
      <c r="M870" s="37"/>
      <c r="N870" s="37"/>
      <c r="O870" s="37"/>
      <c r="P870" s="37"/>
      <c r="Q870" s="37"/>
      <c r="R870" s="37"/>
      <c r="S870" s="37"/>
      <c r="T870" s="37"/>
      <c r="U870" s="37"/>
      <c r="V870" s="37"/>
      <c r="W870" s="37"/>
      <c r="X870" s="37"/>
      <c r="Y870" s="37"/>
      <c r="Z870" s="37"/>
      <c r="AA870" s="37"/>
      <c r="AB870" s="37"/>
      <c r="AC870" s="37"/>
      <c r="AD870" s="37"/>
      <c r="AE870" s="37"/>
      <c r="AF870" s="37"/>
      <c r="AG870" s="37"/>
      <c r="AH870" s="37"/>
      <c r="AI870" s="37"/>
      <c r="AJ870" s="37"/>
      <c r="AK870" s="39"/>
      <c r="AL870" s="37"/>
      <c r="AM870" s="37"/>
      <c r="AN870" s="37"/>
      <c r="AO870" s="37"/>
    </row>
    <row r="871" spans="1:41">
      <c r="A871" s="37"/>
      <c r="B871" s="37"/>
      <c r="C871" s="37"/>
      <c r="D871" s="37"/>
      <c r="E871" s="37"/>
      <c r="F871" s="37"/>
      <c r="G871" s="37"/>
      <c r="H871" s="40"/>
      <c r="I871" s="40"/>
      <c r="J871" s="40"/>
      <c r="K871" s="37"/>
      <c r="L871" s="37"/>
      <c r="M871" s="37"/>
      <c r="N871" s="37"/>
      <c r="O871" s="37"/>
      <c r="P871" s="37"/>
      <c r="Q871" s="37"/>
      <c r="R871" s="37"/>
      <c r="S871" s="37"/>
      <c r="T871" s="37"/>
      <c r="U871" s="37"/>
      <c r="V871" s="37"/>
      <c r="W871" s="37"/>
      <c r="X871" s="37"/>
      <c r="Y871" s="37"/>
      <c r="Z871" s="37"/>
      <c r="AA871" s="37"/>
      <c r="AB871" s="37"/>
      <c r="AC871" s="37"/>
      <c r="AD871" s="37"/>
      <c r="AE871" s="37"/>
      <c r="AF871" s="37"/>
      <c r="AG871" s="37"/>
      <c r="AH871" s="37"/>
      <c r="AI871" s="37"/>
      <c r="AJ871" s="37"/>
      <c r="AK871" s="39"/>
      <c r="AL871" s="37"/>
      <c r="AM871" s="37"/>
      <c r="AN871" s="37"/>
      <c r="AO871" s="37"/>
    </row>
    <row r="872" spans="1:41">
      <c r="A872" s="37"/>
      <c r="B872" s="37"/>
      <c r="C872" s="37"/>
      <c r="D872" s="37"/>
      <c r="E872" s="37"/>
      <c r="F872" s="37"/>
      <c r="G872" s="37"/>
      <c r="H872" s="40"/>
      <c r="I872" s="40"/>
      <c r="J872" s="40"/>
      <c r="K872" s="37"/>
      <c r="L872" s="37"/>
      <c r="M872" s="37"/>
      <c r="N872" s="37"/>
      <c r="O872" s="37"/>
      <c r="P872" s="37"/>
      <c r="Q872" s="37"/>
      <c r="R872" s="37"/>
      <c r="S872" s="37"/>
      <c r="T872" s="37"/>
      <c r="U872" s="37"/>
      <c r="V872" s="37"/>
      <c r="W872" s="37"/>
      <c r="X872" s="37"/>
      <c r="Y872" s="37"/>
      <c r="Z872" s="37"/>
      <c r="AA872" s="37"/>
      <c r="AB872" s="37"/>
      <c r="AC872" s="37"/>
      <c r="AD872" s="37"/>
      <c r="AE872" s="37"/>
      <c r="AF872" s="37"/>
      <c r="AG872" s="37"/>
      <c r="AH872" s="37"/>
      <c r="AI872" s="37"/>
      <c r="AJ872" s="37"/>
      <c r="AK872" s="39"/>
      <c r="AL872" s="37"/>
      <c r="AM872" s="37"/>
      <c r="AN872" s="37"/>
      <c r="AO872" s="37"/>
    </row>
    <row r="873" spans="1:41">
      <c r="A873" s="37"/>
      <c r="B873" s="37"/>
      <c r="C873" s="37"/>
      <c r="D873" s="37"/>
      <c r="E873" s="37"/>
      <c r="F873" s="37"/>
      <c r="G873" s="37"/>
      <c r="H873" s="40"/>
      <c r="I873" s="40"/>
      <c r="J873" s="40"/>
      <c r="K873" s="37"/>
      <c r="L873" s="37"/>
      <c r="M873" s="37"/>
      <c r="N873" s="37"/>
      <c r="O873" s="37"/>
      <c r="P873" s="37"/>
      <c r="Q873" s="37"/>
      <c r="R873" s="37"/>
      <c r="S873" s="37"/>
      <c r="T873" s="37"/>
      <c r="U873" s="37"/>
      <c r="V873" s="37"/>
      <c r="W873" s="37"/>
      <c r="X873" s="37"/>
      <c r="Y873" s="37"/>
      <c r="Z873" s="37"/>
      <c r="AA873" s="37"/>
      <c r="AB873" s="37"/>
      <c r="AC873" s="37"/>
      <c r="AD873" s="37"/>
      <c r="AE873" s="37"/>
      <c r="AF873" s="37"/>
      <c r="AG873" s="37"/>
      <c r="AH873" s="37"/>
      <c r="AI873" s="37"/>
      <c r="AJ873" s="37"/>
      <c r="AK873" s="39"/>
      <c r="AL873" s="37"/>
      <c r="AM873" s="37"/>
      <c r="AN873" s="37"/>
      <c r="AO873" s="37"/>
    </row>
    <row r="874" spans="1:41">
      <c r="A874" s="37"/>
      <c r="B874" s="37"/>
      <c r="C874" s="37"/>
      <c r="D874" s="37"/>
      <c r="E874" s="37"/>
      <c r="F874" s="37"/>
      <c r="G874" s="37"/>
      <c r="H874" s="40"/>
      <c r="I874" s="40"/>
      <c r="J874" s="40"/>
      <c r="K874" s="37"/>
      <c r="L874" s="37"/>
      <c r="M874" s="37"/>
      <c r="N874" s="37"/>
      <c r="O874" s="37"/>
      <c r="P874" s="37"/>
      <c r="Q874" s="37"/>
      <c r="R874" s="37"/>
      <c r="S874" s="37"/>
      <c r="T874" s="37"/>
      <c r="U874" s="37"/>
      <c r="V874" s="37"/>
      <c r="W874" s="37"/>
      <c r="X874" s="37"/>
      <c r="Y874" s="37"/>
      <c r="Z874" s="37"/>
      <c r="AA874" s="37"/>
      <c r="AB874" s="37"/>
      <c r="AC874" s="37"/>
      <c r="AD874" s="37"/>
      <c r="AE874" s="37"/>
      <c r="AF874" s="37"/>
      <c r="AG874" s="37"/>
      <c r="AH874" s="37"/>
      <c r="AI874" s="37"/>
      <c r="AJ874" s="37"/>
      <c r="AK874" s="39"/>
      <c r="AL874" s="37"/>
      <c r="AM874" s="37"/>
      <c r="AN874" s="37"/>
      <c r="AO874" s="37"/>
    </row>
    <row r="875" spans="1:41">
      <c r="A875" s="37"/>
      <c r="B875" s="37"/>
      <c r="C875" s="37"/>
      <c r="D875" s="37"/>
      <c r="E875" s="37"/>
      <c r="F875" s="37"/>
      <c r="G875" s="37"/>
      <c r="H875" s="40"/>
      <c r="I875" s="40"/>
      <c r="J875" s="40"/>
      <c r="K875" s="37"/>
      <c r="L875" s="37"/>
      <c r="M875" s="37"/>
      <c r="N875" s="37"/>
      <c r="O875" s="37"/>
      <c r="P875" s="37"/>
      <c r="Q875" s="37"/>
      <c r="R875" s="37"/>
      <c r="S875" s="37"/>
      <c r="T875" s="37"/>
      <c r="U875" s="37"/>
      <c r="V875" s="37"/>
      <c r="W875" s="37"/>
      <c r="X875" s="37"/>
      <c r="Y875" s="37"/>
      <c r="Z875" s="37"/>
      <c r="AA875" s="37"/>
      <c r="AB875" s="37"/>
      <c r="AC875" s="37"/>
      <c r="AD875" s="37"/>
      <c r="AE875" s="37"/>
      <c r="AF875" s="37"/>
      <c r="AG875" s="37"/>
      <c r="AH875" s="37"/>
      <c r="AI875" s="37"/>
      <c r="AJ875" s="37"/>
      <c r="AK875" s="39"/>
      <c r="AL875" s="37"/>
      <c r="AM875" s="37"/>
      <c r="AN875" s="37"/>
      <c r="AO875" s="37"/>
    </row>
    <row r="876" spans="1:41">
      <c r="A876" s="37"/>
      <c r="B876" s="37"/>
      <c r="C876" s="37"/>
      <c r="D876" s="37"/>
      <c r="E876" s="37"/>
      <c r="F876" s="37"/>
      <c r="G876" s="37"/>
      <c r="H876" s="40"/>
      <c r="I876" s="40"/>
      <c r="J876" s="40"/>
      <c r="K876" s="37"/>
      <c r="L876" s="37"/>
      <c r="M876" s="37"/>
      <c r="N876" s="37"/>
      <c r="O876" s="37"/>
      <c r="P876" s="37"/>
      <c r="Q876" s="37"/>
      <c r="R876" s="37"/>
      <c r="S876" s="37"/>
      <c r="T876" s="37"/>
      <c r="U876" s="37"/>
      <c r="V876" s="37"/>
      <c r="W876" s="37"/>
      <c r="X876" s="37"/>
      <c r="Y876" s="37"/>
      <c r="Z876" s="37"/>
      <c r="AA876" s="37"/>
      <c r="AB876" s="37"/>
      <c r="AC876" s="37"/>
      <c r="AD876" s="37"/>
      <c r="AE876" s="37"/>
      <c r="AF876" s="37"/>
      <c r="AG876" s="37"/>
      <c r="AH876" s="37"/>
      <c r="AI876" s="37"/>
      <c r="AJ876" s="37"/>
      <c r="AK876" s="39"/>
      <c r="AL876" s="37"/>
      <c r="AM876" s="37"/>
      <c r="AN876" s="37"/>
      <c r="AO876" s="37"/>
    </row>
    <row r="877" spans="1:41">
      <c r="A877" s="37"/>
      <c r="B877" s="37"/>
      <c r="C877" s="37"/>
      <c r="D877" s="37"/>
      <c r="E877" s="37"/>
      <c r="F877" s="37"/>
      <c r="G877" s="37"/>
      <c r="H877" s="40"/>
      <c r="I877" s="40"/>
      <c r="J877" s="40"/>
      <c r="K877" s="37"/>
      <c r="L877" s="37"/>
      <c r="M877" s="37"/>
      <c r="N877" s="37"/>
      <c r="O877" s="37"/>
      <c r="P877" s="37"/>
      <c r="Q877" s="37"/>
      <c r="R877" s="37"/>
      <c r="S877" s="37"/>
      <c r="T877" s="37"/>
      <c r="U877" s="37"/>
      <c r="V877" s="37"/>
      <c r="W877" s="37"/>
      <c r="X877" s="37"/>
      <c r="Y877" s="37"/>
      <c r="Z877" s="37"/>
      <c r="AA877" s="37"/>
      <c r="AB877" s="37"/>
      <c r="AC877" s="37"/>
      <c r="AD877" s="37"/>
      <c r="AE877" s="37"/>
      <c r="AF877" s="37"/>
      <c r="AG877" s="37"/>
      <c r="AH877" s="37"/>
      <c r="AI877" s="37"/>
      <c r="AJ877" s="37"/>
      <c r="AK877" s="39"/>
      <c r="AL877" s="37"/>
      <c r="AM877" s="37"/>
      <c r="AN877" s="37"/>
      <c r="AO877" s="37"/>
    </row>
    <row r="878" spans="1:41">
      <c r="A878" s="37"/>
      <c r="B878" s="37"/>
      <c r="C878" s="37"/>
      <c r="D878" s="37"/>
      <c r="E878" s="37"/>
      <c r="F878" s="37"/>
      <c r="G878" s="37"/>
      <c r="H878" s="40"/>
      <c r="I878" s="40"/>
      <c r="J878" s="40"/>
      <c r="K878" s="37"/>
      <c r="L878" s="37"/>
      <c r="M878" s="37"/>
      <c r="N878" s="37"/>
      <c r="O878" s="37"/>
      <c r="P878" s="37"/>
      <c r="Q878" s="37"/>
      <c r="R878" s="37"/>
      <c r="S878" s="37"/>
      <c r="T878" s="37"/>
      <c r="U878" s="37"/>
      <c r="V878" s="37"/>
      <c r="W878" s="37"/>
      <c r="X878" s="37"/>
      <c r="Y878" s="37"/>
      <c r="Z878" s="37"/>
      <c r="AA878" s="37"/>
      <c r="AB878" s="37"/>
      <c r="AC878" s="37"/>
      <c r="AD878" s="37"/>
      <c r="AE878" s="37"/>
      <c r="AF878" s="37"/>
      <c r="AG878" s="37"/>
      <c r="AH878" s="37"/>
      <c r="AI878" s="37"/>
      <c r="AJ878" s="37"/>
      <c r="AK878" s="39"/>
      <c r="AL878" s="37"/>
      <c r="AM878" s="37"/>
      <c r="AN878" s="37"/>
      <c r="AO878" s="37"/>
    </row>
    <row r="879" spans="1:41">
      <c r="A879" s="37"/>
      <c r="B879" s="37"/>
      <c r="C879" s="37"/>
      <c r="D879" s="37"/>
      <c r="E879" s="37"/>
      <c r="F879" s="37"/>
      <c r="G879" s="37"/>
      <c r="H879" s="40"/>
      <c r="I879" s="40"/>
      <c r="J879" s="40"/>
      <c r="K879" s="37"/>
      <c r="L879" s="37"/>
      <c r="M879" s="37"/>
      <c r="N879" s="37"/>
      <c r="O879" s="37"/>
      <c r="P879" s="37"/>
      <c r="Q879" s="37"/>
      <c r="R879" s="37"/>
      <c r="S879" s="37"/>
      <c r="T879" s="37"/>
      <c r="U879" s="37"/>
      <c r="V879" s="37"/>
      <c r="W879" s="37"/>
      <c r="X879" s="37"/>
      <c r="Y879" s="37"/>
      <c r="Z879" s="37"/>
      <c r="AA879" s="37"/>
      <c r="AB879" s="37"/>
      <c r="AC879" s="37"/>
      <c r="AD879" s="37"/>
      <c r="AE879" s="37"/>
      <c r="AF879" s="37"/>
      <c r="AG879" s="37"/>
      <c r="AH879" s="37"/>
      <c r="AI879" s="37"/>
      <c r="AJ879" s="37"/>
      <c r="AK879" s="39"/>
      <c r="AL879" s="37"/>
      <c r="AM879" s="37"/>
      <c r="AN879" s="37"/>
      <c r="AO879" s="37"/>
    </row>
    <row r="880" spans="1:41">
      <c r="A880" s="37"/>
      <c r="B880" s="37"/>
      <c r="C880" s="37"/>
      <c r="D880" s="37"/>
      <c r="E880" s="37"/>
      <c r="F880" s="37"/>
      <c r="G880" s="37"/>
      <c r="H880" s="40"/>
      <c r="I880" s="40"/>
      <c r="J880" s="40"/>
      <c r="K880" s="37"/>
      <c r="L880" s="37"/>
      <c r="M880" s="37"/>
      <c r="N880" s="37"/>
      <c r="O880" s="37"/>
      <c r="P880" s="37"/>
      <c r="Q880" s="37"/>
      <c r="R880" s="37"/>
      <c r="S880" s="37"/>
      <c r="T880" s="37"/>
      <c r="U880" s="37"/>
      <c r="V880" s="37"/>
      <c r="W880" s="37"/>
      <c r="X880" s="37"/>
      <c r="Y880" s="37"/>
      <c r="Z880" s="37"/>
      <c r="AA880" s="37"/>
      <c r="AB880" s="37"/>
      <c r="AC880" s="37"/>
      <c r="AD880" s="37"/>
      <c r="AE880" s="37"/>
      <c r="AF880" s="37"/>
      <c r="AG880" s="37"/>
      <c r="AH880" s="37"/>
      <c r="AI880" s="37"/>
      <c r="AJ880" s="37"/>
      <c r="AK880" s="39"/>
      <c r="AL880" s="37"/>
      <c r="AM880" s="37"/>
      <c r="AN880" s="37"/>
      <c r="AO880" s="37"/>
    </row>
    <row r="881" spans="1:41">
      <c r="A881" s="37"/>
      <c r="B881" s="37"/>
      <c r="C881" s="37"/>
      <c r="D881" s="37"/>
      <c r="E881" s="37"/>
      <c r="F881" s="37"/>
      <c r="G881" s="37"/>
      <c r="H881" s="40"/>
      <c r="I881" s="40"/>
      <c r="J881" s="40"/>
      <c r="K881" s="37"/>
      <c r="L881" s="37"/>
      <c r="M881" s="37"/>
      <c r="N881" s="37"/>
      <c r="O881" s="37"/>
      <c r="P881" s="37"/>
      <c r="Q881" s="37"/>
      <c r="R881" s="37"/>
      <c r="S881" s="37"/>
      <c r="T881" s="37"/>
      <c r="U881" s="37"/>
      <c r="V881" s="37"/>
      <c r="W881" s="37"/>
      <c r="X881" s="37"/>
      <c r="Y881" s="37"/>
      <c r="Z881" s="37"/>
      <c r="AA881" s="37"/>
      <c r="AB881" s="37"/>
      <c r="AC881" s="37"/>
      <c r="AD881" s="37"/>
      <c r="AE881" s="37"/>
      <c r="AF881" s="37"/>
      <c r="AG881" s="37"/>
      <c r="AH881" s="37"/>
      <c r="AI881" s="37"/>
      <c r="AJ881" s="37"/>
      <c r="AK881" s="39"/>
      <c r="AL881" s="37"/>
      <c r="AM881" s="37"/>
      <c r="AN881" s="37"/>
      <c r="AO881" s="37"/>
    </row>
    <row r="882" spans="1:41">
      <c r="A882" s="37"/>
      <c r="B882" s="37"/>
      <c r="C882" s="37"/>
      <c r="D882" s="37"/>
      <c r="E882" s="37"/>
      <c r="F882" s="37"/>
      <c r="G882" s="37"/>
      <c r="H882" s="40"/>
      <c r="I882" s="40"/>
      <c r="J882" s="40"/>
      <c r="K882" s="37"/>
      <c r="L882" s="37"/>
      <c r="M882" s="37"/>
      <c r="N882" s="37"/>
      <c r="O882" s="37"/>
      <c r="P882" s="37"/>
      <c r="Q882" s="37"/>
      <c r="R882" s="37"/>
      <c r="S882" s="37"/>
      <c r="T882" s="37"/>
      <c r="U882" s="37"/>
      <c r="V882" s="37"/>
      <c r="W882" s="37"/>
      <c r="X882" s="37"/>
      <c r="Y882" s="37"/>
      <c r="Z882" s="37"/>
      <c r="AA882" s="37"/>
      <c r="AB882" s="37"/>
      <c r="AC882" s="37"/>
      <c r="AD882" s="37"/>
      <c r="AE882" s="37"/>
      <c r="AF882" s="37"/>
      <c r="AG882" s="37"/>
      <c r="AH882" s="37"/>
      <c r="AI882" s="37"/>
      <c r="AJ882" s="37"/>
      <c r="AK882" s="39"/>
      <c r="AL882" s="37"/>
      <c r="AM882" s="37"/>
      <c r="AN882" s="37"/>
      <c r="AO882" s="37"/>
    </row>
    <row r="883" spans="1:41">
      <c r="A883" s="37"/>
      <c r="B883" s="37"/>
      <c r="C883" s="37"/>
      <c r="D883" s="37"/>
      <c r="E883" s="37"/>
      <c r="F883" s="37"/>
      <c r="G883" s="37"/>
      <c r="H883" s="40"/>
      <c r="I883" s="40"/>
      <c r="J883" s="40"/>
      <c r="K883" s="37"/>
      <c r="L883" s="37"/>
      <c r="M883" s="37"/>
      <c r="N883" s="37"/>
      <c r="O883" s="37"/>
      <c r="P883" s="37"/>
      <c r="Q883" s="37"/>
      <c r="R883" s="37"/>
      <c r="S883" s="37"/>
      <c r="T883" s="37"/>
      <c r="U883" s="37"/>
      <c r="V883" s="37"/>
      <c r="W883" s="37"/>
      <c r="X883" s="37"/>
      <c r="Y883" s="37"/>
      <c r="Z883" s="37"/>
      <c r="AA883" s="37"/>
      <c r="AB883" s="37"/>
      <c r="AC883" s="37"/>
      <c r="AD883" s="37"/>
      <c r="AE883" s="37"/>
      <c r="AF883" s="37"/>
      <c r="AG883" s="37"/>
      <c r="AH883" s="37"/>
      <c r="AI883" s="37"/>
      <c r="AJ883" s="37"/>
      <c r="AK883" s="39"/>
      <c r="AL883" s="37"/>
      <c r="AM883" s="37"/>
      <c r="AN883" s="37"/>
      <c r="AO883" s="37"/>
    </row>
    <row r="884" spans="1:41">
      <c r="A884" s="37"/>
      <c r="B884" s="37"/>
      <c r="C884" s="37"/>
      <c r="D884" s="37"/>
      <c r="E884" s="37"/>
      <c r="F884" s="37"/>
      <c r="G884" s="37"/>
      <c r="H884" s="40"/>
      <c r="I884" s="40"/>
      <c r="J884" s="40"/>
      <c r="K884" s="37"/>
      <c r="L884" s="37"/>
      <c r="M884" s="37"/>
      <c r="N884" s="37"/>
      <c r="O884" s="37"/>
      <c r="P884" s="37"/>
      <c r="Q884" s="37"/>
      <c r="R884" s="37"/>
      <c r="S884" s="37"/>
      <c r="T884" s="37"/>
      <c r="U884" s="37"/>
      <c r="V884" s="37"/>
      <c r="W884" s="37"/>
      <c r="X884" s="37"/>
      <c r="Y884" s="37"/>
      <c r="Z884" s="37"/>
      <c r="AA884" s="37"/>
      <c r="AB884" s="37"/>
      <c r="AC884" s="37"/>
      <c r="AD884" s="37"/>
      <c r="AE884" s="37"/>
      <c r="AF884" s="37"/>
      <c r="AG884" s="37"/>
      <c r="AH884" s="37"/>
      <c r="AI884" s="37"/>
      <c r="AJ884" s="37"/>
      <c r="AK884" s="39"/>
      <c r="AL884" s="37"/>
      <c r="AM884" s="37"/>
      <c r="AN884" s="37"/>
      <c r="AO884" s="37"/>
    </row>
    <row r="885" spans="1:41">
      <c r="A885" s="37"/>
      <c r="B885" s="37"/>
      <c r="C885" s="37"/>
      <c r="D885" s="37"/>
      <c r="E885" s="37"/>
      <c r="F885" s="37"/>
      <c r="G885" s="37"/>
      <c r="H885" s="40"/>
      <c r="I885" s="40"/>
      <c r="J885" s="40"/>
      <c r="K885" s="37"/>
      <c r="L885" s="37"/>
      <c r="M885" s="37"/>
      <c r="N885" s="37"/>
      <c r="O885" s="37"/>
      <c r="P885" s="37"/>
      <c r="Q885" s="37"/>
      <c r="R885" s="37"/>
      <c r="S885" s="37"/>
      <c r="T885" s="37"/>
      <c r="U885" s="37"/>
      <c r="V885" s="37"/>
      <c r="W885" s="37"/>
      <c r="X885" s="37"/>
      <c r="Y885" s="37"/>
      <c r="Z885" s="37"/>
      <c r="AA885" s="37"/>
      <c r="AB885" s="37"/>
      <c r="AC885" s="37"/>
      <c r="AD885" s="37"/>
      <c r="AE885" s="37"/>
      <c r="AF885" s="37"/>
      <c r="AG885" s="37"/>
      <c r="AH885" s="37"/>
      <c r="AI885" s="37"/>
      <c r="AJ885" s="37"/>
      <c r="AK885" s="39"/>
      <c r="AL885" s="37"/>
      <c r="AM885" s="37"/>
      <c r="AN885" s="37"/>
      <c r="AO885" s="37"/>
    </row>
    <row r="886" spans="1:41">
      <c r="A886" s="37"/>
      <c r="B886" s="37"/>
      <c r="C886" s="37"/>
      <c r="D886" s="37"/>
      <c r="E886" s="37"/>
      <c r="F886" s="37"/>
      <c r="G886" s="37"/>
      <c r="H886" s="40"/>
      <c r="I886" s="40"/>
      <c r="J886" s="40"/>
      <c r="K886" s="37"/>
      <c r="L886" s="37"/>
      <c r="M886" s="37"/>
      <c r="N886" s="37"/>
      <c r="O886" s="37"/>
      <c r="P886" s="37"/>
      <c r="Q886" s="37"/>
      <c r="R886" s="37"/>
      <c r="S886" s="37"/>
      <c r="T886" s="37"/>
      <c r="U886" s="37"/>
      <c r="V886" s="37"/>
      <c r="W886" s="37"/>
      <c r="X886" s="37"/>
      <c r="Y886" s="37"/>
      <c r="Z886" s="37"/>
      <c r="AA886" s="37"/>
      <c r="AB886" s="37"/>
      <c r="AC886" s="37"/>
      <c r="AD886" s="37"/>
      <c r="AE886" s="37"/>
      <c r="AF886" s="37"/>
      <c r="AG886" s="37"/>
      <c r="AH886" s="37"/>
      <c r="AI886" s="37"/>
      <c r="AJ886" s="37"/>
      <c r="AK886" s="39"/>
      <c r="AL886" s="37"/>
      <c r="AM886" s="37"/>
      <c r="AN886" s="37"/>
      <c r="AO886" s="37"/>
    </row>
    <row r="887" spans="1:41">
      <c r="A887" s="37"/>
      <c r="B887" s="37"/>
      <c r="C887" s="37"/>
      <c r="D887" s="37"/>
      <c r="E887" s="37"/>
      <c r="F887" s="37"/>
      <c r="G887" s="37"/>
      <c r="H887" s="40"/>
      <c r="I887" s="40"/>
      <c r="J887" s="40"/>
      <c r="K887" s="37"/>
      <c r="L887" s="37"/>
      <c r="M887" s="37"/>
      <c r="N887" s="37"/>
      <c r="O887" s="37"/>
      <c r="P887" s="37"/>
      <c r="Q887" s="37"/>
      <c r="R887" s="37"/>
      <c r="S887" s="37"/>
      <c r="T887" s="37"/>
      <c r="U887" s="37"/>
      <c r="V887" s="37"/>
      <c r="W887" s="37"/>
      <c r="X887" s="37"/>
      <c r="Y887" s="37"/>
      <c r="Z887" s="37"/>
      <c r="AA887" s="37"/>
      <c r="AB887" s="37"/>
      <c r="AC887" s="37"/>
      <c r="AD887" s="37"/>
      <c r="AE887" s="37"/>
      <c r="AF887" s="37"/>
      <c r="AG887" s="37"/>
      <c r="AH887" s="37"/>
      <c r="AI887" s="37"/>
      <c r="AJ887" s="37"/>
      <c r="AK887" s="39"/>
      <c r="AL887" s="37"/>
      <c r="AM887" s="37"/>
      <c r="AN887" s="37"/>
      <c r="AO887" s="37"/>
    </row>
    <row r="888" spans="1:41">
      <c r="A888" s="37"/>
      <c r="B888" s="37"/>
      <c r="C888" s="37"/>
      <c r="D888" s="37"/>
      <c r="E888" s="37"/>
      <c r="F888" s="37"/>
      <c r="G888" s="37"/>
      <c r="H888" s="40"/>
      <c r="I888" s="40"/>
      <c r="J888" s="40"/>
      <c r="K888" s="37"/>
      <c r="L888" s="37"/>
      <c r="M888" s="37"/>
      <c r="N888" s="37"/>
      <c r="O888" s="37"/>
      <c r="P888" s="37"/>
      <c r="Q888" s="37"/>
      <c r="R888" s="37"/>
      <c r="S888" s="37"/>
      <c r="T888" s="37"/>
      <c r="U888" s="37"/>
      <c r="V888" s="37"/>
      <c r="W888" s="37"/>
      <c r="X888" s="37"/>
      <c r="Y888" s="37"/>
      <c r="Z888" s="37"/>
      <c r="AA888" s="37"/>
      <c r="AB888" s="37"/>
      <c r="AC888" s="37"/>
      <c r="AD888" s="37"/>
      <c r="AE888" s="37"/>
      <c r="AF888" s="37"/>
      <c r="AG888" s="37"/>
      <c r="AH888" s="37"/>
      <c r="AI888" s="37"/>
      <c r="AJ888" s="37"/>
      <c r="AK888" s="39"/>
      <c r="AL888" s="37"/>
      <c r="AM888" s="37"/>
      <c r="AN888" s="37"/>
      <c r="AO888" s="37"/>
    </row>
    <row r="889" spans="1:41">
      <c r="A889" s="37"/>
      <c r="B889" s="37"/>
      <c r="C889" s="37"/>
      <c r="D889" s="37"/>
      <c r="E889" s="37"/>
      <c r="F889" s="37"/>
      <c r="G889" s="37"/>
      <c r="H889" s="40"/>
      <c r="I889" s="40"/>
      <c r="J889" s="40"/>
      <c r="K889" s="37"/>
      <c r="L889" s="37"/>
      <c r="M889" s="37"/>
      <c r="N889" s="37"/>
      <c r="O889" s="37"/>
      <c r="P889" s="37"/>
      <c r="Q889" s="37"/>
      <c r="R889" s="37"/>
      <c r="S889" s="37"/>
      <c r="T889" s="37"/>
      <c r="U889" s="37"/>
      <c r="V889" s="37"/>
      <c r="W889" s="37"/>
      <c r="X889" s="37"/>
      <c r="Y889" s="37"/>
      <c r="Z889" s="37"/>
      <c r="AA889" s="37"/>
      <c r="AB889" s="37"/>
      <c r="AC889" s="37"/>
      <c r="AD889" s="37"/>
      <c r="AE889" s="37"/>
      <c r="AF889" s="37"/>
      <c r="AG889" s="37"/>
      <c r="AH889" s="37"/>
      <c r="AI889" s="37"/>
      <c r="AJ889" s="37"/>
      <c r="AK889" s="39"/>
      <c r="AL889" s="37"/>
      <c r="AM889" s="37"/>
      <c r="AN889" s="37"/>
      <c r="AO889" s="37"/>
    </row>
    <row r="890" spans="1:41">
      <c r="A890" s="37"/>
      <c r="B890" s="37"/>
      <c r="C890" s="37"/>
      <c r="D890" s="37"/>
      <c r="E890" s="37"/>
      <c r="F890" s="37"/>
      <c r="G890" s="37"/>
      <c r="H890" s="40"/>
      <c r="I890" s="40"/>
      <c r="J890" s="40"/>
      <c r="K890" s="37"/>
      <c r="L890" s="37"/>
      <c r="M890" s="37"/>
      <c r="N890" s="37"/>
      <c r="O890" s="37"/>
      <c r="P890" s="37"/>
      <c r="Q890" s="37"/>
      <c r="R890" s="37"/>
      <c r="S890" s="37"/>
      <c r="T890" s="37"/>
      <c r="U890" s="37"/>
      <c r="V890" s="37"/>
      <c r="W890" s="37"/>
      <c r="X890" s="37"/>
      <c r="Y890" s="37"/>
      <c r="Z890" s="37"/>
      <c r="AA890" s="37"/>
      <c r="AB890" s="37"/>
      <c r="AC890" s="37"/>
      <c r="AD890" s="37"/>
      <c r="AE890" s="37"/>
      <c r="AF890" s="37"/>
      <c r="AG890" s="37"/>
      <c r="AH890" s="37"/>
      <c r="AI890" s="37"/>
      <c r="AJ890" s="37"/>
      <c r="AK890" s="39"/>
      <c r="AL890" s="37"/>
      <c r="AM890" s="37"/>
      <c r="AN890" s="37"/>
      <c r="AO890" s="37"/>
    </row>
    <row r="891" spans="1:41">
      <c r="A891" s="37"/>
      <c r="B891" s="37"/>
      <c r="C891" s="37"/>
      <c r="D891" s="37"/>
      <c r="E891" s="37"/>
      <c r="F891" s="37"/>
      <c r="G891" s="37"/>
      <c r="H891" s="40"/>
      <c r="I891" s="40"/>
      <c r="J891" s="40"/>
      <c r="K891" s="37"/>
      <c r="L891" s="37"/>
      <c r="M891" s="37"/>
      <c r="N891" s="37"/>
      <c r="O891" s="37"/>
      <c r="P891" s="37"/>
      <c r="Q891" s="37"/>
      <c r="R891" s="37"/>
      <c r="S891" s="37"/>
      <c r="T891" s="37"/>
      <c r="U891" s="37"/>
      <c r="V891" s="37"/>
      <c r="W891" s="37"/>
      <c r="X891" s="37"/>
      <c r="Y891" s="37"/>
      <c r="Z891" s="37"/>
      <c r="AA891" s="37"/>
      <c r="AB891" s="37"/>
      <c r="AC891" s="37"/>
      <c r="AD891" s="37"/>
      <c r="AE891" s="37"/>
      <c r="AF891" s="37"/>
      <c r="AG891" s="37"/>
      <c r="AH891" s="37"/>
      <c r="AI891" s="37"/>
      <c r="AJ891" s="37"/>
      <c r="AK891" s="39"/>
      <c r="AL891" s="37"/>
      <c r="AM891" s="37"/>
      <c r="AN891" s="37"/>
      <c r="AO891" s="37"/>
    </row>
    <row r="892" spans="1:41">
      <c r="A892" s="37"/>
      <c r="B892" s="37"/>
      <c r="C892" s="37"/>
      <c r="D892" s="37"/>
      <c r="E892" s="37"/>
      <c r="F892" s="37"/>
      <c r="G892" s="37"/>
      <c r="H892" s="40"/>
      <c r="I892" s="40"/>
      <c r="J892" s="40"/>
      <c r="K892" s="37"/>
      <c r="L892" s="37"/>
      <c r="M892" s="37"/>
      <c r="N892" s="37"/>
      <c r="O892" s="37"/>
      <c r="P892" s="37"/>
      <c r="Q892" s="37"/>
      <c r="R892" s="37"/>
      <c r="S892" s="37"/>
      <c r="T892" s="37"/>
      <c r="U892" s="37"/>
      <c r="V892" s="37"/>
      <c r="W892" s="37"/>
      <c r="X892" s="37"/>
      <c r="Y892" s="37"/>
      <c r="Z892" s="37"/>
      <c r="AA892" s="37"/>
      <c r="AB892" s="37"/>
      <c r="AC892" s="37"/>
      <c r="AD892" s="37"/>
      <c r="AE892" s="37"/>
      <c r="AF892" s="37"/>
      <c r="AG892" s="37"/>
      <c r="AH892" s="37"/>
      <c r="AI892" s="37"/>
      <c r="AJ892" s="37"/>
      <c r="AK892" s="39"/>
      <c r="AL892" s="37"/>
      <c r="AM892" s="37"/>
      <c r="AN892" s="37"/>
      <c r="AO892" s="37"/>
    </row>
    <row r="893" spans="1:41">
      <c r="A893" s="37"/>
      <c r="B893" s="37"/>
      <c r="C893" s="37"/>
      <c r="D893" s="37"/>
      <c r="E893" s="37"/>
      <c r="F893" s="37"/>
      <c r="G893" s="37"/>
      <c r="H893" s="40"/>
      <c r="I893" s="40"/>
      <c r="J893" s="40"/>
      <c r="K893" s="37"/>
      <c r="L893" s="37"/>
      <c r="M893" s="37"/>
      <c r="N893" s="37"/>
      <c r="O893" s="37"/>
      <c r="P893" s="37"/>
      <c r="Q893" s="37"/>
      <c r="R893" s="37"/>
      <c r="S893" s="37"/>
      <c r="T893" s="37"/>
      <c r="U893" s="37"/>
      <c r="V893" s="37"/>
      <c r="W893" s="37"/>
      <c r="X893" s="37"/>
      <c r="Y893" s="37"/>
      <c r="Z893" s="37"/>
      <c r="AA893" s="37"/>
      <c r="AB893" s="37"/>
      <c r="AC893" s="37"/>
      <c r="AD893" s="37"/>
      <c r="AE893" s="37"/>
      <c r="AF893" s="37"/>
      <c r="AG893" s="37"/>
      <c r="AH893" s="37"/>
      <c r="AI893" s="37"/>
      <c r="AJ893" s="37"/>
      <c r="AK893" s="39"/>
      <c r="AL893" s="37"/>
      <c r="AM893" s="37"/>
      <c r="AN893" s="37"/>
      <c r="AO893" s="37"/>
    </row>
    <row r="894" spans="1:41">
      <c r="A894" s="37"/>
      <c r="B894" s="37"/>
      <c r="C894" s="37"/>
      <c r="D894" s="37"/>
      <c r="E894" s="37"/>
      <c r="F894" s="37"/>
      <c r="G894" s="37"/>
      <c r="H894" s="40"/>
      <c r="I894" s="40"/>
      <c r="J894" s="40"/>
      <c r="K894" s="37"/>
      <c r="L894" s="37"/>
      <c r="M894" s="37"/>
      <c r="N894" s="37"/>
      <c r="O894" s="37"/>
      <c r="P894" s="37"/>
      <c r="Q894" s="37"/>
      <c r="R894" s="37"/>
      <c r="S894" s="37"/>
      <c r="T894" s="37"/>
      <c r="U894" s="37"/>
      <c r="V894" s="37"/>
      <c r="W894" s="37"/>
      <c r="X894" s="37"/>
      <c r="Y894" s="37"/>
      <c r="Z894" s="37"/>
      <c r="AA894" s="37"/>
      <c r="AB894" s="37"/>
      <c r="AC894" s="37"/>
      <c r="AD894" s="37"/>
      <c r="AE894" s="37"/>
      <c r="AF894" s="37"/>
      <c r="AG894" s="37"/>
      <c r="AH894" s="37"/>
      <c r="AI894" s="37"/>
      <c r="AJ894" s="37"/>
      <c r="AK894" s="39"/>
      <c r="AL894" s="37"/>
      <c r="AM894" s="37"/>
      <c r="AN894" s="37"/>
      <c r="AO894" s="37"/>
    </row>
    <row r="895" spans="1:41">
      <c r="A895" s="37"/>
      <c r="B895" s="37"/>
      <c r="C895" s="37"/>
      <c r="D895" s="37"/>
      <c r="E895" s="37"/>
      <c r="F895" s="37"/>
      <c r="G895" s="37"/>
      <c r="H895" s="40"/>
      <c r="I895" s="40"/>
      <c r="J895" s="40"/>
      <c r="K895" s="37"/>
      <c r="L895" s="37"/>
      <c r="M895" s="37"/>
      <c r="N895" s="37"/>
      <c r="O895" s="37"/>
      <c r="P895" s="37"/>
      <c r="Q895" s="37"/>
      <c r="R895" s="37"/>
      <c r="S895" s="37"/>
      <c r="T895" s="37"/>
      <c r="U895" s="37"/>
      <c r="V895" s="37"/>
      <c r="W895" s="37"/>
      <c r="X895" s="37"/>
      <c r="Y895" s="37"/>
      <c r="Z895" s="37"/>
      <c r="AA895" s="37"/>
      <c r="AB895" s="37"/>
      <c r="AC895" s="37"/>
      <c r="AD895" s="37"/>
      <c r="AE895" s="37"/>
      <c r="AF895" s="37"/>
      <c r="AG895" s="37"/>
      <c r="AH895" s="37"/>
      <c r="AI895" s="37"/>
      <c r="AJ895" s="37"/>
      <c r="AK895" s="39"/>
      <c r="AL895" s="37"/>
      <c r="AM895" s="37"/>
      <c r="AN895" s="37"/>
      <c r="AO895" s="37"/>
    </row>
    <row r="896" spans="1:41">
      <c r="A896" s="37"/>
      <c r="B896" s="37"/>
      <c r="C896" s="37"/>
      <c r="D896" s="37"/>
      <c r="E896" s="37"/>
      <c r="F896" s="37"/>
      <c r="G896" s="37"/>
      <c r="H896" s="40"/>
      <c r="I896" s="40"/>
      <c r="J896" s="40"/>
      <c r="K896" s="37"/>
      <c r="L896" s="37"/>
      <c r="M896" s="37"/>
      <c r="N896" s="37"/>
      <c r="O896" s="37"/>
      <c r="P896" s="37"/>
      <c r="Q896" s="37"/>
      <c r="R896" s="37"/>
      <c r="S896" s="37"/>
      <c r="T896" s="37"/>
      <c r="U896" s="37"/>
      <c r="V896" s="37"/>
      <c r="W896" s="37"/>
      <c r="X896" s="37"/>
      <c r="Y896" s="37"/>
      <c r="Z896" s="37"/>
      <c r="AA896" s="37"/>
      <c r="AB896" s="37"/>
      <c r="AC896" s="37"/>
      <c r="AD896" s="37"/>
      <c r="AE896" s="37"/>
      <c r="AF896" s="37"/>
      <c r="AG896" s="37"/>
      <c r="AH896" s="37"/>
      <c r="AI896" s="37"/>
      <c r="AJ896" s="37"/>
      <c r="AK896" s="39"/>
      <c r="AL896" s="37"/>
      <c r="AM896" s="37"/>
      <c r="AN896" s="37"/>
      <c r="AO896" s="37"/>
    </row>
    <row r="897" spans="1:41">
      <c r="A897" s="37"/>
      <c r="B897" s="37"/>
      <c r="C897" s="37"/>
      <c r="D897" s="37"/>
      <c r="E897" s="37"/>
      <c r="F897" s="37"/>
      <c r="G897" s="37"/>
      <c r="H897" s="40"/>
      <c r="I897" s="40"/>
      <c r="J897" s="40"/>
      <c r="K897" s="37"/>
      <c r="L897" s="37"/>
      <c r="M897" s="37"/>
      <c r="N897" s="37"/>
      <c r="O897" s="37"/>
      <c r="P897" s="37"/>
      <c r="Q897" s="37"/>
      <c r="R897" s="37"/>
      <c r="S897" s="37"/>
      <c r="T897" s="37"/>
      <c r="U897" s="37"/>
      <c r="V897" s="37"/>
      <c r="W897" s="37"/>
      <c r="X897" s="37"/>
      <c r="Y897" s="37"/>
      <c r="Z897" s="37"/>
      <c r="AA897" s="37"/>
      <c r="AB897" s="37"/>
      <c r="AC897" s="37"/>
      <c r="AD897" s="37"/>
      <c r="AE897" s="37"/>
      <c r="AF897" s="37"/>
      <c r="AG897" s="37"/>
      <c r="AH897" s="37"/>
      <c r="AI897" s="37"/>
      <c r="AJ897" s="37"/>
      <c r="AK897" s="39"/>
      <c r="AL897" s="37"/>
      <c r="AM897" s="37"/>
      <c r="AN897" s="37"/>
      <c r="AO897" s="37"/>
    </row>
    <row r="898" spans="1:41">
      <c r="A898" s="37"/>
      <c r="B898" s="37"/>
      <c r="C898" s="37"/>
      <c r="D898" s="37"/>
      <c r="E898" s="37"/>
      <c r="F898" s="37"/>
      <c r="G898" s="37"/>
      <c r="H898" s="40"/>
      <c r="I898" s="40"/>
      <c r="J898" s="40"/>
      <c r="K898" s="37"/>
      <c r="L898" s="37"/>
      <c r="M898" s="37"/>
      <c r="N898" s="37"/>
      <c r="O898" s="37"/>
      <c r="P898" s="37"/>
      <c r="Q898" s="37"/>
      <c r="R898" s="37"/>
      <c r="S898" s="37"/>
      <c r="T898" s="37"/>
      <c r="U898" s="37"/>
      <c r="V898" s="37"/>
      <c r="W898" s="37"/>
      <c r="X898" s="37"/>
      <c r="Y898" s="37"/>
      <c r="Z898" s="37"/>
      <c r="AA898" s="37"/>
      <c r="AB898" s="37"/>
      <c r="AC898" s="37"/>
      <c r="AD898" s="37"/>
      <c r="AE898" s="37"/>
      <c r="AF898" s="37"/>
      <c r="AG898" s="37"/>
      <c r="AH898" s="37"/>
      <c r="AI898" s="37"/>
      <c r="AJ898" s="37"/>
      <c r="AK898" s="39"/>
      <c r="AL898" s="37"/>
      <c r="AM898" s="37"/>
      <c r="AN898" s="37"/>
      <c r="AO898" s="37"/>
    </row>
    <row r="899" spans="1:41">
      <c r="A899" s="37"/>
      <c r="B899" s="37"/>
      <c r="C899" s="37"/>
      <c r="D899" s="37"/>
      <c r="E899" s="37"/>
      <c r="F899" s="37"/>
      <c r="G899" s="37"/>
      <c r="H899" s="40"/>
      <c r="I899" s="40"/>
      <c r="J899" s="40"/>
      <c r="K899" s="37"/>
      <c r="L899" s="37"/>
      <c r="M899" s="37"/>
      <c r="N899" s="37"/>
      <c r="O899" s="37"/>
      <c r="P899" s="37"/>
      <c r="Q899" s="37"/>
      <c r="R899" s="37"/>
      <c r="S899" s="37"/>
      <c r="T899" s="37"/>
      <c r="U899" s="37"/>
      <c r="V899" s="37"/>
      <c r="W899" s="37"/>
      <c r="X899" s="37"/>
      <c r="Y899" s="37"/>
      <c r="Z899" s="37"/>
      <c r="AA899" s="37"/>
      <c r="AB899" s="37"/>
      <c r="AC899" s="37"/>
      <c r="AD899" s="37"/>
      <c r="AE899" s="37"/>
      <c r="AF899" s="37"/>
      <c r="AG899" s="37"/>
      <c r="AH899" s="37"/>
      <c r="AI899" s="37"/>
      <c r="AJ899" s="37"/>
      <c r="AK899" s="39"/>
      <c r="AL899" s="37"/>
      <c r="AM899" s="37"/>
      <c r="AN899" s="37"/>
      <c r="AO899" s="37"/>
    </row>
    <row r="900" spans="1:41">
      <c r="A900" s="37"/>
      <c r="B900" s="37"/>
      <c r="C900" s="37"/>
      <c r="D900" s="37"/>
      <c r="E900" s="37"/>
      <c r="F900" s="37"/>
      <c r="G900" s="37"/>
      <c r="H900" s="40"/>
      <c r="I900" s="40"/>
      <c r="J900" s="40"/>
      <c r="K900" s="37"/>
      <c r="L900" s="37"/>
      <c r="M900" s="37"/>
      <c r="N900" s="37"/>
      <c r="O900" s="37"/>
      <c r="P900" s="37"/>
      <c r="Q900" s="37"/>
      <c r="R900" s="37"/>
      <c r="S900" s="37"/>
      <c r="T900" s="37"/>
      <c r="U900" s="37"/>
      <c r="V900" s="37"/>
      <c r="W900" s="37"/>
      <c r="X900" s="37"/>
      <c r="Y900" s="37"/>
      <c r="Z900" s="37"/>
      <c r="AA900" s="37"/>
      <c r="AB900" s="37"/>
      <c r="AC900" s="37"/>
      <c r="AD900" s="37"/>
      <c r="AE900" s="37"/>
      <c r="AF900" s="37"/>
      <c r="AG900" s="37"/>
      <c r="AH900" s="37"/>
      <c r="AI900" s="37"/>
      <c r="AJ900" s="37"/>
      <c r="AK900" s="39"/>
      <c r="AL900" s="37"/>
      <c r="AM900" s="37"/>
      <c r="AN900" s="37"/>
      <c r="AO900" s="37"/>
    </row>
    <row r="901" spans="1:41">
      <c r="A901" s="37"/>
      <c r="B901" s="37"/>
      <c r="C901" s="37"/>
      <c r="D901" s="37"/>
      <c r="E901" s="37"/>
      <c r="F901" s="37"/>
      <c r="G901" s="37"/>
      <c r="H901" s="40"/>
      <c r="I901" s="40"/>
      <c r="J901" s="40"/>
      <c r="K901" s="37"/>
      <c r="L901" s="37"/>
      <c r="M901" s="37"/>
      <c r="N901" s="37"/>
      <c r="O901" s="37"/>
      <c r="P901" s="37"/>
      <c r="Q901" s="37"/>
      <c r="R901" s="37"/>
      <c r="S901" s="37"/>
      <c r="T901" s="37"/>
      <c r="U901" s="37"/>
      <c r="V901" s="37"/>
      <c r="W901" s="37"/>
      <c r="X901" s="37"/>
      <c r="Y901" s="37"/>
      <c r="Z901" s="37"/>
      <c r="AA901" s="37"/>
      <c r="AB901" s="37"/>
      <c r="AC901" s="37"/>
      <c r="AD901" s="37"/>
      <c r="AE901" s="37"/>
      <c r="AF901" s="37"/>
      <c r="AG901" s="37"/>
      <c r="AH901" s="37"/>
      <c r="AI901" s="37"/>
      <c r="AJ901" s="37"/>
      <c r="AK901" s="39"/>
      <c r="AL901" s="37"/>
      <c r="AM901" s="37"/>
      <c r="AN901" s="37"/>
      <c r="AO901" s="37"/>
    </row>
    <row r="902" spans="1:41">
      <c r="A902" s="37"/>
      <c r="B902" s="37"/>
      <c r="C902" s="37"/>
      <c r="D902" s="37"/>
      <c r="E902" s="37"/>
      <c r="F902" s="37"/>
      <c r="G902" s="37"/>
      <c r="H902" s="40"/>
      <c r="I902" s="40"/>
      <c r="J902" s="40"/>
      <c r="K902" s="37"/>
      <c r="L902" s="37"/>
      <c r="M902" s="37"/>
      <c r="N902" s="37"/>
      <c r="O902" s="37"/>
      <c r="P902" s="37"/>
      <c r="Q902" s="37"/>
      <c r="R902" s="37"/>
      <c r="S902" s="37"/>
      <c r="T902" s="37"/>
      <c r="U902" s="37"/>
      <c r="V902" s="37"/>
      <c r="W902" s="37"/>
      <c r="X902" s="37"/>
      <c r="Y902" s="37"/>
      <c r="Z902" s="37"/>
      <c r="AA902" s="37"/>
      <c r="AB902" s="37"/>
      <c r="AC902" s="37"/>
      <c r="AD902" s="37"/>
      <c r="AE902" s="37"/>
      <c r="AF902" s="37"/>
      <c r="AG902" s="37"/>
      <c r="AH902" s="37"/>
      <c r="AI902" s="37"/>
      <c r="AJ902" s="37"/>
      <c r="AK902" s="39"/>
      <c r="AL902" s="37"/>
      <c r="AM902" s="37"/>
      <c r="AN902" s="37"/>
      <c r="AO902" s="37"/>
    </row>
    <row r="903" spans="1:41">
      <c r="A903" s="37"/>
      <c r="B903" s="37"/>
      <c r="C903" s="37"/>
      <c r="D903" s="37"/>
      <c r="E903" s="37"/>
      <c r="F903" s="37"/>
      <c r="G903" s="37"/>
      <c r="H903" s="40"/>
      <c r="I903" s="40"/>
      <c r="J903" s="40"/>
      <c r="K903" s="37"/>
      <c r="L903" s="37"/>
      <c r="M903" s="37"/>
      <c r="N903" s="37"/>
      <c r="O903" s="37"/>
      <c r="P903" s="37"/>
      <c r="Q903" s="37"/>
      <c r="R903" s="37"/>
      <c r="S903" s="37"/>
      <c r="T903" s="37"/>
      <c r="U903" s="37"/>
      <c r="V903" s="37"/>
      <c r="W903" s="37"/>
      <c r="X903" s="37"/>
      <c r="Y903" s="37"/>
      <c r="Z903" s="37"/>
      <c r="AA903" s="37"/>
      <c r="AB903" s="37"/>
      <c r="AC903" s="37"/>
      <c r="AD903" s="37"/>
      <c r="AE903" s="37"/>
      <c r="AF903" s="37"/>
      <c r="AG903" s="37"/>
      <c r="AH903" s="37"/>
      <c r="AI903" s="37"/>
      <c r="AJ903" s="37"/>
      <c r="AK903" s="39"/>
      <c r="AL903" s="37"/>
      <c r="AM903" s="37"/>
      <c r="AN903" s="37"/>
      <c r="AO903" s="37"/>
    </row>
    <row r="904" spans="1:41">
      <c r="A904" s="37"/>
      <c r="B904" s="37"/>
      <c r="C904" s="37"/>
      <c r="D904" s="37"/>
      <c r="E904" s="37"/>
      <c r="F904" s="37"/>
      <c r="G904" s="37"/>
      <c r="H904" s="40"/>
      <c r="I904" s="40"/>
      <c r="J904" s="40"/>
      <c r="K904" s="37"/>
      <c r="L904" s="37"/>
      <c r="M904" s="37"/>
      <c r="N904" s="37"/>
      <c r="O904" s="37"/>
      <c r="P904" s="37"/>
      <c r="Q904" s="37"/>
      <c r="R904" s="37"/>
      <c r="S904" s="37"/>
      <c r="T904" s="37"/>
      <c r="U904" s="37"/>
      <c r="V904" s="37"/>
      <c r="W904" s="37"/>
      <c r="X904" s="37"/>
      <c r="Y904" s="37"/>
      <c r="Z904" s="37"/>
      <c r="AA904" s="37"/>
      <c r="AB904" s="37"/>
      <c r="AC904" s="37"/>
      <c r="AD904" s="37"/>
      <c r="AE904" s="37"/>
      <c r="AF904" s="37"/>
      <c r="AG904" s="37"/>
      <c r="AH904" s="37"/>
      <c r="AI904" s="37"/>
      <c r="AJ904" s="37"/>
      <c r="AK904" s="39"/>
      <c r="AL904" s="37"/>
      <c r="AM904" s="37"/>
      <c r="AN904" s="37"/>
      <c r="AO904" s="37"/>
    </row>
    <row r="905" spans="1:41">
      <c r="A905" s="37"/>
      <c r="B905" s="37"/>
      <c r="C905" s="37"/>
      <c r="D905" s="37"/>
      <c r="E905" s="37"/>
      <c r="F905" s="37"/>
      <c r="G905" s="37"/>
      <c r="H905" s="40"/>
      <c r="I905" s="40"/>
      <c r="J905" s="40"/>
      <c r="K905" s="37"/>
      <c r="L905" s="37"/>
      <c r="M905" s="37"/>
      <c r="N905" s="37"/>
      <c r="O905" s="37"/>
      <c r="P905" s="37"/>
      <c r="Q905" s="37"/>
      <c r="R905" s="37"/>
      <c r="S905" s="37"/>
      <c r="T905" s="37"/>
      <c r="U905" s="37"/>
      <c r="V905" s="37"/>
      <c r="W905" s="37"/>
      <c r="X905" s="37"/>
      <c r="Y905" s="37"/>
      <c r="Z905" s="37"/>
      <c r="AA905" s="37"/>
      <c r="AB905" s="37"/>
      <c r="AC905" s="37"/>
      <c r="AD905" s="37"/>
      <c r="AE905" s="37"/>
      <c r="AF905" s="37"/>
      <c r="AG905" s="37"/>
      <c r="AH905" s="37"/>
      <c r="AI905" s="37"/>
      <c r="AJ905" s="37"/>
      <c r="AK905" s="39"/>
      <c r="AL905" s="37"/>
      <c r="AM905" s="37"/>
      <c r="AN905" s="37"/>
      <c r="AO905" s="37"/>
    </row>
    <row r="906" spans="1:41">
      <c r="A906" s="37"/>
      <c r="B906" s="37"/>
      <c r="C906" s="37"/>
      <c r="D906" s="37"/>
      <c r="E906" s="37"/>
      <c r="F906" s="37"/>
      <c r="G906" s="37"/>
      <c r="H906" s="40"/>
      <c r="I906" s="40"/>
      <c r="J906" s="40"/>
      <c r="K906" s="37"/>
      <c r="L906" s="37"/>
      <c r="M906" s="37"/>
      <c r="N906" s="37"/>
      <c r="O906" s="37"/>
      <c r="P906" s="37"/>
      <c r="Q906" s="37"/>
      <c r="R906" s="37"/>
      <c r="S906" s="37"/>
      <c r="T906" s="37"/>
      <c r="U906" s="37"/>
      <c r="V906" s="37"/>
      <c r="W906" s="37"/>
      <c r="X906" s="37"/>
      <c r="Y906" s="37"/>
      <c r="Z906" s="37"/>
      <c r="AA906" s="37"/>
      <c r="AB906" s="37"/>
      <c r="AC906" s="37"/>
      <c r="AD906" s="37"/>
      <c r="AE906" s="37"/>
      <c r="AF906" s="37"/>
      <c r="AG906" s="37"/>
      <c r="AH906" s="37"/>
      <c r="AI906" s="37"/>
      <c r="AJ906" s="37"/>
      <c r="AK906" s="39"/>
      <c r="AL906" s="37"/>
      <c r="AM906" s="37"/>
      <c r="AN906" s="37"/>
      <c r="AO906" s="37"/>
    </row>
    <row r="907" spans="1:41">
      <c r="A907" s="37"/>
      <c r="B907" s="37"/>
      <c r="C907" s="37"/>
      <c r="D907" s="37"/>
      <c r="E907" s="37"/>
      <c r="F907" s="37"/>
      <c r="G907" s="37"/>
      <c r="H907" s="40"/>
      <c r="I907" s="40"/>
      <c r="J907" s="40"/>
      <c r="K907" s="37"/>
      <c r="L907" s="37"/>
      <c r="M907" s="37"/>
      <c r="N907" s="37"/>
      <c r="O907" s="37"/>
      <c r="P907" s="37"/>
      <c r="Q907" s="37"/>
      <c r="R907" s="37"/>
      <c r="S907" s="37"/>
      <c r="T907" s="37"/>
      <c r="U907" s="37"/>
      <c r="V907" s="37"/>
      <c r="W907" s="37"/>
      <c r="X907" s="37"/>
      <c r="Y907" s="37"/>
      <c r="Z907" s="37"/>
      <c r="AA907" s="37"/>
      <c r="AB907" s="37"/>
      <c r="AC907" s="37"/>
      <c r="AD907" s="37"/>
      <c r="AE907" s="37"/>
      <c r="AF907" s="37"/>
      <c r="AG907" s="37"/>
      <c r="AH907" s="37"/>
      <c r="AI907" s="37"/>
      <c r="AJ907" s="37"/>
      <c r="AK907" s="39"/>
      <c r="AL907" s="37"/>
      <c r="AM907" s="37"/>
      <c r="AN907" s="37"/>
      <c r="AO907" s="37"/>
    </row>
    <row r="908" spans="1:41">
      <c r="A908" s="37"/>
      <c r="B908" s="37"/>
      <c r="C908" s="37"/>
      <c r="D908" s="37"/>
      <c r="E908" s="37"/>
      <c r="F908" s="37"/>
      <c r="G908" s="37"/>
      <c r="H908" s="40"/>
      <c r="I908" s="40"/>
      <c r="J908" s="40"/>
      <c r="K908" s="37"/>
      <c r="L908" s="37"/>
      <c r="M908" s="37"/>
      <c r="N908" s="37"/>
      <c r="O908" s="37"/>
      <c r="P908" s="37"/>
      <c r="Q908" s="37"/>
      <c r="R908" s="37"/>
      <c r="S908" s="37"/>
      <c r="T908" s="37"/>
      <c r="U908" s="37"/>
      <c r="V908" s="37"/>
      <c r="W908" s="37"/>
      <c r="X908" s="37"/>
      <c r="Y908" s="37"/>
      <c r="Z908" s="37"/>
      <c r="AA908" s="37"/>
      <c r="AB908" s="37"/>
      <c r="AC908" s="37"/>
      <c r="AD908" s="37"/>
      <c r="AE908" s="37"/>
      <c r="AF908" s="37"/>
      <c r="AG908" s="37"/>
      <c r="AH908" s="37"/>
      <c r="AI908" s="37"/>
      <c r="AJ908" s="37"/>
      <c r="AK908" s="39"/>
      <c r="AL908" s="37"/>
      <c r="AM908" s="37"/>
      <c r="AN908" s="37"/>
      <c r="AO908" s="37"/>
    </row>
    <row r="909" spans="1:41">
      <c r="A909" s="37"/>
      <c r="B909" s="37"/>
      <c r="C909" s="37"/>
      <c r="D909" s="37"/>
      <c r="E909" s="37"/>
      <c r="F909" s="37"/>
      <c r="G909" s="37"/>
      <c r="H909" s="40"/>
      <c r="I909" s="40"/>
      <c r="J909" s="40"/>
      <c r="K909" s="37"/>
      <c r="L909" s="37"/>
      <c r="M909" s="37"/>
      <c r="N909" s="37"/>
      <c r="O909" s="37"/>
      <c r="P909" s="37"/>
      <c r="Q909" s="37"/>
      <c r="R909" s="37"/>
      <c r="S909" s="37"/>
      <c r="T909" s="37"/>
      <c r="U909" s="37"/>
      <c r="V909" s="37"/>
      <c r="W909" s="37"/>
      <c r="X909" s="37"/>
      <c r="Y909" s="37"/>
      <c r="Z909" s="37"/>
      <c r="AA909" s="37"/>
      <c r="AB909" s="37"/>
      <c r="AC909" s="37"/>
      <c r="AD909" s="37"/>
      <c r="AE909" s="37"/>
      <c r="AF909" s="37"/>
      <c r="AG909" s="37"/>
      <c r="AH909" s="37"/>
      <c r="AI909" s="37"/>
      <c r="AJ909" s="37"/>
      <c r="AK909" s="39"/>
      <c r="AL909" s="37"/>
      <c r="AM909" s="37"/>
      <c r="AN909" s="37"/>
      <c r="AO909" s="37"/>
    </row>
    <row r="910" spans="1:41">
      <c r="A910" s="37"/>
      <c r="B910" s="37"/>
      <c r="C910" s="37"/>
      <c r="D910" s="37"/>
      <c r="E910" s="37"/>
      <c r="F910" s="37"/>
      <c r="G910" s="37"/>
      <c r="H910" s="40"/>
      <c r="I910" s="40"/>
      <c r="J910" s="40"/>
      <c r="K910" s="37"/>
      <c r="L910" s="37"/>
      <c r="M910" s="37"/>
      <c r="N910" s="37"/>
      <c r="O910" s="37"/>
      <c r="P910" s="37"/>
      <c r="Q910" s="37"/>
      <c r="R910" s="37"/>
      <c r="S910" s="37"/>
      <c r="T910" s="37"/>
      <c r="U910" s="37"/>
      <c r="V910" s="37"/>
      <c r="W910" s="37"/>
      <c r="X910" s="37"/>
      <c r="Y910" s="37"/>
      <c r="Z910" s="37"/>
      <c r="AA910" s="37"/>
      <c r="AB910" s="37"/>
      <c r="AC910" s="37"/>
      <c r="AD910" s="37"/>
      <c r="AE910" s="37"/>
      <c r="AF910" s="37"/>
      <c r="AG910" s="37"/>
      <c r="AH910" s="37"/>
      <c r="AI910" s="37"/>
      <c r="AJ910" s="37"/>
      <c r="AK910" s="39"/>
      <c r="AL910" s="37"/>
      <c r="AM910" s="37"/>
      <c r="AN910" s="37"/>
      <c r="AO910" s="37"/>
    </row>
    <row r="911" spans="1:41">
      <c r="A911" s="37"/>
      <c r="B911" s="37"/>
      <c r="C911" s="37"/>
      <c r="D911" s="37"/>
      <c r="E911" s="37"/>
      <c r="F911" s="37"/>
      <c r="G911" s="37"/>
      <c r="H911" s="40"/>
      <c r="I911" s="40"/>
      <c r="J911" s="40"/>
      <c r="K911" s="37"/>
      <c r="L911" s="37"/>
      <c r="M911" s="37"/>
      <c r="N911" s="37"/>
      <c r="O911" s="37"/>
      <c r="P911" s="37"/>
      <c r="Q911" s="37"/>
      <c r="R911" s="37"/>
      <c r="S911" s="37"/>
      <c r="T911" s="37"/>
      <c r="U911" s="37"/>
      <c r="V911" s="37"/>
      <c r="W911" s="37"/>
      <c r="X911" s="37"/>
      <c r="Y911" s="37"/>
      <c r="Z911" s="37"/>
      <c r="AA911" s="37"/>
      <c r="AB911" s="37"/>
      <c r="AC911" s="37"/>
      <c r="AD911" s="37"/>
      <c r="AE911" s="37"/>
      <c r="AF911" s="37"/>
      <c r="AG911" s="37"/>
      <c r="AH911" s="37"/>
      <c r="AI911" s="37"/>
      <c r="AJ911" s="37"/>
      <c r="AK911" s="39"/>
      <c r="AL911" s="37"/>
      <c r="AM911" s="37"/>
      <c r="AN911" s="37"/>
      <c r="AO911" s="37"/>
    </row>
    <row r="912" spans="1:41">
      <c r="A912" s="37"/>
      <c r="B912" s="37"/>
      <c r="C912" s="37"/>
      <c r="D912" s="37"/>
      <c r="E912" s="37"/>
      <c r="F912" s="37"/>
      <c r="G912" s="37"/>
      <c r="H912" s="40"/>
      <c r="I912" s="40"/>
      <c r="J912" s="40"/>
      <c r="K912" s="37"/>
      <c r="L912" s="37"/>
      <c r="M912" s="37"/>
      <c r="N912" s="37"/>
      <c r="O912" s="37"/>
      <c r="P912" s="37"/>
      <c r="Q912" s="37"/>
      <c r="R912" s="37"/>
      <c r="S912" s="37"/>
      <c r="T912" s="37"/>
      <c r="U912" s="37"/>
      <c r="V912" s="37"/>
      <c r="W912" s="37"/>
      <c r="X912" s="37"/>
      <c r="Y912" s="37"/>
      <c r="Z912" s="37"/>
      <c r="AA912" s="37"/>
      <c r="AB912" s="37"/>
      <c r="AC912" s="37"/>
      <c r="AD912" s="37"/>
      <c r="AE912" s="37"/>
      <c r="AF912" s="37"/>
      <c r="AG912" s="37"/>
      <c r="AH912" s="37"/>
      <c r="AI912" s="37"/>
      <c r="AJ912" s="37"/>
      <c r="AK912" s="39"/>
      <c r="AL912" s="37"/>
      <c r="AM912" s="37"/>
      <c r="AN912" s="37"/>
      <c r="AO912" s="37"/>
    </row>
    <row r="913" spans="1:41">
      <c r="A913" s="37"/>
      <c r="B913" s="37"/>
      <c r="C913" s="37"/>
      <c r="D913" s="37"/>
      <c r="E913" s="37"/>
      <c r="F913" s="37"/>
      <c r="G913" s="37"/>
      <c r="H913" s="40"/>
      <c r="I913" s="40"/>
      <c r="J913" s="40"/>
      <c r="K913" s="37"/>
      <c r="L913" s="37"/>
      <c r="M913" s="37"/>
      <c r="N913" s="37"/>
      <c r="O913" s="37"/>
      <c r="P913" s="37"/>
      <c r="Q913" s="37"/>
      <c r="R913" s="37"/>
      <c r="S913" s="37"/>
      <c r="T913" s="37"/>
      <c r="U913" s="37"/>
      <c r="V913" s="37"/>
      <c r="W913" s="37"/>
      <c r="X913" s="37"/>
      <c r="Y913" s="37"/>
      <c r="Z913" s="37"/>
      <c r="AA913" s="37"/>
      <c r="AB913" s="37"/>
      <c r="AC913" s="37"/>
      <c r="AD913" s="37"/>
      <c r="AE913" s="37"/>
      <c r="AF913" s="37"/>
      <c r="AG913" s="37"/>
      <c r="AH913" s="37"/>
      <c r="AI913" s="37"/>
      <c r="AJ913" s="37"/>
      <c r="AK913" s="39"/>
      <c r="AL913" s="37"/>
      <c r="AM913" s="37"/>
      <c r="AN913" s="37"/>
      <c r="AO913" s="37"/>
    </row>
    <row r="914" spans="1:41">
      <c r="A914" s="37"/>
      <c r="B914" s="37"/>
      <c r="C914" s="37"/>
      <c r="D914" s="37"/>
      <c r="E914" s="37"/>
      <c r="F914" s="37"/>
      <c r="G914" s="37"/>
      <c r="H914" s="40"/>
      <c r="I914" s="40"/>
      <c r="J914" s="40"/>
      <c r="K914" s="37"/>
      <c r="L914" s="37"/>
      <c r="M914" s="37"/>
      <c r="N914" s="37"/>
      <c r="O914" s="37"/>
      <c r="P914" s="37"/>
      <c r="Q914" s="37"/>
      <c r="R914" s="37"/>
      <c r="S914" s="37"/>
      <c r="T914" s="37"/>
      <c r="U914" s="37"/>
      <c r="V914" s="37"/>
      <c r="W914" s="37"/>
      <c r="X914" s="37"/>
      <c r="Y914" s="37"/>
      <c r="Z914" s="37"/>
      <c r="AA914" s="37"/>
      <c r="AB914" s="37"/>
      <c r="AC914" s="37"/>
      <c r="AD914" s="37"/>
      <c r="AE914" s="37"/>
      <c r="AF914" s="37"/>
      <c r="AG914" s="37"/>
      <c r="AH914" s="37"/>
      <c r="AI914" s="37"/>
      <c r="AJ914" s="37"/>
      <c r="AK914" s="39"/>
      <c r="AL914" s="37"/>
      <c r="AM914" s="37"/>
      <c r="AN914" s="37"/>
      <c r="AO914" s="37"/>
    </row>
    <row r="915" spans="1:41">
      <c r="A915" s="37"/>
      <c r="B915" s="37"/>
      <c r="C915" s="37"/>
      <c r="D915" s="37"/>
      <c r="E915" s="37"/>
      <c r="F915" s="37"/>
      <c r="G915" s="37"/>
      <c r="H915" s="40"/>
      <c r="I915" s="40"/>
      <c r="J915" s="40"/>
      <c r="K915" s="37"/>
      <c r="L915" s="37"/>
      <c r="M915" s="37"/>
      <c r="N915" s="37"/>
      <c r="O915" s="37"/>
      <c r="P915" s="37"/>
      <c r="Q915" s="37"/>
      <c r="R915" s="37"/>
      <c r="S915" s="37"/>
      <c r="T915" s="37"/>
      <c r="U915" s="37"/>
      <c r="V915" s="37"/>
      <c r="W915" s="37"/>
      <c r="X915" s="37"/>
      <c r="Y915" s="37"/>
      <c r="Z915" s="37"/>
      <c r="AA915" s="37"/>
      <c r="AB915" s="37"/>
      <c r="AC915" s="37"/>
      <c r="AD915" s="37"/>
      <c r="AE915" s="37"/>
      <c r="AF915" s="37"/>
      <c r="AG915" s="37"/>
      <c r="AH915" s="37"/>
      <c r="AI915" s="37"/>
      <c r="AJ915" s="37"/>
      <c r="AK915" s="39"/>
      <c r="AL915" s="37"/>
      <c r="AM915" s="37"/>
      <c r="AN915" s="37"/>
      <c r="AO915" s="37"/>
    </row>
    <row r="916" spans="1:41">
      <c r="A916" s="37"/>
      <c r="B916" s="37"/>
      <c r="C916" s="37"/>
      <c r="D916" s="37"/>
      <c r="E916" s="37"/>
      <c r="F916" s="37"/>
      <c r="G916" s="37"/>
      <c r="H916" s="40"/>
      <c r="I916" s="40"/>
      <c r="J916" s="40"/>
      <c r="K916" s="37"/>
      <c r="L916" s="37"/>
      <c r="M916" s="37"/>
      <c r="N916" s="37"/>
      <c r="O916" s="37"/>
      <c r="P916" s="37"/>
      <c r="Q916" s="37"/>
      <c r="R916" s="37"/>
      <c r="S916" s="37"/>
      <c r="T916" s="37"/>
      <c r="U916" s="37"/>
      <c r="V916" s="37"/>
      <c r="W916" s="37"/>
      <c r="X916" s="37"/>
      <c r="Y916" s="37"/>
      <c r="Z916" s="37"/>
      <c r="AA916" s="37"/>
      <c r="AB916" s="37"/>
      <c r="AC916" s="37"/>
      <c r="AD916" s="37"/>
      <c r="AE916" s="37"/>
      <c r="AF916" s="37"/>
      <c r="AG916" s="37"/>
      <c r="AH916" s="37"/>
      <c r="AI916" s="37"/>
      <c r="AJ916" s="37"/>
      <c r="AK916" s="39"/>
      <c r="AL916" s="37"/>
      <c r="AM916" s="37"/>
      <c r="AN916" s="37"/>
      <c r="AO916" s="37"/>
    </row>
    <row r="917" spans="1:41">
      <c r="A917" s="37"/>
      <c r="B917" s="37"/>
      <c r="C917" s="37"/>
      <c r="D917" s="37"/>
      <c r="E917" s="37"/>
      <c r="F917" s="37"/>
      <c r="G917" s="37"/>
      <c r="H917" s="40"/>
      <c r="I917" s="40"/>
      <c r="J917" s="40"/>
      <c r="K917" s="37"/>
      <c r="L917" s="37"/>
      <c r="M917" s="37"/>
      <c r="N917" s="37"/>
      <c r="O917" s="37"/>
      <c r="P917" s="37"/>
      <c r="Q917" s="37"/>
      <c r="R917" s="37"/>
      <c r="S917" s="37"/>
      <c r="T917" s="37"/>
      <c r="U917" s="37"/>
      <c r="V917" s="37"/>
      <c r="W917" s="37"/>
      <c r="X917" s="37"/>
      <c r="Y917" s="37"/>
      <c r="Z917" s="37"/>
      <c r="AA917" s="37"/>
      <c r="AB917" s="37"/>
      <c r="AC917" s="37"/>
      <c r="AD917" s="37"/>
      <c r="AE917" s="37"/>
      <c r="AF917" s="37"/>
      <c r="AG917" s="37"/>
      <c r="AH917" s="37"/>
      <c r="AI917" s="37"/>
      <c r="AJ917" s="37"/>
      <c r="AK917" s="39"/>
      <c r="AL917" s="37"/>
      <c r="AM917" s="37"/>
      <c r="AN917" s="37"/>
      <c r="AO917" s="37"/>
    </row>
    <row r="918" spans="1:41">
      <c r="A918" s="37"/>
      <c r="B918" s="37"/>
      <c r="C918" s="37"/>
      <c r="D918" s="37"/>
      <c r="E918" s="37"/>
      <c r="F918" s="37"/>
      <c r="G918" s="37"/>
      <c r="H918" s="40"/>
      <c r="I918" s="40"/>
      <c r="J918" s="40"/>
      <c r="K918" s="37"/>
      <c r="L918" s="37"/>
      <c r="M918" s="37"/>
      <c r="N918" s="37"/>
      <c r="O918" s="37"/>
      <c r="P918" s="37"/>
      <c r="Q918" s="37"/>
      <c r="R918" s="37"/>
      <c r="S918" s="37"/>
      <c r="T918" s="37"/>
      <c r="U918" s="37"/>
      <c r="V918" s="37"/>
      <c r="W918" s="37"/>
      <c r="X918" s="37"/>
      <c r="Y918" s="37"/>
      <c r="Z918" s="37"/>
      <c r="AA918" s="37"/>
      <c r="AB918" s="37"/>
      <c r="AC918" s="37"/>
      <c r="AD918" s="37"/>
      <c r="AE918" s="37"/>
      <c r="AF918" s="37"/>
      <c r="AG918" s="37"/>
      <c r="AH918" s="37"/>
      <c r="AI918" s="37"/>
      <c r="AJ918" s="37"/>
      <c r="AK918" s="39"/>
      <c r="AL918" s="37"/>
      <c r="AM918" s="37"/>
      <c r="AN918" s="37"/>
      <c r="AO918" s="37"/>
    </row>
    <row r="919" spans="1:41">
      <c r="A919" s="37"/>
      <c r="B919" s="37"/>
      <c r="C919" s="37"/>
      <c r="D919" s="37"/>
      <c r="E919" s="37"/>
      <c r="F919" s="37"/>
      <c r="G919" s="37"/>
      <c r="H919" s="40"/>
      <c r="I919" s="40"/>
      <c r="J919" s="40"/>
      <c r="K919" s="37"/>
      <c r="L919" s="37"/>
      <c r="M919" s="37"/>
      <c r="N919" s="37"/>
      <c r="O919" s="37"/>
      <c r="P919" s="37"/>
      <c r="Q919" s="37"/>
      <c r="R919" s="37"/>
      <c r="S919" s="37"/>
      <c r="T919" s="37"/>
      <c r="U919" s="37"/>
      <c r="V919" s="37"/>
      <c r="W919" s="37"/>
      <c r="X919" s="37"/>
      <c r="Y919" s="37"/>
      <c r="Z919" s="37"/>
      <c r="AA919" s="37"/>
      <c r="AB919" s="37"/>
      <c r="AC919" s="37"/>
      <c r="AD919" s="37"/>
      <c r="AE919" s="37"/>
      <c r="AF919" s="37"/>
      <c r="AG919" s="37"/>
      <c r="AH919" s="37"/>
      <c r="AI919" s="37"/>
      <c r="AJ919" s="37"/>
      <c r="AK919" s="39"/>
      <c r="AL919" s="37"/>
      <c r="AM919" s="37"/>
      <c r="AN919" s="37"/>
      <c r="AO919" s="37"/>
    </row>
    <row r="920" spans="1:41">
      <c r="A920" s="37"/>
      <c r="B920" s="37"/>
      <c r="C920" s="37"/>
      <c r="D920" s="37"/>
      <c r="E920" s="37"/>
      <c r="F920" s="37"/>
      <c r="G920" s="37"/>
      <c r="H920" s="40"/>
      <c r="I920" s="40"/>
      <c r="J920" s="40"/>
      <c r="K920" s="37"/>
      <c r="L920" s="37"/>
      <c r="M920" s="37"/>
      <c r="N920" s="37"/>
      <c r="O920" s="37"/>
      <c r="P920" s="37"/>
      <c r="Q920" s="37"/>
      <c r="R920" s="37"/>
      <c r="S920" s="37"/>
      <c r="T920" s="37"/>
      <c r="U920" s="37"/>
      <c r="V920" s="37"/>
      <c r="W920" s="37"/>
      <c r="X920" s="37"/>
      <c r="Y920" s="37"/>
      <c r="Z920" s="37"/>
      <c r="AA920" s="37"/>
      <c r="AB920" s="37"/>
      <c r="AC920" s="37"/>
      <c r="AD920" s="37"/>
      <c r="AE920" s="37"/>
      <c r="AF920" s="37"/>
      <c r="AG920" s="37"/>
      <c r="AH920" s="37"/>
      <c r="AI920" s="37"/>
      <c r="AJ920" s="37"/>
      <c r="AK920" s="39"/>
      <c r="AL920" s="37"/>
      <c r="AM920" s="37"/>
      <c r="AN920" s="37"/>
      <c r="AO920" s="37"/>
    </row>
    <row r="921" spans="1:41">
      <c r="A921" s="37"/>
      <c r="B921" s="37"/>
      <c r="C921" s="37"/>
      <c r="D921" s="37"/>
      <c r="E921" s="37"/>
      <c r="F921" s="37"/>
      <c r="G921" s="37"/>
      <c r="H921" s="40"/>
      <c r="I921" s="40"/>
      <c r="J921" s="40"/>
      <c r="K921" s="37"/>
      <c r="L921" s="37"/>
      <c r="M921" s="37"/>
      <c r="N921" s="37"/>
      <c r="O921" s="37"/>
      <c r="P921" s="37"/>
      <c r="Q921" s="37"/>
      <c r="R921" s="37"/>
      <c r="S921" s="37"/>
      <c r="T921" s="37"/>
      <c r="U921" s="37"/>
      <c r="V921" s="37"/>
      <c r="W921" s="37"/>
      <c r="X921" s="37"/>
      <c r="Y921" s="37"/>
      <c r="Z921" s="37"/>
      <c r="AA921" s="37"/>
      <c r="AB921" s="37"/>
      <c r="AC921" s="37"/>
      <c r="AD921" s="37"/>
      <c r="AE921" s="37"/>
      <c r="AF921" s="37"/>
      <c r="AG921" s="37"/>
      <c r="AH921" s="37"/>
      <c r="AI921" s="37"/>
      <c r="AJ921" s="37"/>
      <c r="AK921" s="39"/>
      <c r="AL921" s="37"/>
      <c r="AM921" s="37"/>
      <c r="AN921" s="37"/>
      <c r="AO921" s="37"/>
    </row>
    <row r="922" spans="1:41">
      <c r="A922" s="37"/>
      <c r="B922" s="37"/>
      <c r="C922" s="37"/>
      <c r="D922" s="37"/>
      <c r="E922" s="37"/>
      <c r="F922" s="37"/>
      <c r="G922" s="37"/>
      <c r="H922" s="40"/>
      <c r="I922" s="40"/>
      <c r="J922" s="40"/>
      <c r="K922" s="37"/>
      <c r="L922" s="37"/>
      <c r="M922" s="37"/>
      <c r="N922" s="37"/>
      <c r="O922" s="37"/>
      <c r="P922" s="37"/>
      <c r="Q922" s="37"/>
      <c r="R922" s="37"/>
      <c r="S922" s="37"/>
      <c r="T922" s="37"/>
      <c r="U922" s="37"/>
      <c r="V922" s="37"/>
      <c r="W922" s="37"/>
      <c r="X922" s="37"/>
      <c r="Y922" s="37"/>
      <c r="Z922" s="37"/>
      <c r="AA922" s="37"/>
      <c r="AB922" s="37"/>
      <c r="AC922" s="37"/>
      <c r="AD922" s="37"/>
      <c r="AE922" s="37"/>
      <c r="AF922" s="37"/>
      <c r="AG922" s="37"/>
      <c r="AH922" s="37"/>
      <c r="AI922" s="37"/>
      <c r="AJ922" s="37"/>
      <c r="AK922" s="39"/>
      <c r="AL922" s="37"/>
      <c r="AM922" s="37"/>
      <c r="AN922" s="37"/>
      <c r="AO922" s="37"/>
    </row>
    <row r="923" spans="1:41">
      <c r="A923" s="37"/>
      <c r="B923" s="37"/>
      <c r="C923" s="37"/>
      <c r="D923" s="37"/>
      <c r="E923" s="37"/>
      <c r="F923" s="37"/>
      <c r="G923" s="37"/>
      <c r="H923" s="40"/>
      <c r="I923" s="40"/>
      <c r="J923" s="40"/>
      <c r="K923" s="37"/>
      <c r="L923" s="37"/>
      <c r="M923" s="37"/>
      <c r="N923" s="37"/>
      <c r="O923" s="37"/>
      <c r="P923" s="37"/>
      <c r="Q923" s="37"/>
      <c r="R923" s="37"/>
      <c r="S923" s="37"/>
      <c r="T923" s="37"/>
      <c r="U923" s="37"/>
      <c r="V923" s="37"/>
      <c r="W923" s="37"/>
      <c r="X923" s="37"/>
      <c r="Y923" s="37"/>
      <c r="Z923" s="37"/>
      <c r="AA923" s="37"/>
      <c r="AB923" s="37"/>
      <c r="AC923" s="37"/>
      <c r="AD923" s="37"/>
      <c r="AE923" s="37"/>
      <c r="AF923" s="37"/>
      <c r="AG923" s="37"/>
      <c r="AH923" s="37"/>
      <c r="AI923" s="37"/>
      <c r="AJ923" s="37"/>
      <c r="AK923" s="39"/>
      <c r="AL923" s="37"/>
      <c r="AM923" s="37"/>
      <c r="AN923" s="37"/>
      <c r="AO923" s="37"/>
    </row>
    <row r="924" spans="1:41">
      <c r="A924" s="37"/>
      <c r="B924" s="37"/>
      <c r="C924" s="37"/>
      <c r="D924" s="37"/>
      <c r="E924" s="37"/>
      <c r="F924" s="37"/>
      <c r="G924" s="37"/>
      <c r="H924" s="40"/>
      <c r="I924" s="40"/>
      <c r="J924" s="40"/>
      <c r="K924" s="37"/>
      <c r="L924" s="37"/>
      <c r="M924" s="37"/>
      <c r="N924" s="37"/>
      <c r="O924" s="37"/>
      <c r="P924" s="37"/>
      <c r="Q924" s="37"/>
      <c r="R924" s="37"/>
      <c r="S924" s="37"/>
      <c r="T924" s="37"/>
      <c r="U924" s="37"/>
      <c r="V924" s="37"/>
      <c r="W924" s="37"/>
      <c r="X924" s="37"/>
      <c r="Y924" s="37"/>
      <c r="Z924" s="37"/>
      <c r="AA924" s="37"/>
      <c r="AB924" s="37"/>
      <c r="AC924" s="37"/>
      <c r="AD924" s="37"/>
      <c r="AE924" s="37"/>
      <c r="AF924" s="37"/>
      <c r="AG924" s="37"/>
      <c r="AH924" s="37"/>
      <c r="AI924" s="37"/>
      <c r="AJ924" s="37"/>
      <c r="AK924" s="39"/>
      <c r="AL924" s="37"/>
      <c r="AM924" s="37"/>
      <c r="AN924" s="37"/>
      <c r="AO924" s="37"/>
    </row>
    <row r="925" spans="1:41">
      <c r="A925" s="37"/>
      <c r="B925" s="37"/>
      <c r="C925" s="37"/>
      <c r="D925" s="37"/>
      <c r="E925" s="37"/>
      <c r="F925" s="37"/>
      <c r="G925" s="37"/>
      <c r="H925" s="40"/>
      <c r="I925" s="40"/>
      <c r="J925" s="40"/>
      <c r="K925" s="37"/>
      <c r="L925" s="37"/>
      <c r="M925" s="37"/>
      <c r="N925" s="37"/>
      <c r="O925" s="37"/>
      <c r="P925" s="37"/>
      <c r="Q925" s="37"/>
      <c r="R925" s="37"/>
      <c r="S925" s="37"/>
      <c r="T925" s="37"/>
      <c r="U925" s="37"/>
      <c r="V925" s="37"/>
      <c r="W925" s="37"/>
      <c r="X925" s="37"/>
      <c r="Y925" s="37"/>
      <c r="Z925" s="37"/>
      <c r="AA925" s="37"/>
      <c r="AB925" s="37"/>
      <c r="AC925" s="37"/>
      <c r="AD925" s="37"/>
      <c r="AE925" s="37"/>
      <c r="AF925" s="37"/>
      <c r="AG925" s="37"/>
      <c r="AH925" s="37"/>
      <c r="AI925" s="37"/>
      <c r="AJ925" s="37"/>
      <c r="AK925" s="39"/>
      <c r="AL925" s="37"/>
      <c r="AM925" s="37"/>
      <c r="AN925" s="37"/>
      <c r="AO925" s="37"/>
    </row>
    <row r="926" spans="1:41">
      <c r="A926" s="37"/>
      <c r="B926" s="37"/>
      <c r="C926" s="37"/>
      <c r="D926" s="37"/>
      <c r="E926" s="37"/>
      <c r="F926" s="37"/>
      <c r="G926" s="37"/>
      <c r="H926" s="40"/>
      <c r="I926" s="40"/>
      <c r="J926" s="40"/>
      <c r="K926" s="37"/>
      <c r="L926" s="37"/>
      <c r="M926" s="37"/>
      <c r="N926" s="37"/>
      <c r="O926" s="37"/>
      <c r="P926" s="37"/>
      <c r="Q926" s="37"/>
      <c r="R926" s="37"/>
      <c r="S926" s="37"/>
      <c r="T926" s="37"/>
      <c r="U926" s="37"/>
      <c r="V926" s="37"/>
      <c r="W926" s="37"/>
      <c r="X926" s="37"/>
      <c r="Y926" s="37"/>
      <c r="Z926" s="37"/>
      <c r="AA926" s="37"/>
      <c r="AB926" s="37"/>
      <c r="AC926" s="37"/>
      <c r="AD926" s="37"/>
      <c r="AE926" s="37"/>
      <c r="AF926" s="37"/>
      <c r="AG926" s="37"/>
      <c r="AH926" s="37"/>
      <c r="AI926" s="37"/>
      <c r="AJ926" s="37"/>
      <c r="AK926" s="39"/>
      <c r="AL926" s="37"/>
      <c r="AM926" s="37"/>
      <c r="AN926" s="37"/>
      <c r="AO926" s="37"/>
    </row>
    <row r="927" spans="1:41">
      <c r="A927" s="37"/>
      <c r="B927" s="37"/>
      <c r="C927" s="37"/>
      <c r="D927" s="37"/>
      <c r="E927" s="37"/>
      <c r="F927" s="37"/>
      <c r="G927" s="37"/>
      <c r="H927" s="40"/>
      <c r="I927" s="40"/>
      <c r="J927" s="40"/>
      <c r="K927" s="37"/>
      <c r="L927" s="37"/>
      <c r="M927" s="37"/>
      <c r="N927" s="37"/>
      <c r="O927" s="37"/>
      <c r="P927" s="37"/>
      <c r="Q927" s="37"/>
      <c r="R927" s="37"/>
      <c r="S927" s="37"/>
      <c r="T927" s="37"/>
      <c r="U927" s="37"/>
      <c r="V927" s="37"/>
      <c r="W927" s="37"/>
      <c r="X927" s="37"/>
      <c r="Y927" s="37"/>
      <c r="Z927" s="37"/>
      <c r="AA927" s="37"/>
      <c r="AB927" s="37"/>
      <c r="AC927" s="37"/>
      <c r="AD927" s="37"/>
      <c r="AE927" s="37"/>
      <c r="AF927" s="37"/>
      <c r="AG927" s="37"/>
      <c r="AH927" s="37"/>
      <c r="AI927" s="37"/>
      <c r="AJ927" s="37"/>
      <c r="AK927" s="39"/>
      <c r="AL927" s="37"/>
      <c r="AM927" s="37"/>
      <c r="AN927" s="37"/>
      <c r="AO927" s="37"/>
    </row>
    <row r="928" spans="1:41">
      <c r="A928" s="37"/>
      <c r="B928" s="37"/>
      <c r="C928" s="37"/>
      <c r="D928" s="37"/>
      <c r="E928" s="37"/>
      <c r="F928" s="37"/>
      <c r="G928" s="37"/>
      <c r="H928" s="40"/>
      <c r="I928" s="40"/>
      <c r="J928" s="40"/>
      <c r="K928" s="37"/>
      <c r="L928" s="37"/>
      <c r="M928" s="37"/>
      <c r="N928" s="37"/>
      <c r="O928" s="37"/>
      <c r="P928" s="37"/>
      <c r="Q928" s="37"/>
      <c r="R928" s="37"/>
      <c r="S928" s="37"/>
      <c r="T928" s="37"/>
      <c r="U928" s="37"/>
      <c r="V928" s="37"/>
      <c r="W928" s="37"/>
      <c r="X928" s="37"/>
      <c r="Y928" s="37"/>
      <c r="Z928" s="37"/>
      <c r="AA928" s="37"/>
      <c r="AB928" s="37"/>
      <c r="AC928" s="37"/>
      <c r="AD928" s="37"/>
      <c r="AE928" s="37"/>
      <c r="AF928" s="37"/>
      <c r="AG928" s="37"/>
      <c r="AH928" s="37"/>
      <c r="AI928" s="37"/>
      <c r="AJ928" s="37"/>
      <c r="AK928" s="39"/>
      <c r="AL928" s="37"/>
      <c r="AM928" s="37"/>
      <c r="AN928" s="37"/>
      <c r="AO928" s="37"/>
    </row>
    <row r="929" spans="1:41">
      <c r="A929" s="37"/>
      <c r="B929" s="37"/>
      <c r="C929" s="37"/>
      <c r="D929" s="37"/>
      <c r="E929" s="37"/>
      <c r="F929" s="37"/>
      <c r="G929" s="37"/>
      <c r="H929" s="40"/>
      <c r="I929" s="40"/>
      <c r="J929" s="40"/>
      <c r="K929" s="37"/>
      <c r="L929" s="37"/>
      <c r="M929" s="37"/>
      <c r="N929" s="37"/>
      <c r="O929" s="37"/>
      <c r="P929" s="37"/>
      <c r="Q929" s="37"/>
      <c r="R929" s="37"/>
      <c r="S929" s="37"/>
      <c r="T929" s="37"/>
      <c r="U929" s="37"/>
      <c r="V929" s="37"/>
      <c r="W929" s="37"/>
      <c r="X929" s="37"/>
      <c r="Y929" s="37"/>
      <c r="Z929" s="37"/>
      <c r="AA929" s="37"/>
      <c r="AB929" s="37"/>
      <c r="AC929" s="37"/>
      <c r="AD929" s="37"/>
      <c r="AE929" s="37"/>
      <c r="AF929" s="37"/>
      <c r="AG929" s="37"/>
      <c r="AH929" s="37"/>
      <c r="AI929" s="37"/>
      <c r="AJ929" s="37"/>
      <c r="AK929" s="39"/>
      <c r="AL929" s="37"/>
      <c r="AM929" s="37"/>
      <c r="AN929" s="37"/>
      <c r="AO929" s="37"/>
    </row>
    <row r="930" spans="1:41">
      <c r="A930" s="37"/>
      <c r="B930" s="37"/>
      <c r="C930" s="37"/>
      <c r="D930" s="37"/>
      <c r="E930" s="37"/>
      <c r="F930" s="37"/>
      <c r="G930" s="37"/>
      <c r="H930" s="40"/>
      <c r="I930" s="40"/>
      <c r="J930" s="40"/>
      <c r="K930" s="37"/>
      <c r="L930" s="37"/>
      <c r="M930" s="37"/>
      <c r="N930" s="37"/>
      <c r="O930" s="37"/>
      <c r="P930" s="37"/>
      <c r="Q930" s="37"/>
      <c r="R930" s="37"/>
      <c r="S930" s="37"/>
      <c r="T930" s="37"/>
      <c r="U930" s="37"/>
      <c r="V930" s="37"/>
      <c r="W930" s="37"/>
      <c r="X930" s="37"/>
      <c r="Y930" s="37"/>
      <c r="Z930" s="37"/>
      <c r="AA930" s="37"/>
      <c r="AB930" s="37"/>
      <c r="AC930" s="37"/>
      <c r="AD930" s="37"/>
      <c r="AE930" s="37"/>
      <c r="AF930" s="37"/>
      <c r="AG930" s="37"/>
      <c r="AH930" s="37"/>
      <c r="AI930" s="37"/>
      <c r="AJ930" s="37"/>
      <c r="AK930" s="39"/>
      <c r="AL930" s="37"/>
      <c r="AM930" s="37"/>
      <c r="AN930" s="37"/>
      <c r="AO930" s="37"/>
    </row>
    <row r="931" spans="1:41">
      <c r="A931" s="37"/>
      <c r="B931" s="37"/>
      <c r="C931" s="37"/>
      <c r="D931" s="37"/>
      <c r="E931" s="37"/>
      <c r="F931" s="37"/>
      <c r="G931" s="37"/>
      <c r="H931" s="40"/>
      <c r="I931" s="40"/>
      <c r="J931" s="40"/>
      <c r="K931" s="37"/>
      <c r="L931" s="37"/>
      <c r="M931" s="37"/>
      <c r="N931" s="37"/>
      <c r="O931" s="37"/>
      <c r="P931" s="37"/>
      <c r="Q931" s="37"/>
      <c r="R931" s="37"/>
      <c r="S931" s="37"/>
      <c r="T931" s="37"/>
      <c r="U931" s="37"/>
      <c r="V931" s="37"/>
      <c r="W931" s="37"/>
      <c r="X931" s="37"/>
      <c r="Y931" s="37"/>
      <c r="Z931" s="37"/>
      <c r="AA931" s="37"/>
      <c r="AB931" s="37"/>
      <c r="AC931" s="37"/>
      <c r="AD931" s="37"/>
      <c r="AE931" s="37"/>
      <c r="AF931" s="37"/>
      <c r="AG931" s="37"/>
      <c r="AH931" s="37"/>
      <c r="AI931" s="37"/>
      <c r="AJ931" s="37"/>
      <c r="AK931" s="39"/>
      <c r="AL931" s="37"/>
      <c r="AM931" s="37"/>
      <c r="AN931" s="37"/>
      <c r="AO931" s="37"/>
    </row>
    <row r="932" spans="1:41">
      <c r="A932" s="37"/>
      <c r="B932" s="37"/>
      <c r="C932" s="37"/>
      <c r="D932" s="37"/>
      <c r="E932" s="37"/>
      <c r="F932" s="37"/>
      <c r="G932" s="37"/>
      <c r="H932" s="40"/>
      <c r="I932" s="40"/>
      <c r="J932" s="40"/>
      <c r="K932" s="37"/>
      <c r="L932" s="37"/>
      <c r="M932" s="37"/>
      <c r="N932" s="37"/>
      <c r="O932" s="37"/>
      <c r="P932" s="37"/>
      <c r="Q932" s="37"/>
      <c r="R932" s="37"/>
      <c r="S932" s="37"/>
      <c r="T932" s="37"/>
      <c r="U932" s="37"/>
      <c r="V932" s="37"/>
      <c r="W932" s="37"/>
      <c r="X932" s="37"/>
      <c r="Y932" s="37"/>
      <c r="Z932" s="37"/>
      <c r="AA932" s="37"/>
      <c r="AB932" s="37"/>
      <c r="AC932" s="37"/>
      <c r="AD932" s="37"/>
      <c r="AE932" s="37"/>
      <c r="AF932" s="37"/>
      <c r="AG932" s="37"/>
      <c r="AH932" s="37"/>
      <c r="AI932" s="37"/>
      <c r="AJ932" s="37"/>
      <c r="AK932" s="39"/>
      <c r="AL932" s="37"/>
      <c r="AM932" s="37"/>
      <c r="AN932" s="37"/>
      <c r="AO932" s="37"/>
    </row>
    <row r="933" spans="1:41">
      <c r="A933" s="37"/>
      <c r="B933" s="37"/>
      <c r="C933" s="37"/>
      <c r="D933" s="37"/>
      <c r="E933" s="37"/>
      <c r="F933" s="37"/>
      <c r="G933" s="37"/>
      <c r="H933" s="40"/>
      <c r="I933" s="40"/>
      <c r="J933" s="40"/>
      <c r="K933" s="37"/>
      <c r="L933" s="37"/>
      <c r="M933" s="37"/>
      <c r="N933" s="37"/>
      <c r="O933" s="37"/>
      <c r="P933" s="37"/>
      <c r="Q933" s="37"/>
      <c r="R933" s="37"/>
      <c r="S933" s="37"/>
      <c r="T933" s="37"/>
      <c r="U933" s="37"/>
      <c r="V933" s="37"/>
      <c r="W933" s="37"/>
      <c r="X933" s="37"/>
      <c r="Y933" s="37"/>
      <c r="Z933" s="37"/>
      <c r="AA933" s="37"/>
      <c r="AB933" s="37"/>
      <c r="AC933" s="37"/>
      <c r="AD933" s="37"/>
      <c r="AE933" s="37"/>
      <c r="AF933" s="37"/>
      <c r="AG933" s="37"/>
      <c r="AH933" s="37"/>
      <c r="AI933" s="37"/>
      <c r="AJ933" s="37"/>
      <c r="AK933" s="39"/>
      <c r="AL933" s="37"/>
      <c r="AM933" s="37"/>
      <c r="AN933" s="37"/>
      <c r="AO933" s="37"/>
    </row>
    <row r="934" spans="1:41">
      <c r="A934" s="37"/>
      <c r="B934" s="37"/>
      <c r="C934" s="37"/>
      <c r="D934" s="37"/>
      <c r="E934" s="37"/>
      <c r="F934" s="37"/>
      <c r="G934" s="37"/>
      <c r="H934" s="40"/>
      <c r="I934" s="40"/>
      <c r="J934" s="40"/>
      <c r="K934" s="37"/>
      <c r="L934" s="37"/>
      <c r="M934" s="37"/>
      <c r="N934" s="37"/>
      <c r="O934" s="37"/>
      <c r="P934" s="37"/>
      <c r="Q934" s="37"/>
      <c r="R934" s="37"/>
      <c r="S934" s="37"/>
      <c r="T934" s="37"/>
      <c r="U934" s="37"/>
      <c r="V934" s="37"/>
      <c r="W934" s="37"/>
      <c r="X934" s="37"/>
      <c r="Y934" s="37"/>
      <c r="Z934" s="37"/>
      <c r="AA934" s="37"/>
      <c r="AB934" s="37"/>
      <c r="AC934" s="37"/>
      <c r="AD934" s="37"/>
      <c r="AE934" s="37"/>
      <c r="AF934" s="37"/>
      <c r="AG934" s="37"/>
      <c r="AH934" s="37"/>
      <c r="AI934" s="37"/>
      <c r="AJ934" s="37"/>
      <c r="AK934" s="39"/>
      <c r="AL934" s="37"/>
      <c r="AM934" s="37"/>
      <c r="AN934" s="37"/>
      <c r="AO934" s="37"/>
    </row>
    <row r="935" spans="1:41">
      <c r="A935" s="37"/>
      <c r="B935" s="37"/>
      <c r="C935" s="37"/>
      <c r="D935" s="37"/>
      <c r="E935" s="37"/>
      <c r="F935" s="37"/>
      <c r="G935" s="37"/>
      <c r="H935" s="40"/>
      <c r="I935" s="40"/>
      <c r="J935" s="40"/>
      <c r="K935" s="37"/>
      <c r="L935" s="37"/>
      <c r="M935" s="37"/>
      <c r="N935" s="37"/>
      <c r="O935" s="37"/>
      <c r="P935" s="37"/>
      <c r="Q935" s="37"/>
      <c r="R935" s="37"/>
      <c r="S935" s="37"/>
      <c r="T935" s="37"/>
      <c r="U935" s="37"/>
      <c r="V935" s="37"/>
      <c r="W935" s="37"/>
      <c r="X935" s="37"/>
      <c r="Y935" s="37"/>
      <c r="Z935" s="37"/>
      <c r="AA935" s="37"/>
      <c r="AB935" s="37"/>
      <c r="AC935" s="37"/>
      <c r="AD935" s="37"/>
      <c r="AE935" s="37"/>
      <c r="AF935" s="37"/>
      <c r="AG935" s="37"/>
      <c r="AH935" s="37"/>
      <c r="AI935" s="37"/>
      <c r="AJ935" s="37"/>
      <c r="AK935" s="39"/>
      <c r="AL935" s="37"/>
      <c r="AM935" s="37"/>
      <c r="AN935" s="37"/>
      <c r="AO935" s="37"/>
    </row>
    <row r="936" spans="1:41">
      <c r="A936" s="37"/>
      <c r="B936" s="37"/>
      <c r="C936" s="37"/>
      <c r="D936" s="37"/>
      <c r="E936" s="37"/>
      <c r="F936" s="37"/>
      <c r="G936" s="37"/>
      <c r="H936" s="40"/>
      <c r="I936" s="40"/>
      <c r="J936" s="40"/>
      <c r="K936" s="37"/>
      <c r="L936" s="37"/>
      <c r="M936" s="37"/>
      <c r="N936" s="37"/>
      <c r="O936" s="37"/>
      <c r="P936" s="37"/>
      <c r="Q936" s="37"/>
      <c r="R936" s="37"/>
      <c r="S936" s="37"/>
      <c r="T936" s="37"/>
      <c r="U936" s="37"/>
      <c r="V936" s="37"/>
      <c r="W936" s="37"/>
      <c r="X936" s="37"/>
      <c r="Y936" s="37"/>
      <c r="Z936" s="37"/>
      <c r="AA936" s="37"/>
      <c r="AB936" s="37"/>
      <c r="AC936" s="37"/>
      <c r="AD936" s="37"/>
      <c r="AE936" s="37"/>
      <c r="AF936" s="37"/>
      <c r="AG936" s="37"/>
      <c r="AH936" s="37"/>
      <c r="AI936" s="37"/>
      <c r="AJ936" s="37"/>
      <c r="AK936" s="39"/>
      <c r="AL936" s="37"/>
      <c r="AM936" s="37"/>
      <c r="AN936" s="37"/>
      <c r="AO936" s="37"/>
    </row>
    <row r="937" spans="1:41">
      <c r="A937" s="37"/>
      <c r="B937" s="37"/>
      <c r="C937" s="37"/>
      <c r="D937" s="37"/>
      <c r="E937" s="37"/>
      <c r="F937" s="37"/>
      <c r="G937" s="37"/>
      <c r="H937" s="40"/>
      <c r="I937" s="40"/>
      <c r="J937" s="40"/>
      <c r="K937" s="37"/>
      <c r="L937" s="37"/>
      <c r="M937" s="37"/>
      <c r="N937" s="37"/>
      <c r="O937" s="37"/>
      <c r="P937" s="37"/>
      <c r="Q937" s="37"/>
      <c r="R937" s="37"/>
      <c r="S937" s="37"/>
      <c r="T937" s="37"/>
      <c r="U937" s="37"/>
      <c r="V937" s="37"/>
      <c r="W937" s="37"/>
      <c r="X937" s="37"/>
      <c r="Y937" s="37"/>
      <c r="Z937" s="37"/>
      <c r="AA937" s="37"/>
      <c r="AB937" s="37"/>
      <c r="AC937" s="37"/>
      <c r="AD937" s="37"/>
      <c r="AE937" s="37"/>
      <c r="AF937" s="37"/>
      <c r="AG937" s="37"/>
      <c r="AH937" s="37"/>
      <c r="AI937" s="37"/>
      <c r="AJ937" s="37"/>
      <c r="AK937" s="39"/>
      <c r="AL937" s="37"/>
      <c r="AM937" s="37"/>
      <c r="AN937" s="37"/>
      <c r="AO937" s="37"/>
    </row>
    <row r="938" spans="1:41">
      <c r="A938" s="37"/>
      <c r="B938" s="37"/>
      <c r="C938" s="37"/>
      <c r="D938" s="37"/>
      <c r="E938" s="37"/>
      <c r="F938" s="37"/>
      <c r="G938" s="37"/>
      <c r="H938" s="40"/>
      <c r="I938" s="40"/>
      <c r="J938" s="40"/>
      <c r="K938" s="37"/>
      <c r="L938" s="37"/>
      <c r="M938" s="37"/>
      <c r="N938" s="37"/>
      <c r="O938" s="37"/>
      <c r="P938" s="37"/>
      <c r="Q938" s="37"/>
      <c r="R938" s="37"/>
      <c r="S938" s="37"/>
      <c r="T938" s="37"/>
      <c r="U938" s="37"/>
      <c r="V938" s="37"/>
      <c r="W938" s="37"/>
      <c r="X938" s="37"/>
      <c r="Y938" s="37"/>
      <c r="Z938" s="37"/>
      <c r="AA938" s="37"/>
      <c r="AB938" s="37"/>
      <c r="AC938" s="37"/>
      <c r="AD938" s="37"/>
      <c r="AE938" s="37"/>
      <c r="AF938" s="37"/>
      <c r="AG938" s="37"/>
      <c r="AH938" s="37"/>
      <c r="AI938" s="37"/>
      <c r="AJ938" s="37"/>
      <c r="AK938" s="39"/>
      <c r="AL938" s="37"/>
      <c r="AM938" s="37"/>
      <c r="AN938" s="37"/>
      <c r="AO938" s="37"/>
    </row>
    <row r="939" spans="1:41">
      <c r="A939" s="37"/>
      <c r="B939" s="37"/>
      <c r="C939" s="37"/>
      <c r="D939" s="37"/>
      <c r="E939" s="37"/>
      <c r="F939" s="37"/>
      <c r="G939" s="37"/>
      <c r="H939" s="40"/>
      <c r="I939" s="40"/>
      <c r="J939" s="40"/>
      <c r="K939" s="37"/>
      <c r="L939" s="37"/>
      <c r="M939" s="37"/>
      <c r="N939" s="37"/>
      <c r="O939" s="37"/>
      <c r="P939" s="37"/>
      <c r="Q939" s="37"/>
      <c r="R939" s="37"/>
      <c r="S939" s="37"/>
      <c r="T939" s="37"/>
      <c r="U939" s="37"/>
      <c r="V939" s="37"/>
      <c r="W939" s="37"/>
      <c r="X939" s="37"/>
      <c r="Y939" s="37"/>
      <c r="Z939" s="37"/>
      <c r="AA939" s="37"/>
      <c r="AB939" s="37"/>
      <c r="AC939" s="37"/>
      <c r="AD939" s="37"/>
      <c r="AE939" s="37"/>
      <c r="AF939" s="37"/>
      <c r="AG939" s="37"/>
      <c r="AH939" s="37"/>
      <c r="AI939" s="37"/>
      <c r="AJ939" s="37"/>
      <c r="AK939" s="39"/>
      <c r="AL939" s="37"/>
      <c r="AM939" s="37"/>
      <c r="AN939" s="37"/>
      <c r="AO939" s="37"/>
    </row>
    <row r="940" spans="1:41">
      <c r="A940" s="37"/>
      <c r="B940" s="37"/>
      <c r="C940" s="37"/>
      <c r="D940" s="37"/>
      <c r="E940" s="37"/>
      <c r="F940" s="37"/>
      <c r="G940" s="37"/>
      <c r="H940" s="40"/>
      <c r="I940" s="40"/>
      <c r="J940" s="40"/>
      <c r="K940" s="37"/>
      <c r="L940" s="37"/>
      <c r="M940" s="37"/>
      <c r="N940" s="37"/>
      <c r="O940" s="37"/>
      <c r="P940" s="37"/>
      <c r="Q940" s="37"/>
      <c r="R940" s="37"/>
      <c r="S940" s="37"/>
      <c r="T940" s="37"/>
      <c r="U940" s="37"/>
      <c r="V940" s="37"/>
      <c r="W940" s="37"/>
      <c r="X940" s="37"/>
      <c r="Y940" s="37"/>
      <c r="Z940" s="37"/>
      <c r="AA940" s="37"/>
      <c r="AB940" s="37"/>
      <c r="AC940" s="37"/>
      <c r="AD940" s="37"/>
      <c r="AE940" s="37"/>
      <c r="AF940" s="37"/>
      <c r="AG940" s="37"/>
      <c r="AH940" s="37"/>
      <c r="AI940" s="37"/>
      <c r="AJ940" s="37"/>
      <c r="AK940" s="39"/>
      <c r="AL940" s="37"/>
      <c r="AM940" s="37"/>
      <c r="AN940" s="37"/>
      <c r="AO940" s="37"/>
    </row>
    <row r="941" spans="1:41">
      <c r="A941" s="37"/>
      <c r="B941" s="37"/>
      <c r="C941" s="37"/>
      <c r="D941" s="37"/>
      <c r="E941" s="37"/>
      <c r="F941" s="37"/>
      <c r="G941" s="37"/>
      <c r="H941" s="40"/>
      <c r="I941" s="40"/>
      <c r="J941" s="40"/>
      <c r="K941" s="37"/>
      <c r="L941" s="37"/>
      <c r="M941" s="37"/>
      <c r="N941" s="37"/>
      <c r="O941" s="37"/>
      <c r="P941" s="37"/>
      <c r="Q941" s="37"/>
      <c r="R941" s="37"/>
      <c r="S941" s="37"/>
      <c r="T941" s="37"/>
      <c r="U941" s="37"/>
      <c r="V941" s="37"/>
      <c r="W941" s="37"/>
      <c r="X941" s="37"/>
      <c r="Y941" s="37"/>
      <c r="Z941" s="37"/>
      <c r="AA941" s="37"/>
      <c r="AB941" s="37"/>
      <c r="AC941" s="37"/>
      <c r="AD941" s="37"/>
      <c r="AE941" s="37"/>
      <c r="AF941" s="37"/>
      <c r="AG941" s="37"/>
      <c r="AH941" s="37"/>
      <c r="AI941" s="37"/>
      <c r="AJ941" s="37"/>
      <c r="AK941" s="39"/>
      <c r="AL941" s="37"/>
      <c r="AM941" s="37"/>
      <c r="AN941" s="37"/>
      <c r="AO941" s="37"/>
    </row>
    <row r="942" spans="1:41">
      <c r="A942" s="37"/>
      <c r="B942" s="37"/>
      <c r="C942" s="37"/>
      <c r="D942" s="37"/>
      <c r="E942" s="37"/>
      <c r="F942" s="37"/>
      <c r="G942" s="37"/>
      <c r="H942" s="40"/>
      <c r="I942" s="40"/>
      <c r="J942" s="40"/>
      <c r="K942" s="37"/>
      <c r="L942" s="37"/>
      <c r="M942" s="37"/>
      <c r="N942" s="37"/>
      <c r="O942" s="37"/>
      <c r="P942" s="37"/>
      <c r="Q942" s="37"/>
      <c r="R942" s="37"/>
      <c r="S942" s="37"/>
      <c r="T942" s="37"/>
      <c r="U942" s="37"/>
      <c r="V942" s="37"/>
      <c r="W942" s="37"/>
      <c r="X942" s="37"/>
      <c r="Y942" s="37"/>
      <c r="Z942" s="37"/>
      <c r="AA942" s="37"/>
      <c r="AB942" s="37"/>
      <c r="AC942" s="37"/>
      <c r="AD942" s="37"/>
      <c r="AE942" s="37"/>
      <c r="AF942" s="37"/>
      <c r="AG942" s="37"/>
      <c r="AH942" s="37"/>
      <c r="AI942" s="37"/>
      <c r="AJ942" s="37"/>
      <c r="AK942" s="39"/>
      <c r="AL942" s="37"/>
      <c r="AM942" s="37"/>
      <c r="AN942" s="37"/>
      <c r="AO942" s="37"/>
    </row>
    <row r="943" spans="1:41">
      <c r="A943" s="37"/>
      <c r="B943" s="37"/>
      <c r="C943" s="37"/>
      <c r="D943" s="37"/>
      <c r="E943" s="37"/>
      <c r="F943" s="37"/>
      <c r="G943" s="37"/>
      <c r="H943" s="40"/>
      <c r="I943" s="40"/>
      <c r="J943" s="40"/>
      <c r="K943" s="37"/>
      <c r="L943" s="37"/>
      <c r="M943" s="37"/>
      <c r="N943" s="37"/>
      <c r="O943" s="37"/>
      <c r="P943" s="37"/>
      <c r="Q943" s="37"/>
      <c r="R943" s="37"/>
      <c r="S943" s="37"/>
      <c r="T943" s="37"/>
      <c r="U943" s="37"/>
      <c r="V943" s="37"/>
      <c r="W943" s="37"/>
      <c r="X943" s="37"/>
      <c r="Y943" s="37"/>
      <c r="Z943" s="37"/>
      <c r="AA943" s="37"/>
      <c r="AB943" s="37"/>
      <c r="AC943" s="37"/>
      <c r="AD943" s="37"/>
      <c r="AE943" s="37"/>
      <c r="AF943" s="37"/>
      <c r="AG943" s="37"/>
      <c r="AH943" s="37"/>
      <c r="AI943" s="37"/>
      <c r="AJ943" s="37"/>
      <c r="AK943" s="39"/>
      <c r="AL943" s="37"/>
      <c r="AM943" s="37"/>
      <c r="AN943" s="37"/>
      <c r="AO943" s="37"/>
    </row>
    <row r="944" spans="1:41">
      <c r="A944" s="37"/>
      <c r="B944" s="37"/>
      <c r="C944" s="37"/>
      <c r="D944" s="37"/>
      <c r="E944" s="37"/>
      <c r="F944" s="37"/>
      <c r="G944" s="37"/>
      <c r="H944" s="40"/>
      <c r="I944" s="40"/>
      <c r="J944" s="40"/>
      <c r="K944" s="37"/>
      <c r="L944" s="37"/>
      <c r="M944" s="37"/>
      <c r="N944" s="37"/>
      <c r="O944" s="37"/>
      <c r="P944" s="37"/>
      <c r="Q944" s="37"/>
      <c r="R944" s="37"/>
      <c r="S944" s="37"/>
      <c r="T944" s="37"/>
      <c r="U944" s="37"/>
      <c r="V944" s="37"/>
      <c r="W944" s="37"/>
      <c r="X944" s="37"/>
      <c r="Y944" s="37"/>
      <c r="Z944" s="37"/>
      <c r="AA944" s="37"/>
      <c r="AB944" s="37"/>
      <c r="AC944" s="37"/>
      <c r="AD944" s="37"/>
      <c r="AE944" s="37"/>
      <c r="AF944" s="37"/>
      <c r="AG944" s="37"/>
      <c r="AH944" s="37"/>
      <c r="AI944" s="37"/>
      <c r="AJ944" s="37"/>
      <c r="AK944" s="39"/>
      <c r="AL944" s="37"/>
      <c r="AM944" s="37"/>
      <c r="AN944" s="37"/>
      <c r="AO944" s="37"/>
    </row>
    <row r="945" spans="1:41">
      <c r="A945" s="37"/>
      <c r="B945" s="37"/>
      <c r="C945" s="37"/>
      <c r="D945" s="37"/>
      <c r="E945" s="37"/>
      <c r="F945" s="37"/>
      <c r="G945" s="37"/>
      <c r="H945" s="40"/>
      <c r="I945" s="40"/>
      <c r="J945" s="40"/>
      <c r="K945" s="37"/>
      <c r="L945" s="37"/>
      <c r="M945" s="37"/>
      <c r="N945" s="37"/>
      <c r="O945" s="37"/>
      <c r="P945" s="37"/>
      <c r="Q945" s="37"/>
      <c r="R945" s="37"/>
      <c r="S945" s="37"/>
      <c r="T945" s="37"/>
      <c r="U945" s="37"/>
      <c r="V945" s="37"/>
      <c r="W945" s="37"/>
      <c r="X945" s="37"/>
      <c r="Y945" s="37"/>
      <c r="Z945" s="37"/>
      <c r="AA945" s="37"/>
      <c r="AB945" s="37"/>
      <c r="AC945" s="37"/>
      <c r="AD945" s="37"/>
      <c r="AE945" s="37"/>
      <c r="AF945" s="37"/>
      <c r="AG945" s="37"/>
      <c r="AH945" s="37"/>
      <c r="AI945" s="37"/>
      <c r="AJ945" s="37"/>
      <c r="AK945" s="39"/>
      <c r="AL945" s="37"/>
      <c r="AM945" s="37"/>
      <c r="AN945" s="37"/>
      <c r="AO945" s="37"/>
    </row>
    <row r="946" spans="1:41">
      <c r="A946" s="37"/>
      <c r="B946" s="37"/>
      <c r="C946" s="37"/>
      <c r="D946" s="37"/>
      <c r="E946" s="37"/>
      <c r="F946" s="37"/>
      <c r="G946" s="37"/>
      <c r="H946" s="40"/>
      <c r="I946" s="40"/>
      <c r="J946" s="40"/>
      <c r="K946" s="37"/>
      <c r="L946" s="37"/>
      <c r="M946" s="37"/>
      <c r="N946" s="37"/>
      <c r="O946" s="37"/>
      <c r="P946" s="37"/>
      <c r="Q946" s="37"/>
      <c r="R946" s="37"/>
      <c r="S946" s="37"/>
      <c r="T946" s="37"/>
      <c r="U946" s="37"/>
      <c r="V946" s="37"/>
      <c r="W946" s="37"/>
      <c r="X946" s="37"/>
      <c r="Y946" s="37"/>
      <c r="Z946" s="37"/>
      <c r="AA946" s="37"/>
      <c r="AB946" s="37"/>
      <c r="AC946" s="37"/>
      <c r="AD946" s="37"/>
      <c r="AE946" s="37"/>
      <c r="AF946" s="37"/>
      <c r="AG946" s="37"/>
      <c r="AH946" s="37"/>
      <c r="AI946" s="37"/>
      <c r="AJ946" s="37"/>
      <c r="AK946" s="39"/>
      <c r="AL946" s="37"/>
      <c r="AM946" s="37"/>
      <c r="AN946" s="37"/>
      <c r="AO946" s="37"/>
    </row>
    <row r="947" spans="1:41">
      <c r="A947" s="37"/>
      <c r="B947" s="37"/>
      <c r="C947" s="37"/>
      <c r="D947" s="37"/>
      <c r="E947" s="37"/>
      <c r="F947" s="37"/>
      <c r="G947" s="37"/>
      <c r="H947" s="40"/>
      <c r="I947" s="40"/>
      <c r="J947" s="40"/>
      <c r="K947" s="37"/>
      <c r="L947" s="37"/>
      <c r="M947" s="37"/>
      <c r="N947" s="37"/>
      <c r="O947" s="37"/>
      <c r="P947" s="37"/>
      <c r="Q947" s="37"/>
      <c r="R947" s="37"/>
      <c r="S947" s="37"/>
      <c r="T947" s="37"/>
      <c r="U947" s="37"/>
      <c r="V947" s="37"/>
      <c r="W947" s="37"/>
      <c r="X947" s="37"/>
      <c r="Y947" s="37"/>
      <c r="Z947" s="37"/>
      <c r="AA947" s="37"/>
      <c r="AB947" s="37"/>
      <c r="AC947" s="37"/>
      <c r="AD947" s="37"/>
      <c r="AE947" s="37"/>
      <c r="AF947" s="37"/>
      <c r="AG947" s="37"/>
      <c r="AH947" s="37"/>
      <c r="AI947" s="37"/>
      <c r="AJ947" s="37"/>
      <c r="AK947" s="39"/>
      <c r="AL947" s="37"/>
      <c r="AM947" s="37"/>
      <c r="AN947" s="37"/>
      <c r="AO947" s="37"/>
    </row>
    <row r="948" spans="1:41">
      <c r="A948" s="37"/>
      <c r="B948" s="37"/>
      <c r="C948" s="37"/>
      <c r="D948" s="37"/>
      <c r="E948" s="37"/>
      <c r="F948" s="37"/>
      <c r="G948" s="37"/>
      <c r="H948" s="40"/>
      <c r="I948" s="40"/>
      <c r="J948" s="40"/>
      <c r="K948" s="37"/>
      <c r="L948" s="37"/>
      <c r="M948" s="37"/>
      <c r="N948" s="37"/>
      <c r="O948" s="37"/>
      <c r="P948" s="37"/>
      <c r="Q948" s="37"/>
      <c r="R948" s="37"/>
      <c r="S948" s="37"/>
      <c r="T948" s="37"/>
      <c r="U948" s="37"/>
      <c r="V948" s="37"/>
      <c r="W948" s="37"/>
      <c r="X948" s="37"/>
      <c r="Y948" s="37"/>
      <c r="Z948" s="37"/>
      <c r="AA948" s="37"/>
      <c r="AB948" s="37"/>
      <c r="AC948" s="37"/>
      <c r="AD948" s="37"/>
      <c r="AE948" s="37"/>
      <c r="AF948" s="37"/>
      <c r="AG948" s="37"/>
      <c r="AH948" s="37"/>
      <c r="AI948" s="37"/>
      <c r="AJ948" s="37"/>
      <c r="AK948" s="39"/>
      <c r="AL948" s="37"/>
      <c r="AM948" s="37"/>
      <c r="AN948" s="37"/>
      <c r="AO948" s="37"/>
    </row>
    <row r="949" spans="1:41">
      <c r="A949" s="37"/>
      <c r="B949" s="37"/>
      <c r="C949" s="37"/>
      <c r="D949" s="37"/>
      <c r="E949" s="37"/>
      <c r="F949" s="37"/>
      <c r="G949" s="37"/>
      <c r="H949" s="40"/>
      <c r="I949" s="40"/>
      <c r="J949" s="40"/>
      <c r="K949" s="37"/>
      <c r="L949" s="37"/>
      <c r="M949" s="37"/>
      <c r="N949" s="37"/>
      <c r="O949" s="37"/>
      <c r="P949" s="37"/>
      <c r="Q949" s="37"/>
      <c r="R949" s="37"/>
      <c r="S949" s="37"/>
      <c r="T949" s="37"/>
      <c r="U949" s="37"/>
      <c r="V949" s="37"/>
      <c r="W949" s="37"/>
      <c r="X949" s="37"/>
      <c r="Y949" s="37"/>
      <c r="Z949" s="37"/>
      <c r="AA949" s="37"/>
      <c r="AB949" s="37"/>
      <c r="AC949" s="37"/>
      <c r="AD949" s="37"/>
      <c r="AE949" s="37"/>
      <c r="AF949" s="37"/>
      <c r="AG949" s="37"/>
      <c r="AH949" s="37"/>
      <c r="AI949" s="37"/>
      <c r="AJ949" s="37"/>
      <c r="AK949" s="39"/>
      <c r="AL949" s="37"/>
      <c r="AM949" s="37"/>
      <c r="AN949" s="37"/>
      <c r="AO949" s="37"/>
    </row>
    <row r="950" spans="1:41">
      <c r="A950" s="37"/>
      <c r="B950" s="37"/>
      <c r="C950" s="37"/>
      <c r="D950" s="37"/>
      <c r="E950" s="37"/>
      <c r="F950" s="37"/>
      <c r="G950" s="37"/>
      <c r="H950" s="40"/>
      <c r="I950" s="40"/>
      <c r="J950" s="40"/>
      <c r="K950" s="37"/>
      <c r="L950" s="37"/>
      <c r="M950" s="37"/>
      <c r="N950" s="37"/>
      <c r="O950" s="37"/>
      <c r="P950" s="37"/>
      <c r="Q950" s="37"/>
      <c r="R950" s="37"/>
      <c r="S950" s="37"/>
      <c r="T950" s="37"/>
      <c r="U950" s="37"/>
      <c r="V950" s="37"/>
      <c r="W950" s="37"/>
      <c r="X950" s="37"/>
      <c r="Y950" s="37"/>
      <c r="Z950" s="37"/>
      <c r="AA950" s="37"/>
      <c r="AB950" s="37"/>
      <c r="AC950" s="37"/>
      <c r="AD950" s="37"/>
      <c r="AE950" s="37"/>
      <c r="AF950" s="37"/>
      <c r="AG950" s="37"/>
      <c r="AH950" s="37"/>
      <c r="AI950" s="37"/>
      <c r="AJ950" s="37"/>
      <c r="AK950" s="39"/>
      <c r="AL950" s="37"/>
      <c r="AM950" s="37"/>
      <c r="AN950" s="37"/>
      <c r="AO950" s="37"/>
    </row>
    <row r="951" spans="1:41">
      <c r="A951" s="37"/>
      <c r="B951" s="37"/>
      <c r="C951" s="37"/>
      <c r="D951" s="37"/>
      <c r="E951" s="37"/>
      <c r="F951" s="37"/>
      <c r="G951" s="37"/>
      <c r="H951" s="40"/>
      <c r="I951" s="40"/>
      <c r="J951" s="40"/>
      <c r="K951" s="37"/>
      <c r="L951" s="37"/>
      <c r="M951" s="37"/>
      <c r="N951" s="37"/>
      <c r="O951" s="37"/>
      <c r="P951" s="37"/>
      <c r="Q951" s="37"/>
      <c r="R951" s="37"/>
      <c r="S951" s="37"/>
      <c r="T951" s="37"/>
      <c r="U951" s="37"/>
      <c r="V951" s="37"/>
      <c r="W951" s="37"/>
      <c r="X951" s="37"/>
      <c r="Y951" s="37"/>
      <c r="Z951" s="37"/>
      <c r="AA951" s="37"/>
      <c r="AB951" s="37"/>
      <c r="AC951" s="37"/>
      <c r="AD951" s="37"/>
      <c r="AE951" s="37"/>
      <c r="AF951" s="37"/>
      <c r="AG951" s="37"/>
      <c r="AH951" s="37"/>
      <c r="AI951" s="37"/>
      <c r="AJ951" s="37"/>
      <c r="AK951" s="39"/>
      <c r="AL951" s="37"/>
      <c r="AM951" s="37"/>
      <c r="AN951" s="37"/>
      <c r="AO951" s="37"/>
    </row>
    <row r="952" spans="1:41">
      <c r="A952" s="37"/>
      <c r="B952" s="37"/>
      <c r="C952" s="37"/>
      <c r="D952" s="37"/>
      <c r="E952" s="37"/>
      <c r="F952" s="37"/>
      <c r="G952" s="37"/>
      <c r="H952" s="40"/>
      <c r="I952" s="40"/>
      <c r="J952" s="40"/>
      <c r="K952" s="37"/>
      <c r="L952" s="37"/>
      <c r="M952" s="37"/>
      <c r="N952" s="37"/>
      <c r="O952" s="37"/>
      <c r="P952" s="37"/>
      <c r="Q952" s="37"/>
      <c r="R952" s="37"/>
      <c r="S952" s="37"/>
      <c r="T952" s="37"/>
      <c r="U952" s="37"/>
      <c r="V952" s="37"/>
      <c r="W952" s="37"/>
      <c r="X952" s="37"/>
      <c r="Y952" s="37"/>
      <c r="Z952" s="37"/>
      <c r="AA952" s="37"/>
      <c r="AB952" s="37"/>
      <c r="AC952" s="37"/>
      <c r="AD952" s="37"/>
      <c r="AE952" s="37"/>
      <c r="AF952" s="37"/>
      <c r="AG952" s="37"/>
      <c r="AH952" s="37"/>
      <c r="AI952" s="37"/>
      <c r="AJ952" s="37"/>
      <c r="AK952" s="39"/>
      <c r="AL952" s="37"/>
      <c r="AM952" s="37"/>
      <c r="AN952" s="37"/>
      <c r="AO952" s="37"/>
    </row>
    <row r="953" spans="1:41">
      <c r="A953" s="37"/>
      <c r="B953" s="37"/>
      <c r="C953" s="37"/>
      <c r="D953" s="37"/>
      <c r="E953" s="37"/>
      <c r="F953" s="37"/>
      <c r="G953" s="37"/>
      <c r="H953" s="40"/>
      <c r="I953" s="40"/>
      <c r="J953" s="40"/>
      <c r="K953" s="37"/>
      <c r="L953" s="37"/>
      <c r="M953" s="37"/>
      <c r="N953" s="37"/>
      <c r="O953" s="37"/>
      <c r="P953" s="37"/>
      <c r="Q953" s="37"/>
      <c r="R953" s="37"/>
      <c r="S953" s="37"/>
      <c r="T953" s="37"/>
      <c r="U953" s="37"/>
      <c r="V953" s="37"/>
      <c r="W953" s="37"/>
      <c r="X953" s="37"/>
      <c r="Y953" s="37"/>
      <c r="Z953" s="37"/>
      <c r="AA953" s="37"/>
      <c r="AB953" s="37"/>
      <c r="AC953" s="37"/>
      <c r="AD953" s="37"/>
      <c r="AE953" s="37"/>
      <c r="AF953" s="37"/>
      <c r="AG953" s="37"/>
      <c r="AH953" s="37"/>
      <c r="AI953" s="37"/>
      <c r="AJ953" s="37"/>
      <c r="AK953" s="39"/>
      <c r="AL953" s="37"/>
      <c r="AM953" s="37"/>
      <c r="AN953" s="37"/>
      <c r="AO953" s="37"/>
    </row>
    <row r="954" spans="1:41">
      <c r="A954" s="37"/>
      <c r="B954" s="37"/>
      <c r="C954" s="37"/>
      <c r="D954" s="37"/>
      <c r="E954" s="37"/>
      <c r="F954" s="37"/>
      <c r="G954" s="37"/>
      <c r="H954" s="40"/>
      <c r="I954" s="40"/>
      <c r="J954" s="40"/>
      <c r="K954" s="37"/>
      <c r="L954" s="37"/>
      <c r="M954" s="37"/>
      <c r="N954" s="37"/>
      <c r="O954" s="37"/>
      <c r="P954" s="37"/>
      <c r="Q954" s="37"/>
      <c r="R954" s="37"/>
      <c r="S954" s="37"/>
      <c r="T954" s="37"/>
      <c r="U954" s="37"/>
      <c r="V954" s="37"/>
      <c r="W954" s="37"/>
      <c r="X954" s="37"/>
      <c r="Y954" s="37"/>
      <c r="Z954" s="37"/>
      <c r="AA954" s="37"/>
      <c r="AB954" s="37"/>
      <c r="AC954" s="37"/>
      <c r="AD954" s="37"/>
      <c r="AE954" s="37"/>
      <c r="AF954" s="37"/>
      <c r="AG954" s="37"/>
      <c r="AH954" s="37"/>
      <c r="AI954" s="37"/>
      <c r="AJ954" s="37"/>
      <c r="AK954" s="39"/>
      <c r="AL954" s="37"/>
      <c r="AM954" s="37"/>
      <c r="AN954" s="37"/>
      <c r="AO954" s="37"/>
    </row>
    <row r="955" spans="1:41">
      <c r="A955" s="37"/>
      <c r="B955" s="37"/>
      <c r="C955" s="37"/>
      <c r="D955" s="37"/>
      <c r="E955" s="37"/>
      <c r="F955" s="37"/>
      <c r="G955" s="37"/>
      <c r="H955" s="40"/>
      <c r="I955" s="40"/>
      <c r="J955" s="40"/>
      <c r="K955" s="37"/>
      <c r="L955" s="37"/>
      <c r="M955" s="37"/>
      <c r="N955" s="37"/>
      <c r="O955" s="37"/>
      <c r="P955" s="37"/>
      <c r="Q955" s="37"/>
      <c r="R955" s="37"/>
      <c r="S955" s="37"/>
      <c r="T955" s="37"/>
      <c r="U955" s="37"/>
      <c r="V955" s="37"/>
      <c r="W955" s="37"/>
      <c r="X955" s="37"/>
      <c r="Y955" s="37"/>
      <c r="Z955" s="37"/>
      <c r="AA955" s="37"/>
      <c r="AB955" s="37"/>
      <c r="AC955" s="37"/>
      <c r="AD955" s="37"/>
      <c r="AE955" s="37"/>
      <c r="AF955" s="37"/>
      <c r="AG955" s="37"/>
      <c r="AH955" s="37"/>
      <c r="AI955" s="37"/>
      <c r="AJ955" s="37"/>
      <c r="AK955" s="39"/>
      <c r="AL955" s="37"/>
      <c r="AM955" s="37"/>
      <c r="AN955" s="37"/>
      <c r="AO955" s="37"/>
    </row>
    <row r="956" spans="1:41">
      <c r="A956" s="37"/>
      <c r="B956" s="37"/>
      <c r="C956" s="37"/>
      <c r="D956" s="37"/>
      <c r="E956" s="37"/>
      <c r="F956" s="37"/>
      <c r="G956" s="37"/>
      <c r="H956" s="40"/>
      <c r="I956" s="40"/>
      <c r="J956" s="40"/>
      <c r="K956" s="37"/>
      <c r="L956" s="37"/>
      <c r="M956" s="37"/>
      <c r="N956" s="37"/>
      <c r="O956" s="37"/>
      <c r="P956" s="37"/>
      <c r="Q956" s="37"/>
      <c r="R956" s="37"/>
      <c r="S956" s="37"/>
      <c r="T956" s="37"/>
      <c r="U956" s="37"/>
      <c r="V956" s="37"/>
      <c r="W956" s="37"/>
      <c r="X956" s="37"/>
      <c r="Y956" s="37"/>
      <c r="Z956" s="37"/>
      <c r="AA956" s="37"/>
      <c r="AB956" s="37"/>
      <c r="AC956" s="37"/>
      <c r="AD956" s="37"/>
      <c r="AE956" s="37"/>
      <c r="AF956" s="37"/>
      <c r="AG956" s="37"/>
      <c r="AH956" s="37"/>
      <c r="AI956" s="37"/>
      <c r="AJ956" s="37"/>
      <c r="AK956" s="39"/>
      <c r="AL956" s="37"/>
      <c r="AM956" s="37"/>
      <c r="AN956" s="37"/>
      <c r="AO956" s="37"/>
    </row>
    <row r="957" spans="1:41">
      <c r="A957" s="37"/>
      <c r="B957" s="37"/>
      <c r="C957" s="37"/>
      <c r="D957" s="37"/>
      <c r="E957" s="37"/>
      <c r="F957" s="37"/>
      <c r="G957" s="37"/>
      <c r="H957" s="40"/>
      <c r="I957" s="40"/>
      <c r="J957" s="40"/>
      <c r="K957" s="37"/>
      <c r="L957" s="37"/>
      <c r="M957" s="37"/>
      <c r="N957" s="37"/>
      <c r="O957" s="37"/>
      <c r="P957" s="37"/>
      <c r="Q957" s="37"/>
      <c r="R957" s="37"/>
      <c r="S957" s="37"/>
      <c r="T957" s="37"/>
      <c r="U957" s="37"/>
      <c r="V957" s="37"/>
      <c r="W957" s="37"/>
      <c r="X957" s="37"/>
      <c r="Y957" s="37"/>
      <c r="Z957" s="37"/>
      <c r="AA957" s="37"/>
      <c r="AB957" s="37"/>
      <c r="AC957" s="37"/>
      <c r="AD957" s="37"/>
      <c r="AE957" s="37"/>
      <c r="AF957" s="37"/>
      <c r="AG957" s="37"/>
      <c r="AH957" s="37"/>
      <c r="AI957" s="37"/>
      <c r="AJ957" s="37"/>
      <c r="AK957" s="39"/>
      <c r="AL957" s="37"/>
      <c r="AM957" s="37"/>
      <c r="AN957" s="37"/>
      <c r="AO957" s="37"/>
    </row>
    <row r="958" spans="1:41">
      <c r="A958" s="37"/>
      <c r="B958" s="37"/>
      <c r="C958" s="37"/>
      <c r="D958" s="37"/>
      <c r="E958" s="37"/>
      <c r="F958" s="37"/>
      <c r="G958" s="37"/>
      <c r="H958" s="40"/>
      <c r="I958" s="40"/>
      <c r="J958" s="40"/>
      <c r="K958" s="37"/>
      <c r="L958" s="37"/>
      <c r="M958" s="37"/>
      <c r="N958" s="37"/>
      <c r="O958" s="37"/>
      <c r="P958" s="37"/>
      <c r="Q958" s="37"/>
      <c r="R958" s="37"/>
      <c r="S958" s="37"/>
      <c r="T958" s="37"/>
      <c r="U958" s="37"/>
      <c r="V958" s="37"/>
      <c r="W958" s="37"/>
      <c r="X958" s="37"/>
      <c r="Y958" s="37"/>
      <c r="Z958" s="37"/>
      <c r="AA958" s="37"/>
      <c r="AB958" s="37"/>
      <c r="AC958" s="37"/>
      <c r="AD958" s="37"/>
      <c r="AE958" s="37"/>
      <c r="AF958" s="37"/>
      <c r="AG958" s="37"/>
      <c r="AH958" s="37"/>
      <c r="AI958" s="37"/>
      <c r="AJ958" s="37"/>
      <c r="AK958" s="39"/>
      <c r="AL958" s="37"/>
      <c r="AM958" s="37"/>
      <c r="AN958" s="37"/>
      <c r="AO958" s="37"/>
    </row>
    <row r="959" spans="1:41">
      <c r="A959" s="37"/>
      <c r="B959" s="37"/>
      <c r="C959" s="37"/>
      <c r="D959" s="37"/>
      <c r="E959" s="37"/>
      <c r="F959" s="37"/>
      <c r="G959" s="37"/>
      <c r="H959" s="40"/>
      <c r="I959" s="40"/>
      <c r="J959" s="40"/>
      <c r="K959" s="37"/>
      <c r="L959" s="37"/>
      <c r="M959" s="37"/>
      <c r="N959" s="37"/>
      <c r="O959" s="37"/>
      <c r="P959" s="37"/>
      <c r="Q959" s="37"/>
      <c r="R959" s="37"/>
      <c r="S959" s="37"/>
      <c r="T959" s="37"/>
      <c r="U959" s="37"/>
      <c r="V959" s="37"/>
      <c r="W959" s="37"/>
      <c r="X959" s="37"/>
      <c r="Y959" s="37"/>
      <c r="Z959" s="37"/>
      <c r="AA959" s="37"/>
      <c r="AB959" s="37"/>
      <c r="AC959" s="37"/>
      <c r="AD959" s="37"/>
      <c r="AE959" s="37"/>
      <c r="AF959" s="37"/>
      <c r="AG959" s="37"/>
      <c r="AH959" s="37"/>
      <c r="AI959" s="37"/>
      <c r="AJ959" s="37"/>
      <c r="AK959" s="39"/>
      <c r="AL959" s="37"/>
      <c r="AM959" s="37"/>
      <c r="AN959" s="37"/>
      <c r="AO959" s="37"/>
    </row>
    <row r="960" spans="1:41">
      <c r="A960" s="37"/>
      <c r="B960" s="37"/>
      <c r="C960" s="37"/>
      <c r="D960" s="37"/>
      <c r="E960" s="37"/>
      <c r="F960" s="37"/>
      <c r="G960" s="37"/>
      <c r="H960" s="40"/>
      <c r="I960" s="40"/>
      <c r="J960" s="40"/>
      <c r="K960" s="37"/>
      <c r="L960" s="37"/>
      <c r="M960" s="37"/>
      <c r="N960" s="37"/>
      <c r="O960" s="37"/>
      <c r="P960" s="37"/>
      <c r="Q960" s="37"/>
      <c r="R960" s="37"/>
      <c r="S960" s="37"/>
      <c r="T960" s="37"/>
      <c r="U960" s="37"/>
      <c r="V960" s="37"/>
      <c r="W960" s="37"/>
      <c r="X960" s="37"/>
      <c r="Y960" s="37"/>
      <c r="Z960" s="37"/>
      <c r="AA960" s="37"/>
      <c r="AB960" s="37"/>
      <c r="AC960" s="37"/>
      <c r="AD960" s="37"/>
      <c r="AE960" s="37"/>
      <c r="AF960" s="37"/>
      <c r="AG960" s="37"/>
      <c r="AH960" s="37"/>
      <c r="AI960" s="37"/>
      <c r="AJ960" s="37"/>
      <c r="AK960" s="39"/>
      <c r="AL960" s="37"/>
      <c r="AM960" s="37"/>
      <c r="AN960" s="37"/>
      <c r="AO960" s="37"/>
    </row>
    <row r="961" spans="1:41">
      <c r="A961" s="37"/>
      <c r="B961" s="37"/>
      <c r="C961" s="37"/>
      <c r="D961" s="37"/>
      <c r="E961" s="37"/>
      <c r="F961" s="37"/>
      <c r="G961" s="37"/>
      <c r="H961" s="40"/>
      <c r="I961" s="40"/>
      <c r="J961" s="40"/>
      <c r="K961" s="37"/>
      <c r="L961" s="37"/>
      <c r="M961" s="37"/>
      <c r="N961" s="37"/>
      <c r="O961" s="37"/>
      <c r="P961" s="37"/>
      <c r="Q961" s="37"/>
      <c r="R961" s="37"/>
      <c r="S961" s="37"/>
      <c r="T961" s="37"/>
      <c r="U961" s="37"/>
      <c r="V961" s="37"/>
      <c r="W961" s="37"/>
      <c r="X961" s="37"/>
      <c r="Y961" s="37"/>
      <c r="Z961" s="37"/>
      <c r="AA961" s="37"/>
      <c r="AB961" s="37"/>
      <c r="AC961" s="37"/>
      <c r="AD961" s="37"/>
      <c r="AE961" s="37"/>
      <c r="AF961" s="37"/>
      <c r="AG961" s="37"/>
      <c r="AH961" s="37"/>
      <c r="AI961" s="37"/>
      <c r="AJ961" s="37"/>
      <c r="AK961" s="39"/>
      <c r="AL961" s="37"/>
      <c r="AM961" s="37"/>
      <c r="AN961" s="37"/>
      <c r="AO961" s="37"/>
    </row>
    <row r="962" spans="1:41">
      <c r="A962" s="37"/>
      <c r="B962" s="37"/>
      <c r="C962" s="37"/>
      <c r="D962" s="37"/>
      <c r="E962" s="37"/>
      <c r="F962" s="37"/>
      <c r="G962" s="37"/>
      <c r="H962" s="40"/>
      <c r="I962" s="40"/>
      <c r="J962" s="40"/>
      <c r="K962" s="37"/>
      <c r="L962" s="37"/>
      <c r="M962" s="37"/>
      <c r="N962" s="37"/>
      <c r="O962" s="37"/>
      <c r="P962" s="37"/>
      <c r="Q962" s="37"/>
      <c r="R962" s="37"/>
      <c r="S962" s="37"/>
      <c r="T962" s="37"/>
      <c r="U962" s="37"/>
      <c r="V962" s="37"/>
      <c r="W962" s="37"/>
      <c r="X962" s="37"/>
      <c r="Y962" s="37"/>
      <c r="Z962" s="37"/>
      <c r="AA962" s="37"/>
      <c r="AB962" s="37"/>
      <c r="AC962" s="37"/>
      <c r="AD962" s="37"/>
      <c r="AE962" s="37"/>
      <c r="AF962" s="37"/>
      <c r="AG962" s="37"/>
      <c r="AH962" s="37"/>
      <c r="AI962" s="37"/>
      <c r="AJ962" s="37"/>
      <c r="AK962" s="39"/>
      <c r="AL962" s="37"/>
      <c r="AM962" s="37"/>
      <c r="AN962" s="37"/>
      <c r="AO962" s="37"/>
    </row>
    <row r="963" spans="1:41">
      <c r="A963" s="37"/>
      <c r="B963" s="37"/>
      <c r="C963" s="37"/>
      <c r="D963" s="37"/>
      <c r="E963" s="37"/>
      <c r="F963" s="37"/>
      <c r="G963" s="37"/>
      <c r="H963" s="40"/>
      <c r="I963" s="40"/>
      <c r="J963" s="40"/>
      <c r="K963" s="37"/>
      <c r="L963" s="37"/>
      <c r="M963" s="37"/>
      <c r="N963" s="37"/>
      <c r="O963" s="37"/>
      <c r="P963" s="37"/>
      <c r="Q963" s="37"/>
      <c r="R963" s="37"/>
      <c r="S963" s="37"/>
      <c r="T963" s="37"/>
      <c r="U963" s="37"/>
      <c r="V963" s="37"/>
      <c r="W963" s="37"/>
      <c r="X963" s="37"/>
      <c r="Y963" s="37"/>
      <c r="Z963" s="37"/>
      <c r="AA963" s="37"/>
      <c r="AB963" s="37"/>
      <c r="AC963" s="37"/>
      <c r="AD963" s="37"/>
      <c r="AE963" s="37"/>
      <c r="AF963" s="37"/>
      <c r="AG963" s="37"/>
      <c r="AH963" s="37"/>
      <c r="AI963" s="37"/>
      <c r="AJ963" s="37"/>
      <c r="AK963" s="39"/>
      <c r="AL963" s="37"/>
      <c r="AM963" s="37"/>
      <c r="AN963" s="37"/>
      <c r="AO963" s="37"/>
    </row>
    <row r="964" spans="1:41">
      <c r="A964" s="37"/>
      <c r="B964" s="37"/>
      <c r="C964" s="37"/>
      <c r="D964" s="37"/>
      <c r="E964" s="37"/>
      <c r="F964" s="37"/>
      <c r="G964" s="37"/>
      <c r="H964" s="40"/>
      <c r="I964" s="40"/>
      <c r="J964" s="40"/>
      <c r="K964" s="37"/>
      <c r="L964" s="37"/>
      <c r="M964" s="37"/>
      <c r="N964" s="37"/>
      <c r="O964" s="37"/>
      <c r="P964" s="37"/>
      <c r="Q964" s="37"/>
      <c r="R964" s="37"/>
      <c r="S964" s="37"/>
      <c r="T964" s="37"/>
      <c r="U964" s="37"/>
      <c r="V964" s="37"/>
      <c r="W964" s="37"/>
      <c r="X964" s="37"/>
      <c r="Y964" s="37"/>
      <c r="Z964" s="37"/>
      <c r="AA964" s="37"/>
      <c r="AB964" s="37"/>
      <c r="AC964" s="37"/>
      <c r="AD964" s="37"/>
      <c r="AE964" s="37"/>
      <c r="AF964" s="37"/>
      <c r="AG964" s="37"/>
      <c r="AH964" s="37"/>
      <c r="AI964" s="37"/>
      <c r="AJ964" s="37"/>
      <c r="AK964" s="39"/>
      <c r="AL964" s="37"/>
      <c r="AM964" s="37"/>
      <c r="AN964" s="37"/>
      <c r="AO964" s="37"/>
    </row>
    <row r="965" spans="1:41">
      <c r="A965" s="37"/>
      <c r="B965" s="37"/>
      <c r="C965" s="37"/>
      <c r="D965" s="37"/>
      <c r="E965" s="37"/>
      <c r="F965" s="37"/>
      <c r="G965" s="37"/>
      <c r="H965" s="40"/>
      <c r="I965" s="40"/>
      <c r="J965" s="40"/>
      <c r="K965" s="37"/>
      <c r="L965" s="37"/>
      <c r="M965" s="37"/>
      <c r="N965" s="37"/>
      <c r="O965" s="37"/>
      <c r="P965" s="37"/>
      <c r="Q965" s="37"/>
      <c r="R965" s="37"/>
      <c r="S965" s="37"/>
      <c r="T965" s="37"/>
      <c r="U965" s="37"/>
      <c r="V965" s="37"/>
      <c r="W965" s="37"/>
      <c r="X965" s="37"/>
      <c r="Y965" s="37"/>
      <c r="Z965" s="37"/>
      <c r="AA965" s="37"/>
      <c r="AB965" s="37"/>
      <c r="AC965" s="37"/>
      <c r="AD965" s="37"/>
      <c r="AE965" s="37"/>
      <c r="AF965" s="37"/>
      <c r="AG965" s="37"/>
      <c r="AH965" s="37"/>
      <c r="AI965" s="37"/>
      <c r="AJ965" s="37"/>
      <c r="AK965" s="39"/>
      <c r="AL965" s="37"/>
      <c r="AM965" s="37"/>
      <c r="AN965" s="37"/>
      <c r="AO965" s="37"/>
    </row>
    <row r="966" spans="1:41">
      <c r="A966" s="37"/>
      <c r="B966" s="37"/>
      <c r="C966" s="37"/>
      <c r="D966" s="37"/>
      <c r="E966" s="37"/>
      <c r="F966" s="37"/>
      <c r="G966" s="37"/>
      <c r="H966" s="40"/>
      <c r="I966" s="40"/>
      <c r="J966" s="40"/>
      <c r="K966" s="37"/>
      <c r="L966" s="37"/>
      <c r="M966" s="37"/>
      <c r="N966" s="37"/>
      <c r="O966" s="37"/>
      <c r="P966" s="37"/>
      <c r="Q966" s="37"/>
      <c r="R966" s="37"/>
      <c r="S966" s="37"/>
      <c r="T966" s="37"/>
      <c r="U966" s="37"/>
      <c r="V966" s="37"/>
      <c r="W966" s="37"/>
      <c r="X966" s="37"/>
      <c r="Y966" s="37"/>
      <c r="Z966" s="37"/>
      <c r="AA966" s="37"/>
      <c r="AB966" s="37"/>
      <c r="AC966" s="37"/>
      <c r="AD966" s="37"/>
      <c r="AE966" s="37"/>
      <c r="AF966" s="37"/>
      <c r="AG966" s="37"/>
      <c r="AH966" s="37"/>
      <c r="AI966" s="37"/>
      <c r="AJ966" s="37"/>
      <c r="AK966" s="39"/>
      <c r="AL966" s="37"/>
      <c r="AM966" s="37"/>
      <c r="AN966" s="37"/>
      <c r="AO966" s="37"/>
    </row>
    <row r="967" spans="1:41">
      <c r="A967" s="37"/>
      <c r="B967" s="37"/>
      <c r="C967" s="37"/>
      <c r="D967" s="37"/>
      <c r="E967" s="37"/>
      <c r="F967" s="37"/>
      <c r="G967" s="37"/>
      <c r="H967" s="40"/>
      <c r="I967" s="40"/>
      <c r="J967" s="40"/>
      <c r="K967" s="37"/>
      <c r="L967" s="37"/>
      <c r="M967" s="37"/>
      <c r="N967" s="37"/>
      <c r="O967" s="37"/>
      <c r="P967" s="37"/>
      <c r="Q967" s="37"/>
      <c r="R967" s="37"/>
      <c r="S967" s="37"/>
      <c r="T967" s="37"/>
      <c r="U967" s="37"/>
      <c r="V967" s="37"/>
      <c r="W967" s="37"/>
      <c r="X967" s="37"/>
      <c r="Y967" s="37"/>
      <c r="Z967" s="37"/>
      <c r="AA967" s="37"/>
      <c r="AB967" s="37"/>
      <c r="AC967" s="37"/>
      <c r="AD967" s="37"/>
      <c r="AE967" s="37"/>
      <c r="AF967" s="37"/>
      <c r="AG967" s="37"/>
      <c r="AH967" s="37"/>
      <c r="AI967" s="37"/>
      <c r="AJ967" s="37"/>
      <c r="AK967" s="39"/>
      <c r="AL967" s="37"/>
      <c r="AM967" s="37"/>
      <c r="AN967" s="37"/>
      <c r="AO967" s="37"/>
    </row>
    <row r="968" spans="1:41">
      <c r="A968" s="37"/>
      <c r="B968" s="37"/>
      <c r="C968" s="37"/>
      <c r="D968" s="37"/>
      <c r="E968" s="37"/>
      <c r="F968" s="37"/>
      <c r="G968" s="37"/>
      <c r="H968" s="40"/>
      <c r="I968" s="40"/>
      <c r="J968" s="40"/>
      <c r="K968" s="37"/>
      <c r="L968" s="37"/>
      <c r="M968" s="37"/>
      <c r="N968" s="37"/>
      <c r="O968" s="37"/>
      <c r="P968" s="37"/>
      <c r="Q968" s="37"/>
      <c r="R968" s="37"/>
      <c r="S968" s="37"/>
      <c r="T968" s="37"/>
      <c r="U968" s="37"/>
      <c r="V968" s="37"/>
      <c r="W968" s="37"/>
      <c r="X968" s="37"/>
      <c r="Y968" s="37"/>
      <c r="Z968" s="37"/>
      <c r="AA968" s="37"/>
      <c r="AB968" s="37"/>
      <c r="AC968" s="37"/>
      <c r="AD968" s="37"/>
      <c r="AE968" s="37"/>
      <c r="AF968" s="37"/>
      <c r="AG968" s="37"/>
      <c r="AH968" s="37"/>
      <c r="AI968" s="37"/>
      <c r="AJ968" s="37"/>
      <c r="AK968" s="39"/>
      <c r="AL968" s="37"/>
      <c r="AM968" s="37"/>
      <c r="AN968" s="37"/>
      <c r="AO968" s="37"/>
    </row>
    <row r="969" spans="1:41">
      <c r="A969" s="37"/>
      <c r="B969" s="37"/>
      <c r="C969" s="37"/>
      <c r="D969" s="37"/>
      <c r="E969" s="37"/>
      <c r="F969" s="37"/>
      <c r="G969" s="37"/>
      <c r="H969" s="40"/>
      <c r="I969" s="40"/>
      <c r="J969" s="40"/>
      <c r="K969" s="37"/>
      <c r="L969" s="37"/>
      <c r="M969" s="37"/>
      <c r="N969" s="37"/>
      <c r="O969" s="37"/>
      <c r="P969" s="37"/>
      <c r="Q969" s="37"/>
      <c r="R969" s="37"/>
      <c r="S969" s="37"/>
      <c r="T969" s="37"/>
      <c r="U969" s="37"/>
      <c r="V969" s="37"/>
      <c r="W969" s="37"/>
      <c r="X969" s="37"/>
      <c r="Y969" s="37"/>
      <c r="Z969" s="37"/>
      <c r="AA969" s="37"/>
      <c r="AB969" s="37"/>
      <c r="AC969" s="37"/>
      <c r="AD969" s="37"/>
      <c r="AE969" s="37"/>
      <c r="AF969" s="37"/>
      <c r="AG969" s="37"/>
      <c r="AH969" s="37"/>
      <c r="AI969" s="37"/>
      <c r="AJ969" s="37"/>
      <c r="AK969" s="39"/>
      <c r="AL969" s="37"/>
      <c r="AM969" s="37"/>
      <c r="AN969" s="37"/>
      <c r="AO969" s="37"/>
    </row>
    <row r="970" spans="1:41">
      <c r="A970" s="37"/>
      <c r="B970" s="37"/>
      <c r="C970" s="37"/>
      <c r="D970" s="37"/>
      <c r="E970" s="37"/>
      <c r="F970" s="37"/>
      <c r="G970" s="37"/>
      <c r="H970" s="40"/>
      <c r="I970" s="40"/>
      <c r="J970" s="40"/>
      <c r="K970" s="37"/>
      <c r="L970" s="37"/>
      <c r="M970" s="37"/>
      <c r="N970" s="37"/>
      <c r="O970" s="37"/>
      <c r="P970" s="37"/>
      <c r="Q970" s="37"/>
      <c r="R970" s="37"/>
      <c r="S970" s="37"/>
      <c r="T970" s="37"/>
      <c r="U970" s="37"/>
      <c r="V970" s="37"/>
      <c r="W970" s="37"/>
      <c r="X970" s="37"/>
      <c r="Y970" s="37"/>
      <c r="Z970" s="37"/>
      <c r="AA970" s="37"/>
      <c r="AB970" s="37"/>
      <c r="AC970" s="37"/>
      <c r="AD970" s="37"/>
      <c r="AE970" s="37"/>
      <c r="AF970" s="37"/>
      <c r="AG970" s="37"/>
      <c r="AH970" s="37"/>
      <c r="AI970" s="37"/>
      <c r="AJ970" s="37"/>
      <c r="AK970" s="39"/>
      <c r="AL970" s="37"/>
      <c r="AM970" s="37"/>
      <c r="AN970" s="37"/>
      <c r="AO970" s="37"/>
    </row>
    <row r="971" spans="1:41">
      <c r="A971" s="37"/>
      <c r="B971" s="37"/>
      <c r="C971" s="37"/>
      <c r="D971" s="37"/>
      <c r="E971" s="37"/>
      <c r="F971" s="37"/>
      <c r="G971" s="37"/>
      <c r="H971" s="40"/>
      <c r="I971" s="40"/>
      <c r="J971" s="40"/>
      <c r="K971" s="37"/>
      <c r="L971" s="37"/>
      <c r="M971" s="37"/>
      <c r="N971" s="37"/>
      <c r="O971" s="37"/>
      <c r="P971" s="37"/>
      <c r="Q971" s="37"/>
      <c r="R971" s="37"/>
      <c r="S971" s="37"/>
      <c r="T971" s="37"/>
      <c r="U971" s="37"/>
      <c r="V971" s="37"/>
      <c r="W971" s="37"/>
      <c r="X971" s="37"/>
      <c r="Y971" s="37"/>
      <c r="Z971" s="37"/>
      <c r="AA971" s="37"/>
      <c r="AB971" s="37"/>
      <c r="AC971" s="37"/>
      <c r="AD971" s="37"/>
      <c r="AE971" s="37"/>
      <c r="AF971" s="37"/>
      <c r="AG971" s="37"/>
      <c r="AH971" s="37"/>
      <c r="AI971" s="37"/>
      <c r="AJ971" s="37"/>
      <c r="AK971" s="39"/>
      <c r="AL971" s="37"/>
      <c r="AM971" s="37"/>
      <c r="AN971" s="37"/>
      <c r="AO971" s="37"/>
    </row>
    <row r="972" spans="1:41">
      <c r="A972" s="37"/>
      <c r="B972" s="37"/>
      <c r="C972" s="37"/>
      <c r="D972" s="37"/>
      <c r="E972" s="37"/>
      <c r="F972" s="37"/>
      <c r="G972" s="37"/>
      <c r="H972" s="40"/>
      <c r="I972" s="40"/>
      <c r="J972" s="40"/>
      <c r="K972" s="37"/>
      <c r="L972" s="37"/>
      <c r="M972" s="37"/>
      <c r="N972" s="37"/>
      <c r="O972" s="37"/>
      <c r="P972" s="37"/>
      <c r="Q972" s="37"/>
      <c r="R972" s="37"/>
      <c r="S972" s="37"/>
      <c r="T972" s="37"/>
      <c r="U972" s="37"/>
      <c r="V972" s="37"/>
      <c r="W972" s="37"/>
      <c r="X972" s="37"/>
      <c r="Y972" s="37"/>
      <c r="Z972" s="37"/>
      <c r="AA972" s="37"/>
      <c r="AB972" s="37"/>
      <c r="AC972" s="37"/>
      <c r="AD972" s="37"/>
      <c r="AE972" s="37"/>
      <c r="AF972" s="37"/>
      <c r="AG972" s="37"/>
      <c r="AH972" s="37"/>
      <c r="AI972" s="37"/>
      <c r="AJ972" s="37"/>
      <c r="AK972" s="39"/>
      <c r="AL972" s="37"/>
      <c r="AM972" s="37"/>
      <c r="AN972" s="37"/>
      <c r="AO972" s="37"/>
    </row>
    <row r="973" spans="1:41">
      <c r="A973" s="37"/>
      <c r="B973" s="37"/>
      <c r="C973" s="37"/>
      <c r="D973" s="37"/>
      <c r="E973" s="37"/>
      <c r="F973" s="37"/>
      <c r="G973" s="37"/>
      <c r="H973" s="40"/>
      <c r="I973" s="40"/>
      <c r="J973" s="40"/>
      <c r="K973" s="37"/>
      <c r="L973" s="37"/>
      <c r="M973" s="37"/>
      <c r="N973" s="37"/>
      <c r="O973" s="37"/>
      <c r="P973" s="37"/>
      <c r="Q973" s="37"/>
      <c r="R973" s="37"/>
      <c r="S973" s="37"/>
      <c r="T973" s="37"/>
      <c r="U973" s="37"/>
      <c r="V973" s="37"/>
      <c r="W973" s="37"/>
      <c r="X973" s="37"/>
      <c r="Y973" s="37"/>
      <c r="Z973" s="37"/>
      <c r="AA973" s="37"/>
      <c r="AB973" s="37"/>
      <c r="AC973" s="37"/>
      <c r="AD973" s="37"/>
      <c r="AE973" s="37"/>
      <c r="AF973" s="37"/>
      <c r="AG973" s="37"/>
      <c r="AH973" s="37"/>
      <c r="AI973" s="37"/>
      <c r="AJ973" s="37"/>
      <c r="AK973" s="39"/>
      <c r="AL973" s="37"/>
      <c r="AM973" s="37"/>
      <c r="AN973" s="37"/>
      <c r="AO973" s="37"/>
    </row>
    <row r="974" spans="1:41">
      <c r="A974" s="37"/>
      <c r="B974" s="37"/>
      <c r="C974" s="37"/>
      <c r="D974" s="37"/>
      <c r="E974" s="37"/>
      <c r="F974" s="37"/>
      <c r="G974" s="37"/>
      <c r="H974" s="40"/>
      <c r="I974" s="40"/>
      <c r="J974" s="40"/>
      <c r="K974" s="37"/>
      <c r="L974" s="37"/>
      <c r="M974" s="37"/>
      <c r="N974" s="37"/>
      <c r="O974" s="37"/>
      <c r="P974" s="37"/>
      <c r="Q974" s="37"/>
      <c r="R974" s="37"/>
      <c r="S974" s="37"/>
      <c r="T974" s="37"/>
      <c r="U974" s="37"/>
      <c r="V974" s="37"/>
      <c r="W974" s="37"/>
      <c r="X974" s="37"/>
      <c r="Y974" s="37"/>
      <c r="Z974" s="37"/>
      <c r="AA974" s="37"/>
      <c r="AB974" s="37"/>
      <c r="AC974" s="37"/>
      <c r="AD974" s="37"/>
      <c r="AE974" s="37"/>
      <c r="AF974" s="37"/>
      <c r="AG974" s="37"/>
      <c r="AH974" s="37"/>
      <c r="AI974" s="37"/>
      <c r="AJ974" s="37"/>
      <c r="AK974" s="39"/>
      <c r="AL974" s="37"/>
      <c r="AM974" s="37"/>
      <c r="AN974" s="37"/>
      <c r="AO974" s="37"/>
    </row>
    <row r="975" spans="1:41">
      <c r="A975" s="37"/>
      <c r="B975" s="37"/>
      <c r="C975" s="37"/>
      <c r="D975" s="37"/>
      <c r="E975" s="37"/>
      <c r="F975" s="37"/>
      <c r="G975" s="37"/>
      <c r="H975" s="40"/>
      <c r="I975" s="40"/>
      <c r="J975" s="40"/>
      <c r="K975" s="37"/>
      <c r="L975" s="37"/>
      <c r="M975" s="37"/>
      <c r="N975" s="37"/>
      <c r="O975" s="37"/>
      <c r="P975" s="37"/>
      <c r="Q975" s="37"/>
      <c r="R975" s="37"/>
      <c r="S975" s="37"/>
      <c r="T975" s="37"/>
      <c r="U975" s="37"/>
      <c r="V975" s="37"/>
      <c r="W975" s="37"/>
      <c r="X975" s="37"/>
      <c r="Y975" s="37"/>
      <c r="Z975" s="37"/>
      <c r="AA975" s="37"/>
      <c r="AB975" s="37"/>
      <c r="AC975" s="37"/>
      <c r="AD975" s="37"/>
      <c r="AE975" s="37"/>
      <c r="AF975" s="37"/>
      <c r="AG975" s="37"/>
      <c r="AH975" s="37"/>
      <c r="AI975" s="37"/>
      <c r="AJ975" s="37"/>
      <c r="AK975" s="39"/>
      <c r="AL975" s="37"/>
      <c r="AM975" s="37"/>
      <c r="AN975" s="37"/>
      <c r="AO975" s="37"/>
    </row>
    <row r="976" spans="1:41">
      <c r="A976" s="37"/>
      <c r="B976" s="37"/>
      <c r="C976" s="37"/>
      <c r="D976" s="37"/>
      <c r="E976" s="37"/>
      <c r="F976" s="37"/>
      <c r="G976" s="37"/>
      <c r="H976" s="40"/>
      <c r="I976" s="40"/>
      <c r="J976" s="40"/>
      <c r="K976" s="37"/>
      <c r="L976" s="37"/>
      <c r="M976" s="37"/>
      <c r="N976" s="37"/>
      <c r="O976" s="37"/>
      <c r="P976" s="37"/>
      <c r="Q976" s="37"/>
      <c r="R976" s="37"/>
      <c r="S976" s="37"/>
      <c r="T976" s="37"/>
      <c r="U976" s="37"/>
      <c r="V976" s="37"/>
      <c r="W976" s="37"/>
      <c r="X976" s="37"/>
      <c r="Y976" s="37"/>
      <c r="Z976" s="37"/>
      <c r="AA976" s="37"/>
      <c r="AB976" s="37"/>
      <c r="AC976" s="37"/>
      <c r="AD976" s="37"/>
      <c r="AE976" s="37"/>
      <c r="AF976" s="37"/>
      <c r="AG976" s="37"/>
      <c r="AH976" s="37"/>
      <c r="AI976" s="37"/>
      <c r="AJ976" s="37"/>
      <c r="AK976" s="39"/>
      <c r="AL976" s="37"/>
      <c r="AM976" s="37"/>
      <c r="AN976" s="37"/>
      <c r="AO976" s="37"/>
    </row>
    <row r="977" spans="1:41">
      <c r="A977" s="37"/>
      <c r="B977" s="37"/>
      <c r="C977" s="37"/>
      <c r="D977" s="37"/>
      <c r="E977" s="37"/>
      <c r="F977" s="37"/>
      <c r="G977" s="37"/>
      <c r="H977" s="40"/>
      <c r="I977" s="40"/>
      <c r="J977" s="40"/>
      <c r="K977" s="37"/>
      <c r="L977" s="37"/>
      <c r="M977" s="37"/>
      <c r="N977" s="37"/>
      <c r="O977" s="37"/>
      <c r="P977" s="37"/>
      <c r="Q977" s="37"/>
      <c r="R977" s="37"/>
      <c r="S977" s="37"/>
      <c r="T977" s="37"/>
      <c r="U977" s="37"/>
      <c r="V977" s="37"/>
      <c r="W977" s="37"/>
      <c r="X977" s="37"/>
      <c r="Y977" s="37"/>
      <c r="Z977" s="37"/>
      <c r="AA977" s="37"/>
      <c r="AB977" s="37"/>
      <c r="AC977" s="37"/>
      <c r="AD977" s="37"/>
      <c r="AE977" s="37"/>
      <c r="AF977" s="37"/>
      <c r="AG977" s="37"/>
      <c r="AH977" s="37"/>
      <c r="AI977" s="37"/>
      <c r="AJ977" s="37"/>
      <c r="AK977" s="39"/>
      <c r="AL977" s="37"/>
      <c r="AM977" s="37"/>
      <c r="AN977" s="37"/>
      <c r="AO977" s="37"/>
    </row>
    <row r="978" spans="1:41">
      <c r="A978" s="37"/>
      <c r="B978" s="37"/>
      <c r="C978" s="37"/>
      <c r="D978" s="37"/>
      <c r="E978" s="37"/>
      <c r="F978" s="37"/>
      <c r="G978" s="37"/>
      <c r="H978" s="40"/>
      <c r="I978" s="40"/>
      <c r="J978" s="40"/>
      <c r="K978" s="37"/>
      <c r="L978" s="37"/>
      <c r="M978" s="37"/>
      <c r="N978" s="37"/>
      <c r="O978" s="37"/>
      <c r="P978" s="37"/>
      <c r="Q978" s="37"/>
      <c r="R978" s="37"/>
      <c r="S978" s="37"/>
      <c r="T978" s="37"/>
      <c r="U978" s="37"/>
      <c r="V978" s="37"/>
      <c r="W978" s="37"/>
      <c r="X978" s="37"/>
      <c r="Y978" s="37"/>
      <c r="Z978" s="37"/>
      <c r="AA978" s="37"/>
      <c r="AB978" s="37"/>
      <c r="AC978" s="37"/>
      <c r="AD978" s="37"/>
      <c r="AE978" s="37"/>
      <c r="AF978" s="37"/>
      <c r="AG978" s="37"/>
      <c r="AH978" s="37"/>
      <c r="AI978" s="37"/>
      <c r="AJ978" s="37"/>
      <c r="AK978" s="39"/>
      <c r="AL978" s="37"/>
      <c r="AM978" s="37"/>
      <c r="AN978" s="37"/>
      <c r="AO978" s="37"/>
    </row>
    <row r="979" spans="1:41">
      <c r="A979" s="37"/>
      <c r="B979" s="37"/>
      <c r="C979" s="37"/>
      <c r="D979" s="37"/>
      <c r="E979" s="37"/>
      <c r="F979" s="37"/>
      <c r="G979" s="37"/>
      <c r="H979" s="40"/>
      <c r="I979" s="40"/>
      <c r="J979" s="40"/>
      <c r="K979" s="37"/>
      <c r="L979" s="37"/>
      <c r="M979" s="37"/>
      <c r="N979" s="37"/>
      <c r="O979" s="37"/>
      <c r="P979" s="37"/>
      <c r="Q979" s="37"/>
      <c r="R979" s="37"/>
      <c r="S979" s="37"/>
      <c r="T979" s="37"/>
      <c r="U979" s="37"/>
      <c r="V979" s="37"/>
      <c r="W979" s="37"/>
      <c r="X979" s="37"/>
      <c r="Y979" s="37"/>
      <c r="Z979" s="37"/>
      <c r="AA979" s="37"/>
      <c r="AB979" s="37"/>
      <c r="AC979" s="37"/>
      <c r="AD979" s="37"/>
      <c r="AE979" s="37"/>
      <c r="AF979" s="37"/>
      <c r="AG979" s="37"/>
      <c r="AH979" s="37"/>
      <c r="AI979" s="37"/>
      <c r="AJ979" s="37"/>
      <c r="AK979" s="39"/>
      <c r="AL979" s="37"/>
      <c r="AM979" s="37"/>
      <c r="AN979" s="37"/>
      <c r="AO979" s="37"/>
    </row>
    <row r="980" spans="1:41">
      <c r="A980" s="37"/>
      <c r="B980" s="37"/>
      <c r="C980" s="37"/>
      <c r="D980" s="37"/>
      <c r="E980" s="37"/>
      <c r="F980" s="37"/>
      <c r="G980" s="37"/>
      <c r="H980" s="40"/>
      <c r="I980" s="40"/>
      <c r="J980" s="40"/>
      <c r="K980" s="37"/>
      <c r="L980" s="37"/>
      <c r="M980" s="37"/>
      <c r="N980" s="37"/>
      <c r="O980" s="37"/>
      <c r="P980" s="37"/>
      <c r="Q980" s="37"/>
      <c r="R980" s="37"/>
      <c r="S980" s="37"/>
      <c r="T980" s="37"/>
      <c r="U980" s="37"/>
      <c r="V980" s="37"/>
      <c r="W980" s="37"/>
      <c r="X980" s="37"/>
      <c r="Y980" s="37"/>
      <c r="Z980" s="37"/>
      <c r="AA980" s="37"/>
      <c r="AB980" s="37"/>
      <c r="AC980" s="37"/>
      <c r="AD980" s="37"/>
      <c r="AE980" s="37"/>
      <c r="AF980" s="37"/>
      <c r="AG980" s="37"/>
      <c r="AH980" s="37"/>
      <c r="AI980" s="37"/>
      <c r="AJ980" s="37"/>
      <c r="AK980" s="39"/>
      <c r="AL980" s="37"/>
      <c r="AM980" s="37"/>
      <c r="AN980" s="37"/>
      <c r="AO980" s="37"/>
    </row>
    <row r="981" spans="1:41">
      <c r="A981" s="37"/>
      <c r="B981" s="37"/>
      <c r="C981" s="37"/>
      <c r="D981" s="37"/>
      <c r="E981" s="37"/>
      <c r="F981" s="37"/>
      <c r="G981" s="37"/>
      <c r="H981" s="40"/>
      <c r="I981" s="40"/>
      <c r="J981" s="40"/>
      <c r="K981" s="37"/>
      <c r="L981" s="37"/>
      <c r="M981" s="37"/>
      <c r="N981" s="37"/>
      <c r="O981" s="37"/>
      <c r="P981" s="37"/>
      <c r="Q981" s="37"/>
      <c r="R981" s="37"/>
      <c r="S981" s="37"/>
      <c r="T981" s="37"/>
      <c r="U981" s="37"/>
      <c r="V981" s="37"/>
      <c r="W981" s="37"/>
      <c r="X981" s="37"/>
      <c r="Y981" s="37"/>
      <c r="Z981" s="37"/>
      <c r="AA981" s="37"/>
      <c r="AB981" s="37"/>
      <c r="AC981" s="37"/>
      <c r="AD981" s="37"/>
      <c r="AE981" s="37"/>
      <c r="AF981" s="37"/>
      <c r="AG981" s="37"/>
      <c r="AH981" s="37"/>
      <c r="AI981" s="37"/>
      <c r="AJ981" s="37"/>
      <c r="AK981" s="39"/>
      <c r="AL981" s="37"/>
      <c r="AM981" s="37"/>
      <c r="AN981" s="37"/>
      <c r="AO981" s="37"/>
    </row>
    <row r="982" spans="1:41">
      <c r="A982" s="37"/>
      <c r="B982" s="37"/>
      <c r="C982" s="37"/>
      <c r="D982" s="37"/>
      <c r="E982" s="37"/>
      <c r="F982" s="37"/>
      <c r="G982" s="37"/>
      <c r="H982" s="40"/>
      <c r="I982" s="40"/>
      <c r="J982" s="40"/>
      <c r="K982" s="37"/>
      <c r="L982" s="37"/>
      <c r="M982" s="37"/>
      <c r="N982" s="37"/>
      <c r="O982" s="37"/>
      <c r="P982" s="37"/>
      <c r="Q982" s="37"/>
      <c r="R982" s="37"/>
      <c r="S982" s="37"/>
      <c r="T982" s="37"/>
      <c r="U982" s="37"/>
      <c r="V982" s="37"/>
      <c r="W982" s="37"/>
      <c r="X982" s="37"/>
      <c r="Y982" s="37"/>
      <c r="Z982" s="37"/>
      <c r="AA982" s="37"/>
      <c r="AB982" s="37"/>
      <c r="AC982" s="37"/>
      <c r="AD982" s="37"/>
      <c r="AE982" s="37"/>
      <c r="AF982" s="37"/>
      <c r="AG982" s="37"/>
      <c r="AH982" s="37"/>
      <c r="AI982" s="37"/>
      <c r="AJ982" s="37"/>
      <c r="AK982" s="39"/>
      <c r="AL982" s="37"/>
      <c r="AM982" s="37"/>
      <c r="AN982" s="37"/>
      <c r="AO982" s="37"/>
    </row>
    <row r="983" spans="1:41">
      <c r="A983" s="37"/>
      <c r="B983" s="37"/>
      <c r="C983" s="37"/>
      <c r="D983" s="37"/>
      <c r="E983" s="37"/>
      <c r="F983" s="37"/>
      <c r="G983" s="37"/>
      <c r="H983" s="40"/>
      <c r="I983" s="40"/>
      <c r="J983" s="40"/>
      <c r="K983" s="37"/>
      <c r="L983" s="37"/>
      <c r="M983" s="37"/>
      <c r="N983" s="37"/>
      <c r="O983" s="37"/>
      <c r="P983" s="37"/>
      <c r="Q983" s="37"/>
      <c r="R983" s="37"/>
      <c r="S983" s="37"/>
      <c r="T983" s="37"/>
      <c r="U983" s="37"/>
      <c r="V983" s="37"/>
      <c r="W983" s="37"/>
      <c r="X983" s="37"/>
      <c r="Y983" s="37"/>
      <c r="Z983" s="37"/>
      <c r="AA983" s="37"/>
      <c r="AB983" s="37"/>
      <c r="AC983" s="37"/>
      <c r="AD983" s="37"/>
      <c r="AE983" s="37"/>
      <c r="AF983" s="37"/>
      <c r="AG983" s="37"/>
      <c r="AH983" s="37"/>
      <c r="AI983" s="37"/>
      <c r="AJ983" s="37"/>
      <c r="AK983" s="39"/>
      <c r="AL983" s="37"/>
      <c r="AM983" s="37"/>
      <c r="AN983" s="37"/>
      <c r="AO983" s="37"/>
    </row>
    <row r="984" spans="1:41">
      <c r="A984" s="37"/>
      <c r="B984" s="37"/>
      <c r="C984" s="37"/>
      <c r="D984" s="37"/>
      <c r="E984" s="37"/>
      <c r="F984" s="37"/>
      <c r="G984" s="37"/>
      <c r="H984" s="40"/>
      <c r="I984" s="40"/>
      <c r="J984" s="40"/>
      <c r="K984" s="37"/>
      <c r="L984" s="37"/>
      <c r="M984" s="37"/>
      <c r="N984" s="37"/>
      <c r="O984" s="37"/>
      <c r="P984" s="37"/>
      <c r="Q984" s="37"/>
      <c r="R984" s="37"/>
      <c r="S984" s="37"/>
      <c r="T984" s="37"/>
      <c r="U984" s="37"/>
      <c r="V984" s="37"/>
      <c r="W984" s="37"/>
      <c r="X984" s="37"/>
      <c r="Y984" s="37"/>
      <c r="Z984" s="37"/>
      <c r="AA984" s="37"/>
      <c r="AB984" s="37"/>
      <c r="AC984" s="37"/>
      <c r="AD984" s="37"/>
      <c r="AE984" s="37"/>
      <c r="AF984" s="37"/>
      <c r="AG984" s="37"/>
      <c r="AH984" s="37"/>
      <c r="AI984" s="37"/>
      <c r="AJ984" s="37"/>
      <c r="AK984" s="39"/>
      <c r="AL984" s="37"/>
      <c r="AM984" s="37"/>
      <c r="AN984" s="37"/>
      <c r="AO984" s="37"/>
    </row>
    <row r="985" spans="1:41">
      <c r="A985" s="37"/>
      <c r="B985" s="37"/>
      <c r="C985" s="37"/>
      <c r="D985" s="37"/>
      <c r="E985" s="37"/>
      <c r="F985" s="37"/>
      <c r="G985" s="37"/>
      <c r="H985" s="40"/>
      <c r="I985" s="40"/>
      <c r="J985" s="40"/>
      <c r="K985" s="37"/>
      <c r="L985" s="37"/>
      <c r="M985" s="37"/>
      <c r="N985" s="37"/>
      <c r="O985" s="37"/>
      <c r="P985" s="37"/>
      <c r="Q985" s="37"/>
      <c r="R985" s="37"/>
      <c r="S985" s="37"/>
      <c r="T985" s="37"/>
      <c r="U985" s="37"/>
      <c r="V985" s="37"/>
      <c r="W985" s="37"/>
      <c r="X985" s="37"/>
      <c r="Y985" s="37"/>
      <c r="Z985" s="37"/>
      <c r="AA985" s="37"/>
      <c r="AB985" s="37"/>
      <c r="AC985" s="37"/>
      <c r="AD985" s="37"/>
      <c r="AE985" s="37"/>
      <c r="AF985" s="37"/>
      <c r="AG985" s="37"/>
      <c r="AH985" s="37"/>
      <c r="AI985" s="37"/>
      <c r="AJ985" s="37"/>
      <c r="AK985" s="39"/>
      <c r="AL985" s="37"/>
      <c r="AM985" s="37"/>
      <c r="AN985" s="37"/>
      <c r="AO985" s="37"/>
    </row>
    <row r="986" spans="1:41">
      <c r="A986" s="37"/>
      <c r="B986" s="37"/>
      <c r="C986" s="37"/>
      <c r="D986" s="37"/>
      <c r="E986" s="37"/>
      <c r="F986" s="37"/>
      <c r="G986" s="37"/>
      <c r="H986" s="40"/>
      <c r="I986" s="40"/>
      <c r="J986" s="40"/>
      <c r="K986" s="37"/>
      <c r="L986" s="37"/>
      <c r="M986" s="37"/>
      <c r="N986" s="37"/>
      <c r="O986" s="37"/>
      <c r="P986" s="37"/>
      <c r="Q986" s="37"/>
      <c r="R986" s="37"/>
      <c r="S986" s="37"/>
      <c r="T986" s="37"/>
      <c r="U986" s="37"/>
      <c r="V986" s="37"/>
      <c r="W986" s="37"/>
      <c r="X986" s="37"/>
      <c r="Y986" s="37"/>
      <c r="Z986" s="37"/>
      <c r="AA986" s="37"/>
      <c r="AB986" s="37"/>
      <c r="AC986" s="37"/>
      <c r="AD986" s="37"/>
      <c r="AE986" s="37"/>
      <c r="AF986" s="37"/>
      <c r="AG986" s="37"/>
      <c r="AH986" s="37"/>
      <c r="AI986" s="37"/>
      <c r="AJ986" s="37"/>
      <c r="AK986" s="39"/>
      <c r="AL986" s="37"/>
      <c r="AM986" s="37"/>
      <c r="AN986" s="37"/>
      <c r="AO986" s="37"/>
    </row>
    <row r="987" spans="1:41">
      <c r="A987" s="37"/>
      <c r="B987" s="37"/>
      <c r="C987" s="37"/>
      <c r="D987" s="37"/>
      <c r="E987" s="37"/>
      <c r="F987" s="37"/>
      <c r="G987" s="37"/>
      <c r="H987" s="40"/>
      <c r="I987" s="40"/>
      <c r="J987" s="40"/>
      <c r="K987" s="37"/>
      <c r="L987" s="37"/>
      <c r="M987" s="37"/>
      <c r="N987" s="37"/>
      <c r="O987" s="37"/>
      <c r="P987" s="37"/>
      <c r="Q987" s="37"/>
      <c r="R987" s="37"/>
      <c r="S987" s="37"/>
      <c r="T987" s="37"/>
      <c r="U987" s="37"/>
      <c r="V987" s="37"/>
      <c r="W987" s="37"/>
      <c r="X987" s="37"/>
      <c r="Y987" s="37"/>
      <c r="Z987" s="37"/>
      <c r="AA987" s="37"/>
      <c r="AB987" s="37"/>
      <c r="AC987" s="37"/>
      <c r="AD987" s="37"/>
      <c r="AE987" s="37"/>
      <c r="AF987" s="37"/>
      <c r="AG987" s="37"/>
      <c r="AH987" s="37"/>
      <c r="AI987" s="37"/>
      <c r="AJ987" s="37"/>
      <c r="AK987" s="39"/>
      <c r="AL987" s="37"/>
      <c r="AM987" s="37"/>
      <c r="AN987" s="37"/>
      <c r="AO987" s="37"/>
    </row>
    <row r="988" spans="1:41">
      <c r="A988" s="37"/>
      <c r="B988" s="37"/>
      <c r="C988" s="37"/>
      <c r="D988" s="37"/>
      <c r="E988" s="37"/>
      <c r="F988" s="37"/>
      <c r="G988" s="37"/>
      <c r="H988" s="40"/>
      <c r="I988" s="40"/>
      <c r="J988" s="40"/>
      <c r="K988" s="37"/>
      <c r="L988" s="37"/>
      <c r="M988" s="37"/>
      <c r="N988" s="37"/>
      <c r="O988" s="37"/>
      <c r="P988" s="37"/>
      <c r="Q988" s="37"/>
      <c r="R988" s="37"/>
      <c r="S988" s="37"/>
      <c r="T988" s="37"/>
      <c r="U988" s="37"/>
      <c r="V988" s="37"/>
      <c r="W988" s="37"/>
      <c r="X988" s="37"/>
      <c r="Y988" s="37"/>
      <c r="Z988" s="37"/>
      <c r="AA988" s="37"/>
      <c r="AB988" s="37"/>
      <c r="AC988" s="37"/>
      <c r="AD988" s="37"/>
      <c r="AE988" s="37"/>
      <c r="AF988" s="37"/>
      <c r="AG988" s="37"/>
      <c r="AH988" s="37"/>
      <c r="AI988" s="37"/>
      <c r="AJ988" s="37"/>
      <c r="AK988" s="39"/>
      <c r="AL988" s="37"/>
      <c r="AM988" s="37"/>
      <c r="AN988" s="37"/>
      <c r="AO988" s="37"/>
    </row>
    <row r="989" spans="1:41">
      <c r="A989" s="37"/>
      <c r="B989" s="37"/>
      <c r="C989" s="37"/>
      <c r="D989" s="37"/>
      <c r="E989" s="37"/>
      <c r="F989" s="37"/>
      <c r="G989" s="37"/>
      <c r="H989" s="40"/>
      <c r="I989" s="40"/>
      <c r="J989" s="40"/>
      <c r="K989" s="37"/>
      <c r="L989" s="37"/>
      <c r="M989" s="37"/>
      <c r="N989" s="37"/>
      <c r="O989" s="37"/>
      <c r="P989" s="37"/>
      <c r="Q989" s="37"/>
      <c r="R989" s="37"/>
      <c r="S989" s="37"/>
      <c r="T989" s="37"/>
      <c r="U989" s="37"/>
      <c r="V989" s="37"/>
      <c r="W989" s="37"/>
      <c r="X989" s="37"/>
      <c r="Y989" s="37"/>
      <c r="Z989" s="37"/>
      <c r="AA989" s="37"/>
      <c r="AB989" s="37"/>
      <c r="AC989" s="37"/>
      <c r="AD989" s="37"/>
      <c r="AE989" s="37"/>
      <c r="AF989" s="37"/>
      <c r="AG989" s="37"/>
      <c r="AH989" s="37"/>
      <c r="AI989" s="37"/>
      <c r="AJ989" s="37"/>
      <c r="AK989" s="39"/>
      <c r="AL989" s="37"/>
      <c r="AM989" s="37"/>
      <c r="AN989" s="37"/>
      <c r="AO989" s="37"/>
    </row>
    <row r="990" spans="1:41">
      <c r="A990" s="37"/>
      <c r="B990" s="37"/>
      <c r="C990" s="37"/>
      <c r="D990" s="37"/>
      <c r="E990" s="37"/>
      <c r="F990" s="37"/>
      <c r="G990" s="37"/>
      <c r="H990" s="40"/>
      <c r="I990" s="40"/>
      <c r="J990" s="40"/>
      <c r="K990" s="37"/>
      <c r="L990" s="37"/>
      <c r="M990" s="37"/>
      <c r="N990" s="37"/>
      <c r="O990" s="37"/>
      <c r="P990" s="37"/>
      <c r="Q990" s="37"/>
      <c r="R990" s="37"/>
      <c r="S990" s="37"/>
      <c r="T990" s="37"/>
      <c r="U990" s="37"/>
      <c r="V990" s="37"/>
      <c r="W990" s="37"/>
      <c r="X990" s="37"/>
      <c r="Y990" s="37"/>
      <c r="Z990" s="37"/>
      <c r="AA990" s="37"/>
      <c r="AB990" s="37"/>
      <c r="AC990" s="37"/>
      <c r="AD990" s="37"/>
      <c r="AE990" s="37"/>
      <c r="AF990" s="37"/>
      <c r="AG990" s="37"/>
      <c r="AH990" s="37"/>
      <c r="AI990" s="37"/>
      <c r="AJ990" s="37"/>
      <c r="AK990" s="39"/>
      <c r="AL990" s="37"/>
      <c r="AM990" s="37"/>
      <c r="AN990" s="37"/>
      <c r="AO990" s="37"/>
    </row>
    <row r="991" spans="1:41">
      <c r="A991" s="37"/>
      <c r="B991" s="37"/>
      <c r="C991" s="37"/>
      <c r="D991" s="37"/>
      <c r="E991" s="37"/>
      <c r="F991" s="37"/>
      <c r="G991" s="37"/>
      <c r="H991" s="40"/>
      <c r="I991" s="40"/>
      <c r="J991" s="40"/>
      <c r="K991" s="37"/>
      <c r="L991" s="37"/>
      <c r="M991" s="37"/>
      <c r="N991" s="37"/>
      <c r="O991" s="37"/>
      <c r="P991" s="37"/>
      <c r="Q991" s="37"/>
      <c r="R991" s="37"/>
      <c r="S991" s="37"/>
      <c r="T991" s="37"/>
      <c r="U991" s="37"/>
      <c r="V991" s="37"/>
      <c r="W991" s="37"/>
      <c r="X991" s="37"/>
      <c r="Y991" s="37"/>
      <c r="Z991" s="37"/>
      <c r="AA991" s="37"/>
      <c r="AB991" s="37"/>
      <c r="AC991" s="37"/>
      <c r="AD991" s="37"/>
      <c r="AE991" s="37"/>
      <c r="AF991" s="37"/>
      <c r="AG991" s="37"/>
      <c r="AH991" s="37"/>
      <c r="AI991" s="37"/>
      <c r="AJ991" s="37"/>
      <c r="AK991" s="39"/>
      <c r="AL991" s="37"/>
      <c r="AM991" s="37"/>
      <c r="AN991" s="37"/>
      <c r="AO991" s="37"/>
    </row>
    <row r="992" spans="1:41">
      <c r="A992" s="37"/>
      <c r="B992" s="37"/>
      <c r="C992" s="37"/>
      <c r="D992" s="37"/>
      <c r="E992" s="37"/>
      <c r="F992" s="37"/>
      <c r="G992" s="37"/>
      <c r="H992" s="40"/>
      <c r="I992" s="40"/>
      <c r="J992" s="40"/>
      <c r="K992" s="37"/>
      <c r="L992" s="37"/>
      <c r="M992" s="37"/>
      <c r="N992" s="37"/>
      <c r="O992" s="37"/>
      <c r="P992" s="37"/>
      <c r="Q992" s="37"/>
      <c r="R992" s="37"/>
      <c r="S992" s="37"/>
      <c r="T992" s="37"/>
      <c r="U992" s="37"/>
      <c r="V992" s="37"/>
      <c r="W992" s="37"/>
      <c r="X992" s="37"/>
      <c r="Y992" s="37"/>
      <c r="Z992" s="37"/>
      <c r="AA992" s="37"/>
      <c r="AB992" s="37"/>
      <c r="AC992" s="37"/>
      <c r="AD992" s="37"/>
      <c r="AE992" s="37"/>
      <c r="AF992" s="37"/>
      <c r="AG992" s="37"/>
      <c r="AH992" s="37"/>
      <c r="AI992" s="37"/>
      <c r="AJ992" s="37"/>
      <c r="AK992" s="39"/>
      <c r="AL992" s="37"/>
      <c r="AM992" s="37"/>
      <c r="AN992" s="37"/>
      <c r="AO992" s="37"/>
    </row>
    <row r="993" spans="1:41">
      <c r="A993" s="37"/>
      <c r="B993" s="37"/>
      <c r="C993" s="37"/>
      <c r="D993" s="37"/>
      <c r="E993" s="37"/>
      <c r="F993" s="37"/>
      <c r="G993" s="37"/>
      <c r="H993" s="40"/>
      <c r="I993" s="40"/>
      <c r="J993" s="40"/>
      <c r="K993" s="37"/>
      <c r="L993" s="37"/>
      <c r="M993" s="37"/>
      <c r="N993" s="37"/>
      <c r="O993" s="37"/>
      <c r="P993" s="37"/>
      <c r="Q993" s="37"/>
      <c r="R993" s="37"/>
      <c r="S993" s="37"/>
      <c r="T993" s="37"/>
      <c r="U993" s="37"/>
      <c r="V993" s="37"/>
      <c r="W993" s="37"/>
      <c r="X993" s="37"/>
      <c r="Y993" s="37"/>
      <c r="Z993" s="37"/>
      <c r="AA993" s="37"/>
      <c r="AB993" s="37"/>
      <c r="AC993" s="37"/>
      <c r="AD993" s="37"/>
      <c r="AE993" s="37"/>
      <c r="AF993" s="37"/>
      <c r="AG993" s="37"/>
      <c r="AH993" s="37"/>
      <c r="AI993" s="37"/>
      <c r="AJ993" s="37"/>
      <c r="AK993" s="39"/>
      <c r="AL993" s="37"/>
      <c r="AM993" s="37"/>
      <c r="AN993" s="37"/>
      <c r="AO993" s="37"/>
    </row>
    <row r="994" spans="1:41">
      <c r="A994" s="37"/>
      <c r="B994" s="37"/>
      <c r="C994" s="37"/>
      <c r="D994" s="37"/>
      <c r="E994" s="37"/>
      <c r="F994" s="37"/>
      <c r="G994" s="37"/>
      <c r="H994" s="40"/>
      <c r="I994" s="40"/>
      <c r="J994" s="40"/>
      <c r="K994" s="37"/>
      <c r="L994" s="37"/>
      <c r="M994" s="37"/>
      <c r="N994" s="37"/>
      <c r="O994" s="37"/>
      <c r="P994" s="37"/>
      <c r="Q994" s="37"/>
      <c r="R994" s="37"/>
      <c r="S994" s="37"/>
      <c r="T994" s="37"/>
      <c r="U994" s="37"/>
      <c r="V994" s="37"/>
      <c r="W994" s="37"/>
      <c r="X994" s="37"/>
      <c r="Y994" s="37"/>
      <c r="Z994" s="37"/>
      <c r="AA994" s="37"/>
      <c r="AB994" s="37"/>
      <c r="AC994" s="37"/>
      <c r="AD994" s="37"/>
      <c r="AE994" s="37"/>
      <c r="AF994" s="37"/>
      <c r="AG994" s="37"/>
      <c r="AH994" s="37"/>
      <c r="AI994" s="37"/>
      <c r="AJ994" s="37"/>
      <c r="AK994" s="39"/>
      <c r="AL994" s="37"/>
      <c r="AM994" s="37"/>
      <c r="AN994" s="37"/>
      <c r="AO994" s="37"/>
    </row>
    <row r="995" spans="1:41">
      <c r="A995" s="37"/>
      <c r="B995" s="37"/>
      <c r="C995" s="37"/>
      <c r="D995" s="37"/>
      <c r="E995" s="37"/>
      <c r="F995" s="37"/>
      <c r="G995" s="37"/>
      <c r="H995" s="40"/>
      <c r="I995" s="40"/>
      <c r="J995" s="40"/>
      <c r="K995" s="37"/>
      <c r="L995" s="37"/>
      <c r="M995" s="37"/>
      <c r="N995" s="37"/>
      <c r="O995" s="37"/>
      <c r="P995" s="37"/>
      <c r="Q995" s="37"/>
      <c r="R995" s="37"/>
      <c r="S995" s="37"/>
      <c r="T995" s="37"/>
      <c r="U995" s="37"/>
      <c r="V995" s="37"/>
      <c r="W995" s="37"/>
      <c r="X995" s="37"/>
      <c r="Y995" s="37"/>
      <c r="Z995" s="37"/>
      <c r="AA995" s="37"/>
      <c r="AB995" s="37"/>
      <c r="AC995" s="37"/>
      <c r="AD995" s="37"/>
      <c r="AE995" s="37"/>
      <c r="AF995" s="37"/>
      <c r="AG995" s="37"/>
      <c r="AH995" s="37"/>
      <c r="AI995" s="37"/>
      <c r="AJ995" s="37"/>
      <c r="AK995" s="39"/>
      <c r="AL995" s="37"/>
      <c r="AM995" s="37"/>
      <c r="AN995" s="37"/>
      <c r="AO995" s="37"/>
    </row>
    <row r="996" spans="1:41">
      <c r="A996" s="37"/>
      <c r="B996" s="37"/>
      <c r="C996" s="37"/>
      <c r="D996" s="37"/>
      <c r="E996" s="37"/>
      <c r="F996" s="37"/>
      <c r="G996" s="37"/>
      <c r="H996" s="40"/>
      <c r="I996" s="40"/>
      <c r="J996" s="40"/>
      <c r="K996" s="37"/>
      <c r="L996" s="37"/>
      <c r="M996" s="37"/>
      <c r="N996" s="37"/>
      <c r="O996" s="37"/>
      <c r="P996" s="37"/>
      <c r="Q996" s="37"/>
      <c r="R996" s="37"/>
      <c r="S996" s="37"/>
      <c r="T996" s="37"/>
      <c r="U996" s="37"/>
      <c r="V996" s="37"/>
      <c r="W996" s="37"/>
      <c r="X996" s="37"/>
      <c r="Y996" s="37"/>
      <c r="Z996" s="37"/>
      <c r="AA996" s="37"/>
      <c r="AB996" s="37"/>
      <c r="AC996" s="37"/>
      <c r="AD996" s="37"/>
      <c r="AE996" s="37"/>
      <c r="AF996" s="37"/>
      <c r="AG996" s="37"/>
      <c r="AH996" s="37"/>
      <c r="AI996" s="37"/>
      <c r="AJ996" s="37"/>
      <c r="AK996" s="39"/>
      <c r="AL996" s="37"/>
      <c r="AM996" s="37"/>
      <c r="AN996" s="37"/>
      <c r="AO996" s="37"/>
    </row>
    <row r="997" spans="1:41">
      <c r="A997" s="37"/>
      <c r="B997" s="37"/>
      <c r="C997" s="37"/>
      <c r="D997" s="37"/>
      <c r="E997" s="37"/>
      <c r="F997" s="37"/>
      <c r="G997" s="37"/>
      <c r="H997" s="40"/>
      <c r="I997" s="40"/>
      <c r="J997" s="40"/>
      <c r="K997" s="37"/>
      <c r="L997" s="37"/>
      <c r="M997" s="37"/>
      <c r="N997" s="37"/>
      <c r="O997" s="37"/>
      <c r="P997" s="37"/>
      <c r="Q997" s="37"/>
      <c r="R997" s="37"/>
      <c r="S997" s="37"/>
      <c r="T997" s="37"/>
      <c r="U997" s="37"/>
      <c r="V997" s="37"/>
      <c r="W997" s="37"/>
      <c r="X997" s="37"/>
      <c r="Y997" s="37"/>
      <c r="Z997" s="37"/>
      <c r="AA997" s="37"/>
      <c r="AB997" s="37"/>
      <c r="AC997" s="37"/>
      <c r="AD997" s="37"/>
      <c r="AE997" s="37"/>
      <c r="AF997" s="37"/>
      <c r="AG997" s="37"/>
      <c r="AH997" s="37"/>
      <c r="AI997" s="37"/>
      <c r="AJ997" s="37"/>
      <c r="AK997" s="39"/>
      <c r="AL997" s="37"/>
      <c r="AM997" s="37"/>
      <c r="AN997" s="37"/>
      <c r="AO997" s="37"/>
    </row>
    <row r="998" spans="1:41">
      <c r="A998" s="37"/>
      <c r="B998" s="37"/>
      <c r="C998" s="37"/>
      <c r="D998" s="37"/>
      <c r="E998" s="37"/>
      <c r="F998" s="37"/>
      <c r="G998" s="37"/>
      <c r="H998" s="40"/>
      <c r="I998" s="40"/>
      <c r="J998" s="40"/>
      <c r="K998" s="37"/>
      <c r="L998" s="37"/>
      <c r="M998" s="37"/>
      <c r="N998" s="37"/>
      <c r="O998" s="37"/>
      <c r="P998" s="37"/>
      <c r="Q998" s="37"/>
      <c r="R998" s="37"/>
      <c r="S998" s="37"/>
      <c r="T998" s="37"/>
      <c r="U998" s="37"/>
      <c r="V998" s="37"/>
      <c r="W998" s="37"/>
      <c r="X998" s="37"/>
      <c r="Y998" s="37"/>
      <c r="Z998" s="37"/>
      <c r="AA998" s="37"/>
      <c r="AB998" s="37"/>
      <c r="AC998" s="37"/>
      <c r="AD998" s="37"/>
      <c r="AE998" s="37"/>
      <c r="AF998" s="37"/>
      <c r="AG998" s="37"/>
      <c r="AH998" s="37"/>
      <c r="AI998" s="37"/>
      <c r="AJ998" s="37"/>
      <c r="AK998" s="39"/>
      <c r="AL998" s="37"/>
      <c r="AM998" s="37"/>
      <c r="AN998" s="37"/>
      <c r="AO998" s="37"/>
    </row>
    <row r="999" spans="1:41">
      <c r="A999" s="37"/>
      <c r="B999" s="37"/>
      <c r="C999" s="37"/>
      <c r="D999" s="37"/>
      <c r="E999" s="37"/>
      <c r="F999" s="37"/>
      <c r="G999" s="37"/>
      <c r="H999" s="40"/>
      <c r="I999" s="40"/>
      <c r="J999" s="40"/>
      <c r="K999" s="37"/>
      <c r="L999" s="37"/>
      <c r="M999" s="37"/>
      <c r="N999" s="37"/>
      <c r="O999" s="37"/>
      <c r="P999" s="37"/>
      <c r="Q999" s="37"/>
      <c r="R999" s="37"/>
      <c r="S999" s="37"/>
      <c r="T999" s="37"/>
      <c r="U999" s="37"/>
      <c r="V999" s="37"/>
      <c r="W999" s="37"/>
      <c r="X999" s="37"/>
      <c r="Y999" s="37"/>
      <c r="Z999" s="37"/>
      <c r="AA999" s="37"/>
      <c r="AB999" s="37"/>
      <c r="AC999" s="37"/>
      <c r="AD999" s="37"/>
      <c r="AE999" s="37"/>
      <c r="AF999" s="37"/>
      <c r="AG999" s="37"/>
      <c r="AH999" s="37"/>
      <c r="AI999" s="37"/>
      <c r="AJ999" s="37"/>
      <c r="AK999" s="39"/>
      <c r="AL999" s="37"/>
      <c r="AM999" s="37"/>
      <c r="AN999" s="37"/>
      <c r="AO999" s="37"/>
    </row>
    <row r="1000" spans="1:41">
      <c r="A1000" s="37"/>
      <c r="B1000" s="37"/>
      <c r="C1000" s="37"/>
      <c r="D1000" s="37"/>
      <c r="E1000" s="37"/>
      <c r="F1000" s="37"/>
      <c r="G1000" s="37"/>
      <c r="H1000" s="40"/>
      <c r="I1000" s="40"/>
      <c r="J1000" s="40"/>
      <c r="K1000" s="37"/>
      <c r="L1000" s="37"/>
      <c r="M1000" s="37"/>
      <c r="N1000" s="37"/>
      <c r="O1000" s="37"/>
      <c r="P1000" s="37"/>
      <c r="Q1000" s="37"/>
      <c r="R1000" s="37"/>
      <c r="S1000" s="37"/>
      <c r="T1000" s="37"/>
      <c r="U1000" s="37"/>
      <c r="V1000" s="37"/>
      <c r="W1000" s="37"/>
      <c r="X1000" s="37"/>
      <c r="Y1000" s="37"/>
      <c r="Z1000" s="37"/>
      <c r="AA1000" s="37"/>
      <c r="AB1000" s="37"/>
      <c r="AC1000" s="37"/>
      <c r="AD1000" s="37"/>
      <c r="AE1000" s="37"/>
      <c r="AF1000" s="37"/>
      <c r="AG1000" s="37"/>
      <c r="AH1000" s="37"/>
      <c r="AI1000" s="37"/>
      <c r="AJ1000" s="37"/>
      <c r="AK1000" s="39"/>
      <c r="AL1000" s="37"/>
      <c r="AM1000" s="37"/>
      <c r="AN1000" s="37"/>
      <c r="AO1000" s="37"/>
    </row>
    <row r="1001" spans="1:41">
      <c r="A1001" s="37"/>
      <c r="B1001" s="37"/>
      <c r="C1001" s="37"/>
      <c r="D1001" s="37"/>
      <c r="E1001" s="37"/>
      <c r="F1001" s="37"/>
      <c r="G1001" s="37"/>
      <c r="H1001" s="40"/>
      <c r="I1001" s="40"/>
      <c r="J1001" s="40"/>
      <c r="K1001" s="37"/>
      <c r="L1001" s="37"/>
      <c r="M1001" s="37"/>
      <c r="N1001" s="37"/>
      <c r="O1001" s="37"/>
      <c r="P1001" s="37"/>
      <c r="Q1001" s="37"/>
      <c r="R1001" s="37"/>
      <c r="S1001" s="37"/>
      <c r="T1001" s="37"/>
      <c r="U1001" s="37"/>
      <c r="V1001" s="37"/>
      <c r="W1001" s="37"/>
      <c r="X1001" s="37"/>
      <c r="Y1001" s="37"/>
      <c r="Z1001" s="37"/>
      <c r="AA1001" s="37"/>
      <c r="AB1001" s="37"/>
      <c r="AC1001" s="37"/>
      <c r="AD1001" s="37"/>
      <c r="AE1001" s="37"/>
      <c r="AF1001" s="37"/>
      <c r="AG1001" s="37"/>
      <c r="AH1001" s="37"/>
      <c r="AI1001" s="37"/>
      <c r="AJ1001" s="37"/>
      <c r="AK1001" s="39"/>
      <c r="AL1001" s="37"/>
      <c r="AM1001" s="37"/>
      <c r="AN1001" s="37"/>
      <c r="AO1001" s="37"/>
    </row>
    <row r="1002" spans="1:41">
      <c r="A1002" s="37"/>
      <c r="B1002" s="37"/>
      <c r="C1002" s="37"/>
      <c r="D1002" s="37"/>
      <c r="E1002" s="37"/>
      <c r="F1002" s="37"/>
      <c r="G1002" s="37"/>
      <c r="H1002" s="40"/>
      <c r="I1002" s="40"/>
      <c r="J1002" s="40"/>
      <c r="K1002" s="37"/>
      <c r="L1002" s="37"/>
      <c r="M1002" s="37"/>
      <c r="N1002" s="37"/>
      <c r="O1002" s="37"/>
      <c r="P1002" s="37"/>
      <c r="Q1002" s="37"/>
      <c r="R1002" s="37"/>
      <c r="S1002" s="37"/>
      <c r="T1002" s="37"/>
      <c r="U1002" s="37"/>
      <c r="V1002" s="37"/>
      <c r="W1002" s="37"/>
      <c r="X1002" s="37"/>
      <c r="Y1002" s="37"/>
      <c r="Z1002" s="37"/>
      <c r="AA1002" s="37"/>
      <c r="AB1002" s="37"/>
      <c r="AC1002" s="37"/>
      <c r="AD1002" s="37"/>
      <c r="AE1002" s="37"/>
      <c r="AF1002" s="37"/>
      <c r="AG1002" s="37"/>
      <c r="AH1002" s="37"/>
      <c r="AI1002" s="37"/>
      <c r="AJ1002" s="37"/>
      <c r="AK1002" s="39"/>
      <c r="AL1002" s="37"/>
      <c r="AM1002" s="37"/>
      <c r="AN1002" s="37"/>
      <c r="AO1002" s="37"/>
    </row>
    <row r="1003" spans="1:41">
      <c r="A1003" s="37"/>
      <c r="B1003" s="37"/>
      <c r="C1003" s="37"/>
      <c r="D1003" s="37"/>
      <c r="E1003" s="37"/>
      <c r="F1003" s="37"/>
      <c r="G1003" s="37"/>
      <c r="H1003" s="40"/>
      <c r="I1003" s="40"/>
      <c r="J1003" s="40"/>
      <c r="K1003" s="37"/>
      <c r="L1003" s="37"/>
      <c r="M1003" s="37"/>
      <c r="N1003" s="37"/>
      <c r="O1003" s="37"/>
      <c r="P1003" s="37"/>
      <c r="Q1003" s="37"/>
      <c r="R1003" s="37"/>
      <c r="S1003" s="37"/>
      <c r="T1003" s="37"/>
      <c r="U1003" s="37"/>
      <c r="V1003" s="37"/>
      <c r="W1003" s="37"/>
      <c r="X1003" s="37"/>
      <c r="Y1003" s="37"/>
      <c r="Z1003" s="37"/>
      <c r="AA1003" s="37"/>
      <c r="AB1003" s="37"/>
      <c r="AC1003" s="37"/>
      <c r="AD1003" s="37"/>
      <c r="AE1003" s="37"/>
      <c r="AF1003" s="37"/>
      <c r="AG1003" s="37"/>
      <c r="AH1003" s="37"/>
      <c r="AI1003" s="37"/>
      <c r="AJ1003" s="37"/>
      <c r="AK1003" s="39"/>
      <c r="AL1003" s="37"/>
      <c r="AM1003" s="37"/>
      <c r="AN1003" s="37"/>
      <c r="AO1003" s="37"/>
    </row>
    <row r="1004" spans="1:41">
      <c r="A1004" s="37"/>
      <c r="B1004" s="37"/>
      <c r="C1004" s="37"/>
      <c r="D1004" s="37"/>
      <c r="E1004" s="37"/>
      <c r="F1004" s="37"/>
      <c r="G1004" s="37"/>
      <c r="H1004" s="40"/>
      <c r="I1004" s="40"/>
      <c r="J1004" s="40"/>
      <c r="K1004" s="37"/>
      <c r="L1004" s="37"/>
      <c r="M1004" s="37"/>
      <c r="N1004" s="37"/>
      <c r="O1004" s="37"/>
      <c r="P1004" s="37"/>
      <c r="Q1004" s="37"/>
      <c r="R1004" s="37"/>
      <c r="S1004" s="37"/>
      <c r="T1004" s="37"/>
      <c r="U1004" s="37"/>
      <c r="V1004" s="37"/>
      <c r="W1004" s="37"/>
      <c r="X1004" s="37"/>
      <c r="Y1004" s="37"/>
      <c r="Z1004" s="37"/>
      <c r="AA1004" s="37"/>
      <c r="AB1004" s="37"/>
      <c r="AC1004" s="37"/>
      <c r="AD1004" s="37"/>
      <c r="AE1004" s="37"/>
      <c r="AF1004" s="37"/>
      <c r="AG1004" s="37"/>
      <c r="AH1004" s="37"/>
      <c r="AI1004" s="37"/>
      <c r="AJ1004" s="37"/>
      <c r="AK1004" s="39"/>
      <c r="AL1004" s="37"/>
      <c r="AM1004" s="37"/>
      <c r="AN1004" s="37"/>
      <c r="AO1004" s="37"/>
    </row>
    <row r="1005" spans="1:41">
      <c r="A1005" s="37"/>
      <c r="B1005" s="37"/>
      <c r="C1005" s="37"/>
      <c r="D1005" s="37"/>
      <c r="E1005" s="37"/>
      <c r="F1005" s="37"/>
      <c r="G1005" s="37"/>
      <c r="H1005" s="40"/>
      <c r="I1005" s="40"/>
      <c r="J1005" s="40"/>
      <c r="K1005" s="37"/>
      <c r="L1005" s="37"/>
      <c r="M1005" s="37"/>
      <c r="N1005" s="37"/>
      <c r="O1005" s="37"/>
      <c r="P1005" s="37"/>
      <c r="Q1005" s="37"/>
      <c r="R1005" s="37"/>
      <c r="S1005" s="37"/>
      <c r="T1005" s="37"/>
      <c r="U1005" s="37"/>
      <c r="V1005" s="37"/>
      <c r="W1005" s="37"/>
      <c r="X1005" s="37"/>
      <c r="Y1005" s="37"/>
      <c r="Z1005" s="37"/>
      <c r="AA1005" s="37"/>
      <c r="AB1005" s="37"/>
      <c r="AC1005" s="37"/>
      <c r="AD1005" s="37"/>
      <c r="AE1005" s="37"/>
      <c r="AF1005" s="37"/>
      <c r="AG1005" s="37"/>
      <c r="AH1005" s="37"/>
      <c r="AI1005" s="37"/>
      <c r="AJ1005" s="37"/>
      <c r="AK1005" s="39"/>
      <c r="AL1005" s="37"/>
      <c r="AM1005" s="37"/>
      <c r="AN1005" s="37"/>
      <c r="AO1005" s="37"/>
    </row>
    <row r="1006" spans="1:41">
      <c r="A1006" s="37"/>
      <c r="B1006" s="37"/>
      <c r="C1006" s="37"/>
      <c r="D1006" s="37"/>
      <c r="E1006" s="37"/>
      <c r="F1006" s="37"/>
      <c r="G1006" s="37"/>
      <c r="H1006" s="40"/>
      <c r="I1006" s="40"/>
      <c r="J1006" s="40"/>
      <c r="K1006" s="37"/>
      <c r="L1006" s="37"/>
      <c r="M1006" s="37"/>
      <c r="N1006" s="37"/>
      <c r="O1006" s="37"/>
      <c r="P1006" s="37"/>
      <c r="Q1006" s="37"/>
      <c r="R1006" s="37"/>
      <c r="S1006" s="37"/>
      <c r="T1006" s="37"/>
      <c r="U1006" s="37"/>
      <c r="V1006" s="37"/>
      <c r="W1006" s="37"/>
      <c r="X1006" s="37"/>
      <c r="Y1006" s="37"/>
      <c r="Z1006" s="37"/>
      <c r="AA1006" s="37"/>
      <c r="AB1006" s="37"/>
      <c r="AC1006" s="37"/>
      <c r="AD1006" s="37"/>
      <c r="AE1006" s="37"/>
      <c r="AF1006" s="37"/>
      <c r="AG1006" s="37"/>
      <c r="AH1006" s="37"/>
      <c r="AI1006" s="37"/>
      <c r="AJ1006" s="37"/>
      <c r="AK1006" s="39"/>
      <c r="AL1006" s="37"/>
      <c r="AM1006" s="37"/>
      <c r="AN1006" s="37"/>
      <c r="AO1006" s="37"/>
    </row>
    <row r="1007" spans="1:41">
      <c r="A1007" s="37"/>
      <c r="B1007" s="37"/>
      <c r="C1007" s="37"/>
      <c r="D1007" s="37"/>
      <c r="E1007" s="37"/>
      <c r="F1007" s="37"/>
      <c r="G1007" s="37"/>
      <c r="H1007" s="40"/>
      <c r="I1007" s="40"/>
      <c r="J1007" s="40"/>
      <c r="K1007" s="37"/>
      <c r="L1007" s="37"/>
      <c r="M1007" s="37"/>
      <c r="N1007" s="37"/>
      <c r="O1007" s="37"/>
      <c r="P1007" s="37"/>
      <c r="Q1007" s="37"/>
      <c r="R1007" s="37"/>
      <c r="S1007" s="37"/>
      <c r="T1007" s="37"/>
      <c r="U1007" s="37"/>
      <c r="V1007" s="37"/>
      <c r="W1007" s="37"/>
      <c r="X1007" s="37"/>
      <c r="Y1007" s="37"/>
      <c r="Z1007" s="37"/>
      <c r="AA1007" s="37"/>
      <c r="AB1007" s="37"/>
      <c r="AC1007" s="37"/>
      <c r="AD1007" s="37"/>
      <c r="AE1007" s="37"/>
      <c r="AF1007" s="37"/>
      <c r="AG1007" s="37"/>
      <c r="AH1007" s="37"/>
      <c r="AI1007" s="37"/>
      <c r="AJ1007" s="37"/>
      <c r="AK1007" s="39"/>
      <c r="AL1007" s="37"/>
      <c r="AM1007" s="37"/>
      <c r="AN1007" s="37"/>
      <c r="AO1007" s="37"/>
    </row>
    <row r="1008" spans="1:41">
      <c r="A1008" s="37"/>
      <c r="B1008" s="37"/>
      <c r="C1008" s="37"/>
      <c r="D1008" s="37"/>
      <c r="E1008" s="37"/>
      <c r="F1008" s="37"/>
      <c r="G1008" s="37"/>
      <c r="H1008" s="40"/>
      <c r="I1008" s="40"/>
      <c r="J1008" s="40"/>
      <c r="K1008" s="37"/>
      <c r="L1008" s="37"/>
      <c r="M1008" s="37"/>
      <c r="N1008" s="37"/>
      <c r="O1008" s="37"/>
      <c r="P1008" s="37"/>
      <c r="Q1008" s="37"/>
      <c r="R1008" s="37"/>
      <c r="S1008" s="37"/>
      <c r="T1008" s="37"/>
      <c r="U1008" s="37"/>
      <c r="V1008" s="37"/>
      <c r="W1008" s="37"/>
      <c r="X1008" s="37"/>
      <c r="Y1008" s="37"/>
      <c r="Z1008" s="37"/>
      <c r="AA1008" s="37"/>
      <c r="AB1008" s="37"/>
      <c r="AC1008" s="37"/>
      <c r="AD1008" s="37"/>
      <c r="AE1008" s="37"/>
      <c r="AF1008" s="37"/>
      <c r="AG1008" s="37"/>
      <c r="AH1008" s="37"/>
      <c r="AI1008" s="37"/>
      <c r="AJ1008" s="37"/>
      <c r="AK1008" s="39"/>
      <c r="AL1008" s="37"/>
      <c r="AM1008" s="37"/>
      <c r="AN1008" s="37"/>
      <c r="AO1008" s="37"/>
    </row>
    <row r="1009" spans="1:41">
      <c r="A1009" s="37"/>
      <c r="B1009" s="37"/>
      <c r="C1009" s="37"/>
      <c r="D1009" s="37"/>
      <c r="E1009" s="37"/>
      <c r="F1009" s="37"/>
      <c r="G1009" s="37"/>
      <c r="H1009" s="40"/>
      <c r="I1009" s="40"/>
      <c r="J1009" s="40"/>
      <c r="K1009" s="37"/>
      <c r="L1009" s="37"/>
      <c r="M1009" s="37"/>
      <c r="N1009" s="37"/>
      <c r="O1009" s="37"/>
      <c r="P1009" s="37"/>
      <c r="Q1009" s="37"/>
      <c r="R1009" s="37"/>
      <c r="S1009" s="37"/>
      <c r="T1009" s="37"/>
      <c r="U1009" s="37"/>
      <c r="V1009" s="37"/>
      <c r="W1009" s="37"/>
      <c r="X1009" s="37"/>
      <c r="Y1009" s="37"/>
      <c r="Z1009" s="37"/>
      <c r="AA1009" s="37"/>
      <c r="AB1009" s="37"/>
      <c r="AC1009" s="37"/>
      <c r="AD1009" s="37"/>
      <c r="AE1009" s="37"/>
      <c r="AF1009" s="37"/>
      <c r="AG1009" s="37"/>
      <c r="AH1009" s="37"/>
      <c r="AI1009" s="37"/>
      <c r="AJ1009" s="37"/>
      <c r="AK1009" s="39"/>
      <c r="AL1009" s="37"/>
      <c r="AM1009" s="37"/>
      <c r="AN1009" s="37"/>
      <c r="AO1009" s="37"/>
    </row>
    <row r="1010" spans="1:41">
      <c r="A1010" s="37"/>
      <c r="B1010" s="37"/>
      <c r="C1010" s="37"/>
      <c r="D1010" s="37"/>
      <c r="E1010" s="37"/>
      <c r="F1010" s="37"/>
      <c r="G1010" s="37"/>
      <c r="H1010" s="40"/>
      <c r="I1010" s="40"/>
      <c r="J1010" s="40"/>
      <c r="K1010" s="37"/>
      <c r="L1010" s="37"/>
      <c r="M1010" s="37"/>
      <c r="N1010" s="37"/>
      <c r="O1010" s="37"/>
      <c r="P1010" s="37"/>
      <c r="Q1010" s="37"/>
      <c r="R1010" s="37"/>
      <c r="S1010" s="37"/>
      <c r="T1010" s="37"/>
      <c r="U1010" s="37"/>
      <c r="V1010" s="37"/>
      <c r="W1010" s="37"/>
      <c r="X1010" s="37"/>
      <c r="Y1010" s="37"/>
      <c r="Z1010" s="37"/>
      <c r="AA1010" s="37"/>
      <c r="AB1010" s="37"/>
      <c r="AC1010" s="37"/>
      <c r="AD1010" s="37"/>
      <c r="AE1010" s="37"/>
      <c r="AF1010" s="37"/>
      <c r="AG1010" s="37"/>
      <c r="AH1010" s="37"/>
      <c r="AI1010" s="37"/>
      <c r="AJ1010" s="37"/>
      <c r="AK1010" s="39"/>
      <c r="AL1010" s="37"/>
      <c r="AM1010" s="37"/>
      <c r="AN1010" s="37"/>
      <c r="AO1010" s="37"/>
    </row>
    <row r="1011" spans="1:41">
      <c r="A1011" s="37"/>
      <c r="B1011" s="37"/>
      <c r="C1011" s="37"/>
      <c r="D1011" s="37"/>
      <c r="E1011" s="37"/>
      <c r="F1011" s="37"/>
      <c r="G1011" s="37"/>
      <c r="H1011" s="40"/>
      <c r="I1011" s="40"/>
      <c r="J1011" s="40"/>
      <c r="K1011" s="37"/>
      <c r="L1011" s="37"/>
      <c r="M1011" s="37"/>
      <c r="N1011" s="37"/>
      <c r="O1011" s="37"/>
      <c r="P1011" s="37"/>
      <c r="Q1011" s="37"/>
      <c r="R1011" s="37"/>
      <c r="S1011" s="37"/>
      <c r="T1011" s="37"/>
      <c r="U1011" s="37"/>
      <c r="V1011" s="37"/>
      <c r="W1011" s="37"/>
      <c r="X1011" s="37"/>
      <c r="Y1011" s="37"/>
      <c r="Z1011" s="37"/>
      <c r="AA1011" s="37"/>
      <c r="AB1011" s="37"/>
      <c r="AC1011" s="37"/>
      <c r="AD1011" s="37"/>
      <c r="AE1011" s="37"/>
      <c r="AF1011" s="37"/>
      <c r="AG1011" s="37"/>
      <c r="AH1011" s="37"/>
      <c r="AI1011" s="37"/>
      <c r="AJ1011" s="37"/>
      <c r="AK1011" s="39"/>
      <c r="AL1011" s="37"/>
      <c r="AM1011" s="37"/>
      <c r="AN1011" s="37"/>
      <c r="AO1011" s="37"/>
    </row>
    <row r="1012" spans="1:41">
      <c r="A1012" s="37"/>
      <c r="B1012" s="37"/>
      <c r="C1012" s="37"/>
      <c r="D1012" s="37"/>
      <c r="E1012" s="37"/>
      <c r="F1012" s="37"/>
      <c r="G1012" s="37"/>
      <c r="H1012" s="40"/>
      <c r="I1012" s="40"/>
      <c r="J1012" s="40"/>
      <c r="K1012" s="37"/>
      <c r="L1012" s="37"/>
      <c r="M1012" s="37"/>
      <c r="N1012" s="37"/>
      <c r="O1012" s="37"/>
      <c r="P1012" s="37"/>
      <c r="Q1012" s="37"/>
      <c r="R1012" s="37"/>
      <c r="S1012" s="37"/>
      <c r="T1012" s="37"/>
      <c r="U1012" s="37"/>
      <c r="V1012" s="37"/>
      <c r="W1012" s="37"/>
      <c r="X1012" s="37"/>
      <c r="Y1012" s="37"/>
      <c r="Z1012" s="37"/>
      <c r="AA1012" s="37"/>
      <c r="AB1012" s="37"/>
      <c r="AC1012" s="37"/>
      <c r="AD1012" s="37"/>
      <c r="AE1012" s="37"/>
      <c r="AF1012" s="37"/>
      <c r="AG1012" s="37"/>
      <c r="AH1012" s="37"/>
      <c r="AI1012" s="37"/>
      <c r="AJ1012" s="37"/>
      <c r="AK1012" s="39"/>
      <c r="AL1012" s="37"/>
      <c r="AM1012" s="37"/>
      <c r="AN1012" s="37"/>
      <c r="AO1012" s="37"/>
    </row>
    <row r="1013" spans="1:41">
      <c r="A1013" s="37"/>
      <c r="B1013" s="37"/>
      <c r="C1013" s="37"/>
      <c r="D1013" s="37"/>
      <c r="E1013" s="37"/>
      <c r="F1013" s="37"/>
      <c r="G1013" s="37"/>
      <c r="H1013" s="40"/>
      <c r="I1013" s="40"/>
      <c r="J1013" s="40"/>
      <c r="K1013" s="37"/>
      <c r="L1013" s="37"/>
      <c r="M1013" s="37"/>
      <c r="N1013" s="37"/>
      <c r="O1013" s="37"/>
      <c r="P1013" s="37"/>
      <c r="Q1013" s="37"/>
      <c r="R1013" s="37"/>
      <c r="S1013" s="37"/>
      <c r="T1013" s="37"/>
      <c r="U1013" s="37"/>
      <c r="V1013" s="37"/>
      <c r="W1013" s="37"/>
      <c r="X1013" s="37"/>
      <c r="Y1013" s="37"/>
      <c r="Z1013" s="37"/>
      <c r="AA1013" s="37"/>
      <c r="AB1013" s="37"/>
      <c r="AC1013" s="37"/>
      <c r="AD1013" s="37"/>
      <c r="AE1013" s="37"/>
      <c r="AF1013" s="37"/>
      <c r="AG1013" s="37"/>
      <c r="AH1013" s="37"/>
      <c r="AI1013" s="37"/>
      <c r="AJ1013" s="37"/>
      <c r="AK1013" s="39"/>
      <c r="AL1013" s="37"/>
      <c r="AM1013" s="37"/>
      <c r="AN1013" s="37"/>
      <c r="AO1013" s="37"/>
    </row>
    <row r="1014" spans="1:41">
      <c r="A1014" s="37"/>
      <c r="B1014" s="37"/>
      <c r="C1014" s="37"/>
      <c r="D1014" s="37"/>
      <c r="E1014" s="37"/>
      <c r="F1014" s="37"/>
      <c r="G1014" s="37"/>
      <c r="H1014" s="40"/>
      <c r="I1014" s="40"/>
      <c r="J1014" s="40"/>
      <c r="K1014" s="37"/>
      <c r="L1014" s="37"/>
      <c r="M1014" s="37"/>
      <c r="N1014" s="37"/>
      <c r="O1014" s="37"/>
      <c r="P1014" s="37"/>
      <c r="Q1014" s="37"/>
      <c r="R1014" s="37"/>
      <c r="S1014" s="37"/>
      <c r="T1014" s="37"/>
      <c r="U1014" s="37"/>
      <c r="V1014" s="37"/>
      <c r="W1014" s="37"/>
      <c r="X1014" s="37"/>
      <c r="Y1014" s="37"/>
      <c r="Z1014" s="37"/>
      <c r="AA1014" s="37"/>
      <c r="AB1014" s="37"/>
      <c r="AC1014" s="37"/>
      <c r="AD1014" s="37"/>
      <c r="AE1014" s="37"/>
      <c r="AF1014" s="37"/>
      <c r="AG1014" s="37"/>
      <c r="AH1014" s="37"/>
      <c r="AI1014" s="37"/>
      <c r="AJ1014" s="37"/>
      <c r="AK1014" s="39"/>
      <c r="AL1014" s="37"/>
      <c r="AM1014" s="37"/>
      <c r="AN1014" s="37"/>
      <c r="AO1014" s="37"/>
    </row>
    <row r="1015" spans="1:41">
      <c r="A1015" s="37"/>
      <c r="B1015" s="37"/>
      <c r="C1015" s="37"/>
      <c r="D1015" s="37"/>
      <c r="E1015" s="37"/>
      <c r="F1015" s="37"/>
      <c r="G1015" s="37"/>
      <c r="H1015" s="40"/>
      <c r="I1015" s="40"/>
      <c r="J1015" s="40"/>
      <c r="K1015" s="37"/>
      <c r="L1015" s="37"/>
      <c r="M1015" s="37"/>
      <c r="N1015" s="37"/>
      <c r="O1015" s="37"/>
      <c r="P1015" s="37"/>
      <c r="Q1015" s="37"/>
      <c r="R1015" s="37"/>
      <c r="S1015" s="37"/>
      <c r="T1015" s="37"/>
      <c r="U1015" s="37"/>
      <c r="V1015" s="37"/>
      <c r="W1015" s="37"/>
      <c r="X1015" s="37"/>
      <c r="Y1015" s="37"/>
      <c r="Z1015" s="37"/>
      <c r="AA1015" s="37"/>
      <c r="AB1015" s="37"/>
      <c r="AC1015" s="37"/>
      <c r="AD1015" s="37"/>
      <c r="AE1015" s="37"/>
      <c r="AF1015" s="37"/>
      <c r="AG1015" s="37"/>
      <c r="AH1015" s="37"/>
      <c r="AI1015" s="37"/>
      <c r="AJ1015" s="37"/>
      <c r="AK1015" s="39"/>
      <c r="AL1015" s="37"/>
      <c r="AM1015" s="37"/>
      <c r="AN1015" s="37"/>
      <c r="AO1015" s="37"/>
    </row>
    <row r="1016" spans="1:41">
      <c r="A1016" s="37"/>
      <c r="B1016" s="37"/>
      <c r="C1016" s="37"/>
      <c r="D1016" s="37"/>
      <c r="E1016" s="37"/>
      <c r="F1016" s="37"/>
      <c r="G1016" s="37"/>
      <c r="H1016" s="40"/>
      <c r="I1016" s="40"/>
      <c r="J1016" s="40"/>
      <c r="K1016" s="37"/>
      <c r="L1016" s="37"/>
      <c r="M1016" s="37"/>
      <c r="N1016" s="37"/>
      <c r="O1016" s="37"/>
      <c r="P1016" s="37"/>
      <c r="Q1016" s="37"/>
      <c r="R1016" s="37"/>
      <c r="S1016" s="37"/>
      <c r="T1016" s="37"/>
      <c r="U1016" s="37"/>
      <c r="V1016" s="37"/>
      <c r="W1016" s="37"/>
      <c r="X1016" s="37"/>
      <c r="Y1016" s="37"/>
      <c r="Z1016" s="37"/>
      <c r="AA1016" s="37"/>
      <c r="AB1016" s="37"/>
      <c r="AC1016" s="37"/>
      <c r="AD1016" s="37"/>
      <c r="AE1016" s="37"/>
      <c r="AF1016" s="37"/>
      <c r="AG1016" s="37"/>
      <c r="AH1016" s="37"/>
      <c r="AI1016" s="37"/>
      <c r="AJ1016" s="37"/>
      <c r="AK1016" s="39"/>
      <c r="AL1016" s="37"/>
      <c r="AM1016" s="37"/>
      <c r="AN1016" s="37"/>
      <c r="AO1016" s="37"/>
    </row>
    <row r="1017" spans="1:41">
      <c r="A1017" s="37"/>
      <c r="B1017" s="37"/>
      <c r="C1017" s="37"/>
      <c r="D1017" s="37"/>
      <c r="E1017" s="37"/>
      <c r="F1017" s="37"/>
      <c r="G1017" s="37"/>
      <c r="H1017" s="40"/>
      <c r="I1017" s="40"/>
      <c r="J1017" s="40"/>
      <c r="K1017" s="37"/>
      <c r="L1017" s="37"/>
      <c r="M1017" s="37"/>
      <c r="N1017" s="37"/>
      <c r="O1017" s="37"/>
      <c r="P1017" s="37"/>
      <c r="Q1017" s="37"/>
      <c r="R1017" s="37"/>
      <c r="S1017" s="37"/>
      <c r="T1017" s="37"/>
      <c r="U1017" s="37"/>
      <c r="V1017" s="37"/>
      <c r="W1017" s="37"/>
      <c r="X1017" s="37"/>
      <c r="Y1017" s="37"/>
      <c r="Z1017" s="37"/>
      <c r="AA1017" s="37"/>
      <c r="AB1017" s="37"/>
      <c r="AC1017" s="37"/>
      <c r="AD1017" s="37"/>
      <c r="AE1017" s="37"/>
      <c r="AF1017" s="37"/>
      <c r="AG1017" s="37"/>
      <c r="AH1017" s="37"/>
      <c r="AI1017" s="37"/>
      <c r="AJ1017" s="37"/>
      <c r="AK1017" s="39"/>
      <c r="AL1017" s="37"/>
      <c r="AM1017" s="37"/>
      <c r="AN1017" s="37"/>
      <c r="AO1017" s="37"/>
    </row>
    <row r="1018" spans="1:41">
      <c r="A1018" s="37"/>
      <c r="B1018" s="37"/>
      <c r="C1018" s="37"/>
      <c r="D1018" s="37"/>
      <c r="E1018" s="37"/>
      <c r="F1018" s="37"/>
      <c r="G1018" s="37"/>
      <c r="H1018" s="40"/>
      <c r="I1018" s="40"/>
      <c r="J1018" s="40"/>
      <c r="K1018" s="37"/>
      <c r="L1018" s="37"/>
      <c r="M1018" s="37"/>
      <c r="N1018" s="37"/>
      <c r="O1018" s="37"/>
      <c r="P1018" s="37"/>
      <c r="Q1018" s="37"/>
      <c r="R1018" s="37"/>
      <c r="S1018" s="37"/>
      <c r="T1018" s="37"/>
      <c r="U1018" s="37"/>
      <c r="V1018" s="37"/>
      <c r="W1018" s="37"/>
      <c r="X1018" s="37"/>
      <c r="Y1018" s="37"/>
      <c r="Z1018" s="37"/>
      <c r="AA1018" s="37"/>
      <c r="AB1018" s="37"/>
      <c r="AC1018" s="37"/>
      <c r="AD1018" s="37"/>
      <c r="AE1018" s="37"/>
      <c r="AF1018" s="37"/>
      <c r="AG1018" s="37"/>
      <c r="AH1018" s="37"/>
      <c r="AI1018" s="37"/>
      <c r="AJ1018" s="37"/>
      <c r="AK1018" s="39"/>
      <c r="AL1018" s="37"/>
      <c r="AM1018" s="37"/>
      <c r="AN1018" s="37"/>
      <c r="AO1018" s="37"/>
    </row>
    <row r="1019" spans="1:41">
      <c r="A1019" s="37"/>
      <c r="B1019" s="37"/>
      <c r="C1019" s="37"/>
      <c r="D1019" s="37"/>
      <c r="E1019" s="37"/>
      <c r="F1019" s="37"/>
      <c r="G1019" s="37"/>
      <c r="H1019" s="40"/>
      <c r="I1019" s="40"/>
      <c r="J1019" s="40"/>
      <c r="K1019" s="37"/>
      <c r="L1019" s="37"/>
      <c r="M1019" s="37"/>
      <c r="N1019" s="37"/>
      <c r="O1019" s="37"/>
      <c r="P1019" s="37"/>
      <c r="Q1019" s="37"/>
      <c r="R1019" s="37"/>
      <c r="S1019" s="37"/>
      <c r="T1019" s="37"/>
      <c r="U1019" s="37"/>
      <c r="V1019" s="37"/>
      <c r="W1019" s="37"/>
      <c r="X1019" s="37"/>
      <c r="Y1019" s="37"/>
      <c r="Z1019" s="37"/>
      <c r="AA1019" s="37"/>
      <c r="AB1019" s="37"/>
      <c r="AC1019" s="37"/>
      <c r="AD1019" s="37"/>
      <c r="AE1019" s="37"/>
      <c r="AF1019" s="37"/>
      <c r="AG1019" s="37"/>
      <c r="AH1019" s="37"/>
      <c r="AI1019" s="37"/>
      <c r="AJ1019" s="37"/>
      <c r="AK1019" s="39"/>
      <c r="AL1019" s="37"/>
      <c r="AM1019" s="37"/>
      <c r="AN1019" s="37"/>
      <c r="AO1019" s="37"/>
    </row>
    <row r="1020" spans="1:41">
      <c r="A1020" s="37"/>
      <c r="B1020" s="37"/>
      <c r="C1020" s="37"/>
      <c r="D1020" s="37"/>
      <c r="E1020" s="37"/>
      <c r="F1020" s="37"/>
      <c r="G1020" s="37"/>
      <c r="H1020" s="40"/>
      <c r="I1020" s="40"/>
      <c r="J1020" s="40"/>
      <c r="K1020" s="37"/>
      <c r="L1020" s="37"/>
      <c r="M1020" s="37"/>
      <c r="N1020" s="37"/>
      <c r="O1020" s="37"/>
      <c r="P1020" s="37"/>
      <c r="Q1020" s="37"/>
      <c r="R1020" s="37"/>
      <c r="S1020" s="37"/>
      <c r="T1020" s="37"/>
      <c r="U1020" s="37"/>
      <c r="V1020" s="37"/>
      <c r="W1020" s="37"/>
      <c r="X1020" s="37"/>
      <c r="Y1020" s="37"/>
      <c r="Z1020" s="37"/>
      <c r="AA1020" s="37"/>
      <c r="AB1020" s="37"/>
      <c r="AC1020" s="37"/>
      <c r="AD1020" s="37"/>
      <c r="AE1020" s="37"/>
      <c r="AF1020" s="37"/>
      <c r="AG1020" s="37"/>
      <c r="AH1020" s="37"/>
      <c r="AI1020" s="37"/>
      <c r="AJ1020" s="37"/>
      <c r="AK1020" s="39"/>
      <c r="AL1020" s="37"/>
      <c r="AM1020" s="37"/>
      <c r="AN1020" s="37"/>
      <c r="AO1020" s="37"/>
    </row>
    <row r="1021" spans="1:41">
      <c r="A1021" s="37"/>
      <c r="B1021" s="37"/>
      <c r="C1021" s="37"/>
      <c r="D1021" s="37"/>
      <c r="E1021" s="37"/>
      <c r="F1021" s="37"/>
      <c r="G1021" s="37"/>
      <c r="H1021" s="40"/>
      <c r="I1021" s="40"/>
      <c r="J1021" s="40"/>
      <c r="K1021" s="37"/>
      <c r="L1021" s="37"/>
      <c r="M1021" s="37"/>
      <c r="N1021" s="37"/>
      <c r="O1021" s="37"/>
      <c r="P1021" s="37"/>
      <c r="Q1021" s="37"/>
      <c r="R1021" s="37"/>
      <c r="S1021" s="37"/>
      <c r="T1021" s="37"/>
      <c r="U1021" s="37"/>
      <c r="V1021" s="37"/>
      <c r="W1021" s="37"/>
      <c r="X1021" s="37"/>
      <c r="Y1021" s="37"/>
      <c r="Z1021" s="37"/>
      <c r="AA1021" s="37"/>
      <c r="AB1021" s="37"/>
      <c r="AC1021" s="37"/>
      <c r="AD1021" s="37"/>
      <c r="AE1021" s="37"/>
      <c r="AF1021" s="37"/>
      <c r="AG1021" s="37"/>
      <c r="AH1021" s="37"/>
      <c r="AI1021" s="37"/>
      <c r="AJ1021" s="37"/>
      <c r="AK1021" s="39"/>
      <c r="AL1021" s="37"/>
      <c r="AM1021" s="37"/>
      <c r="AN1021" s="37"/>
      <c r="AO1021" s="37"/>
    </row>
    <row r="1022" spans="1:41">
      <c r="A1022" s="37"/>
      <c r="B1022" s="37"/>
      <c r="C1022" s="37"/>
      <c r="D1022" s="37"/>
      <c r="E1022" s="37"/>
      <c r="F1022" s="37"/>
      <c r="G1022" s="37"/>
      <c r="H1022" s="40"/>
      <c r="I1022" s="40"/>
      <c r="J1022" s="40"/>
      <c r="K1022" s="37"/>
      <c r="L1022" s="37"/>
      <c r="M1022" s="37"/>
      <c r="N1022" s="37"/>
      <c r="O1022" s="37"/>
      <c r="P1022" s="37"/>
      <c r="Q1022" s="37"/>
      <c r="R1022" s="37"/>
      <c r="S1022" s="37"/>
      <c r="T1022" s="37"/>
      <c r="U1022" s="37"/>
      <c r="V1022" s="37"/>
      <c r="W1022" s="37"/>
      <c r="X1022" s="37"/>
      <c r="Y1022" s="37"/>
      <c r="Z1022" s="37"/>
      <c r="AA1022" s="37"/>
      <c r="AB1022" s="37"/>
      <c r="AC1022" s="37"/>
      <c r="AD1022" s="37"/>
      <c r="AE1022" s="37"/>
      <c r="AF1022" s="37"/>
      <c r="AG1022" s="37"/>
      <c r="AH1022" s="37"/>
      <c r="AI1022" s="37"/>
      <c r="AJ1022" s="37"/>
      <c r="AK1022" s="39"/>
      <c r="AL1022" s="37"/>
      <c r="AM1022" s="37"/>
      <c r="AN1022" s="37"/>
      <c r="AO1022" s="37"/>
    </row>
    <row r="1023" spans="1:41">
      <c r="A1023" s="37"/>
      <c r="B1023" s="37"/>
      <c r="C1023" s="37"/>
      <c r="D1023" s="37"/>
      <c r="E1023" s="37"/>
      <c r="F1023" s="37"/>
      <c r="G1023" s="37"/>
      <c r="H1023" s="40"/>
      <c r="I1023" s="40"/>
      <c r="J1023" s="40"/>
      <c r="K1023" s="37"/>
      <c r="L1023" s="37"/>
      <c r="M1023" s="37"/>
      <c r="N1023" s="37"/>
      <c r="O1023" s="37"/>
      <c r="P1023" s="37"/>
      <c r="Q1023" s="37"/>
      <c r="R1023" s="37"/>
      <c r="S1023" s="37"/>
      <c r="T1023" s="37"/>
      <c r="U1023" s="37"/>
      <c r="V1023" s="37"/>
      <c r="W1023" s="37"/>
      <c r="X1023" s="37"/>
      <c r="Y1023" s="37"/>
      <c r="Z1023" s="37"/>
      <c r="AA1023" s="37"/>
      <c r="AB1023" s="37"/>
      <c r="AC1023" s="37"/>
      <c r="AD1023" s="37"/>
      <c r="AE1023" s="37"/>
      <c r="AF1023" s="37"/>
      <c r="AG1023" s="37"/>
      <c r="AH1023" s="37"/>
      <c r="AI1023" s="37"/>
      <c r="AJ1023" s="37"/>
      <c r="AK1023" s="39"/>
      <c r="AL1023" s="37"/>
      <c r="AM1023" s="37"/>
      <c r="AN1023" s="37"/>
      <c r="AO1023" s="37"/>
    </row>
    <row r="1024" spans="1:41">
      <c r="A1024" s="37"/>
      <c r="B1024" s="37"/>
      <c r="C1024" s="37"/>
      <c r="D1024" s="37"/>
      <c r="E1024" s="37"/>
      <c r="F1024" s="37"/>
      <c r="G1024" s="37"/>
      <c r="H1024" s="40"/>
      <c r="I1024" s="40"/>
      <c r="J1024" s="40"/>
      <c r="K1024" s="37"/>
      <c r="L1024" s="37"/>
      <c r="M1024" s="37"/>
      <c r="N1024" s="37"/>
      <c r="O1024" s="37"/>
      <c r="P1024" s="37"/>
      <c r="Q1024" s="37"/>
      <c r="R1024" s="37"/>
      <c r="S1024" s="37"/>
      <c r="T1024" s="37"/>
      <c r="U1024" s="37"/>
      <c r="V1024" s="37"/>
      <c r="W1024" s="37"/>
      <c r="X1024" s="37"/>
      <c r="Y1024" s="37"/>
      <c r="Z1024" s="37"/>
      <c r="AA1024" s="37"/>
      <c r="AB1024" s="37"/>
      <c r="AC1024" s="37"/>
      <c r="AD1024" s="37"/>
      <c r="AE1024" s="37"/>
      <c r="AF1024" s="37"/>
      <c r="AG1024" s="37"/>
      <c r="AH1024" s="37"/>
      <c r="AI1024" s="37"/>
      <c r="AJ1024" s="37"/>
      <c r="AK1024" s="39"/>
      <c r="AL1024" s="37"/>
      <c r="AM1024" s="37"/>
      <c r="AN1024" s="37"/>
      <c r="AO1024" s="37"/>
    </row>
    <row r="1025" spans="1:41">
      <c r="A1025" s="37"/>
      <c r="B1025" s="37"/>
      <c r="C1025" s="37"/>
      <c r="D1025" s="37"/>
      <c r="E1025" s="37"/>
      <c r="F1025" s="37"/>
      <c r="G1025" s="37"/>
      <c r="H1025" s="40"/>
      <c r="I1025" s="40"/>
      <c r="J1025" s="40"/>
      <c r="K1025" s="37"/>
      <c r="L1025" s="37"/>
      <c r="M1025" s="37"/>
      <c r="N1025" s="37"/>
      <c r="O1025" s="37"/>
      <c r="P1025" s="37"/>
      <c r="Q1025" s="37"/>
      <c r="R1025" s="37"/>
      <c r="S1025" s="37"/>
      <c r="T1025" s="37"/>
      <c r="U1025" s="37"/>
      <c r="V1025" s="37"/>
      <c r="W1025" s="37"/>
      <c r="X1025" s="37"/>
      <c r="Y1025" s="37"/>
      <c r="Z1025" s="37"/>
      <c r="AA1025" s="37"/>
      <c r="AB1025" s="37"/>
      <c r="AC1025" s="37"/>
      <c r="AD1025" s="37"/>
      <c r="AE1025" s="37"/>
      <c r="AF1025" s="37"/>
      <c r="AG1025" s="37"/>
      <c r="AH1025" s="37"/>
      <c r="AI1025" s="37"/>
      <c r="AJ1025" s="37"/>
      <c r="AK1025" s="39"/>
      <c r="AL1025" s="37"/>
      <c r="AM1025" s="37"/>
      <c r="AN1025" s="37"/>
      <c r="AO1025" s="37"/>
    </row>
    <row r="1026" spans="1:41">
      <c r="A1026" s="37"/>
      <c r="B1026" s="37"/>
      <c r="C1026" s="37"/>
      <c r="D1026" s="37"/>
      <c r="E1026" s="37"/>
      <c r="F1026" s="37"/>
      <c r="G1026" s="37"/>
      <c r="H1026" s="40"/>
      <c r="I1026" s="40"/>
      <c r="J1026" s="40"/>
      <c r="K1026" s="37"/>
      <c r="L1026" s="37"/>
      <c r="M1026" s="37"/>
      <c r="N1026" s="37"/>
      <c r="O1026" s="37"/>
      <c r="P1026" s="37"/>
      <c r="Q1026" s="37"/>
      <c r="R1026" s="37"/>
      <c r="S1026" s="37"/>
      <c r="T1026" s="37"/>
      <c r="U1026" s="37"/>
      <c r="V1026" s="37"/>
      <c r="W1026" s="37"/>
      <c r="X1026" s="37"/>
      <c r="Y1026" s="37"/>
      <c r="Z1026" s="37"/>
      <c r="AA1026" s="37"/>
      <c r="AB1026" s="37"/>
      <c r="AC1026" s="37"/>
      <c r="AD1026" s="37"/>
      <c r="AE1026" s="37"/>
      <c r="AF1026" s="37"/>
      <c r="AG1026" s="37"/>
      <c r="AH1026" s="37"/>
      <c r="AI1026" s="37"/>
      <c r="AJ1026" s="37"/>
      <c r="AK1026" s="39"/>
      <c r="AL1026" s="37"/>
      <c r="AM1026" s="37"/>
      <c r="AN1026" s="37"/>
      <c r="AO1026" s="37"/>
    </row>
    <row r="1027" spans="1:41">
      <c r="A1027" s="37"/>
      <c r="B1027" s="37"/>
      <c r="C1027" s="37"/>
      <c r="D1027" s="37"/>
      <c r="E1027" s="37"/>
      <c r="F1027" s="37"/>
      <c r="G1027" s="37"/>
      <c r="H1027" s="40"/>
      <c r="I1027" s="40"/>
      <c r="J1027" s="40"/>
      <c r="K1027" s="37"/>
      <c r="L1027" s="37"/>
      <c r="M1027" s="37"/>
      <c r="N1027" s="37"/>
      <c r="O1027" s="37"/>
      <c r="P1027" s="37"/>
      <c r="Q1027" s="37"/>
      <c r="R1027" s="37"/>
      <c r="S1027" s="37"/>
      <c r="T1027" s="37"/>
      <c r="U1027" s="37"/>
      <c r="V1027" s="37"/>
      <c r="W1027" s="37"/>
      <c r="X1027" s="37"/>
      <c r="Y1027" s="37"/>
      <c r="Z1027" s="37"/>
      <c r="AA1027" s="37"/>
      <c r="AB1027" s="37"/>
      <c r="AC1027" s="37"/>
      <c r="AD1027" s="37"/>
      <c r="AE1027" s="37"/>
      <c r="AF1027" s="37"/>
      <c r="AG1027" s="37"/>
      <c r="AH1027" s="37"/>
      <c r="AI1027" s="37"/>
      <c r="AJ1027" s="37"/>
      <c r="AK1027" s="39"/>
      <c r="AL1027" s="37"/>
      <c r="AM1027" s="37"/>
      <c r="AN1027" s="37"/>
      <c r="AO1027" s="37"/>
    </row>
    <row r="1028" spans="1:41">
      <c r="A1028" s="37"/>
      <c r="B1028" s="37"/>
      <c r="C1028" s="37"/>
      <c r="D1028" s="37"/>
      <c r="E1028" s="37"/>
      <c r="F1028" s="37"/>
      <c r="G1028" s="37"/>
      <c r="H1028" s="40"/>
      <c r="I1028" s="40"/>
      <c r="J1028" s="40"/>
      <c r="K1028" s="37"/>
      <c r="L1028" s="37"/>
      <c r="M1028" s="37"/>
      <c r="N1028" s="37"/>
      <c r="O1028" s="37"/>
      <c r="P1028" s="37"/>
      <c r="Q1028" s="37"/>
      <c r="R1028" s="37"/>
      <c r="S1028" s="37"/>
      <c r="T1028" s="37"/>
      <c r="U1028" s="37"/>
      <c r="V1028" s="37"/>
      <c r="W1028" s="37"/>
      <c r="X1028" s="37"/>
      <c r="Y1028" s="37"/>
      <c r="Z1028" s="37"/>
      <c r="AA1028" s="37"/>
      <c r="AB1028" s="37"/>
      <c r="AC1028" s="37"/>
      <c r="AD1028" s="37"/>
      <c r="AE1028" s="37"/>
      <c r="AF1028" s="37"/>
      <c r="AG1028" s="37"/>
      <c r="AH1028" s="37"/>
      <c r="AI1028" s="37"/>
      <c r="AJ1028" s="37"/>
      <c r="AK1028" s="39"/>
      <c r="AL1028" s="37"/>
      <c r="AM1028" s="37"/>
      <c r="AN1028" s="37"/>
      <c r="AO1028" s="37"/>
    </row>
    <row r="1029" spans="1:41">
      <c r="A1029" s="37"/>
      <c r="B1029" s="37"/>
      <c r="C1029" s="37"/>
      <c r="D1029" s="37"/>
      <c r="E1029" s="37"/>
      <c r="F1029" s="37"/>
      <c r="G1029" s="37"/>
      <c r="H1029" s="40"/>
      <c r="I1029" s="40"/>
      <c r="J1029" s="40"/>
      <c r="K1029" s="37"/>
      <c r="L1029" s="37"/>
      <c r="M1029" s="37"/>
      <c r="N1029" s="37"/>
      <c r="O1029" s="37"/>
      <c r="P1029" s="37"/>
      <c r="Q1029" s="37"/>
      <c r="R1029" s="37"/>
      <c r="S1029" s="37"/>
      <c r="T1029" s="37"/>
      <c r="U1029" s="37"/>
      <c r="V1029" s="37"/>
      <c r="W1029" s="37"/>
      <c r="X1029" s="37"/>
      <c r="Y1029" s="37"/>
      <c r="Z1029" s="37"/>
      <c r="AA1029" s="37"/>
      <c r="AB1029" s="37"/>
      <c r="AC1029" s="37"/>
      <c r="AD1029" s="37"/>
      <c r="AE1029" s="37"/>
      <c r="AF1029" s="37"/>
      <c r="AG1029" s="37"/>
      <c r="AH1029" s="37"/>
      <c r="AI1029" s="37"/>
      <c r="AJ1029" s="37"/>
      <c r="AK1029" s="39"/>
      <c r="AL1029" s="37"/>
      <c r="AM1029" s="37"/>
      <c r="AN1029" s="37"/>
      <c r="AO1029" s="37"/>
    </row>
    <row r="1030" spans="1:41">
      <c r="A1030" s="37"/>
      <c r="B1030" s="37"/>
      <c r="C1030" s="37"/>
      <c r="D1030" s="37"/>
      <c r="E1030" s="37"/>
      <c r="F1030" s="37"/>
      <c r="G1030" s="37"/>
      <c r="H1030" s="40"/>
      <c r="I1030" s="40"/>
      <c r="J1030" s="40"/>
      <c r="K1030" s="37"/>
      <c r="L1030" s="37"/>
      <c r="M1030" s="37"/>
      <c r="N1030" s="37"/>
      <c r="O1030" s="37"/>
      <c r="P1030" s="37"/>
      <c r="Q1030" s="37"/>
      <c r="R1030" s="37"/>
      <c r="S1030" s="37"/>
      <c r="T1030" s="37"/>
      <c r="U1030" s="37"/>
      <c r="V1030" s="37"/>
      <c r="W1030" s="37"/>
      <c r="X1030" s="37"/>
      <c r="Y1030" s="37"/>
      <c r="Z1030" s="37"/>
      <c r="AA1030" s="37"/>
      <c r="AB1030" s="37"/>
      <c r="AC1030" s="37"/>
      <c r="AD1030" s="37"/>
      <c r="AE1030" s="37"/>
      <c r="AF1030" s="37"/>
      <c r="AG1030" s="37"/>
      <c r="AH1030" s="37"/>
      <c r="AI1030" s="37"/>
      <c r="AJ1030" s="37"/>
      <c r="AK1030" s="39"/>
      <c r="AL1030" s="37"/>
      <c r="AM1030" s="37"/>
      <c r="AN1030" s="37"/>
      <c r="AO1030" s="37"/>
    </row>
    <row r="1031" spans="1:41">
      <c r="A1031" s="37"/>
      <c r="B1031" s="37"/>
      <c r="C1031" s="37"/>
      <c r="D1031" s="37"/>
      <c r="E1031" s="37"/>
      <c r="F1031" s="37"/>
      <c r="G1031" s="37"/>
      <c r="H1031" s="40"/>
      <c r="I1031" s="40"/>
      <c r="J1031" s="40"/>
      <c r="K1031" s="37"/>
      <c r="L1031" s="37"/>
      <c r="M1031" s="37"/>
      <c r="N1031" s="37"/>
      <c r="O1031" s="37"/>
      <c r="P1031" s="37"/>
      <c r="Q1031" s="37"/>
      <c r="R1031" s="37"/>
      <c r="S1031" s="37"/>
      <c r="T1031" s="37"/>
      <c r="U1031" s="37"/>
      <c r="V1031" s="37"/>
      <c r="W1031" s="37"/>
      <c r="X1031" s="37"/>
      <c r="Y1031" s="37"/>
      <c r="Z1031" s="37"/>
      <c r="AA1031" s="37"/>
      <c r="AB1031" s="37"/>
      <c r="AC1031" s="37"/>
      <c r="AD1031" s="37"/>
      <c r="AE1031" s="37"/>
      <c r="AF1031" s="37"/>
      <c r="AG1031" s="37"/>
      <c r="AH1031" s="37"/>
      <c r="AI1031" s="37"/>
      <c r="AJ1031" s="37"/>
      <c r="AK1031" s="39"/>
      <c r="AL1031" s="37"/>
      <c r="AM1031" s="37"/>
      <c r="AN1031" s="37"/>
      <c r="AO1031" s="37"/>
    </row>
    <row r="1032" spans="1:41">
      <c r="A1032" s="37"/>
      <c r="B1032" s="37"/>
      <c r="C1032" s="37"/>
      <c r="D1032" s="37"/>
      <c r="E1032" s="37"/>
      <c r="F1032" s="37"/>
      <c r="G1032" s="37"/>
      <c r="H1032" s="40"/>
      <c r="I1032" s="40"/>
      <c r="J1032" s="40"/>
      <c r="K1032" s="37"/>
      <c r="L1032" s="37"/>
      <c r="M1032" s="37"/>
      <c r="N1032" s="37"/>
      <c r="O1032" s="37"/>
      <c r="P1032" s="37"/>
      <c r="Q1032" s="37"/>
      <c r="R1032" s="37"/>
      <c r="S1032" s="37"/>
      <c r="T1032" s="37"/>
      <c r="U1032" s="37"/>
      <c r="V1032" s="37"/>
      <c r="W1032" s="37"/>
      <c r="X1032" s="37"/>
      <c r="Y1032" s="37"/>
      <c r="Z1032" s="37"/>
      <c r="AA1032" s="37"/>
      <c r="AB1032" s="37"/>
      <c r="AC1032" s="37"/>
      <c r="AD1032" s="37"/>
      <c r="AE1032" s="37"/>
      <c r="AF1032" s="37"/>
      <c r="AG1032" s="37"/>
      <c r="AH1032" s="37"/>
      <c r="AI1032" s="37"/>
      <c r="AJ1032" s="37"/>
      <c r="AK1032" s="39"/>
      <c r="AL1032" s="37"/>
      <c r="AM1032" s="37"/>
      <c r="AN1032" s="37"/>
      <c r="AO1032" s="37"/>
    </row>
    <row r="1033" spans="1:41">
      <c r="A1033" s="37"/>
      <c r="B1033" s="37"/>
      <c r="C1033" s="37"/>
      <c r="D1033" s="37"/>
      <c r="E1033" s="37"/>
      <c r="F1033" s="37"/>
      <c r="G1033" s="37"/>
      <c r="H1033" s="40"/>
      <c r="I1033" s="40"/>
      <c r="J1033" s="40"/>
      <c r="K1033" s="37"/>
      <c r="L1033" s="37"/>
      <c r="M1033" s="37"/>
      <c r="N1033" s="37"/>
      <c r="O1033" s="37"/>
      <c r="P1033" s="37"/>
      <c r="Q1033" s="37"/>
      <c r="R1033" s="37"/>
      <c r="S1033" s="37"/>
      <c r="T1033" s="37"/>
      <c r="U1033" s="37"/>
      <c r="V1033" s="37"/>
      <c r="W1033" s="37"/>
      <c r="X1033" s="37"/>
      <c r="Y1033" s="37"/>
      <c r="Z1033" s="37"/>
      <c r="AA1033" s="37"/>
      <c r="AB1033" s="37"/>
      <c r="AC1033" s="37"/>
      <c r="AD1033" s="37"/>
      <c r="AE1033" s="37"/>
      <c r="AF1033" s="37"/>
      <c r="AG1033" s="37"/>
      <c r="AH1033" s="37"/>
      <c r="AI1033" s="37"/>
      <c r="AJ1033" s="37"/>
      <c r="AK1033" s="39"/>
      <c r="AL1033" s="37"/>
      <c r="AM1033" s="37"/>
      <c r="AN1033" s="37"/>
      <c r="AO1033" s="37"/>
    </row>
    <row r="1034" spans="1:41">
      <c r="A1034" s="37"/>
      <c r="B1034" s="37"/>
      <c r="C1034" s="37"/>
      <c r="D1034" s="37"/>
      <c r="E1034" s="37"/>
      <c r="F1034" s="37"/>
      <c r="G1034" s="37"/>
      <c r="H1034" s="40"/>
      <c r="I1034" s="40"/>
      <c r="J1034" s="40"/>
      <c r="K1034" s="37"/>
      <c r="L1034" s="37"/>
      <c r="M1034" s="37"/>
      <c r="N1034" s="37"/>
      <c r="O1034" s="37"/>
      <c r="P1034" s="37"/>
      <c r="Q1034" s="37"/>
      <c r="R1034" s="37"/>
      <c r="S1034" s="37"/>
      <c r="T1034" s="37"/>
      <c r="U1034" s="37"/>
      <c r="V1034" s="37"/>
      <c r="W1034" s="37"/>
      <c r="X1034" s="37"/>
      <c r="Y1034" s="37"/>
      <c r="Z1034" s="37"/>
      <c r="AA1034" s="37"/>
      <c r="AB1034" s="37"/>
      <c r="AC1034" s="37"/>
      <c r="AD1034" s="37"/>
      <c r="AE1034" s="37"/>
      <c r="AF1034" s="37"/>
      <c r="AG1034" s="37"/>
      <c r="AH1034" s="37"/>
      <c r="AI1034" s="37"/>
      <c r="AJ1034" s="37"/>
      <c r="AK1034" s="39"/>
      <c r="AL1034" s="37"/>
      <c r="AM1034" s="37"/>
      <c r="AN1034" s="37"/>
      <c r="AO1034" s="37"/>
    </row>
    <row r="1035" spans="1:41">
      <c r="A1035" s="37"/>
      <c r="B1035" s="37"/>
      <c r="C1035" s="37"/>
      <c r="D1035" s="37"/>
      <c r="E1035" s="37"/>
      <c r="F1035" s="37"/>
      <c r="G1035" s="37"/>
      <c r="H1035" s="40"/>
      <c r="I1035" s="40"/>
      <c r="J1035" s="40"/>
      <c r="K1035" s="37"/>
      <c r="L1035" s="37"/>
      <c r="M1035" s="37"/>
      <c r="N1035" s="37"/>
      <c r="O1035" s="37"/>
      <c r="P1035" s="37"/>
      <c r="Q1035" s="37"/>
      <c r="R1035" s="37"/>
      <c r="S1035" s="37"/>
      <c r="T1035" s="37"/>
      <c r="U1035" s="37"/>
      <c r="V1035" s="37"/>
      <c r="W1035" s="37"/>
      <c r="X1035" s="37"/>
      <c r="Y1035" s="37"/>
      <c r="Z1035" s="37"/>
      <c r="AA1035" s="37"/>
      <c r="AB1035" s="37"/>
      <c r="AC1035" s="37"/>
      <c r="AD1035" s="37"/>
      <c r="AE1035" s="37"/>
      <c r="AF1035" s="37"/>
      <c r="AG1035" s="37"/>
      <c r="AH1035" s="37"/>
      <c r="AI1035" s="37"/>
      <c r="AJ1035" s="37"/>
      <c r="AK1035" s="39"/>
      <c r="AL1035" s="37"/>
      <c r="AM1035" s="37"/>
      <c r="AN1035" s="37"/>
      <c r="AO1035" s="37"/>
    </row>
    <row r="1036" spans="1:41">
      <c r="A1036" s="37"/>
      <c r="B1036" s="37"/>
      <c r="C1036" s="37"/>
      <c r="D1036" s="37"/>
      <c r="E1036" s="37"/>
      <c r="F1036" s="37"/>
      <c r="G1036" s="37"/>
      <c r="H1036" s="40"/>
      <c r="I1036" s="40"/>
      <c r="J1036" s="40"/>
      <c r="K1036" s="37"/>
      <c r="L1036" s="37"/>
      <c r="M1036" s="37"/>
      <c r="N1036" s="37"/>
      <c r="O1036" s="37"/>
      <c r="P1036" s="37"/>
      <c r="Q1036" s="37"/>
      <c r="R1036" s="37"/>
      <c r="S1036" s="37"/>
      <c r="T1036" s="37"/>
      <c r="U1036" s="37"/>
      <c r="V1036" s="37"/>
      <c r="W1036" s="37"/>
      <c r="X1036" s="37"/>
      <c r="Y1036" s="37"/>
      <c r="Z1036" s="37"/>
      <c r="AA1036" s="37"/>
      <c r="AB1036" s="37"/>
      <c r="AC1036" s="37"/>
      <c r="AD1036" s="37"/>
      <c r="AE1036" s="37"/>
      <c r="AF1036" s="37"/>
      <c r="AG1036" s="37"/>
      <c r="AH1036" s="37"/>
      <c r="AI1036" s="37"/>
      <c r="AJ1036" s="37"/>
      <c r="AK1036" s="39"/>
      <c r="AL1036" s="37"/>
      <c r="AM1036" s="37"/>
      <c r="AN1036" s="37"/>
      <c r="AO1036" s="37"/>
    </row>
    <row r="1037" spans="1:41">
      <c r="A1037" s="37"/>
      <c r="B1037" s="37"/>
      <c r="C1037" s="37"/>
      <c r="D1037" s="37"/>
      <c r="E1037" s="37"/>
      <c r="F1037" s="37"/>
      <c r="G1037" s="37"/>
      <c r="H1037" s="40"/>
      <c r="I1037" s="40"/>
      <c r="J1037" s="40"/>
      <c r="K1037" s="37"/>
      <c r="L1037" s="37"/>
      <c r="M1037" s="37"/>
      <c r="N1037" s="37"/>
      <c r="O1037" s="37"/>
      <c r="P1037" s="37"/>
      <c r="Q1037" s="37"/>
      <c r="R1037" s="37"/>
      <c r="S1037" s="37"/>
      <c r="T1037" s="37"/>
      <c r="U1037" s="37"/>
      <c r="V1037" s="37"/>
      <c r="W1037" s="37"/>
      <c r="X1037" s="37"/>
      <c r="Y1037" s="37"/>
      <c r="Z1037" s="37"/>
      <c r="AA1037" s="37"/>
      <c r="AB1037" s="37"/>
      <c r="AC1037" s="37"/>
      <c r="AD1037" s="37"/>
      <c r="AE1037" s="37"/>
      <c r="AF1037" s="37"/>
      <c r="AG1037" s="37"/>
      <c r="AH1037" s="37"/>
      <c r="AI1037" s="37"/>
      <c r="AJ1037" s="37"/>
      <c r="AK1037" s="39"/>
      <c r="AL1037" s="37"/>
      <c r="AM1037" s="37"/>
      <c r="AN1037" s="37"/>
      <c r="AO1037" s="37"/>
    </row>
    <row r="1038" spans="1:41">
      <c r="A1038" s="37"/>
      <c r="B1038" s="37"/>
      <c r="C1038" s="37"/>
      <c r="D1038" s="37"/>
      <c r="E1038" s="37"/>
      <c r="F1038" s="37"/>
      <c r="G1038" s="37"/>
      <c r="H1038" s="40"/>
      <c r="I1038" s="40"/>
      <c r="J1038" s="40"/>
      <c r="K1038" s="37"/>
      <c r="L1038" s="37"/>
      <c r="M1038" s="37"/>
      <c r="N1038" s="37"/>
      <c r="O1038" s="37"/>
      <c r="P1038" s="37"/>
      <c r="Q1038" s="37"/>
      <c r="R1038" s="37"/>
      <c r="S1038" s="37"/>
      <c r="T1038" s="37"/>
      <c r="U1038" s="37"/>
      <c r="V1038" s="37"/>
      <c r="W1038" s="37"/>
      <c r="X1038" s="37"/>
      <c r="Y1038" s="37"/>
      <c r="Z1038" s="37"/>
      <c r="AA1038" s="37"/>
      <c r="AB1038" s="37"/>
      <c r="AC1038" s="37"/>
      <c r="AD1038" s="37"/>
      <c r="AE1038" s="37"/>
      <c r="AF1038" s="37"/>
      <c r="AG1038" s="37"/>
      <c r="AH1038" s="37"/>
      <c r="AI1038" s="37"/>
      <c r="AJ1038" s="37"/>
      <c r="AK1038" s="39"/>
      <c r="AL1038" s="37"/>
      <c r="AM1038" s="37"/>
      <c r="AN1038" s="37"/>
      <c r="AO1038" s="37"/>
    </row>
    <row r="1039" spans="1:41">
      <c r="A1039" s="37"/>
      <c r="B1039" s="37"/>
      <c r="C1039" s="37"/>
      <c r="D1039" s="37"/>
      <c r="E1039" s="37"/>
      <c r="F1039" s="37"/>
      <c r="G1039" s="37"/>
      <c r="H1039" s="40"/>
      <c r="I1039" s="40"/>
      <c r="J1039" s="40"/>
      <c r="K1039" s="37"/>
      <c r="L1039" s="37"/>
      <c r="M1039" s="37"/>
      <c r="N1039" s="37"/>
      <c r="O1039" s="37"/>
      <c r="P1039" s="37"/>
      <c r="Q1039" s="37"/>
      <c r="R1039" s="37"/>
      <c r="S1039" s="37"/>
      <c r="T1039" s="37"/>
      <c r="U1039" s="37"/>
      <c r="V1039" s="37"/>
      <c r="W1039" s="37"/>
      <c r="X1039" s="37"/>
      <c r="Y1039" s="37"/>
      <c r="Z1039" s="37"/>
      <c r="AA1039" s="37"/>
      <c r="AB1039" s="37"/>
      <c r="AC1039" s="37"/>
      <c r="AD1039" s="37"/>
      <c r="AE1039" s="37"/>
      <c r="AF1039" s="37"/>
      <c r="AG1039" s="37"/>
      <c r="AH1039" s="37"/>
      <c r="AI1039" s="37"/>
      <c r="AJ1039" s="37"/>
      <c r="AK1039" s="39"/>
      <c r="AL1039" s="37"/>
      <c r="AM1039" s="37"/>
      <c r="AN1039" s="37"/>
      <c r="AO1039" s="37"/>
    </row>
    <row r="1040" spans="1:41">
      <c r="A1040" s="37"/>
      <c r="B1040" s="37"/>
      <c r="C1040" s="37"/>
      <c r="D1040" s="37"/>
      <c r="E1040" s="37"/>
      <c r="F1040" s="37"/>
      <c r="G1040" s="37"/>
      <c r="H1040" s="40"/>
      <c r="I1040" s="40"/>
      <c r="J1040" s="40"/>
      <c r="K1040" s="37"/>
      <c r="L1040" s="37"/>
      <c r="M1040" s="37"/>
      <c r="N1040" s="37"/>
      <c r="O1040" s="37"/>
      <c r="P1040" s="37"/>
      <c r="Q1040" s="37"/>
      <c r="R1040" s="37"/>
      <c r="S1040" s="37"/>
      <c r="T1040" s="37"/>
      <c r="U1040" s="37"/>
      <c r="V1040" s="37"/>
      <c r="W1040" s="37"/>
      <c r="X1040" s="37"/>
      <c r="Y1040" s="37"/>
      <c r="Z1040" s="37"/>
      <c r="AA1040" s="37"/>
      <c r="AB1040" s="37"/>
      <c r="AC1040" s="37"/>
      <c r="AD1040" s="37"/>
      <c r="AE1040" s="37"/>
      <c r="AF1040" s="37"/>
      <c r="AG1040" s="37"/>
      <c r="AH1040" s="37"/>
      <c r="AI1040" s="37"/>
      <c r="AJ1040" s="37"/>
      <c r="AK1040" s="39"/>
      <c r="AL1040" s="37"/>
      <c r="AM1040" s="37"/>
      <c r="AN1040" s="37"/>
      <c r="AO1040" s="37"/>
    </row>
    <row r="1041" spans="1:41">
      <c r="A1041" s="37"/>
      <c r="B1041" s="37"/>
      <c r="C1041" s="37"/>
      <c r="D1041" s="37"/>
      <c r="E1041" s="37"/>
      <c r="F1041" s="37"/>
      <c r="G1041" s="37"/>
      <c r="H1041" s="40"/>
      <c r="I1041" s="40"/>
      <c r="J1041" s="40"/>
      <c r="K1041" s="37"/>
      <c r="L1041" s="37"/>
      <c r="M1041" s="37"/>
      <c r="N1041" s="37"/>
      <c r="O1041" s="37"/>
      <c r="P1041" s="37"/>
      <c r="Q1041" s="37"/>
      <c r="R1041" s="37"/>
      <c r="S1041" s="37"/>
      <c r="T1041" s="37"/>
      <c r="U1041" s="37"/>
      <c r="V1041" s="37"/>
      <c r="W1041" s="37"/>
      <c r="X1041" s="37"/>
      <c r="Y1041" s="37"/>
      <c r="Z1041" s="37"/>
      <c r="AA1041" s="37"/>
      <c r="AB1041" s="37"/>
      <c r="AC1041" s="37"/>
      <c r="AD1041" s="37"/>
      <c r="AE1041" s="37"/>
      <c r="AF1041" s="37"/>
      <c r="AG1041" s="37"/>
      <c r="AH1041" s="37"/>
      <c r="AI1041" s="37"/>
      <c r="AJ1041" s="37"/>
      <c r="AK1041" s="39"/>
      <c r="AL1041" s="37"/>
      <c r="AM1041" s="37"/>
      <c r="AN1041" s="37"/>
      <c r="AO1041" s="37"/>
    </row>
    <row r="1042" spans="1:41">
      <c r="A1042" s="37"/>
      <c r="B1042" s="37"/>
      <c r="C1042" s="37"/>
      <c r="D1042" s="37"/>
      <c r="E1042" s="37"/>
      <c r="F1042" s="37"/>
      <c r="G1042" s="37"/>
      <c r="H1042" s="40"/>
      <c r="I1042" s="40"/>
      <c r="J1042" s="40"/>
      <c r="K1042" s="37"/>
      <c r="L1042" s="37"/>
      <c r="M1042" s="37"/>
      <c r="N1042" s="37"/>
      <c r="O1042" s="37"/>
      <c r="P1042" s="37"/>
      <c r="Q1042" s="37"/>
      <c r="R1042" s="37"/>
      <c r="S1042" s="37"/>
      <c r="T1042" s="37"/>
      <c r="U1042" s="37"/>
      <c r="V1042" s="37"/>
      <c r="W1042" s="37"/>
      <c r="X1042" s="37"/>
      <c r="Y1042" s="37"/>
      <c r="Z1042" s="37"/>
      <c r="AA1042" s="37"/>
      <c r="AB1042" s="37"/>
      <c r="AC1042" s="37"/>
      <c r="AD1042" s="37"/>
      <c r="AE1042" s="37"/>
      <c r="AF1042" s="37"/>
      <c r="AG1042" s="37"/>
      <c r="AH1042" s="37"/>
      <c r="AI1042" s="37"/>
      <c r="AJ1042" s="37"/>
      <c r="AK1042" s="39"/>
      <c r="AL1042" s="37"/>
      <c r="AM1042" s="37"/>
      <c r="AN1042" s="37"/>
      <c r="AO1042" s="37"/>
    </row>
    <row r="1043" spans="1:41">
      <c r="A1043" s="37"/>
      <c r="B1043" s="37"/>
      <c r="C1043" s="37"/>
      <c r="D1043" s="37"/>
      <c r="E1043" s="37"/>
      <c r="F1043" s="37"/>
      <c r="G1043" s="37"/>
      <c r="H1043" s="40"/>
      <c r="I1043" s="40"/>
      <c r="J1043" s="40"/>
      <c r="K1043" s="37"/>
      <c r="L1043" s="37"/>
      <c r="M1043" s="37"/>
      <c r="N1043" s="37"/>
      <c r="O1043" s="37"/>
      <c r="P1043" s="37"/>
      <c r="Q1043" s="37"/>
      <c r="R1043" s="37"/>
      <c r="S1043" s="37"/>
      <c r="T1043" s="37"/>
      <c r="U1043" s="37"/>
      <c r="V1043" s="37"/>
      <c r="W1043" s="37"/>
      <c r="X1043" s="37"/>
      <c r="Y1043" s="37"/>
      <c r="Z1043" s="37"/>
      <c r="AA1043" s="37"/>
      <c r="AB1043" s="37"/>
      <c r="AC1043" s="37"/>
      <c r="AD1043" s="37"/>
      <c r="AE1043" s="37"/>
      <c r="AF1043" s="37"/>
      <c r="AG1043" s="37"/>
      <c r="AH1043" s="37"/>
      <c r="AI1043" s="37"/>
      <c r="AJ1043" s="37"/>
      <c r="AK1043" s="39"/>
      <c r="AL1043" s="37"/>
      <c r="AM1043" s="37"/>
      <c r="AN1043" s="37"/>
      <c r="AO1043" s="37"/>
    </row>
    <row r="1044" spans="1:41">
      <c r="A1044" s="37"/>
      <c r="B1044" s="37"/>
      <c r="C1044" s="37"/>
      <c r="D1044" s="37"/>
      <c r="E1044" s="37"/>
      <c r="F1044" s="37"/>
      <c r="G1044" s="37"/>
      <c r="H1044" s="40"/>
      <c r="I1044" s="40"/>
      <c r="J1044" s="40"/>
      <c r="K1044" s="37"/>
      <c r="L1044" s="37"/>
      <c r="M1044" s="37"/>
      <c r="N1044" s="37"/>
      <c r="O1044" s="37"/>
      <c r="P1044" s="37"/>
      <c r="Q1044" s="37"/>
      <c r="R1044" s="37"/>
      <c r="S1044" s="37"/>
      <c r="T1044" s="37"/>
      <c r="U1044" s="37"/>
      <c r="V1044" s="37"/>
      <c r="W1044" s="37"/>
      <c r="X1044" s="37"/>
      <c r="Y1044" s="37"/>
      <c r="Z1044" s="37"/>
      <c r="AA1044" s="37"/>
      <c r="AB1044" s="37"/>
      <c r="AC1044" s="37"/>
      <c r="AD1044" s="37"/>
      <c r="AE1044" s="37"/>
      <c r="AF1044" s="37"/>
      <c r="AG1044" s="37"/>
      <c r="AH1044" s="37"/>
      <c r="AI1044" s="37"/>
      <c r="AJ1044" s="37"/>
      <c r="AK1044" s="39"/>
      <c r="AL1044" s="37"/>
      <c r="AM1044" s="37"/>
      <c r="AN1044" s="37"/>
      <c r="AO1044" s="37"/>
    </row>
    <row r="1045" spans="1:41">
      <c r="A1045" s="37"/>
      <c r="B1045" s="37"/>
      <c r="C1045" s="37"/>
      <c r="D1045" s="37"/>
      <c r="E1045" s="37"/>
      <c r="F1045" s="37"/>
      <c r="G1045" s="37"/>
      <c r="H1045" s="40"/>
      <c r="I1045" s="40"/>
      <c r="J1045" s="40"/>
      <c r="K1045" s="37"/>
      <c r="L1045" s="37"/>
      <c r="M1045" s="37"/>
      <c r="N1045" s="37"/>
      <c r="O1045" s="37"/>
      <c r="P1045" s="37"/>
      <c r="Q1045" s="37"/>
      <c r="R1045" s="37"/>
      <c r="S1045" s="37"/>
      <c r="T1045" s="37"/>
      <c r="U1045" s="37"/>
      <c r="V1045" s="37"/>
      <c r="W1045" s="37"/>
      <c r="X1045" s="37"/>
      <c r="Y1045" s="37"/>
      <c r="Z1045" s="37"/>
      <c r="AA1045" s="37"/>
      <c r="AB1045" s="37"/>
      <c r="AC1045" s="37"/>
      <c r="AD1045" s="37"/>
      <c r="AE1045" s="37"/>
      <c r="AF1045" s="37"/>
      <c r="AG1045" s="37"/>
      <c r="AH1045" s="37"/>
      <c r="AI1045" s="37"/>
      <c r="AJ1045" s="37"/>
      <c r="AK1045" s="39"/>
      <c r="AL1045" s="37"/>
      <c r="AM1045" s="37"/>
      <c r="AN1045" s="37"/>
      <c r="AO1045" s="37"/>
    </row>
    <row r="1046" spans="1:41">
      <c r="A1046" s="37"/>
      <c r="B1046" s="37"/>
      <c r="C1046" s="37"/>
      <c r="D1046" s="37"/>
      <c r="E1046" s="37"/>
      <c r="F1046" s="37"/>
      <c r="G1046" s="37"/>
      <c r="H1046" s="40"/>
      <c r="I1046" s="40"/>
      <c r="J1046" s="40"/>
      <c r="K1046" s="37"/>
      <c r="L1046" s="37"/>
      <c r="M1046" s="37"/>
      <c r="N1046" s="37"/>
      <c r="O1046" s="37"/>
      <c r="P1046" s="37"/>
      <c r="Q1046" s="37"/>
      <c r="R1046" s="37"/>
      <c r="S1046" s="37"/>
      <c r="T1046" s="37"/>
      <c r="U1046" s="37"/>
      <c r="V1046" s="37"/>
      <c r="W1046" s="37"/>
      <c r="X1046" s="37"/>
      <c r="Y1046" s="37"/>
      <c r="Z1046" s="37"/>
      <c r="AA1046" s="37"/>
      <c r="AB1046" s="37"/>
      <c r="AC1046" s="37"/>
      <c r="AD1046" s="37"/>
      <c r="AE1046" s="37"/>
      <c r="AF1046" s="37"/>
      <c r="AG1046" s="37"/>
      <c r="AH1046" s="37"/>
      <c r="AI1046" s="37"/>
      <c r="AJ1046" s="37"/>
      <c r="AK1046" s="39"/>
      <c r="AL1046" s="37"/>
      <c r="AM1046" s="37"/>
      <c r="AN1046" s="37"/>
      <c r="AO1046" s="37"/>
    </row>
    <row r="1047" spans="1:41">
      <c r="A1047" s="37"/>
      <c r="B1047" s="37"/>
      <c r="C1047" s="37"/>
      <c r="D1047" s="37"/>
      <c r="E1047" s="37"/>
      <c r="F1047" s="37"/>
      <c r="G1047" s="37"/>
      <c r="H1047" s="40"/>
      <c r="I1047" s="40"/>
      <c r="J1047" s="40"/>
      <c r="K1047" s="37"/>
      <c r="L1047" s="37"/>
      <c r="M1047" s="37"/>
      <c r="N1047" s="37"/>
      <c r="O1047" s="37"/>
      <c r="P1047" s="37"/>
      <c r="Q1047" s="37"/>
      <c r="R1047" s="37"/>
      <c r="S1047" s="37"/>
      <c r="T1047" s="37"/>
      <c r="U1047" s="37"/>
      <c r="V1047" s="37"/>
      <c r="W1047" s="37"/>
      <c r="X1047" s="37"/>
      <c r="Y1047" s="37"/>
      <c r="Z1047" s="37"/>
      <c r="AA1047" s="37"/>
      <c r="AB1047" s="37"/>
      <c r="AC1047" s="37"/>
      <c r="AD1047" s="37"/>
      <c r="AE1047" s="37"/>
      <c r="AF1047" s="37"/>
      <c r="AG1047" s="37"/>
      <c r="AH1047" s="37"/>
      <c r="AI1047" s="37"/>
      <c r="AJ1047" s="37"/>
      <c r="AK1047" s="39"/>
      <c r="AL1047" s="37"/>
      <c r="AM1047" s="37"/>
      <c r="AN1047" s="37"/>
      <c r="AO1047" s="37"/>
    </row>
    <row r="1048" spans="1:41">
      <c r="A1048" s="37"/>
      <c r="B1048" s="37"/>
      <c r="C1048" s="37"/>
      <c r="D1048" s="37"/>
      <c r="E1048" s="37"/>
      <c r="F1048" s="37"/>
      <c r="G1048" s="37"/>
      <c r="H1048" s="40"/>
      <c r="I1048" s="40"/>
      <c r="J1048" s="40"/>
      <c r="K1048" s="37"/>
      <c r="L1048" s="37"/>
      <c r="M1048" s="37"/>
      <c r="N1048" s="37"/>
      <c r="O1048" s="37"/>
      <c r="P1048" s="37"/>
      <c r="Q1048" s="37"/>
      <c r="R1048" s="37"/>
      <c r="S1048" s="37"/>
      <c r="T1048" s="37"/>
      <c r="U1048" s="37"/>
      <c r="V1048" s="37"/>
      <c r="W1048" s="37"/>
      <c r="X1048" s="37"/>
      <c r="Y1048" s="37"/>
      <c r="Z1048" s="37"/>
      <c r="AA1048" s="37"/>
      <c r="AB1048" s="37"/>
      <c r="AC1048" s="37"/>
      <c r="AD1048" s="37"/>
      <c r="AE1048" s="37"/>
      <c r="AF1048" s="37"/>
      <c r="AG1048" s="37"/>
      <c r="AH1048" s="37"/>
      <c r="AI1048" s="37"/>
      <c r="AJ1048" s="37"/>
      <c r="AK1048" s="39"/>
      <c r="AL1048" s="37"/>
      <c r="AM1048" s="37"/>
      <c r="AN1048" s="37"/>
      <c r="AO1048" s="37"/>
    </row>
    <row r="1049" spans="1:41">
      <c r="A1049" s="37"/>
      <c r="B1049" s="37"/>
      <c r="C1049" s="37"/>
      <c r="D1049" s="37"/>
      <c r="E1049" s="37"/>
      <c r="F1049" s="37"/>
      <c r="G1049" s="37"/>
      <c r="H1049" s="40"/>
      <c r="I1049" s="40"/>
      <c r="J1049" s="40"/>
      <c r="K1049" s="37"/>
      <c r="L1049" s="37"/>
      <c r="M1049" s="37"/>
      <c r="N1049" s="37"/>
      <c r="O1049" s="37"/>
      <c r="P1049" s="37"/>
      <c r="Q1049" s="37"/>
      <c r="R1049" s="37"/>
      <c r="S1049" s="37"/>
      <c r="T1049" s="37"/>
      <c r="U1049" s="37"/>
      <c r="V1049" s="37"/>
      <c r="W1049" s="37"/>
      <c r="X1049" s="37"/>
      <c r="Y1049" s="37"/>
      <c r="Z1049" s="37"/>
      <c r="AA1049" s="37"/>
      <c r="AB1049" s="37"/>
      <c r="AC1049" s="37"/>
      <c r="AD1049" s="37"/>
      <c r="AE1049" s="37"/>
      <c r="AF1049" s="37"/>
      <c r="AG1049" s="37"/>
      <c r="AH1049" s="37"/>
      <c r="AI1049" s="37"/>
      <c r="AJ1049" s="37"/>
      <c r="AK1049" s="39"/>
      <c r="AL1049" s="37"/>
      <c r="AM1049" s="37"/>
      <c r="AN1049" s="37"/>
      <c r="AO1049" s="37"/>
    </row>
    <row r="1050" spans="1:41">
      <c r="A1050" s="37"/>
      <c r="B1050" s="37"/>
      <c r="C1050" s="37"/>
      <c r="D1050" s="37"/>
      <c r="E1050" s="37"/>
      <c r="F1050" s="37"/>
      <c r="G1050" s="37"/>
      <c r="H1050" s="40"/>
      <c r="I1050" s="40"/>
      <c r="J1050" s="40"/>
      <c r="K1050" s="37"/>
      <c r="L1050" s="37"/>
      <c r="M1050" s="37"/>
      <c r="N1050" s="37"/>
      <c r="O1050" s="37"/>
      <c r="P1050" s="37"/>
      <c r="Q1050" s="37"/>
      <c r="R1050" s="37"/>
      <c r="S1050" s="37"/>
      <c r="T1050" s="37"/>
      <c r="U1050" s="37"/>
      <c r="V1050" s="37"/>
      <c r="W1050" s="37"/>
      <c r="X1050" s="37"/>
      <c r="Y1050" s="37"/>
      <c r="Z1050" s="37"/>
      <c r="AA1050" s="37"/>
      <c r="AB1050" s="37"/>
      <c r="AC1050" s="37"/>
      <c r="AD1050" s="37"/>
      <c r="AE1050" s="37"/>
      <c r="AF1050" s="37"/>
      <c r="AG1050" s="37"/>
      <c r="AH1050" s="37"/>
      <c r="AI1050" s="37"/>
      <c r="AJ1050" s="37"/>
      <c r="AK1050" s="39"/>
      <c r="AL1050" s="37"/>
      <c r="AM1050" s="37"/>
      <c r="AN1050" s="37"/>
      <c r="AO1050" s="37"/>
    </row>
    <row r="1051" spans="1:41">
      <c r="A1051" s="37"/>
      <c r="B1051" s="37"/>
      <c r="C1051" s="37"/>
      <c r="D1051" s="37"/>
      <c r="E1051" s="37"/>
      <c r="F1051" s="37"/>
      <c r="G1051" s="37"/>
      <c r="H1051" s="40"/>
      <c r="I1051" s="40"/>
      <c r="J1051" s="40"/>
      <c r="K1051" s="37"/>
      <c r="L1051" s="37"/>
      <c r="M1051" s="37"/>
      <c r="N1051" s="37"/>
      <c r="O1051" s="37"/>
      <c r="P1051" s="37"/>
      <c r="Q1051" s="37"/>
      <c r="R1051" s="37"/>
      <c r="S1051" s="37"/>
      <c r="T1051" s="37"/>
      <c r="U1051" s="37"/>
      <c r="V1051" s="37"/>
      <c r="W1051" s="37"/>
      <c r="X1051" s="37"/>
      <c r="Y1051" s="37"/>
      <c r="Z1051" s="37"/>
      <c r="AA1051" s="37"/>
      <c r="AB1051" s="37"/>
      <c r="AC1051" s="37"/>
      <c r="AD1051" s="37"/>
      <c r="AE1051" s="37"/>
      <c r="AF1051" s="37"/>
      <c r="AG1051" s="37"/>
      <c r="AH1051" s="37"/>
      <c r="AI1051" s="37"/>
      <c r="AJ1051" s="37"/>
      <c r="AK1051" s="39"/>
      <c r="AL1051" s="37"/>
      <c r="AM1051" s="37"/>
      <c r="AN1051" s="37"/>
      <c r="AO1051" s="37"/>
    </row>
    <row r="1052" spans="1:41">
      <c r="A1052" s="37"/>
      <c r="B1052" s="37"/>
      <c r="C1052" s="37"/>
      <c r="D1052" s="37"/>
      <c r="E1052" s="37"/>
      <c r="F1052" s="37"/>
      <c r="G1052" s="37"/>
      <c r="H1052" s="40"/>
      <c r="I1052" s="40"/>
      <c r="J1052" s="40"/>
      <c r="K1052" s="37"/>
      <c r="L1052" s="37"/>
      <c r="M1052" s="37"/>
      <c r="N1052" s="37"/>
      <c r="O1052" s="37"/>
      <c r="P1052" s="37"/>
      <c r="Q1052" s="37"/>
      <c r="R1052" s="37"/>
      <c r="S1052" s="37"/>
      <c r="T1052" s="37"/>
      <c r="U1052" s="37"/>
      <c r="V1052" s="37"/>
      <c r="W1052" s="37"/>
      <c r="X1052" s="37"/>
      <c r="Y1052" s="37"/>
      <c r="Z1052" s="37"/>
      <c r="AA1052" s="37"/>
      <c r="AB1052" s="37"/>
      <c r="AC1052" s="37"/>
      <c r="AD1052" s="37"/>
      <c r="AE1052" s="37"/>
      <c r="AF1052" s="37"/>
      <c r="AG1052" s="37"/>
      <c r="AH1052" s="37"/>
      <c r="AI1052" s="37"/>
      <c r="AJ1052" s="37"/>
      <c r="AK1052" s="39"/>
      <c r="AL1052" s="37"/>
      <c r="AM1052" s="37"/>
      <c r="AN1052" s="37"/>
      <c r="AO1052" s="37"/>
    </row>
    <row r="1053" spans="1:41">
      <c r="A1053" s="37"/>
      <c r="B1053" s="37"/>
      <c r="C1053" s="37"/>
      <c r="D1053" s="37"/>
      <c r="E1053" s="37"/>
      <c r="F1053" s="37"/>
      <c r="G1053" s="37"/>
      <c r="H1053" s="40"/>
      <c r="I1053" s="40"/>
      <c r="J1053" s="40"/>
      <c r="K1053" s="37"/>
      <c r="L1053" s="37"/>
      <c r="M1053" s="37"/>
      <c r="N1053" s="37"/>
      <c r="O1053" s="37"/>
      <c r="P1053" s="37"/>
      <c r="Q1053" s="37"/>
      <c r="R1053" s="37"/>
      <c r="S1053" s="37"/>
      <c r="T1053" s="37"/>
      <c r="U1053" s="37"/>
      <c r="V1053" s="37"/>
      <c r="W1053" s="37"/>
      <c r="X1053" s="37"/>
      <c r="Y1053" s="37"/>
      <c r="Z1053" s="37"/>
      <c r="AA1053" s="37"/>
      <c r="AB1053" s="37"/>
      <c r="AC1053" s="37"/>
      <c r="AD1053" s="37"/>
      <c r="AE1053" s="37"/>
      <c r="AF1053" s="37"/>
      <c r="AG1053" s="37"/>
      <c r="AH1053" s="37"/>
      <c r="AI1053" s="37"/>
      <c r="AJ1053" s="37"/>
      <c r="AK1053" s="39"/>
      <c r="AL1053" s="37"/>
      <c r="AM1053" s="37"/>
      <c r="AN1053" s="37"/>
      <c r="AO1053" s="37"/>
    </row>
    <row r="1054" spans="1:41">
      <c r="A1054" s="37"/>
      <c r="B1054" s="37"/>
      <c r="C1054" s="37"/>
      <c r="D1054" s="37"/>
      <c r="E1054" s="37"/>
      <c r="F1054" s="37"/>
      <c r="G1054" s="37"/>
      <c r="H1054" s="40"/>
      <c r="I1054" s="40"/>
      <c r="J1054" s="40"/>
      <c r="K1054" s="37"/>
      <c r="L1054" s="37"/>
      <c r="M1054" s="37"/>
      <c r="N1054" s="37"/>
      <c r="O1054" s="37"/>
      <c r="P1054" s="37"/>
      <c r="Q1054" s="37"/>
      <c r="R1054" s="37"/>
      <c r="S1054" s="37"/>
      <c r="T1054" s="37"/>
      <c r="U1054" s="37"/>
      <c r="V1054" s="37"/>
      <c r="W1054" s="37"/>
      <c r="X1054" s="37"/>
      <c r="Y1054" s="37"/>
      <c r="Z1054" s="37"/>
      <c r="AA1054" s="37"/>
      <c r="AB1054" s="37"/>
      <c r="AC1054" s="37"/>
      <c r="AD1054" s="37"/>
      <c r="AE1054" s="37"/>
      <c r="AF1054" s="37"/>
      <c r="AG1054" s="37"/>
      <c r="AH1054" s="37"/>
      <c r="AI1054" s="37"/>
      <c r="AJ1054" s="37"/>
      <c r="AK1054" s="39"/>
      <c r="AL1054" s="37"/>
      <c r="AM1054" s="37"/>
      <c r="AN1054" s="37"/>
      <c r="AO1054" s="37"/>
    </row>
    <row r="1055" spans="1:41">
      <c r="A1055" s="37"/>
      <c r="B1055" s="37"/>
      <c r="C1055" s="37"/>
      <c r="D1055" s="37"/>
      <c r="E1055" s="37"/>
      <c r="F1055" s="37"/>
      <c r="G1055" s="37"/>
      <c r="H1055" s="40"/>
      <c r="I1055" s="40"/>
      <c r="J1055" s="40"/>
      <c r="K1055" s="37"/>
      <c r="L1055" s="37"/>
      <c r="M1055" s="37"/>
      <c r="N1055" s="37"/>
      <c r="O1055" s="37"/>
      <c r="P1055" s="37"/>
      <c r="Q1055" s="37"/>
      <c r="R1055" s="37"/>
      <c r="S1055" s="37"/>
      <c r="T1055" s="37"/>
      <c r="U1055" s="37"/>
      <c r="V1055" s="37"/>
      <c r="W1055" s="37"/>
      <c r="X1055" s="37"/>
      <c r="Y1055" s="37"/>
      <c r="Z1055" s="37"/>
      <c r="AA1055" s="37"/>
      <c r="AB1055" s="37"/>
      <c r="AC1055" s="37"/>
      <c r="AD1055" s="37"/>
      <c r="AE1055" s="37"/>
      <c r="AF1055" s="37"/>
      <c r="AG1055" s="37"/>
      <c r="AH1055" s="37"/>
      <c r="AI1055" s="37"/>
      <c r="AJ1055" s="37"/>
      <c r="AK1055" s="39"/>
      <c r="AL1055" s="37"/>
      <c r="AM1055" s="37"/>
      <c r="AN1055" s="37"/>
      <c r="AO1055" s="37"/>
    </row>
    <row r="1056" spans="1:41">
      <c r="A1056" s="37"/>
      <c r="B1056" s="37"/>
      <c r="C1056" s="37"/>
      <c r="D1056" s="37"/>
      <c r="E1056" s="37"/>
      <c r="F1056" s="37"/>
      <c r="G1056" s="37"/>
      <c r="H1056" s="40"/>
      <c r="I1056" s="40"/>
      <c r="J1056" s="40"/>
      <c r="K1056" s="37"/>
      <c r="L1056" s="37"/>
      <c r="M1056" s="37"/>
      <c r="N1056" s="37"/>
      <c r="O1056" s="37"/>
      <c r="P1056" s="37"/>
      <c r="Q1056" s="37"/>
      <c r="R1056" s="37"/>
      <c r="S1056" s="37"/>
      <c r="T1056" s="37"/>
      <c r="U1056" s="37"/>
      <c r="V1056" s="37"/>
      <c r="W1056" s="37"/>
      <c r="X1056" s="37"/>
      <c r="Y1056" s="37"/>
      <c r="Z1056" s="37"/>
      <c r="AA1056" s="37"/>
      <c r="AB1056" s="37"/>
      <c r="AC1056" s="37"/>
      <c r="AD1056" s="37"/>
      <c r="AE1056" s="37"/>
      <c r="AF1056" s="37"/>
      <c r="AG1056" s="37"/>
      <c r="AH1056" s="37"/>
      <c r="AI1056" s="37"/>
      <c r="AJ1056" s="37"/>
      <c r="AK1056" s="39"/>
      <c r="AL1056" s="37"/>
      <c r="AM1056" s="37"/>
      <c r="AN1056" s="37"/>
      <c r="AO1056" s="37"/>
    </row>
    <row r="1057" spans="1:41">
      <c r="A1057" s="37"/>
      <c r="B1057" s="37"/>
      <c r="C1057" s="37"/>
      <c r="D1057" s="37"/>
      <c r="E1057" s="37"/>
      <c r="F1057" s="37"/>
      <c r="G1057" s="37"/>
      <c r="H1057" s="40"/>
      <c r="I1057" s="40"/>
      <c r="J1057" s="40"/>
      <c r="K1057" s="37"/>
      <c r="L1057" s="37"/>
      <c r="M1057" s="37"/>
      <c r="N1057" s="37"/>
      <c r="O1057" s="37"/>
      <c r="P1057" s="37"/>
      <c r="Q1057" s="37"/>
      <c r="R1057" s="37"/>
      <c r="S1057" s="37"/>
      <c r="T1057" s="37"/>
      <c r="U1057" s="37"/>
      <c r="V1057" s="37"/>
      <c r="W1057" s="37"/>
      <c r="X1057" s="37"/>
      <c r="Y1057" s="37"/>
      <c r="Z1057" s="37"/>
      <c r="AA1057" s="37"/>
      <c r="AB1057" s="37"/>
      <c r="AC1057" s="37"/>
      <c r="AD1057" s="37"/>
      <c r="AE1057" s="37"/>
      <c r="AF1057" s="37"/>
      <c r="AG1057" s="37"/>
      <c r="AH1057" s="37"/>
      <c r="AI1057" s="37"/>
      <c r="AJ1057" s="37"/>
      <c r="AK1057" s="39"/>
      <c r="AL1057" s="37"/>
      <c r="AM1057" s="37"/>
      <c r="AN1057" s="37"/>
      <c r="AO1057" s="37"/>
    </row>
    <row r="1058" spans="1:41">
      <c r="A1058" s="37"/>
      <c r="B1058" s="37"/>
      <c r="C1058" s="37"/>
      <c r="D1058" s="37"/>
      <c r="E1058" s="37"/>
      <c r="F1058" s="37"/>
      <c r="G1058" s="37"/>
      <c r="H1058" s="40"/>
      <c r="I1058" s="40"/>
      <c r="J1058" s="40"/>
      <c r="K1058" s="37"/>
      <c r="L1058" s="37"/>
      <c r="M1058" s="37"/>
      <c r="N1058" s="37"/>
      <c r="O1058" s="37"/>
      <c r="P1058" s="37"/>
      <c r="Q1058" s="37"/>
      <c r="R1058" s="37"/>
      <c r="S1058" s="37"/>
      <c r="T1058" s="37"/>
      <c r="U1058" s="37"/>
      <c r="V1058" s="37"/>
      <c r="W1058" s="37"/>
      <c r="X1058" s="37"/>
      <c r="Y1058" s="37"/>
      <c r="Z1058" s="37"/>
      <c r="AA1058" s="37"/>
      <c r="AB1058" s="37"/>
      <c r="AC1058" s="37"/>
      <c r="AD1058" s="37"/>
      <c r="AE1058" s="37"/>
      <c r="AF1058" s="37"/>
      <c r="AG1058" s="37"/>
      <c r="AH1058" s="37"/>
      <c r="AI1058" s="37"/>
      <c r="AJ1058" s="37"/>
      <c r="AK1058" s="39"/>
      <c r="AL1058" s="37"/>
      <c r="AM1058" s="37"/>
      <c r="AN1058" s="37"/>
      <c r="AO1058" s="37"/>
    </row>
    <row r="1059" spans="1:41">
      <c r="A1059" s="37"/>
      <c r="B1059" s="37"/>
      <c r="C1059" s="37"/>
      <c r="D1059" s="37"/>
      <c r="E1059" s="37"/>
      <c r="F1059" s="37"/>
      <c r="G1059" s="37"/>
      <c r="H1059" s="40"/>
      <c r="I1059" s="40"/>
      <c r="J1059" s="40"/>
      <c r="K1059" s="37"/>
      <c r="L1059" s="37"/>
      <c r="M1059" s="37"/>
      <c r="N1059" s="37"/>
      <c r="O1059" s="37"/>
      <c r="P1059" s="37"/>
      <c r="Q1059" s="37"/>
      <c r="R1059" s="37"/>
      <c r="S1059" s="37"/>
      <c r="T1059" s="37"/>
      <c r="U1059" s="37"/>
      <c r="V1059" s="37"/>
      <c r="W1059" s="37"/>
      <c r="X1059" s="37"/>
      <c r="Y1059" s="37"/>
      <c r="Z1059" s="37"/>
      <c r="AA1059" s="37"/>
      <c r="AB1059" s="37"/>
      <c r="AC1059" s="37"/>
      <c r="AD1059" s="37"/>
      <c r="AE1059" s="37"/>
      <c r="AF1059" s="37"/>
      <c r="AG1059" s="37"/>
      <c r="AH1059" s="37"/>
      <c r="AI1059" s="37"/>
      <c r="AJ1059" s="37"/>
      <c r="AK1059" s="39"/>
      <c r="AL1059" s="37"/>
      <c r="AM1059" s="37"/>
      <c r="AN1059" s="37"/>
      <c r="AO1059" s="37"/>
    </row>
    <row r="1060" spans="1:41">
      <c r="A1060" s="37"/>
      <c r="B1060" s="37"/>
      <c r="C1060" s="37"/>
      <c r="D1060" s="37"/>
      <c r="E1060" s="37"/>
      <c r="F1060" s="37"/>
      <c r="G1060" s="37"/>
      <c r="H1060" s="40"/>
      <c r="I1060" s="40"/>
      <c r="J1060" s="40"/>
      <c r="K1060" s="37"/>
      <c r="L1060" s="37"/>
      <c r="M1060" s="37"/>
      <c r="N1060" s="37"/>
      <c r="O1060" s="37"/>
      <c r="P1060" s="37"/>
      <c r="Q1060" s="37"/>
      <c r="R1060" s="37"/>
      <c r="S1060" s="37"/>
      <c r="T1060" s="37"/>
      <c r="U1060" s="37"/>
      <c r="V1060" s="37"/>
      <c r="W1060" s="37"/>
      <c r="X1060" s="37"/>
      <c r="Y1060" s="37"/>
      <c r="Z1060" s="37"/>
      <c r="AA1060" s="37"/>
      <c r="AB1060" s="37"/>
      <c r="AC1060" s="37"/>
      <c r="AD1060" s="37"/>
      <c r="AE1060" s="37"/>
      <c r="AF1060" s="37"/>
      <c r="AG1060" s="37"/>
      <c r="AH1060" s="37"/>
      <c r="AI1060" s="37"/>
      <c r="AJ1060" s="37"/>
      <c r="AK1060" s="39"/>
      <c r="AL1060" s="37"/>
      <c r="AM1060" s="37"/>
      <c r="AN1060" s="37"/>
      <c r="AO1060" s="37"/>
    </row>
    <row r="1061" spans="1:41">
      <c r="A1061" s="37"/>
      <c r="B1061" s="37"/>
      <c r="C1061" s="37"/>
      <c r="D1061" s="37"/>
      <c r="E1061" s="37"/>
      <c r="F1061" s="37"/>
      <c r="G1061" s="37"/>
      <c r="H1061" s="40"/>
      <c r="I1061" s="40"/>
      <c r="J1061" s="40"/>
      <c r="K1061" s="37"/>
      <c r="L1061" s="37"/>
      <c r="M1061" s="37"/>
      <c r="N1061" s="37"/>
      <c r="O1061" s="37"/>
      <c r="P1061" s="37"/>
      <c r="Q1061" s="37"/>
      <c r="R1061" s="37"/>
      <c r="S1061" s="37"/>
      <c r="T1061" s="37"/>
      <c r="U1061" s="37"/>
      <c r="V1061" s="37"/>
      <c r="W1061" s="37"/>
      <c r="X1061" s="37"/>
      <c r="Y1061" s="37"/>
      <c r="Z1061" s="37"/>
      <c r="AA1061" s="37"/>
      <c r="AB1061" s="37"/>
      <c r="AC1061" s="37"/>
      <c r="AD1061" s="37"/>
      <c r="AE1061" s="37"/>
      <c r="AF1061" s="37"/>
      <c r="AG1061" s="37"/>
      <c r="AH1061" s="37"/>
      <c r="AI1061" s="37"/>
      <c r="AJ1061" s="37"/>
      <c r="AK1061" s="39"/>
      <c r="AL1061" s="37"/>
      <c r="AM1061" s="37"/>
      <c r="AN1061" s="37"/>
      <c r="AO1061" s="37"/>
    </row>
    <row r="1062" spans="1:41">
      <c r="A1062" s="37"/>
      <c r="B1062" s="37"/>
      <c r="C1062" s="37"/>
      <c r="D1062" s="37"/>
      <c r="E1062" s="37"/>
      <c r="F1062" s="37"/>
      <c r="G1062" s="37"/>
      <c r="H1062" s="40"/>
      <c r="I1062" s="40"/>
      <c r="J1062" s="40"/>
      <c r="K1062" s="37"/>
      <c r="L1062" s="37"/>
      <c r="M1062" s="37"/>
      <c r="N1062" s="37"/>
      <c r="O1062" s="37"/>
      <c r="P1062" s="37"/>
      <c r="Q1062" s="37"/>
      <c r="R1062" s="37"/>
      <c r="S1062" s="37"/>
      <c r="T1062" s="37"/>
      <c r="U1062" s="37"/>
      <c r="V1062" s="37"/>
      <c r="W1062" s="37"/>
      <c r="X1062" s="37"/>
      <c r="Y1062" s="37"/>
      <c r="Z1062" s="37"/>
      <c r="AA1062" s="37"/>
      <c r="AB1062" s="37"/>
      <c r="AC1062" s="37"/>
      <c r="AD1062" s="37"/>
      <c r="AE1062" s="37"/>
      <c r="AF1062" s="37"/>
      <c r="AG1062" s="37"/>
      <c r="AH1062" s="37"/>
      <c r="AI1062" s="37"/>
      <c r="AJ1062" s="37"/>
      <c r="AK1062" s="39"/>
      <c r="AL1062" s="37"/>
      <c r="AM1062" s="37"/>
      <c r="AN1062" s="37"/>
      <c r="AO1062" s="37"/>
    </row>
    <row r="1063" spans="1:41">
      <c r="A1063" s="37"/>
      <c r="B1063" s="37"/>
      <c r="C1063" s="37"/>
      <c r="D1063" s="37"/>
      <c r="E1063" s="37"/>
      <c r="F1063" s="37"/>
      <c r="G1063" s="37"/>
      <c r="H1063" s="40"/>
      <c r="I1063" s="40"/>
      <c r="J1063" s="40"/>
      <c r="K1063" s="37"/>
      <c r="L1063" s="37"/>
      <c r="M1063" s="37"/>
      <c r="N1063" s="37"/>
      <c r="O1063" s="37"/>
      <c r="P1063" s="37"/>
      <c r="Q1063" s="37"/>
      <c r="R1063" s="37"/>
      <c r="S1063" s="37"/>
      <c r="T1063" s="37"/>
      <c r="U1063" s="37"/>
      <c r="V1063" s="37"/>
      <c r="W1063" s="37"/>
      <c r="X1063" s="37"/>
      <c r="Y1063" s="37"/>
      <c r="Z1063" s="37"/>
      <c r="AA1063" s="37"/>
      <c r="AB1063" s="37"/>
      <c r="AC1063" s="37"/>
      <c r="AD1063" s="37"/>
      <c r="AE1063" s="37"/>
      <c r="AF1063" s="37"/>
      <c r="AG1063" s="37"/>
      <c r="AH1063" s="37"/>
      <c r="AI1063" s="37"/>
      <c r="AJ1063" s="37"/>
      <c r="AK1063" s="39"/>
      <c r="AL1063" s="37"/>
      <c r="AM1063" s="37"/>
      <c r="AN1063" s="37"/>
      <c r="AO1063" s="37"/>
    </row>
    <row r="1064" spans="1:41">
      <c r="A1064" s="37"/>
      <c r="B1064" s="37"/>
      <c r="C1064" s="37"/>
      <c r="D1064" s="37"/>
      <c r="E1064" s="37"/>
      <c r="F1064" s="37"/>
      <c r="G1064" s="37"/>
      <c r="H1064" s="40"/>
      <c r="I1064" s="40"/>
      <c r="J1064" s="40"/>
      <c r="K1064" s="37"/>
      <c r="L1064" s="37"/>
      <c r="M1064" s="37"/>
      <c r="N1064" s="37"/>
      <c r="O1064" s="37"/>
      <c r="P1064" s="37"/>
      <c r="Q1064" s="37"/>
      <c r="R1064" s="37"/>
      <c r="S1064" s="37"/>
      <c r="T1064" s="37"/>
      <c r="U1064" s="37"/>
      <c r="V1064" s="37"/>
      <c r="W1064" s="37"/>
      <c r="X1064" s="37"/>
      <c r="Y1064" s="37"/>
      <c r="Z1064" s="37"/>
      <c r="AA1064" s="37"/>
      <c r="AB1064" s="37"/>
      <c r="AC1064" s="37"/>
      <c r="AD1064" s="37"/>
      <c r="AE1064" s="37"/>
      <c r="AF1064" s="37"/>
      <c r="AG1064" s="37"/>
      <c r="AH1064" s="37"/>
      <c r="AI1064" s="37"/>
      <c r="AJ1064" s="37"/>
      <c r="AK1064" s="39"/>
      <c r="AL1064" s="37"/>
      <c r="AM1064" s="37"/>
      <c r="AN1064" s="37"/>
      <c r="AO1064" s="37"/>
    </row>
    <row r="1065" spans="1:41">
      <c r="A1065" s="37"/>
      <c r="B1065" s="37"/>
      <c r="C1065" s="37"/>
      <c r="D1065" s="37"/>
      <c r="E1065" s="37"/>
      <c r="F1065" s="37"/>
      <c r="G1065" s="37"/>
      <c r="H1065" s="40"/>
      <c r="I1065" s="40"/>
      <c r="J1065" s="40"/>
      <c r="K1065" s="37"/>
      <c r="L1065" s="37"/>
      <c r="M1065" s="37"/>
      <c r="N1065" s="37"/>
      <c r="O1065" s="37"/>
      <c r="P1065" s="37"/>
      <c r="Q1065" s="37"/>
      <c r="R1065" s="37"/>
      <c r="S1065" s="37"/>
      <c r="T1065" s="37"/>
      <c r="U1065" s="37"/>
      <c r="V1065" s="37"/>
      <c r="W1065" s="37"/>
      <c r="X1065" s="37"/>
      <c r="Y1065" s="37"/>
      <c r="Z1065" s="37"/>
      <c r="AA1065" s="37"/>
      <c r="AB1065" s="37"/>
      <c r="AC1065" s="37"/>
      <c r="AD1065" s="37"/>
      <c r="AE1065" s="37"/>
      <c r="AF1065" s="37"/>
      <c r="AG1065" s="37"/>
      <c r="AH1065" s="37"/>
      <c r="AI1065" s="37"/>
      <c r="AJ1065" s="37"/>
      <c r="AK1065" s="39"/>
      <c r="AL1065" s="37"/>
      <c r="AM1065" s="37"/>
      <c r="AN1065" s="37"/>
      <c r="AO1065" s="37"/>
    </row>
    <row r="1066" spans="1:41">
      <c r="A1066" s="37"/>
      <c r="B1066" s="37"/>
      <c r="C1066" s="37"/>
      <c r="D1066" s="37"/>
      <c r="E1066" s="37"/>
      <c r="F1066" s="37"/>
      <c r="G1066" s="37"/>
      <c r="H1066" s="40"/>
      <c r="I1066" s="40"/>
      <c r="J1066" s="40"/>
      <c r="K1066" s="37"/>
      <c r="L1066" s="37"/>
      <c r="M1066" s="37"/>
      <c r="N1066" s="37"/>
      <c r="O1066" s="37"/>
      <c r="P1066" s="37"/>
      <c r="Q1066" s="37"/>
      <c r="R1066" s="37"/>
      <c r="S1066" s="37"/>
      <c r="T1066" s="37"/>
      <c r="U1066" s="37"/>
      <c r="V1066" s="37"/>
      <c r="W1066" s="37"/>
      <c r="X1066" s="37"/>
      <c r="Y1066" s="37"/>
      <c r="Z1066" s="37"/>
      <c r="AA1066" s="37"/>
      <c r="AB1066" s="37"/>
      <c r="AC1066" s="37"/>
      <c r="AD1066" s="37"/>
      <c r="AE1066" s="37"/>
      <c r="AF1066" s="37"/>
      <c r="AG1066" s="37"/>
      <c r="AH1066" s="37"/>
      <c r="AI1066" s="37"/>
      <c r="AJ1066" s="37"/>
      <c r="AK1066" s="39"/>
      <c r="AL1066" s="37"/>
      <c r="AM1066" s="37"/>
      <c r="AN1066" s="37"/>
      <c r="AO1066" s="37"/>
    </row>
    <row r="1067" spans="1:41">
      <c r="A1067" s="37"/>
      <c r="B1067" s="37"/>
      <c r="C1067" s="37"/>
      <c r="D1067" s="37"/>
      <c r="E1067" s="37"/>
      <c r="F1067" s="37"/>
      <c r="G1067" s="37"/>
      <c r="H1067" s="40"/>
      <c r="I1067" s="40"/>
      <c r="J1067" s="40"/>
      <c r="K1067" s="37"/>
      <c r="L1067" s="37"/>
      <c r="M1067" s="37"/>
      <c r="N1067" s="37"/>
      <c r="O1067" s="37"/>
      <c r="P1067" s="37"/>
      <c r="Q1067" s="37"/>
      <c r="R1067" s="37"/>
      <c r="S1067" s="37"/>
      <c r="T1067" s="37"/>
      <c r="U1067" s="37"/>
      <c r="V1067" s="37"/>
      <c r="W1067" s="37"/>
      <c r="X1067" s="37"/>
      <c r="Y1067" s="37"/>
      <c r="Z1067" s="37"/>
      <c r="AA1067" s="37"/>
      <c r="AB1067" s="37"/>
      <c r="AC1067" s="37"/>
      <c r="AD1067" s="37"/>
      <c r="AE1067" s="37"/>
      <c r="AF1067" s="37"/>
      <c r="AG1067" s="37"/>
      <c r="AH1067" s="37"/>
      <c r="AI1067" s="37"/>
      <c r="AJ1067" s="37"/>
      <c r="AK1067" s="39"/>
      <c r="AL1067" s="37"/>
      <c r="AM1067" s="37"/>
      <c r="AN1067" s="37"/>
      <c r="AO1067" s="37"/>
    </row>
    <row r="1068" spans="1:41">
      <c r="A1068" s="37"/>
      <c r="B1068" s="37"/>
      <c r="C1068" s="37"/>
      <c r="D1068" s="37"/>
      <c r="E1068" s="37"/>
      <c r="F1068" s="37"/>
      <c r="G1068" s="37"/>
      <c r="H1068" s="40"/>
      <c r="I1068" s="40"/>
      <c r="J1068" s="40"/>
      <c r="K1068" s="37"/>
      <c r="L1068" s="37"/>
      <c r="M1068" s="37"/>
      <c r="N1068" s="37"/>
      <c r="O1068" s="37"/>
      <c r="P1068" s="37"/>
      <c r="Q1068" s="37"/>
      <c r="R1068" s="37"/>
      <c r="S1068" s="37"/>
      <c r="T1068" s="37"/>
      <c r="U1068" s="37"/>
      <c r="V1068" s="37"/>
      <c r="W1068" s="37"/>
      <c r="X1068" s="37"/>
      <c r="Y1068" s="37"/>
      <c r="Z1068" s="37"/>
      <c r="AA1068" s="37"/>
      <c r="AB1068" s="37"/>
      <c r="AC1068" s="37"/>
      <c r="AD1068" s="37"/>
      <c r="AE1068" s="37"/>
      <c r="AF1068" s="37"/>
      <c r="AG1068" s="37"/>
      <c r="AH1068" s="37"/>
      <c r="AI1068" s="37"/>
      <c r="AJ1068" s="37"/>
      <c r="AK1068" s="39"/>
      <c r="AL1068" s="37"/>
      <c r="AM1068" s="37"/>
      <c r="AN1068" s="37"/>
      <c r="AO1068" s="37"/>
    </row>
    <row r="1069" spans="1:41">
      <c r="A1069" s="37"/>
      <c r="B1069" s="37"/>
      <c r="C1069" s="37"/>
      <c r="D1069" s="37"/>
      <c r="E1069" s="37"/>
      <c r="F1069" s="37"/>
      <c r="G1069" s="37"/>
      <c r="H1069" s="40"/>
      <c r="I1069" s="40"/>
      <c r="J1069" s="40"/>
      <c r="K1069" s="37"/>
      <c r="L1069" s="37"/>
      <c r="M1069" s="37"/>
      <c r="N1069" s="37"/>
      <c r="O1069" s="37"/>
      <c r="P1069" s="37"/>
      <c r="Q1069" s="37"/>
      <c r="R1069" s="37"/>
      <c r="S1069" s="37"/>
      <c r="T1069" s="37"/>
      <c r="U1069" s="37"/>
      <c r="V1069" s="37"/>
      <c r="W1069" s="37"/>
      <c r="X1069" s="37"/>
      <c r="Y1069" s="37"/>
      <c r="Z1069" s="37"/>
      <c r="AA1069" s="37"/>
      <c r="AB1069" s="37"/>
      <c r="AC1069" s="37"/>
      <c r="AD1069" s="37"/>
      <c r="AE1069" s="37"/>
      <c r="AF1069" s="37"/>
      <c r="AG1069" s="37"/>
      <c r="AH1069" s="37"/>
      <c r="AI1069" s="37"/>
      <c r="AJ1069" s="37"/>
      <c r="AK1069" s="39"/>
      <c r="AL1069" s="37"/>
      <c r="AM1069" s="37"/>
      <c r="AN1069" s="37"/>
      <c r="AO1069" s="37"/>
    </row>
    <row r="1070" spans="1:41">
      <c r="A1070" s="37"/>
      <c r="B1070" s="37"/>
      <c r="C1070" s="37"/>
      <c r="D1070" s="37"/>
      <c r="E1070" s="37"/>
      <c r="F1070" s="37"/>
      <c r="G1070" s="37"/>
      <c r="H1070" s="40"/>
      <c r="I1070" s="40"/>
      <c r="J1070" s="40"/>
      <c r="K1070" s="37"/>
      <c r="L1070" s="37"/>
      <c r="M1070" s="37"/>
      <c r="N1070" s="37"/>
      <c r="O1070" s="37"/>
      <c r="P1070" s="37"/>
      <c r="Q1070" s="37"/>
      <c r="R1070" s="37"/>
      <c r="S1070" s="37"/>
      <c r="T1070" s="37"/>
      <c r="U1070" s="37"/>
      <c r="V1070" s="37"/>
      <c r="W1070" s="37"/>
      <c r="X1070" s="37"/>
      <c r="Y1070" s="37"/>
      <c r="Z1070" s="37"/>
      <c r="AA1070" s="37"/>
      <c r="AB1070" s="37"/>
      <c r="AC1070" s="37"/>
      <c r="AD1070" s="37"/>
      <c r="AE1070" s="37"/>
      <c r="AF1070" s="37"/>
      <c r="AG1070" s="37"/>
      <c r="AH1070" s="37"/>
      <c r="AI1070" s="37"/>
      <c r="AJ1070" s="37"/>
      <c r="AK1070" s="39"/>
      <c r="AL1070" s="37"/>
      <c r="AM1070" s="37"/>
      <c r="AN1070" s="37"/>
      <c r="AO1070" s="37"/>
    </row>
    <row r="1071" spans="1:41">
      <c r="A1071" s="37"/>
      <c r="B1071" s="37"/>
      <c r="C1071" s="37"/>
      <c r="D1071" s="37"/>
      <c r="E1071" s="37"/>
      <c r="F1071" s="37"/>
      <c r="G1071" s="37"/>
      <c r="H1071" s="40"/>
      <c r="I1071" s="40"/>
      <c r="J1071" s="40"/>
      <c r="K1071" s="37"/>
      <c r="L1071" s="37"/>
      <c r="M1071" s="37"/>
      <c r="N1071" s="37"/>
      <c r="O1071" s="37"/>
      <c r="P1071" s="37"/>
      <c r="Q1071" s="37"/>
      <c r="R1071" s="37"/>
      <c r="S1071" s="37"/>
      <c r="T1071" s="37"/>
      <c r="U1071" s="37"/>
      <c r="V1071" s="37"/>
      <c r="W1071" s="37"/>
      <c r="X1071" s="37"/>
      <c r="Y1071" s="37"/>
      <c r="Z1071" s="37"/>
      <c r="AA1071" s="37"/>
      <c r="AB1071" s="37"/>
      <c r="AC1071" s="37"/>
      <c r="AD1071" s="37"/>
      <c r="AE1071" s="37"/>
      <c r="AF1071" s="37"/>
      <c r="AG1071" s="37"/>
      <c r="AH1071" s="37"/>
      <c r="AI1071" s="37"/>
      <c r="AJ1071" s="37"/>
      <c r="AK1071" s="39"/>
      <c r="AL1071" s="37"/>
      <c r="AM1071" s="37"/>
      <c r="AN1071" s="37"/>
      <c r="AO1071" s="37"/>
    </row>
    <row r="1072" spans="1:41">
      <c r="A1072" s="37"/>
      <c r="B1072" s="37"/>
      <c r="C1072" s="37"/>
      <c r="D1072" s="37"/>
      <c r="E1072" s="37"/>
      <c r="F1072" s="37"/>
      <c r="G1072" s="37"/>
      <c r="H1072" s="40"/>
      <c r="I1072" s="40"/>
      <c r="J1072" s="40"/>
      <c r="K1072" s="37"/>
      <c r="L1072" s="37"/>
      <c r="M1072" s="37"/>
      <c r="N1072" s="37"/>
      <c r="O1072" s="37"/>
      <c r="P1072" s="37"/>
      <c r="Q1072" s="37"/>
      <c r="R1072" s="37"/>
      <c r="S1072" s="37"/>
      <c r="T1072" s="37"/>
      <c r="U1072" s="37"/>
      <c r="V1072" s="37"/>
      <c r="W1072" s="37"/>
      <c r="X1072" s="37"/>
      <c r="Y1072" s="37"/>
      <c r="Z1072" s="37"/>
      <c r="AA1072" s="37"/>
      <c r="AB1072" s="37"/>
      <c r="AC1072" s="37"/>
      <c r="AD1072" s="37"/>
      <c r="AE1072" s="37"/>
      <c r="AF1072" s="37"/>
      <c r="AG1072" s="37"/>
      <c r="AH1072" s="37"/>
      <c r="AI1072" s="37"/>
      <c r="AJ1072" s="37"/>
      <c r="AK1072" s="39"/>
      <c r="AL1072" s="37"/>
      <c r="AM1072" s="37"/>
      <c r="AN1072" s="37"/>
      <c r="AO1072" s="37"/>
    </row>
    <row r="1073" spans="1:41">
      <c r="A1073" s="37"/>
      <c r="B1073" s="37"/>
      <c r="C1073" s="37"/>
      <c r="D1073" s="37"/>
      <c r="E1073" s="37"/>
      <c r="F1073" s="37"/>
      <c r="G1073" s="37"/>
      <c r="H1073" s="40"/>
      <c r="I1073" s="40"/>
      <c r="J1073" s="40"/>
      <c r="K1073" s="37"/>
      <c r="L1073" s="37"/>
      <c r="M1073" s="37"/>
      <c r="N1073" s="37"/>
      <c r="O1073" s="37"/>
      <c r="P1073" s="37"/>
      <c r="Q1073" s="37"/>
      <c r="R1073" s="37"/>
      <c r="S1073" s="37"/>
      <c r="T1073" s="37"/>
      <c r="U1073" s="37"/>
      <c r="V1073" s="37"/>
      <c r="W1073" s="37"/>
      <c r="X1073" s="37"/>
      <c r="Y1073" s="37"/>
      <c r="Z1073" s="37"/>
      <c r="AA1073" s="37"/>
      <c r="AB1073" s="37"/>
      <c r="AC1073" s="37"/>
      <c r="AD1073" s="37"/>
      <c r="AE1073" s="37"/>
      <c r="AF1073" s="37"/>
      <c r="AG1073" s="37"/>
      <c r="AH1073" s="37"/>
      <c r="AI1073" s="37"/>
      <c r="AJ1073" s="37"/>
      <c r="AK1073" s="39"/>
      <c r="AL1073" s="37"/>
      <c r="AM1073" s="37"/>
      <c r="AN1073" s="37"/>
      <c r="AO1073" s="37"/>
    </row>
    <row r="1074" spans="1:41">
      <c r="A1074" s="37"/>
      <c r="B1074" s="37"/>
      <c r="C1074" s="37"/>
      <c r="D1074" s="37"/>
      <c r="E1074" s="37"/>
      <c r="F1074" s="37"/>
      <c r="G1074" s="37"/>
      <c r="H1074" s="40"/>
      <c r="I1074" s="40"/>
      <c r="J1074" s="40"/>
      <c r="K1074" s="37"/>
      <c r="L1074" s="37"/>
      <c r="M1074" s="37"/>
      <c r="N1074" s="37"/>
      <c r="O1074" s="37"/>
      <c r="P1074" s="37"/>
      <c r="Q1074" s="37"/>
      <c r="R1074" s="37"/>
      <c r="S1074" s="37"/>
      <c r="T1074" s="37"/>
      <c r="U1074" s="37"/>
      <c r="V1074" s="37"/>
      <c r="W1074" s="37"/>
      <c r="X1074" s="37"/>
      <c r="Y1074" s="37"/>
      <c r="Z1074" s="37"/>
      <c r="AA1074" s="37"/>
      <c r="AB1074" s="37"/>
      <c r="AC1074" s="37"/>
      <c r="AD1074" s="37"/>
      <c r="AE1074" s="37"/>
      <c r="AF1074" s="37"/>
      <c r="AG1074" s="37"/>
      <c r="AH1074" s="37"/>
      <c r="AI1074" s="37"/>
      <c r="AJ1074" s="37"/>
      <c r="AK1074" s="39"/>
      <c r="AL1074" s="37"/>
      <c r="AM1074" s="37"/>
      <c r="AN1074" s="37"/>
      <c r="AO1074" s="37"/>
    </row>
    <row r="1075" spans="1:41">
      <c r="A1075" s="37"/>
      <c r="B1075" s="37"/>
      <c r="C1075" s="37"/>
      <c r="D1075" s="37"/>
      <c r="E1075" s="37"/>
      <c r="F1075" s="37"/>
      <c r="G1075" s="37"/>
      <c r="H1075" s="40"/>
      <c r="I1075" s="40"/>
      <c r="J1075" s="40"/>
      <c r="K1075" s="37"/>
      <c r="L1075" s="37"/>
      <c r="M1075" s="37"/>
      <c r="N1075" s="37"/>
      <c r="O1075" s="37"/>
      <c r="P1075" s="37"/>
      <c r="Q1075" s="37"/>
      <c r="R1075" s="37"/>
      <c r="S1075" s="37"/>
      <c r="T1075" s="37"/>
      <c r="U1075" s="37"/>
      <c r="V1075" s="37"/>
      <c r="W1075" s="37"/>
      <c r="X1075" s="37"/>
      <c r="Y1075" s="37"/>
      <c r="Z1075" s="37"/>
      <c r="AA1075" s="37"/>
      <c r="AB1075" s="37"/>
      <c r="AC1075" s="37"/>
      <c r="AD1075" s="37"/>
      <c r="AE1075" s="37"/>
      <c r="AF1075" s="37"/>
      <c r="AG1075" s="37"/>
      <c r="AH1075" s="37"/>
      <c r="AI1075" s="37"/>
      <c r="AJ1075" s="37"/>
      <c r="AK1075" s="39"/>
      <c r="AL1075" s="37"/>
      <c r="AM1075" s="37"/>
      <c r="AN1075" s="37"/>
      <c r="AO1075" s="37"/>
    </row>
    <row r="1076" spans="1:41">
      <c r="A1076" s="37"/>
      <c r="B1076" s="37"/>
      <c r="C1076" s="37"/>
      <c r="D1076" s="37"/>
      <c r="E1076" s="37"/>
      <c r="F1076" s="37"/>
      <c r="G1076" s="37"/>
      <c r="H1076" s="40"/>
      <c r="I1076" s="40"/>
      <c r="J1076" s="40"/>
      <c r="K1076" s="37"/>
      <c r="L1076" s="37"/>
      <c r="M1076" s="37"/>
      <c r="N1076" s="37"/>
      <c r="O1076" s="37"/>
      <c r="P1076" s="37"/>
      <c r="Q1076" s="37"/>
      <c r="R1076" s="37"/>
      <c r="S1076" s="37"/>
      <c r="T1076" s="37"/>
      <c r="U1076" s="37"/>
      <c r="V1076" s="37"/>
      <c r="W1076" s="37"/>
      <c r="X1076" s="37"/>
      <c r="Y1076" s="37"/>
      <c r="Z1076" s="37"/>
      <c r="AA1076" s="37"/>
      <c r="AB1076" s="37"/>
      <c r="AC1076" s="37"/>
      <c r="AD1076" s="37"/>
      <c r="AE1076" s="37"/>
      <c r="AF1076" s="37"/>
      <c r="AG1076" s="37"/>
      <c r="AH1076" s="37"/>
      <c r="AI1076" s="37"/>
      <c r="AJ1076" s="37"/>
      <c r="AK1076" s="39"/>
      <c r="AL1076" s="37"/>
      <c r="AM1076" s="37"/>
      <c r="AN1076" s="37"/>
      <c r="AO1076" s="37"/>
    </row>
    <row r="1077" spans="1:41">
      <c r="A1077" s="37"/>
      <c r="B1077" s="37"/>
      <c r="C1077" s="37"/>
      <c r="D1077" s="37"/>
      <c r="E1077" s="37"/>
      <c r="F1077" s="37"/>
      <c r="G1077" s="37"/>
      <c r="H1077" s="40"/>
      <c r="I1077" s="40"/>
      <c r="J1077" s="40"/>
      <c r="K1077" s="37"/>
      <c r="L1077" s="37"/>
      <c r="M1077" s="37"/>
      <c r="N1077" s="37"/>
      <c r="O1077" s="37"/>
      <c r="P1077" s="37"/>
      <c r="Q1077" s="37"/>
      <c r="R1077" s="37"/>
      <c r="S1077" s="37"/>
      <c r="T1077" s="37"/>
      <c r="U1077" s="37"/>
      <c r="V1077" s="37"/>
      <c r="W1077" s="37"/>
      <c r="X1077" s="37"/>
      <c r="Y1077" s="37"/>
      <c r="Z1077" s="37"/>
      <c r="AA1077" s="37"/>
      <c r="AB1077" s="37"/>
      <c r="AC1077" s="37"/>
      <c r="AD1077" s="37"/>
      <c r="AE1077" s="37"/>
      <c r="AF1077" s="37"/>
      <c r="AG1077" s="37"/>
      <c r="AH1077" s="37"/>
      <c r="AI1077" s="37"/>
      <c r="AJ1077" s="37"/>
      <c r="AK1077" s="39"/>
      <c r="AL1077" s="37"/>
      <c r="AM1077" s="37"/>
      <c r="AN1077" s="37"/>
      <c r="AO1077" s="37"/>
    </row>
    <row r="1078" spans="1:41">
      <c r="A1078" s="37"/>
      <c r="B1078" s="37"/>
      <c r="C1078" s="37"/>
      <c r="D1078" s="37"/>
      <c r="E1078" s="37"/>
      <c r="F1078" s="37"/>
      <c r="G1078" s="37"/>
      <c r="H1078" s="40"/>
      <c r="I1078" s="40"/>
      <c r="J1078" s="40"/>
      <c r="K1078" s="37"/>
      <c r="L1078" s="37"/>
      <c r="M1078" s="37"/>
      <c r="N1078" s="37"/>
      <c r="O1078" s="37"/>
      <c r="P1078" s="37"/>
      <c r="Q1078" s="37"/>
      <c r="R1078" s="37"/>
      <c r="S1078" s="37"/>
      <c r="T1078" s="37"/>
      <c r="U1078" s="37"/>
      <c r="V1078" s="37"/>
      <c r="W1078" s="37"/>
      <c r="X1078" s="37"/>
      <c r="Y1078" s="37"/>
      <c r="Z1078" s="37"/>
      <c r="AA1078" s="37"/>
      <c r="AB1078" s="37"/>
      <c r="AC1078" s="37"/>
      <c r="AD1078" s="37"/>
      <c r="AE1078" s="37"/>
      <c r="AF1078" s="37"/>
      <c r="AG1078" s="37"/>
      <c r="AH1078" s="37"/>
      <c r="AI1078" s="37"/>
      <c r="AJ1078" s="37"/>
      <c r="AK1078" s="39"/>
      <c r="AL1078" s="37"/>
      <c r="AM1078" s="37"/>
      <c r="AN1078" s="37"/>
      <c r="AO1078" s="37"/>
    </row>
    <row r="1079" spans="1:41">
      <c r="A1079" s="37"/>
      <c r="B1079" s="37"/>
      <c r="C1079" s="37"/>
      <c r="D1079" s="37"/>
      <c r="E1079" s="37"/>
      <c r="F1079" s="37"/>
      <c r="G1079" s="37"/>
      <c r="H1079" s="40"/>
      <c r="I1079" s="40"/>
      <c r="J1079" s="40"/>
      <c r="K1079" s="37"/>
      <c r="L1079" s="37"/>
      <c r="M1079" s="37"/>
      <c r="N1079" s="37"/>
      <c r="O1079" s="37"/>
      <c r="P1079" s="37"/>
      <c r="Q1079" s="37"/>
      <c r="R1079" s="37"/>
      <c r="S1079" s="37"/>
      <c r="T1079" s="37"/>
      <c r="U1079" s="37"/>
      <c r="V1079" s="37"/>
      <c r="W1079" s="37"/>
      <c r="X1079" s="37"/>
      <c r="Y1079" s="37"/>
      <c r="Z1079" s="37"/>
      <c r="AA1079" s="37"/>
      <c r="AB1079" s="37"/>
      <c r="AC1079" s="37"/>
      <c r="AD1079" s="37"/>
      <c r="AE1079" s="37"/>
      <c r="AF1079" s="37"/>
      <c r="AG1079" s="37"/>
      <c r="AH1079" s="37"/>
      <c r="AI1079" s="37"/>
      <c r="AJ1079" s="37"/>
      <c r="AK1079" s="39"/>
      <c r="AL1079" s="37"/>
      <c r="AM1079" s="37"/>
      <c r="AN1079" s="37"/>
      <c r="AO1079" s="37"/>
    </row>
    <row r="1080" spans="1:41">
      <c r="A1080" s="37"/>
      <c r="B1080" s="37"/>
      <c r="C1080" s="37"/>
      <c r="D1080" s="37"/>
      <c r="E1080" s="37"/>
      <c r="F1080" s="37"/>
      <c r="G1080" s="37"/>
      <c r="H1080" s="40"/>
      <c r="I1080" s="40"/>
      <c r="J1080" s="40"/>
      <c r="K1080" s="37"/>
      <c r="L1080" s="37"/>
      <c r="M1080" s="37"/>
      <c r="N1080" s="37"/>
      <c r="O1080" s="37"/>
      <c r="P1080" s="37"/>
      <c r="Q1080" s="37"/>
      <c r="R1080" s="37"/>
      <c r="S1080" s="37"/>
      <c r="T1080" s="37"/>
      <c r="U1080" s="37"/>
      <c r="V1080" s="37"/>
      <c r="W1080" s="37"/>
      <c r="X1080" s="37"/>
      <c r="Y1080" s="37"/>
      <c r="Z1080" s="37"/>
      <c r="AA1080" s="37"/>
      <c r="AB1080" s="37"/>
      <c r="AC1080" s="37"/>
      <c r="AD1080" s="37"/>
      <c r="AE1080" s="37"/>
      <c r="AF1080" s="37"/>
      <c r="AG1080" s="37"/>
      <c r="AH1080" s="37"/>
      <c r="AI1080" s="37"/>
      <c r="AJ1080" s="37"/>
      <c r="AK1080" s="39"/>
      <c r="AL1080" s="37"/>
      <c r="AM1080" s="37"/>
      <c r="AN1080" s="37"/>
      <c r="AO1080" s="37"/>
    </row>
    <row r="1081" spans="1:41">
      <c r="A1081" s="37"/>
      <c r="B1081" s="37"/>
      <c r="C1081" s="37"/>
      <c r="D1081" s="37"/>
      <c r="E1081" s="37"/>
      <c r="F1081" s="37"/>
      <c r="G1081" s="37"/>
      <c r="H1081" s="40"/>
      <c r="I1081" s="40"/>
      <c r="J1081" s="40"/>
      <c r="K1081" s="37"/>
      <c r="L1081" s="37"/>
      <c r="M1081" s="37"/>
      <c r="N1081" s="37"/>
      <c r="O1081" s="37"/>
      <c r="P1081" s="37"/>
      <c r="Q1081" s="37"/>
      <c r="R1081" s="37"/>
      <c r="S1081" s="37"/>
      <c r="T1081" s="37"/>
      <c r="U1081" s="37"/>
      <c r="V1081" s="37"/>
      <c r="W1081" s="37"/>
      <c r="X1081" s="37"/>
      <c r="Y1081" s="37"/>
      <c r="Z1081" s="37"/>
      <c r="AA1081" s="37"/>
      <c r="AB1081" s="37"/>
      <c r="AC1081" s="37"/>
      <c r="AD1081" s="37"/>
      <c r="AE1081" s="37"/>
      <c r="AF1081" s="37"/>
      <c r="AG1081" s="37"/>
      <c r="AH1081" s="37"/>
      <c r="AI1081" s="37"/>
      <c r="AJ1081" s="37"/>
      <c r="AK1081" s="39"/>
      <c r="AL1081" s="37"/>
      <c r="AM1081" s="37"/>
      <c r="AN1081" s="37"/>
      <c r="AO1081" s="37"/>
    </row>
    <row r="1082" spans="1:41">
      <c r="A1082" s="37"/>
      <c r="B1082" s="37"/>
      <c r="C1082" s="37"/>
      <c r="D1082" s="37"/>
      <c r="E1082" s="37"/>
      <c r="F1082" s="37"/>
      <c r="G1082" s="37"/>
      <c r="H1082" s="40"/>
      <c r="I1082" s="40"/>
      <c r="J1082" s="40"/>
      <c r="K1082" s="37"/>
      <c r="L1082" s="37"/>
      <c r="M1082" s="37"/>
      <c r="N1082" s="37"/>
      <c r="O1082" s="37"/>
      <c r="P1082" s="37"/>
      <c r="Q1082" s="37"/>
      <c r="R1082" s="37"/>
      <c r="S1082" s="37"/>
      <c r="T1082" s="37"/>
      <c r="U1082" s="37"/>
      <c r="V1082" s="37"/>
      <c r="W1082" s="37"/>
      <c r="X1082" s="37"/>
      <c r="Y1082" s="37"/>
      <c r="Z1082" s="37"/>
      <c r="AA1082" s="37"/>
      <c r="AB1082" s="37"/>
      <c r="AC1082" s="37"/>
      <c r="AD1082" s="37"/>
      <c r="AE1082" s="37"/>
      <c r="AF1082" s="37"/>
      <c r="AG1082" s="37"/>
      <c r="AH1082" s="37"/>
      <c r="AI1082" s="37"/>
      <c r="AJ1082" s="37"/>
      <c r="AK1082" s="39"/>
      <c r="AL1082" s="37"/>
      <c r="AM1082" s="37"/>
      <c r="AN1082" s="37"/>
      <c r="AO1082" s="37"/>
    </row>
    <row r="1083" spans="1:41">
      <c r="A1083" s="37"/>
      <c r="B1083" s="37"/>
      <c r="C1083" s="37"/>
      <c r="D1083" s="37"/>
      <c r="E1083" s="37"/>
      <c r="F1083" s="37"/>
      <c r="G1083" s="37"/>
      <c r="H1083" s="40"/>
      <c r="I1083" s="40"/>
      <c r="J1083" s="40"/>
      <c r="K1083" s="37"/>
      <c r="L1083" s="37"/>
      <c r="M1083" s="37"/>
      <c r="N1083" s="37"/>
      <c r="O1083" s="37"/>
      <c r="P1083" s="37"/>
      <c r="Q1083" s="37"/>
      <c r="R1083" s="37"/>
      <c r="S1083" s="37"/>
      <c r="T1083" s="37"/>
      <c r="U1083" s="37"/>
      <c r="V1083" s="37"/>
      <c r="W1083" s="37"/>
      <c r="X1083" s="37"/>
      <c r="Y1083" s="37"/>
      <c r="Z1083" s="37"/>
      <c r="AA1083" s="37"/>
      <c r="AB1083" s="37"/>
      <c r="AC1083" s="37"/>
      <c r="AD1083" s="37"/>
      <c r="AE1083" s="37"/>
      <c r="AF1083" s="37"/>
      <c r="AG1083" s="37"/>
      <c r="AH1083" s="37"/>
      <c r="AI1083" s="37"/>
      <c r="AJ1083" s="37"/>
      <c r="AK1083" s="39"/>
      <c r="AL1083" s="37"/>
      <c r="AM1083" s="37"/>
      <c r="AN1083" s="37"/>
      <c r="AO1083" s="37"/>
    </row>
    <row r="1084" spans="1:41">
      <c r="A1084" s="37"/>
      <c r="B1084" s="37"/>
      <c r="C1084" s="37"/>
      <c r="D1084" s="37"/>
      <c r="E1084" s="37"/>
      <c r="F1084" s="37"/>
      <c r="G1084" s="37"/>
      <c r="H1084" s="40"/>
      <c r="I1084" s="40"/>
      <c r="J1084" s="40"/>
      <c r="K1084" s="37"/>
      <c r="L1084" s="37"/>
      <c r="M1084" s="37"/>
      <c r="N1084" s="37"/>
      <c r="O1084" s="37"/>
      <c r="P1084" s="37"/>
      <c r="Q1084" s="37"/>
      <c r="R1084" s="37"/>
      <c r="S1084" s="37"/>
      <c r="T1084" s="37"/>
      <c r="U1084" s="37"/>
      <c r="V1084" s="37"/>
      <c r="W1084" s="37"/>
      <c r="X1084" s="37"/>
      <c r="Y1084" s="37"/>
      <c r="Z1084" s="37"/>
      <c r="AA1084" s="37"/>
      <c r="AB1084" s="37"/>
      <c r="AC1084" s="37"/>
      <c r="AD1084" s="37"/>
      <c r="AE1084" s="37"/>
      <c r="AF1084" s="37"/>
      <c r="AG1084" s="37"/>
      <c r="AH1084" s="37"/>
      <c r="AI1084" s="37"/>
      <c r="AJ1084" s="37"/>
      <c r="AK1084" s="39"/>
      <c r="AL1084" s="37"/>
      <c r="AM1084" s="37"/>
      <c r="AN1084" s="37"/>
      <c r="AO1084" s="37"/>
    </row>
    <row r="1085" spans="1:41">
      <c r="A1085" s="37"/>
      <c r="B1085" s="37"/>
      <c r="C1085" s="37"/>
      <c r="D1085" s="37"/>
      <c r="E1085" s="37"/>
      <c r="F1085" s="37"/>
      <c r="G1085" s="37"/>
      <c r="H1085" s="40"/>
      <c r="I1085" s="40"/>
      <c r="J1085" s="40"/>
      <c r="K1085" s="37"/>
      <c r="L1085" s="37"/>
      <c r="M1085" s="37"/>
      <c r="N1085" s="37"/>
      <c r="O1085" s="37"/>
      <c r="P1085" s="37"/>
      <c r="Q1085" s="37"/>
      <c r="R1085" s="37"/>
      <c r="S1085" s="37"/>
      <c r="T1085" s="37"/>
      <c r="U1085" s="37"/>
      <c r="V1085" s="37"/>
      <c r="W1085" s="37"/>
      <c r="X1085" s="37"/>
      <c r="Y1085" s="37"/>
      <c r="Z1085" s="37"/>
      <c r="AA1085" s="37"/>
      <c r="AB1085" s="37"/>
      <c r="AC1085" s="37"/>
      <c r="AD1085" s="37"/>
      <c r="AE1085" s="37"/>
      <c r="AF1085" s="37"/>
      <c r="AG1085" s="37"/>
      <c r="AH1085" s="37"/>
      <c r="AI1085" s="37"/>
      <c r="AJ1085" s="37"/>
      <c r="AK1085" s="39"/>
      <c r="AL1085" s="37"/>
      <c r="AM1085" s="37"/>
      <c r="AN1085" s="37"/>
      <c r="AO1085" s="37"/>
    </row>
    <row r="1086" spans="1:41">
      <c r="A1086" s="37"/>
      <c r="B1086" s="37"/>
      <c r="C1086" s="37"/>
      <c r="D1086" s="37"/>
      <c r="E1086" s="37"/>
      <c r="F1086" s="37"/>
      <c r="G1086" s="37"/>
      <c r="H1086" s="40"/>
      <c r="I1086" s="40"/>
      <c r="J1086" s="40"/>
      <c r="K1086" s="37"/>
      <c r="L1086" s="37"/>
      <c r="M1086" s="37"/>
      <c r="N1086" s="37"/>
      <c r="O1086" s="37"/>
      <c r="P1086" s="37"/>
      <c r="Q1086" s="37"/>
      <c r="R1086" s="37"/>
      <c r="S1086" s="37"/>
      <c r="T1086" s="37"/>
      <c r="U1086" s="37"/>
      <c r="V1086" s="37"/>
      <c r="W1086" s="37"/>
      <c r="X1086" s="37"/>
      <c r="Y1086" s="37"/>
      <c r="Z1086" s="37"/>
      <c r="AA1086" s="37"/>
      <c r="AB1086" s="37"/>
      <c r="AC1086" s="37"/>
      <c r="AD1086" s="37"/>
      <c r="AE1086" s="37"/>
      <c r="AF1086" s="37"/>
      <c r="AG1086" s="37"/>
      <c r="AH1086" s="37"/>
      <c r="AI1086" s="37"/>
      <c r="AJ1086" s="37"/>
      <c r="AK1086" s="39"/>
      <c r="AL1086" s="37"/>
      <c r="AM1086" s="37"/>
      <c r="AN1086" s="37"/>
      <c r="AO1086" s="37"/>
    </row>
    <row r="1087" spans="1:41">
      <c r="A1087" s="37"/>
      <c r="B1087" s="37"/>
      <c r="C1087" s="37"/>
      <c r="D1087" s="37"/>
      <c r="E1087" s="37"/>
      <c r="F1087" s="37"/>
      <c r="G1087" s="37"/>
      <c r="H1087" s="40"/>
      <c r="I1087" s="40"/>
      <c r="J1087" s="40"/>
      <c r="K1087" s="37"/>
      <c r="L1087" s="37"/>
      <c r="M1087" s="37"/>
      <c r="N1087" s="37"/>
      <c r="O1087" s="37"/>
      <c r="P1087" s="37"/>
      <c r="Q1087" s="37"/>
      <c r="R1087" s="37"/>
      <c r="S1087" s="37"/>
      <c r="T1087" s="37"/>
      <c r="U1087" s="37"/>
      <c r="V1087" s="37"/>
      <c r="W1087" s="37"/>
      <c r="X1087" s="37"/>
      <c r="Y1087" s="37"/>
      <c r="Z1087" s="37"/>
      <c r="AA1087" s="37"/>
      <c r="AB1087" s="37"/>
      <c r="AC1087" s="37"/>
      <c r="AD1087" s="37"/>
      <c r="AE1087" s="37"/>
      <c r="AF1087" s="37"/>
      <c r="AG1087" s="37"/>
      <c r="AH1087" s="37"/>
      <c r="AI1087" s="37"/>
      <c r="AJ1087" s="37"/>
      <c r="AK1087" s="39"/>
      <c r="AL1087" s="37"/>
      <c r="AM1087" s="37"/>
      <c r="AN1087" s="37"/>
      <c r="AO1087" s="37"/>
    </row>
    <row r="1088" spans="1:41">
      <c r="A1088" s="37"/>
      <c r="B1088" s="37"/>
      <c r="C1088" s="37"/>
      <c r="D1088" s="37"/>
      <c r="E1088" s="37"/>
      <c r="F1088" s="37"/>
      <c r="G1088" s="37"/>
      <c r="H1088" s="40"/>
      <c r="I1088" s="40"/>
      <c r="J1088" s="40"/>
      <c r="K1088" s="37"/>
      <c r="L1088" s="37"/>
      <c r="M1088" s="37"/>
      <c r="N1088" s="37"/>
      <c r="O1088" s="37"/>
      <c r="P1088" s="37"/>
      <c r="Q1088" s="37"/>
      <c r="R1088" s="37"/>
      <c r="S1088" s="37"/>
      <c r="T1088" s="37"/>
      <c r="U1088" s="37"/>
      <c r="V1088" s="37"/>
      <c r="W1088" s="37"/>
      <c r="X1088" s="37"/>
      <c r="Y1088" s="37"/>
      <c r="Z1088" s="37"/>
      <c r="AA1088" s="37"/>
      <c r="AB1088" s="37"/>
      <c r="AC1088" s="37"/>
      <c r="AD1088" s="37"/>
      <c r="AE1088" s="37"/>
      <c r="AF1088" s="37"/>
      <c r="AG1088" s="37"/>
      <c r="AH1088" s="37"/>
      <c r="AI1088" s="37"/>
      <c r="AJ1088" s="37"/>
      <c r="AK1088" s="39"/>
      <c r="AL1088" s="37"/>
      <c r="AM1088" s="37"/>
      <c r="AN1088" s="37"/>
      <c r="AO1088" s="37"/>
    </row>
    <row r="1089" spans="1:41">
      <c r="A1089" s="37"/>
      <c r="B1089" s="37"/>
      <c r="C1089" s="37"/>
      <c r="D1089" s="37"/>
      <c r="E1089" s="37"/>
      <c r="F1089" s="37"/>
      <c r="G1089" s="37"/>
      <c r="H1089" s="40"/>
      <c r="I1089" s="40"/>
      <c r="J1089" s="40"/>
      <c r="K1089" s="37"/>
      <c r="L1089" s="37"/>
      <c r="M1089" s="37"/>
      <c r="N1089" s="37"/>
      <c r="O1089" s="37"/>
      <c r="P1089" s="37"/>
      <c r="Q1089" s="37"/>
      <c r="R1089" s="37"/>
      <c r="S1089" s="37"/>
      <c r="T1089" s="37"/>
      <c r="U1089" s="37"/>
      <c r="V1089" s="37"/>
      <c r="W1089" s="37"/>
      <c r="X1089" s="37"/>
      <c r="Y1089" s="37"/>
      <c r="Z1089" s="37"/>
      <c r="AA1089" s="37"/>
      <c r="AB1089" s="37"/>
      <c r="AC1089" s="37"/>
      <c r="AD1089" s="37"/>
      <c r="AE1089" s="37"/>
      <c r="AF1089" s="37"/>
      <c r="AG1089" s="37"/>
      <c r="AH1089" s="37"/>
      <c r="AI1089" s="37"/>
      <c r="AJ1089" s="37"/>
      <c r="AK1089" s="39"/>
      <c r="AL1089" s="37"/>
      <c r="AM1089" s="37"/>
      <c r="AN1089" s="37"/>
      <c r="AO1089" s="37"/>
    </row>
    <row r="1090" spans="1:41">
      <c r="A1090" s="37"/>
      <c r="B1090" s="37"/>
      <c r="C1090" s="37"/>
      <c r="D1090" s="37"/>
      <c r="E1090" s="37"/>
      <c r="F1090" s="37"/>
      <c r="G1090" s="37"/>
      <c r="H1090" s="40"/>
      <c r="I1090" s="40"/>
      <c r="J1090" s="40"/>
      <c r="K1090" s="37"/>
      <c r="L1090" s="37"/>
      <c r="M1090" s="37"/>
      <c r="N1090" s="37"/>
      <c r="O1090" s="37"/>
      <c r="P1090" s="37"/>
      <c r="Q1090" s="37"/>
      <c r="R1090" s="37"/>
      <c r="S1090" s="37"/>
      <c r="T1090" s="37"/>
      <c r="U1090" s="37"/>
      <c r="V1090" s="37"/>
      <c r="W1090" s="37"/>
      <c r="X1090" s="37"/>
      <c r="Y1090" s="37"/>
      <c r="Z1090" s="37"/>
      <c r="AA1090" s="37"/>
      <c r="AB1090" s="37"/>
      <c r="AC1090" s="37"/>
      <c r="AD1090" s="37"/>
      <c r="AE1090" s="37"/>
      <c r="AF1090" s="37"/>
      <c r="AG1090" s="37"/>
      <c r="AH1090" s="37"/>
      <c r="AI1090" s="37"/>
      <c r="AJ1090" s="37"/>
      <c r="AK1090" s="39"/>
      <c r="AL1090" s="37"/>
      <c r="AM1090" s="37"/>
      <c r="AN1090" s="37"/>
      <c r="AO1090" s="37"/>
    </row>
    <row r="1091" spans="1:41">
      <c r="A1091" s="37"/>
      <c r="B1091" s="37"/>
      <c r="C1091" s="37"/>
      <c r="D1091" s="37"/>
      <c r="E1091" s="37"/>
      <c r="F1091" s="37"/>
      <c r="G1091" s="37"/>
      <c r="H1091" s="40"/>
      <c r="I1091" s="40"/>
      <c r="J1091" s="40"/>
      <c r="K1091" s="37"/>
      <c r="L1091" s="37"/>
      <c r="M1091" s="37"/>
      <c r="N1091" s="37"/>
      <c r="O1091" s="37"/>
      <c r="P1091" s="37"/>
      <c r="Q1091" s="37"/>
      <c r="R1091" s="37"/>
      <c r="S1091" s="37"/>
      <c r="T1091" s="37"/>
      <c r="U1091" s="37"/>
      <c r="V1091" s="37"/>
      <c r="W1091" s="37"/>
      <c r="X1091" s="37"/>
      <c r="Y1091" s="37"/>
      <c r="Z1091" s="37"/>
      <c r="AA1091" s="37"/>
      <c r="AB1091" s="37"/>
      <c r="AC1091" s="37"/>
      <c r="AD1091" s="37"/>
      <c r="AE1091" s="37"/>
      <c r="AF1091" s="37"/>
      <c r="AG1091" s="37"/>
      <c r="AH1091" s="37"/>
      <c r="AI1091" s="37"/>
      <c r="AJ1091" s="37"/>
      <c r="AK1091" s="39"/>
      <c r="AL1091" s="37"/>
      <c r="AM1091" s="37"/>
      <c r="AN1091" s="37"/>
      <c r="AO1091" s="37"/>
    </row>
    <row r="1092" spans="1:41">
      <c r="A1092" s="37"/>
      <c r="B1092" s="37"/>
      <c r="C1092" s="37"/>
      <c r="D1092" s="37"/>
      <c r="E1092" s="37"/>
      <c r="F1092" s="37"/>
      <c r="G1092" s="37"/>
      <c r="H1092" s="40"/>
      <c r="I1092" s="40"/>
      <c r="J1092" s="40"/>
      <c r="K1092" s="37"/>
      <c r="L1092" s="37"/>
      <c r="M1092" s="37"/>
      <c r="N1092" s="37"/>
      <c r="O1092" s="37"/>
      <c r="P1092" s="37"/>
      <c r="Q1092" s="37"/>
      <c r="R1092" s="37"/>
      <c r="S1092" s="37"/>
      <c r="T1092" s="37"/>
      <c r="U1092" s="37"/>
      <c r="V1092" s="37"/>
      <c r="W1092" s="37"/>
      <c r="X1092" s="37"/>
      <c r="Y1092" s="37"/>
      <c r="Z1092" s="37"/>
      <c r="AA1092" s="37"/>
      <c r="AB1092" s="37"/>
      <c r="AC1092" s="37"/>
      <c r="AD1092" s="37"/>
      <c r="AE1092" s="37"/>
      <c r="AF1092" s="37"/>
      <c r="AG1092" s="37"/>
      <c r="AH1092" s="37"/>
      <c r="AI1092" s="37"/>
      <c r="AJ1092" s="37"/>
      <c r="AK1092" s="39"/>
      <c r="AL1092" s="37"/>
      <c r="AM1092" s="37"/>
      <c r="AN1092" s="37"/>
      <c r="AO1092" s="37"/>
    </row>
    <row r="1093" spans="1:41">
      <c r="A1093" s="37"/>
      <c r="B1093" s="37"/>
      <c r="C1093" s="37"/>
      <c r="D1093" s="37"/>
      <c r="E1093" s="37"/>
      <c r="F1093" s="37"/>
      <c r="G1093" s="37"/>
      <c r="H1093" s="40"/>
      <c r="I1093" s="40"/>
      <c r="J1093" s="40"/>
      <c r="K1093" s="37"/>
      <c r="L1093" s="37"/>
      <c r="M1093" s="37"/>
      <c r="N1093" s="37"/>
      <c r="O1093" s="37"/>
      <c r="P1093" s="37"/>
      <c r="Q1093" s="37"/>
      <c r="R1093" s="37"/>
      <c r="S1093" s="37"/>
      <c r="T1093" s="37"/>
      <c r="U1093" s="37"/>
      <c r="V1093" s="37"/>
      <c r="W1093" s="37"/>
      <c r="X1093" s="37"/>
      <c r="Y1093" s="37"/>
      <c r="Z1093" s="37"/>
      <c r="AA1093" s="37"/>
      <c r="AB1093" s="37"/>
      <c r="AC1093" s="37"/>
      <c r="AD1093" s="37"/>
      <c r="AE1093" s="37"/>
      <c r="AF1093" s="37"/>
      <c r="AG1093" s="37"/>
      <c r="AH1093" s="37"/>
      <c r="AI1093" s="37"/>
      <c r="AJ1093" s="37"/>
      <c r="AK1093" s="39"/>
      <c r="AL1093" s="37"/>
      <c r="AM1093" s="37"/>
      <c r="AN1093" s="37"/>
      <c r="AO1093" s="37"/>
    </row>
    <row r="1094" spans="1:41">
      <c r="A1094" s="37"/>
      <c r="B1094" s="37"/>
      <c r="C1094" s="37"/>
      <c r="D1094" s="37"/>
      <c r="E1094" s="37"/>
      <c r="F1094" s="37"/>
      <c r="G1094" s="37"/>
      <c r="H1094" s="40"/>
      <c r="I1094" s="40"/>
      <c r="J1094" s="40"/>
      <c r="K1094" s="37"/>
      <c r="L1094" s="37"/>
      <c r="M1094" s="37"/>
      <c r="N1094" s="37"/>
      <c r="O1094" s="37"/>
      <c r="P1094" s="37"/>
      <c r="Q1094" s="37"/>
      <c r="R1094" s="37"/>
      <c r="S1094" s="37"/>
      <c r="T1094" s="37"/>
      <c r="U1094" s="37"/>
      <c r="V1094" s="37"/>
      <c r="W1094" s="37"/>
      <c r="X1094" s="37"/>
      <c r="Y1094" s="37"/>
      <c r="Z1094" s="37"/>
      <c r="AA1094" s="37"/>
      <c r="AB1094" s="37"/>
      <c r="AC1094" s="37"/>
      <c r="AD1094" s="37"/>
      <c r="AE1094" s="37"/>
      <c r="AF1094" s="37"/>
      <c r="AG1094" s="37"/>
      <c r="AH1094" s="37"/>
      <c r="AI1094" s="37"/>
      <c r="AJ1094" s="37"/>
      <c r="AK1094" s="39"/>
      <c r="AL1094" s="37"/>
      <c r="AM1094" s="37"/>
      <c r="AN1094" s="37"/>
      <c r="AO1094" s="37"/>
    </row>
    <row r="1095" spans="1:41">
      <c r="A1095" s="37"/>
      <c r="B1095" s="37"/>
      <c r="C1095" s="37"/>
      <c r="D1095" s="37"/>
      <c r="E1095" s="37"/>
      <c r="F1095" s="37"/>
      <c r="G1095" s="37"/>
      <c r="H1095" s="40"/>
      <c r="I1095" s="40"/>
      <c r="J1095" s="40"/>
      <c r="K1095" s="37"/>
      <c r="L1095" s="37"/>
      <c r="M1095" s="37"/>
      <c r="N1095" s="37"/>
      <c r="O1095" s="37"/>
      <c r="P1095" s="37"/>
      <c r="Q1095" s="37"/>
      <c r="R1095" s="37"/>
      <c r="S1095" s="37"/>
      <c r="T1095" s="37"/>
      <c r="U1095" s="37"/>
      <c r="V1095" s="37"/>
      <c r="W1095" s="37"/>
      <c r="X1095" s="37"/>
      <c r="Y1095" s="37"/>
      <c r="Z1095" s="37"/>
      <c r="AA1095" s="37"/>
      <c r="AB1095" s="37"/>
      <c r="AC1095" s="37"/>
      <c r="AD1095" s="37"/>
      <c r="AE1095" s="37"/>
      <c r="AF1095" s="37"/>
      <c r="AG1095" s="37"/>
      <c r="AH1095" s="37"/>
      <c r="AI1095" s="37"/>
      <c r="AJ1095" s="37"/>
      <c r="AK1095" s="39"/>
      <c r="AL1095" s="37"/>
      <c r="AM1095" s="37"/>
      <c r="AN1095" s="37"/>
      <c r="AO1095" s="37"/>
    </row>
    <row r="1096" spans="1:41">
      <c r="A1096" s="37"/>
      <c r="B1096" s="37"/>
      <c r="C1096" s="37"/>
      <c r="D1096" s="37"/>
      <c r="E1096" s="37"/>
      <c r="F1096" s="37"/>
      <c r="G1096" s="37"/>
      <c r="H1096" s="40"/>
      <c r="I1096" s="40"/>
      <c r="J1096" s="40"/>
      <c r="K1096" s="37"/>
      <c r="L1096" s="37"/>
      <c r="M1096" s="37"/>
      <c r="N1096" s="37"/>
      <c r="O1096" s="37"/>
      <c r="P1096" s="37"/>
      <c r="Q1096" s="37"/>
      <c r="R1096" s="37"/>
      <c r="S1096" s="37"/>
      <c r="T1096" s="37"/>
      <c r="U1096" s="37"/>
      <c r="V1096" s="37"/>
      <c r="W1096" s="37"/>
      <c r="X1096" s="37"/>
      <c r="Y1096" s="37"/>
      <c r="Z1096" s="37"/>
      <c r="AA1096" s="37"/>
      <c r="AB1096" s="37"/>
      <c r="AC1096" s="37"/>
      <c r="AD1096" s="37"/>
      <c r="AE1096" s="37"/>
      <c r="AF1096" s="37"/>
      <c r="AG1096" s="37"/>
      <c r="AH1096" s="37"/>
      <c r="AI1096" s="37"/>
      <c r="AJ1096" s="37"/>
      <c r="AK1096" s="39"/>
      <c r="AL1096" s="37"/>
      <c r="AM1096" s="37"/>
      <c r="AN1096" s="37"/>
      <c r="AO1096" s="37"/>
    </row>
    <row r="1097" spans="1:41">
      <c r="A1097" s="37"/>
      <c r="B1097" s="37"/>
      <c r="C1097" s="37"/>
      <c r="D1097" s="37"/>
      <c r="E1097" s="37"/>
      <c r="F1097" s="37"/>
      <c r="G1097" s="37"/>
      <c r="H1097" s="40"/>
      <c r="I1097" s="40"/>
      <c r="J1097" s="40"/>
      <c r="K1097" s="37"/>
      <c r="L1097" s="37"/>
      <c r="M1097" s="37"/>
      <c r="N1097" s="37"/>
      <c r="O1097" s="37"/>
      <c r="P1097" s="37"/>
      <c r="Q1097" s="37"/>
      <c r="R1097" s="37"/>
      <c r="S1097" s="37"/>
      <c r="T1097" s="37"/>
      <c r="U1097" s="37"/>
      <c r="V1097" s="37"/>
      <c r="W1097" s="37"/>
      <c r="X1097" s="37"/>
      <c r="Y1097" s="37"/>
      <c r="Z1097" s="37"/>
      <c r="AA1097" s="37"/>
      <c r="AB1097" s="37"/>
      <c r="AC1097" s="37"/>
      <c r="AD1097" s="37"/>
      <c r="AE1097" s="37"/>
      <c r="AF1097" s="37"/>
      <c r="AG1097" s="37"/>
      <c r="AH1097" s="37"/>
      <c r="AI1097" s="37"/>
      <c r="AJ1097" s="37"/>
      <c r="AK1097" s="39"/>
      <c r="AL1097" s="37"/>
      <c r="AM1097" s="37"/>
      <c r="AN1097" s="37"/>
      <c r="AO1097" s="37"/>
    </row>
    <row r="1098" spans="1:41">
      <c r="A1098" s="37"/>
      <c r="B1098" s="37"/>
      <c r="C1098" s="37"/>
      <c r="D1098" s="37"/>
      <c r="E1098" s="37"/>
      <c r="F1098" s="37"/>
      <c r="G1098" s="37"/>
      <c r="H1098" s="40"/>
      <c r="I1098" s="40"/>
      <c r="J1098" s="40"/>
      <c r="K1098" s="37"/>
      <c r="L1098" s="37"/>
      <c r="M1098" s="37"/>
      <c r="N1098" s="37"/>
      <c r="O1098" s="37"/>
      <c r="P1098" s="37"/>
      <c r="Q1098" s="37"/>
      <c r="R1098" s="37"/>
      <c r="S1098" s="37"/>
      <c r="T1098" s="37"/>
      <c r="U1098" s="37"/>
      <c r="V1098" s="37"/>
      <c r="W1098" s="37"/>
      <c r="X1098" s="37"/>
      <c r="Y1098" s="37"/>
      <c r="Z1098" s="37"/>
      <c r="AA1098" s="37"/>
      <c r="AB1098" s="37"/>
      <c r="AC1098" s="37"/>
      <c r="AD1098" s="37"/>
      <c r="AE1098" s="37"/>
      <c r="AF1098" s="37"/>
      <c r="AG1098" s="37"/>
      <c r="AH1098" s="37"/>
      <c r="AI1098" s="37"/>
      <c r="AJ1098" s="37"/>
      <c r="AK1098" s="39"/>
      <c r="AL1098" s="37"/>
      <c r="AM1098" s="37"/>
      <c r="AN1098" s="37"/>
      <c r="AO1098" s="37"/>
    </row>
    <row r="1099" spans="1:41">
      <c r="A1099" s="37"/>
      <c r="B1099" s="37"/>
      <c r="C1099" s="37"/>
      <c r="D1099" s="37"/>
      <c r="E1099" s="37"/>
      <c r="F1099" s="37"/>
      <c r="G1099" s="37"/>
      <c r="H1099" s="40"/>
      <c r="I1099" s="40"/>
      <c r="J1099" s="40"/>
      <c r="K1099" s="37"/>
      <c r="L1099" s="37"/>
      <c r="M1099" s="37"/>
      <c r="N1099" s="37"/>
      <c r="O1099" s="37"/>
      <c r="P1099" s="37"/>
      <c r="Q1099" s="37"/>
      <c r="R1099" s="37"/>
      <c r="S1099" s="37"/>
      <c r="T1099" s="37"/>
      <c r="U1099" s="37"/>
      <c r="V1099" s="37"/>
      <c r="W1099" s="37"/>
      <c r="X1099" s="37"/>
      <c r="Y1099" s="37"/>
      <c r="Z1099" s="37"/>
      <c r="AA1099" s="37"/>
      <c r="AB1099" s="37"/>
      <c r="AC1099" s="37"/>
      <c r="AD1099" s="37"/>
      <c r="AE1099" s="37"/>
      <c r="AF1099" s="37"/>
      <c r="AG1099" s="37"/>
      <c r="AH1099" s="37"/>
      <c r="AI1099" s="37"/>
      <c r="AJ1099" s="37"/>
      <c r="AK1099" s="39"/>
      <c r="AL1099" s="37"/>
      <c r="AM1099" s="37"/>
      <c r="AN1099" s="37"/>
      <c r="AO1099" s="37"/>
    </row>
    <row r="1100" spans="1:41">
      <c r="A1100" s="37"/>
      <c r="B1100" s="37"/>
      <c r="C1100" s="37"/>
      <c r="D1100" s="37"/>
      <c r="E1100" s="37"/>
      <c r="F1100" s="37"/>
      <c r="G1100" s="37"/>
      <c r="H1100" s="40"/>
      <c r="I1100" s="40"/>
      <c r="J1100" s="40"/>
      <c r="K1100" s="37"/>
      <c r="L1100" s="37"/>
      <c r="M1100" s="37"/>
      <c r="N1100" s="37"/>
      <c r="O1100" s="37"/>
      <c r="P1100" s="37"/>
      <c r="Q1100" s="37"/>
      <c r="R1100" s="37"/>
      <c r="S1100" s="37"/>
      <c r="T1100" s="37"/>
      <c r="U1100" s="37"/>
      <c r="V1100" s="37"/>
      <c r="W1100" s="37"/>
      <c r="X1100" s="37"/>
      <c r="Y1100" s="37"/>
      <c r="Z1100" s="37"/>
      <c r="AA1100" s="37"/>
      <c r="AB1100" s="37"/>
      <c r="AC1100" s="37"/>
      <c r="AD1100" s="37"/>
      <c r="AE1100" s="37"/>
      <c r="AF1100" s="37"/>
      <c r="AG1100" s="37"/>
      <c r="AH1100" s="37"/>
      <c r="AI1100" s="37"/>
      <c r="AJ1100" s="37"/>
      <c r="AK1100" s="39"/>
      <c r="AL1100" s="37"/>
      <c r="AM1100" s="37"/>
      <c r="AN1100" s="37"/>
      <c r="AO1100" s="37"/>
    </row>
    <row r="1101" spans="1:41">
      <c r="A1101" s="37"/>
      <c r="B1101" s="37"/>
      <c r="C1101" s="37"/>
      <c r="D1101" s="37"/>
      <c r="E1101" s="37"/>
      <c r="F1101" s="37"/>
      <c r="G1101" s="37"/>
      <c r="H1101" s="40"/>
      <c r="I1101" s="40"/>
      <c r="J1101" s="40"/>
      <c r="K1101" s="37"/>
      <c r="L1101" s="37"/>
      <c r="M1101" s="37"/>
      <c r="N1101" s="37"/>
      <c r="O1101" s="37"/>
      <c r="P1101" s="37"/>
      <c r="Q1101" s="37"/>
      <c r="R1101" s="37"/>
      <c r="S1101" s="37"/>
      <c r="T1101" s="37"/>
      <c r="U1101" s="37"/>
      <c r="V1101" s="37"/>
      <c r="W1101" s="37"/>
      <c r="X1101" s="37"/>
      <c r="Y1101" s="37"/>
      <c r="Z1101" s="37"/>
      <c r="AA1101" s="37"/>
      <c r="AB1101" s="37"/>
      <c r="AC1101" s="37"/>
      <c r="AD1101" s="37"/>
      <c r="AE1101" s="37"/>
      <c r="AF1101" s="37"/>
      <c r="AG1101" s="37"/>
      <c r="AH1101" s="37"/>
      <c r="AI1101" s="37"/>
      <c r="AJ1101" s="37"/>
      <c r="AK1101" s="39"/>
      <c r="AL1101" s="37"/>
      <c r="AM1101" s="37"/>
      <c r="AN1101" s="37"/>
      <c r="AO1101" s="37"/>
    </row>
    <row r="1102" spans="1:41">
      <c r="A1102" s="37"/>
      <c r="B1102" s="37"/>
      <c r="C1102" s="37"/>
      <c r="D1102" s="37"/>
      <c r="E1102" s="37"/>
      <c r="F1102" s="37"/>
      <c r="G1102" s="37"/>
      <c r="H1102" s="40"/>
      <c r="I1102" s="40"/>
      <c r="J1102" s="40"/>
      <c r="K1102" s="37"/>
      <c r="L1102" s="37"/>
      <c r="M1102" s="37"/>
      <c r="N1102" s="37"/>
      <c r="O1102" s="37"/>
      <c r="P1102" s="37"/>
      <c r="Q1102" s="37"/>
      <c r="R1102" s="37"/>
      <c r="S1102" s="37"/>
      <c r="T1102" s="37"/>
      <c r="U1102" s="37"/>
      <c r="V1102" s="37"/>
      <c r="W1102" s="37"/>
      <c r="X1102" s="37"/>
      <c r="Y1102" s="37"/>
      <c r="Z1102" s="37"/>
      <c r="AA1102" s="37"/>
      <c r="AB1102" s="37"/>
      <c r="AC1102" s="37"/>
      <c r="AD1102" s="37"/>
      <c r="AE1102" s="37"/>
      <c r="AF1102" s="37"/>
      <c r="AG1102" s="37"/>
      <c r="AH1102" s="37"/>
      <c r="AI1102" s="37"/>
      <c r="AJ1102" s="37"/>
      <c r="AK1102" s="39"/>
      <c r="AL1102" s="37"/>
      <c r="AM1102" s="37"/>
      <c r="AN1102" s="37"/>
      <c r="AO1102" s="37"/>
    </row>
    <row r="1103" spans="1:41">
      <c r="A1103" s="37"/>
      <c r="B1103" s="37"/>
      <c r="C1103" s="37"/>
      <c r="D1103" s="37"/>
      <c r="E1103" s="37"/>
      <c r="F1103" s="37"/>
      <c r="G1103" s="37"/>
      <c r="H1103" s="40"/>
      <c r="I1103" s="40"/>
      <c r="J1103" s="40"/>
      <c r="K1103" s="37"/>
      <c r="L1103" s="37"/>
      <c r="M1103" s="37"/>
      <c r="N1103" s="37"/>
      <c r="O1103" s="37"/>
      <c r="P1103" s="37"/>
      <c r="Q1103" s="37"/>
      <c r="R1103" s="37"/>
      <c r="S1103" s="37"/>
      <c r="T1103" s="37"/>
      <c r="U1103" s="37"/>
      <c r="V1103" s="37"/>
      <c r="W1103" s="37"/>
      <c r="X1103" s="37"/>
      <c r="Y1103" s="37"/>
      <c r="Z1103" s="37"/>
      <c r="AA1103" s="37"/>
      <c r="AB1103" s="37"/>
      <c r="AC1103" s="37"/>
      <c r="AD1103" s="37"/>
      <c r="AE1103" s="37"/>
      <c r="AF1103" s="37"/>
      <c r="AG1103" s="37"/>
      <c r="AH1103" s="37"/>
      <c r="AI1103" s="37"/>
      <c r="AJ1103" s="37"/>
      <c r="AK1103" s="39"/>
      <c r="AL1103" s="37"/>
      <c r="AM1103" s="37"/>
      <c r="AN1103" s="37"/>
      <c r="AO1103" s="37"/>
    </row>
    <row r="1104" spans="1:41">
      <c r="A1104" s="37"/>
      <c r="B1104" s="37"/>
      <c r="C1104" s="37"/>
      <c r="D1104" s="37"/>
      <c r="E1104" s="37"/>
      <c r="F1104" s="37"/>
      <c r="G1104" s="37"/>
      <c r="H1104" s="40"/>
      <c r="I1104" s="40"/>
      <c r="J1104" s="40"/>
      <c r="K1104" s="37"/>
      <c r="L1104" s="37"/>
      <c r="M1104" s="37"/>
      <c r="N1104" s="37"/>
      <c r="O1104" s="37"/>
      <c r="P1104" s="37"/>
      <c r="Q1104" s="37"/>
      <c r="R1104" s="37"/>
      <c r="S1104" s="37"/>
      <c r="T1104" s="37"/>
      <c r="U1104" s="37"/>
      <c r="V1104" s="37"/>
      <c r="W1104" s="37"/>
      <c r="X1104" s="37"/>
      <c r="Y1104" s="37"/>
      <c r="Z1104" s="37"/>
      <c r="AA1104" s="37"/>
      <c r="AB1104" s="37"/>
      <c r="AC1104" s="37"/>
      <c r="AD1104" s="37"/>
      <c r="AE1104" s="37"/>
      <c r="AF1104" s="37"/>
      <c r="AG1104" s="37"/>
      <c r="AH1104" s="37"/>
      <c r="AI1104" s="37"/>
      <c r="AJ1104" s="37"/>
      <c r="AK1104" s="39"/>
      <c r="AL1104" s="37"/>
      <c r="AM1104" s="37"/>
      <c r="AN1104" s="37"/>
      <c r="AO1104" s="37"/>
    </row>
    <row r="1105" spans="1:41">
      <c r="A1105" s="37"/>
      <c r="B1105" s="37"/>
      <c r="C1105" s="37"/>
      <c r="D1105" s="37"/>
      <c r="E1105" s="37"/>
      <c r="F1105" s="37"/>
      <c r="G1105" s="37"/>
      <c r="H1105" s="40"/>
      <c r="I1105" s="40"/>
      <c r="J1105" s="40"/>
      <c r="K1105" s="37"/>
      <c r="L1105" s="37"/>
      <c r="M1105" s="37"/>
      <c r="N1105" s="37"/>
      <c r="O1105" s="37"/>
      <c r="P1105" s="37"/>
      <c r="Q1105" s="37"/>
      <c r="R1105" s="37"/>
      <c r="S1105" s="37"/>
      <c r="T1105" s="37"/>
      <c r="U1105" s="37"/>
      <c r="V1105" s="37"/>
      <c r="W1105" s="37"/>
      <c r="X1105" s="37"/>
      <c r="Y1105" s="37"/>
      <c r="Z1105" s="37"/>
      <c r="AA1105" s="37"/>
      <c r="AB1105" s="37"/>
      <c r="AC1105" s="37"/>
      <c r="AD1105" s="37"/>
      <c r="AE1105" s="37"/>
      <c r="AF1105" s="37"/>
      <c r="AG1105" s="37"/>
      <c r="AH1105" s="37"/>
      <c r="AI1105" s="37"/>
      <c r="AJ1105" s="37"/>
      <c r="AK1105" s="39"/>
      <c r="AL1105" s="37"/>
      <c r="AM1105" s="37"/>
      <c r="AN1105" s="37"/>
      <c r="AO1105" s="37"/>
    </row>
    <row r="1106" spans="1:41">
      <c r="A1106" s="37"/>
      <c r="B1106" s="37"/>
      <c r="C1106" s="37"/>
      <c r="D1106" s="37"/>
      <c r="E1106" s="37"/>
      <c r="F1106" s="37"/>
      <c r="G1106" s="37"/>
      <c r="H1106" s="40"/>
      <c r="I1106" s="40"/>
      <c r="J1106" s="40"/>
      <c r="K1106" s="37"/>
      <c r="L1106" s="37"/>
      <c r="M1106" s="37"/>
      <c r="N1106" s="37"/>
      <c r="O1106" s="37"/>
      <c r="P1106" s="37"/>
      <c r="Q1106" s="37"/>
      <c r="R1106" s="37"/>
      <c r="S1106" s="37"/>
      <c r="T1106" s="37"/>
      <c r="U1106" s="37"/>
      <c r="V1106" s="37"/>
      <c r="W1106" s="37"/>
      <c r="X1106" s="37"/>
      <c r="Y1106" s="37"/>
      <c r="Z1106" s="37"/>
      <c r="AA1106" s="37"/>
      <c r="AB1106" s="37"/>
      <c r="AC1106" s="37"/>
      <c r="AD1106" s="37"/>
      <c r="AE1106" s="37"/>
      <c r="AF1106" s="37"/>
      <c r="AG1106" s="37"/>
      <c r="AH1106" s="37"/>
      <c r="AI1106" s="37"/>
      <c r="AJ1106" s="37"/>
      <c r="AK1106" s="39"/>
      <c r="AL1106" s="37"/>
      <c r="AM1106" s="37"/>
      <c r="AN1106" s="37"/>
      <c r="AO1106" s="37"/>
    </row>
    <row r="1107" spans="1:41">
      <c r="A1107" s="37"/>
      <c r="B1107" s="37"/>
      <c r="C1107" s="37"/>
      <c r="D1107" s="37"/>
      <c r="E1107" s="37"/>
      <c r="F1107" s="37"/>
      <c r="G1107" s="37"/>
      <c r="H1107" s="40"/>
      <c r="I1107" s="40"/>
      <c r="J1107" s="40"/>
      <c r="K1107" s="37"/>
      <c r="L1107" s="37"/>
      <c r="M1107" s="37"/>
      <c r="N1107" s="37"/>
      <c r="O1107" s="37"/>
      <c r="P1107" s="37"/>
      <c r="Q1107" s="37"/>
      <c r="R1107" s="37"/>
      <c r="S1107" s="37"/>
      <c r="T1107" s="37"/>
      <c r="U1107" s="37"/>
      <c r="V1107" s="37"/>
      <c r="W1107" s="37"/>
      <c r="X1107" s="37"/>
      <c r="Y1107" s="37"/>
      <c r="Z1107" s="37"/>
      <c r="AA1107" s="37"/>
      <c r="AB1107" s="37"/>
      <c r="AC1107" s="37"/>
      <c r="AD1107" s="37"/>
      <c r="AE1107" s="37"/>
      <c r="AF1107" s="37"/>
      <c r="AG1107" s="37"/>
      <c r="AH1107" s="37"/>
      <c r="AI1107" s="37"/>
      <c r="AJ1107" s="37"/>
      <c r="AK1107" s="39"/>
      <c r="AL1107" s="37"/>
      <c r="AM1107" s="37"/>
      <c r="AN1107" s="37"/>
      <c r="AO1107" s="37"/>
    </row>
    <row r="1108" spans="1:41">
      <c r="A1108" s="37"/>
      <c r="B1108" s="37"/>
      <c r="C1108" s="37"/>
      <c r="D1108" s="37"/>
      <c r="E1108" s="37"/>
      <c r="F1108" s="37"/>
      <c r="G1108" s="37"/>
      <c r="H1108" s="40"/>
      <c r="I1108" s="40"/>
      <c r="J1108" s="40"/>
      <c r="K1108" s="37"/>
      <c r="L1108" s="37"/>
      <c r="M1108" s="37"/>
      <c r="N1108" s="37"/>
      <c r="O1108" s="37"/>
      <c r="P1108" s="37"/>
      <c r="Q1108" s="37"/>
      <c r="R1108" s="37"/>
      <c r="S1108" s="37"/>
      <c r="T1108" s="37"/>
      <c r="U1108" s="37"/>
      <c r="V1108" s="37"/>
      <c r="W1108" s="37"/>
      <c r="X1108" s="37"/>
      <c r="Y1108" s="37"/>
      <c r="Z1108" s="37"/>
      <c r="AA1108" s="37"/>
      <c r="AB1108" s="37"/>
      <c r="AC1108" s="37"/>
      <c r="AD1108" s="37"/>
      <c r="AE1108" s="37"/>
      <c r="AF1108" s="37"/>
      <c r="AG1108" s="37"/>
      <c r="AH1108" s="37"/>
      <c r="AI1108" s="37"/>
      <c r="AJ1108" s="37"/>
      <c r="AK1108" s="39"/>
      <c r="AL1108" s="37"/>
      <c r="AM1108" s="37"/>
      <c r="AN1108" s="37"/>
      <c r="AO1108" s="37"/>
    </row>
    <row r="1109" spans="1:41">
      <c r="A1109" s="37"/>
      <c r="B1109" s="37"/>
      <c r="C1109" s="37"/>
      <c r="D1109" s="37"/>
      <c r="E1109" s="37"/>
      <c r="F1109" s="37"/>
      <c r="G1109" s="37"/>
      <c r="H1109" s="40"/>
      <c r="I1109" s="40"/>
      <c r="J1109" s="40"/>
      <c r="K1109" s="37"/>
      <c r="L1109" s="37"/>
      <c r="M1109" s="37"/>
      <c r="N1109" s="37"/>
      <c r="O1109" s="37"/>
      <c r="P1109" s="37"/>
      <c r="Q1109" s="37"/>
      <c r="R1109" s="37"/>
      <c r="S1109" s="37"/>
      <c r="T1109" s="37"/>
      <c r="U1109" s="37"/>
      <c r="V1109" s="37"/>
      <c r="W1109" s="37"/>
      <c r="X1109" s="37"/>
      <c r="Y1109" s="37"/>
      <c r="Z1109" s="37"/>
      <c r="AA1109" s="37"/>
      <c r="AB1109" s="37"/>
      <c r="AC1109" s="37"/>
      <c r="AD1109" s="37"/>
      <c r="AE1109" s="37"/>
      <c r="AF1109" s="37"/>
      <c r="AG1109" s="37"/>
      <c r="AH1109" s="37"/>
      <c r="AI1109" s="37"/>
      <c r="AJ1109" s="37"/>
      <c r="AK1109" s="39"/>
      <c r="AL1109" s="37"/>
      <c r="AM1109" s="37"/>
      <c r="AN1109" s="37"/>
      <c r="AO1109" s="37"/>
    </row>
    <row r="1110" spans="1:41">
      <c r="A1110" s="37"/>
      <c r="B1110" s="37"/>
      <c r="C1110" s="37"/>
      <c r="D1110" s="37"/>
      <c r="E1110" s="37"/>
      <c r="F1110" s="37"/>
      <c r="G1110" s="37"/>
      <c r="H1110" s="40"/>
      <c r="I1110" s="40"/>
      <c r="J1110" s="40"/>
      <c r="K1110" s="37"/>
      <c r="L1110" s="37"/>
      <c r="M1110" s="37"/>
      <c r="N1110" s="37"/>
      <c r="O1110" s="37"/>
      <c r="P1110" s="37"/>
      <c r="Q1110" s="37"/>
      <c r="R1110" s="37"/>
      <c r="S1110" s="37"/>
      <c r="T1110" s="37"/>
      <c r="U1110" s="37"/>
      <c r="V1110" s="37"/>
      <c r="W1110" s="37"/>
      <c r="X1110" s="37"/>
      <c r="Y1110" s="37"/>
      <c r="Z1110" s="37"/>
      <c r="AA1110" s="37"/>
      <c r="AB1110" s="37"/>
      <c r="AC1110" s="37"/>
      <c r="AD1110" s="37"/>
      <c r="AE1110" s="37"/>
      <c r="AF1110" s="37"/>
      <c r="AG1110" s="37"/>
      <c r="AH1110" s="37"/>
      <c r="AI1110" s="37"/>
      <c r="AJ1110" s="37"/>
      <c r="AK1110" s="39"/>
      <c r="AL1110" s="37"/>
      <c r="AM1110" s="37"/>
      <c r="AN1110" s="37"/>
      <c r="AO1110" s="37"/>
    </row>
    <row r="1111" spans="1:41">
      <c r="A1111" s="37"/>
      <c r="B1111" s="37"/>
      <c r="C1111" s="37"/>
      <c r="D1111" s="37"/>
      <c r="E1111" s="37"/>
      <c r="F1111" s="37"/>
      <c r="G1111" s="37"/>
      <c r="H1111" s="40"/>
      <c r="I1111" s="40"/>
      <c r="J1111" s="40"/>
      <c r="K1111" s="37"/>
      <c r="L1111" s="37"/>
      <c r="M1111" s="37"/>
      <c r="N1111" s="37"/>
      <c r="O1111" s="37"/>
      <c r="P1111" s="37"/>
      <c r="Q1111" s="37"/>
      <c r="R1111" s="37"/>
      <c r="S1111" s="37"/>
      <c r="T1111" s="37"/>
      <c r="U1111" s="37"/>
      <c r="V1111" s="37"/>
      <c r="W1111" s="37"/>
      <c r="X1111" s="37"/>
      <c r="Y1111" s="37"/>
      <c r="Z1111" s="37"/>
      <c r="AA1111" s="37"/>
      <c r="AB1111" s="37"/>
      <c r="AC1111" s="37"/>
      <c r="AD1111" s="37"/>
      <c r="AE1111" s="37"/>
      <c r="AF1111" s="37"/>
      <c r="AG1111" s="37"/>
      <c r="AH1111" s="37"/>
      <c r="AI1111" s="37"/>
      <c r="AJ1111" s="37"/>
      <c r="AK1111" s="39"/>
      <c r="AL1111" s="37"/>
      <c r="AM1111" s="37"/>
      <c r="AN1111" s="37"/>
      <c r="AO1111" s="37"/>
    </row>
    <row r="1112" spans="1:41">
      <c r="A1112" s="37"/>
      <c r="B1112" s="37"/>
      <c r="C1112" s="37"/>
      <c r="D1112" s="37"/>
      <c r="E1112" s="37"/>
      <c r="F1112" s="37"/>
      <c r="G1112" s="37"/>
      <c r="H1112" s="40"/>
      <c r="I1112" s="40"/>
      <c r="J1112" s="40"/>
      <c r="K1112" s="37"/>
      <c r="L1112" s="37"/>
      <c r="M1112" s="37"/>
      <c r="N1112" s="37"/>
      <c r="O1112" s="37"/>
      <c r="P1112" s="37"/>
      <c r="Q1112" s="37"/>
      <c r="R1112" s="37"/>
      <c r="S1112" s="37"/>
      <c r="T1112" s="37"/>
      <c r="U1112" s="37"/>
      <c r="V1112" s="37"/>
      <c r="W1112" s="37"/>
      <c r="X1112" s="37"/>
      <c r="Y1112" s="37"/>
      <c r="Z1112" s="37"/>
      <c r="AA1112" s="37"/>
      <c r="AB1112" s="37"/>
      <c r="AC1112" s="37"/>
      <c r="AD1112" s="37"/>
      <c r="AE1112" s="37"/>
      <c r="AF1112" s="37"/>
      <c r="AG1112" s="37"/>
      <c r="AH1112" s="37"/>
      <c r="AI1112" s="37"/>
      <c r="AJ1112" s="37"/>
      <c r="AK1112" s="39"/>
      <c r="AL1112" s="37"/>
      <c r="AM1112" s="37"/>
      <c r="AN1112" s="37"/>
      <c r="AO1112" s="37"/>
    </row>
    <row r="1113" spans="1:41">
      <c r="A1113" s="37"/>
      <c r="B1113" s="37"/>
      <c r="C1113" s="37"/>
      <c r="D1113" s="37"/>
      <c r="E1113" s="37"/>
      <c r="F1113" s="37"/>
      <c r="G1113" s="37"/>
      <c r="H1113" s="40"/>
      <c r="I1113" s="40"/>
      <c r="J1113" s="40"/>
      <c r="K1113" s="37"/>
      <c r="L1113" s="37"/>
      <c r="M1113" s="37"/>
      <c r="N1113" s="37"/>
      <c r="O1113" s="37"/>
      <c r="P1113" s="37"/>
      <c r="Q1113" s="37"/>
      <c r="R1113" s="37"/>
      <c r="S1113" s="37"/>
      <c r="T1113" s="37"/>
      <c r="U1113" s="37"/>
      <c r="V1113" s="37"/>
      <c r="W1113" s="37"/>
      <c r="X1113" s="37"/>
      <c r="Y1113" s="37"/>
      <c r="Z1113" s="37"/>
      <c r="AA1113" s="37"/>
      <c r="AB1113" s="37"/>
      <c r="AC1113" s="37"/>
      <c r="AD1113" s="37"/>
      <c r="AE1113" s="37"/>
      <c r="AF1113" s="37"/>
      <c r="AG1113" s="37"/>
      <c r="AH1113" s="37"/>
      <c r="AI1113" s="37"/>
      <c r="AJ1113" s="37"/>
      <c r="AK1113" s="39"/>
      <c r="AL1113" s="37"/>
      <c r="AM1113" s="37"/>
      <c r="AN1113" s="37"/>
      <c r="AO1113" s="37"/>
    </row>
    <row r="1114" spans="1:41">
      <c r="A1114" s="37"/>
      <c r="B1114" s="37"/>
      <c r="C1114" s="37"/>
      <c r="D1114" s="37"/>
      <c r="E1114" s="37"/>
      <c r="F1114" s="37"/>
      <c r="G1114" s="37"/>
      <c r="H1114" s="40"/>
      <c r="I1114" s="40"/>
      <c r="J1114" s="40"/>
      <c r="K1114" s="37"/>
      <c r="L1114" s="37"/>
      <c r="M1114" s="37"/>
      <c r="N1114" s="37"/>
      <c r="O1114" s="37"/>
      <c r="P1114" s="37"/>
      <c r="Q1114" s="37"/>
      <c r="R1114" s="37"/>
      <c r="S1114" s="37"/>
      <c r="T1114" s="37"/>
      <c r="U1114" s="37"/>
      <c r="V1114" s="37"/>
      <c r="W1114" s="37"/>
      <c r="X1114" s="37"/>
      <c r="Y1114" s="37"/>
      <c r="Z1114" s="37"/>
      <c r="AA1114" s="37"/>
      <c r="AB1114" s="37"/>
      <c r="AC1114" s="37"/>
      <c r="AD1114" s="37"/>
      <c r="AE1114" s="37"/>
      <c r="AF1114" s="37"/>
      <c r="AG1114" s="37"/>
      <c r="AH1114" s="37"/>
      <c r="AI1114" s="37"/>
      <c r="AJ1114" s="37"/>
      <c r="AK1114" s="39"/>
      <c r="AL1114" s="37"/>
      <c r="AM1114" s="37"/>
      <c r="AN1114" s="37"/>
      <c r="AO1114" s="37"/>
    </row>
    <row r="1115" spans="1:41">
      <c r="A1115" s="37"/>
      <c r="B1115" s="37"/>
      <c r="C1115" s="37"/>
      <c r="D1115" s="37"/>
      <c r="E1115" s="37"/>
      <c r="F1115" s="37"/>
      <c r="G1115" s="37"/>
      <c r="H1115" s="40"/>
      <c r="I1115" s="40"/>
      <c r="J1115" s="40"/>
      <c r="K1115" s="37"/>
      <c r="L1115" s="37"/>
      <c r="M1115" s="37"/>
      <c r="N1115" s="37"/>
      <c r="O1115" s="37"/>
      <c r="P1115" s="37"/>
      <c r="Q1115" s="37"/>
      <c r="R1115" s="37"/>
      <c r="S1115" s="37"/>
      <c r="T1115" s="37"/>
      <c r="U1115" s="37"/>
      <c r="V1115" s="37"/>
      <c r="W1115" s="37"/>
      <c r="X1115" s="37"/>
      <c r="Y1115" s="37"/>
      <c r="Z1115" s="37"/>
      <c r="AA1115" s="37"/>
      <c r="AB1115" s="37"/>
      <c r="AC1115" s="37"/>
      <c r="AD1115" s="37"/>
      <c r="AE1115" s="37"/>
      <c r="AF1115" s="37"/>
      <c r="AG1115" s="37"/>
      <c r="AH1115" s="37"/>
      <c r="AI1115" s="37"/>
      <c r="AJ1115" s="37"/>
      <c r="AK1115" s="39"/>
      <c r="AL1115" s="37"/>
      <c r="AM1115" s="37"/>
      <c r="AN1115" s="37"/>
      <c r="AO1115" s="37"/>
    </row>
    <row r="1116" spans="1:41">
      <c r="A1116" s="37"/>
      <c r="B1116" s="37"/>
      <c r="C1116" s="37"/>
      <c r="D1116" s="37"/>
      <c r="E1116" s="37"/>
      <c r="F1116" s="37"/>
      <c r="G1116" s="37"/>
      <c r="H1116" s="40"/>
      <c r="I1116" s="40"/>
      <c r="J1116" s="40"/>
      <c r="K1116" s="37"/>
      <c r="L1116" s="37"/>
      <c r="M1116" s="37"/>
      <c r="N1116" s="37"/>
      <c r="O1116" s="37"/>
      <c r="P1116" s="37"/>
      <c r="Q1116" s="37"/>
      <c r="R1116" s="37"/>
      <c r="S1116" s="37"/>
      <c r="T1116" s="37"/>
      <c r="U1116" s="37"/>
      <c r="V1116" s="37"/>
      <c r="W1116" s="37"/>
      <c r="X1116" s="37"/>
      <c r="Y1116" s="37"/>
      <c r="Z1116" s="37"/>
      <c r="AA1116" s="37"/>
      <c r="AB1116" s="37"/>
      <c r="AC1116" s="37"/>
      <c r="AD1116" s="37"/>
      <c r="AE1116" s="37"/>
      <c r="AF1116" s="37"/>
      <c r="AG1116" s="37"/>
      <c r="AH1116" s="37"/>
      <c r="AI1116" s="37"/>
      <c r="AJ1116" s="37"/>
      <c r="AK1116" s="39"/>
      <c r="AL1116" s="37"/>
      <c r="AM1116" s="37"/>
      <c r="AN1116" s="37"/>
      <c r="AO1116" s="37"/>
    </row>
    <row r="1117" spans="1:41">
      <c r="A1117" s="37"/>
      <c r="B1117" s="37"/>
      <c r="C1117" s="37"/>
      <c r="D1117" s="37"/>
      <c r="E1117" s="37"/>
      <c r="F1117" s="37"/>
      <c r="G1117" s="37"/>
      <c r="H1117" s="40"/>
      <c r="I1117" s="40"/>
      <c r="J1117" s="40"/>
      <c r="K1117" s="37"/>
      <c r="L1117" s="37"/>
      <c r="M1117" s="37"/>
      <c r="N1117" s="37"/>
      <c r="O1117" s="37"/>
      <c r="P1117" s="37"/>
      <c r="Q1117" s="37"/>
      <c r="R1117" s="37"/>
      <c r="S1117" s="37"/>
      <c r="T1117" s="37"/>
      <c r="U1117" s="37"/>
      <c r="V1117" s="37"/>
      <c r="W1117" s="37"/>
      <c r="X1117" s="37"/>
      <c r="Y1117" s="37"/>
      <c r="Z1117" s="37"/>
      <c r="AA1117" s="37"/>
      <c r="AB1117" s="37"/>
      <c r="AC1117" s="37"/>
      <c r="AD1117" s="37"/>
      <c r="AE1117" s="37"/>
      <c r="AF1117" s="37"/>
      <c r="AG1117" s="37"/>
      <c r="AH1117" s="37"/>
      <c r="AI1117" s="37"/>
      <c r="AJ1117" s="37"/>
      <c r="AK1117" s="39"/>
      <c r="AL1117" s="37"/>
      <c r="AM1117" s="37"/>
      <c r="AN1117" s="37"/>
      <c r="AO1117" s="37"/>
    </row>
    <row r="1118" spans="1:41">
      <c r="A1118" s="37"/>
      <c r="B1118" s="37"/>
      <c r="C1118" s="37"/>
      <c r="D1118" s="37"/>
      <c r="E1118" s="37"/>
      <c r="F1118" s="37"/>
      <c r="G1118" s="37"/>
      <c r="H1118" s="40"/>
      <c r="I1118" s="40"/>
      <c r="J1118" s="40"/>
      <c r="K1118" s="37"/>
      <c r="L1118" s="37"/>
      <c r="M1118" s="37"/>
      <c r="N1118" s="37"/>
      <c r="O1118" s="37"/>
      <c r="P1118" s="37"/>
      <c r="Q1118" s="37"/>
      <c r="R1118" s="37"/>
      <c r="S1118" s="37"/>
      <c r="T1118" s="37"/>
      <c r="U1118" s="37"/>
      <c r="V1118" s="37"/>
      <c r="W1118" s="37"/>
      <c r="X1118" s="37"/>
      <c r="Y1118" s="37"/>
      <c r="Z1118" s="37"/>
      <c r="AA1118" s="37"/>
      <c r="AB1118" s="37"/>
      <c r="AC1118" s="37"/>
      <c r="AD1118" s="37"/>
      <c r="AE1118" s="37"/>
      <c r="AF1118" s="37"/>
      <c r="AG1118" s="37"/>
      <c r="AH1118" s="37"/>
      <c r="AI1118" s="37"/>
      <c r="AJ1118" s="37"/>
      <c r="AK1118" s="39"/>
      <c r="AL1118" s="37"/>
      <c r="AM1118" s="37"/>
      <c r="AN1118" s="37"/>
      <c r="AO1118" s="37"/>
    </row>
    <row r="1119" spans="1:41">
      <c r="A1119" s="37"/>
      <c r="B1119" s="37"/>
      <c r="C1119" s="37"/>
      <c r="D1119" s="37"/>
      <c r="E1119" s="37"/>
      <c r="F1119" s="37"/>
      <c r="G1119" s="37"/>
      <c r="H1119" s="40"/>
      <c r="I1119" s="40"/>
      <c r="J1119" s="40"/>
      <c r="K1119" s="37"/>
      <c r="L1119" s="37"/>
      <c r="M1119" s="37"/>
      <c r="N1119" s="37"/>
      <c r="O1119" s="37"/>
      <c r="P1119" s="37"/>
      <c r="Q1119" s="37"/>
      <c r="R1119" s="37"/>
      <c r="S1119" s="37"/>
      <c r="T1119" s="37"/>
      <c r="U1119" s="37"/>
      <c r="V1119" s="37"/>
      <c r="W1119" s="37"/>
      <c r="X1119" s="37"/>
      <c r="Y1119" s="37"/>
      <c r="Z1119" s="37"/>
      <c r="AA1119" s="37"/>
      <c r="AB1119" s="37"/>
      <c r="AC1119" s="37"/>
      <c r="AD1119" s="37"/>
      <c r="AE1119" s="37"/>
      <c r="AF1119" s="37"/>
      <c r="AG1119" s="37"/>
      <c r="AH1119" s="37"/>
      <c r="AI1119" s="37"/>
      <c r="AJ1119" s="37"/>
      <c r="AK1119" s="39"/>
      <c r="AL1119" s="37"/>
      <c r="AM1119" s="37"/>
      <c r="AN1119" s="37"/>
      <c r="AO1119" s="37"/>
    </row>
    <row r="1120" spans="1:41">
      <c r="A1120" s="37"/>
      <c r="B1120" s="37"/>
      <c r="C1120" s="37"/>
      <c r="D1120" s="37"/>
      <c r="E1120" s="37"/>
      <c r="F1120" s="37"/>
      <c r="G1120" s="37"/>
      <c r="H1120" s="40"/>
      <c r="I1120" s="40"/>
      <c r="J1120" s="40"/>
      <c r="K1120" s="37"/>
      <c r="L1120" s="37"/>
      <c r="M1120" s="37"/>
      <c r="N1120" s="37"/>
      <c r="O1120" s="37"/>
      <c r="P1120" s="37"/>
      <c r="Q1120" s="37"/>
      <c r="R1120" s="37"/>
      <c r="S1120" s="37"/>
      <c r="T1120" s="37"/>
      <c r="U1120" s="37"/>
      <c r="V1120" s="37"/>
      <c r="W1120" s="37"/>
      <c r="X1120" s="37"/>
      <c r="Y1120" s="37"/>
      <c r="Z1120" s="37"/>
      <c r="AA1120" s="37"/>
      <c r="AB1120" s="37"/>
      <c r="AC1120" s="37"/>
      <c r="AD1120" s="37"/>
      <c r="AE1120" s="37"/>
      <c r="AF1120" s="37"/>
      <c r="AG1120" s="37"/>
      <c r="AH1120" s="37"/>
      <c r="AI1120" s="37"/>
      <c r="AJ1120" s="37"/>
      <c r="AK1120" s="39"/>
      <c r="AL1120" s="37"/>
      <c r="AM1120" s="37"/>
      <c r="AN1120" s="37"/>
      <c r="AO1120" s="37"/>
    </row>
    <row r="1121" spans="1:41">
      <c r="A1121" s="37"/>
      <c r="B1121" s="37"/>
      <c r="C1121" s="37"/>
      <c r="D1121" s="37"/>
      <c r="E1121" s="37"/>
      <c r="F1121" s="37"/>
      <c r="G1121" s="37"/>
      <c r="H1121" s="40"/>
      <c r="I1121" s="40"/>
      <c r="J1121" s="40"/>
      <c r="K1121" s="37"/>
      <c r="L1121" s="37"/>
      <c r="M1121" s="37"/>
      <c r="N1121" s="37"/>
      <c r="O1121" s="37"/>
      <c r="P1121" s="37"/>
      <c r="Q1121" s="37"/>
      <c r="R1121" s="37"/>
      <c r="S1121" s="37"/>
      <c r="T1121" s="37"/>
      <c r="U1121" s="37"/>
      <c r="V1121" s="37"/>
      <c r="W1121" s="37"/>
      <c r="X1121" s="37"/>
      <c r="Y1121" s="37"/>
      <c r="Z1121" s="37"/>
      <c r="AA1121" s="37"/>
      <c r="AB1121" s="37"/>
      <c r="AC1121" s="37"/>
      <c r="AD1121" s="37"/>
      <c r="AE1121" s="37"/>
      <c r="AF1121" s="37"/>
      <c r="AG1121" s="37"/>
      <c r="AH1121" s="37"/>
      <c r="AI1121" s="37"/>
      <c r="AJ1121" s="37"/>
      <c r="AK1121" s="39"/>
      <c r="AL1121" s="37"/>
      <c r="AM1121" s="37"/>
      <c r="AN1121" s="37"/>
      <c r="AO1121" s="37"/>
    </row>
    <row r="1122" spans="1:41">
      <c r="A1122" s="37"/>
      <c r="B1122" s="37"/>
      <c r="C1122" s="37"/>
      <c r="D1122" s="37"/>
      <c r="E1122" s="37"/>
      <c r="F1122" s="37"/>
      <c r="G1122" s="37"/>
      <c r="H1122" s="40"/>
      <c r="I1122" s="40"/>
      <c r="J1122" s="40"/>
      <c r="K1122" s="37"/>
      <c r="L1122" s="37"/>
      <c r="M1122" s="37"/>
      <c r="N1122" s="37"/>
      <c r="O1122" s="37"/>
      <c r="P1122" s="37"/>
      <c r="Q1122" s="37"/>
      <c r="R1122" s="37"/>
      <c r="S1122" s="37"/>
      <c r="T1122" s="37"/>
      <c r="U1122" s="37"/>
      <c r="V1122" s="37"/>
      <c r="W1122" s="37"/>
      <c r="X1122" s="37"/>
      <c r="Y1122" s="37"/>
      <c r="Z1122" s="37"/>
      <c r="AA1122" s="37"/>
      <c r="AB1122" s="37"/>
      <c r="AC1122" s="37"/>
      <c r="AD1122" s="37"/>
      <c r="AE1122" s="37"/>
      <c r="AF1122" s="37"/>
      <c r="AG1122" s="37"/>
      <c r="AH1122" s="37"/>
      <c r="AI1122" s="37"/>
      <c r="AJ1122" s="37"/>
      <c r="AK1122" s="39"/>
      <c r="AL1122" s="37"/>
      <c r="AM1122" s="37"/>
      <c r="AN1122" s="37"/>
      <c r="AO1122" s="37"/>
    </row>
    <row r="1123" spans="1:41">
      <c r="A1123" s="37"/>
      <c r="B1123" s="37"/>
      <c r="C1123" s="37"/>
      <c r="D1123" s="37"/>
      <c r="E1123" s="37"/>
      <c r="F1123" s="37"/>
      <c r="G1123" s="37"/>
      <c r="H1123" s="40"/>
      <c r="I1123" s="40"/>
      <c r="J1123" s="40"/>
      <c r="K1123" s="37"/>
      <c r="L1123" s="37"/>
      <c r="M1123" s="37"/>
      <c r="N1123" s="37"/>
      <c r="O1123" s="37"/>
      <c r="P1123" s="37"/>
      <c r="Q1123" s="37"/>
      <c r="R1123" s="37"/>
      <c r="S1123" s="37"/>
      <c r="T1123" s="37"/>
      <c r="U1123" s="37"/>
      <c r="V1123" s="37"/>
      <c r="W1123" s="37"/>
      <c r="X1123" s="37"/>
      <c r="Y1123" s="37"/>
      <c r="Z1123" s="37"/>
      <c r="AA1123" s="37"/>
      <c r="AB1123" s="37"/>
      <c r="AC1123" s="37"/>
      <c r="AD1123" s="37"/>
      <c r="AE1123" s="37"/>
      <c r="AF1123" s="37"/>
      <c r="AG1123" s="37"/>
      <c r="AH1123" s="37"/>
      <c r="AI1123" s="37"/>
      <c r="AJ1123" s="37"/>
      <c r="AK1123" s="39"/>
      <c r="AL1123" s="37"/>
      <c r="AM1123" s="37"/>
      <c r="AN1123" s="37"/>
      <c r="AO1123" s="37"/>
    </row>
    <row r="1124" spans="1:41">
      <c r="A1124" s="37"/>
      <c r="B1124" s="37"/>
      <c r="C1124" s="37"/>
      <c r="D1124" s="37"/>
      <c r="E1124" s="37"/>
      <c r="F1124" s="37"/>
      <c r="G1124" s="37"/>
      <c r="H1124" s="40"/>
      <c r="I1124" s="40"/>
      <c r="J1124" s="40"/>
      <c r="K1124" s="37"/>
      <c r="L1124" s="37"/>
      <c r="M1124" s="37"/>
      <c r="N1124" s="37"/>
      <c r="O1124" s="37"/>
      <c r="P1124" s="37"/>
      <c r="Q1124" s="37"/>
      <c r="R1124" s="37"/>
      <c r="S1124" s="37"/>
      <c r="T1124" s="37"/>
      <c r="U1124" s="37"/>
      <c r="V1124" s="37"/>
      <c r="W1124" s="37"/>
      <c r="X1124" s="37"/>
      <c r="Y1124" s="37"/>
      <c r="Z1124" s="37"/>
      <c r="AA1124" s="37"/>
      <c r="AB1124" s="37"/>
      <c r="AC1124" s="37"/>
      <c r="AD1124" s="37"/>
      <c r="AE1124" s="37"/>
      <c r="AF1124" s="37"/>
      <c r="AG1124" s="37"/>
      <c r="AH1124" s="37"/>
      <c r="AI1124" s="37"/>
      <c r="AJ1124" s="37"/>
      <c r="AK1124" s="39"/>
      <c r="AL1124" s="37"/>
      <c r="AM1124" s="37"/>
      <c r="AN1124" s="37"/>
      <c r="AO1124" s="37"/>
    </row>
    <row r="1125" spans="1:41">
      <c r="A1125" s="37"/>
      <c r="B1125" s="37"/>
      <c r="C1125" s="37"/>
      <c r="D1125" s="37"/>
      <c r="E1125" s="37"/>
      <c r="F1125" s="37"/>
      <c r="G1125" s="37"/>
      <c r="H1125" s="40"/>
      <c r="I1125" s="40"/>
      <c r="J1125" s="40"/>
      <c r="K1125" s="37"/>
      <c r="L1125" s="37"/>
      <c r="M1125" s="37"/>
      <c r="N1125" s="37"/>
      <c r="O1125" s="37"/>
      <c r="P1125" s="37"/>
      <c r="Q1125" s="37"/>
      <c r="R1125" s="37"/>
      <c r="S1125" s="37"/>
      <c r="T1125" s="37"/>
      <c r="U1125" s="37"/>
      <c r="V1125" s="37"/>
      <c r="W1125" s="37"/>
      <c r="X1125" s="37"/>
      <c r="Y1125" s="37"/>
      <c r="Z1125" s="37"/>
      <c r="AA1125" s="37"/>
      <c r="AB1125" s="37"/>
      <c r="AC1125" s="37"/>
      <c r="AD1125" s="37"/>
      <c r="AE1125" s="37"/>
      <c r="AF1125" s="37"/>
      <c r="AG1125" s="37"/>
      <c r="AH1125" s="37"/>
      <c r="AI1125" s="37"/>
      <c r="AJ1125" s="37"/>
      <c r="AK1125" s="39"/>
      <c r="AL1125" s="37"/>
      <c r="AM1125" s="37"/>
      <c r="AN1125" s="37"/>
      <c r="AO1125" s="37"/>
    </row>
    <row r="1126" spans="1:41">
      <c r="A1126" s="37"/>
      <c r="B1126" s="37"/>
      <c r="C1126" s="37"/>
      <c r="D1126" s="37"/>
      <c r="E1126" s="37"/>
      <c r="F1126" s="37"/>
      <c r="G1126" s="37"/>
      <c r="H1126" s="40"/>
      <c r="I1126" s="40"/>
      <c r="J1126" s="40"/>
      <c r="K1126" s="37"/>
      <c r="L1126" s="37"/>
      <c r="M1126" s="37"/>
      <c r="N1126" s="37"/>
      <c r="O1126" s="37"/>
      <c r="P1126" s="37"/>
      <c r="Q1126" s="37"/>
      <c r="R1126" s="37"/>
      <c r="S1126" s="37"/>
      <c r="T1126" s="37"/>
      <c r="U1126" s="37"/>
      <c r="V1126" s="37"/>
      <c r="W1126" s="37"/>
      <c r="X1126" s="37"/>
      <c r="Y1126" s="37"/>
      <c r="Z1126" s="37"/>
      <c r="AA1126" s="37"/>
      <c r="AB1126" s="37"/>
      <c r="AC1126" s="37"/>
      <c r="AD1126" s="37"/>
      <c r="AE1126" s="37"/>
      <c r="AF1126" s="37"/>
      <c r="AG1126" s="37"/>
      <c r="AH1126" s="37"/>
      <c r="AI1126" s="37"/>
      <c r="AJ1126" s="37"/>
      <c r="AK1126" s="39"/>
      <c r="AL1126" s="37"/>
      <c r="AM1126" s="37"/>
      <c r="AN1126" s="37"/>
      <c r="AO1126" s="37"/>
    </row>
    <row r="1127" spans="1:41">
      <c r="A1127" s="37"/>
      <c r="B1127" s="37"/>
      <c r="C1127" s="37"/>
      <c r="D1127" s="37"/>
      <c r="E1127" s="37"/>
      <c r="F1127" s="37"/>
      <c r="G1127" s="37"/>
      <c r="H1127" s="40"/>
      <c r="I1127" s="40"/>
      <c r="J1127" s="40"/>
      <c r="K1127" s="37"/>
      <c r="L1127" s="37"/>
      <c r="M1127" s="37"/>
      <c r="N1127" s="37"/>
      <c r="O1127" s="37"/>
      <c r="P1127" s="37"/>
      <c r="Q1127" s="37"/>
      <c r="R1127" s="37"/>
      <c r="S1127" s="37"/>
      <c r="T1127" s="37"/>
      <c r="U1127" s="37"/>
      <c r="V1127" s="37"/>
      <c r="W1127" s="37"/>
      <c r="X1127" s="37"/>
      <c r="Y1127" s="37"/>
      <c r="Z1127" s="37"/>
      <c r="AA1127" s="37"/>
      <c r="AB1127" s="37"/>
      <c r="AC1127" s="37"/>
      <c r="AD1127" s="37"/>
      <c r="AE1127" s="37"/>
      <c r="AF1127" s="37"/>
      <c r="AG1127" s="37"/>
      <c r="AH1127" s="37"/>
      <c r="AI1127" s="37"/>
      <c r="AJ1127" s="37"/>
      <c r="AK1127" s="39"/>
      <c r="AL1127" s="37"/>
      <c r="AM1127" s="37"/>
      <c r="AN1127" s="37"/>
      <c r="AO1127" s="37"/>
    </row>
    <row r="1128" spans="1:41">
      <c r="A1128" s="37"/>
      <c r="B1128" s="37"/>
      <c r="C1128" s="37"/>
      <c r="D1128" s="37"/>
      <c r="E1128" s="37"/>
      <c r="F1128" s="37"/>
      <c r="G1128" s="37"/>
      <c r="H1128" s="40"/>
      <c r="I1128" s="40"/>
      <c r="J1128" s="40"/>
      <c r="K1128" s="37"/>
      <c r="L1128" s="37"/>
      <c r="M1128" s="37"/>
      <c r="N1128" s="37"/>
      <c r="O1128" s="37"/>
      <c r="P1128" s="37"/>
      <c r="Q1128" s="37"/>
      <c r="R1128" s="37"/>
      <c r="S1128" s="37"/>
      <c r="T1128" s="37"/>
      <c r="U1128" s="37"/>
      <c r="V1128" s="37"/>
      <c r="W1128" s="37"/>
      <c r="X1128" s="37"/>
      <c r="Y1128" s="37"/>
      <c r="Z1128" s="37"/>
      <c r="AA1128" s="37"/>
      <c r="AB1128" s="37"/>
      <c r="AC1128" s="37"/>
      <c r="AD1128" s="37"/>
      <c r="AE1128" s="37"/>
      <c r="AF1128" s="37"/>
      <c r="AG1128" s="37"/>
      <c r="AH1128" s="37"/>
      <c r="AI1128" s="37"/>
      <c r="AJ1128" s="37"/>
      <c r="AK1128" s="39"/>
      <c r="AL1128" s="37"/>
      <c r="AM1128" s="37"/>
      <c r="AN1128" s="37"/>
      <c r="AO1128" s="37"/>
    </row>
    <row r="1129" spans="1:41">
      <c r="A1129" s="37"/>
      <c r="B1129" s="37"/>
      <c r="C1129" s="37"/>
      <c r="D1129" s="37"/>
      <c r="E1129" s="37"/>
      <c r="F1129" s="37"/>
      <c r="G1129" s="37"/>
      <c r="H1129" s="40"/>
      <c r="I1129" s="40"/>
      <c r="J1129" s="40"/>
      <c r="K1129" s="37"/>
      <c r="L1129" s="37"/>
      <c r="M1129" s="37"/>
      <c r="N1129" s="37"/>
      <c r="O1129" s="37"/>
      <c r="P1129" s="37"/>
      <c r="Q1129" s="37"/>
      <c r="R1129" s="37"/>
      <c r="S1129" s="37"/>
      <c r="T1129" s="37"/>
      <c r="U1129" s="37"/>
      <c r="V1129" s="37"/>
      <c r="W1129" s="37"/>
      <c r="X1129" s="37"/>
      <c r="Y1129" s="37"/>
      <c r="Z1129" s="37"/>
      <c r="AA1129" s="37"/>
      <c r="AB1129" s="37"/>
      <c r="AC1129" s="37"/>
      <c r="AD1129" s="37"/>
      <c r="AE1129" s="37"/>
      <c r="AF1129" s="37"/>
      <c r="AG1129" s="37"/>
      <c r="AH1129" s="37"/>
      <c r="AI1129" s="37"/>
      <c r="AJ1129" s="37"/>
      <c r="AK1129" s="39"/>
      <c r="AL1129" s="37"/>
      <c r="AM1129" s="37"/>
      <c r="AN1129" s="37"/>
      <c r="AO1129" s="37"/>
    </row>
    <row r="1130" spans="1:41">
      <c r="A1130" s="37"/>
      <c r="B1130" s="37"/>
      <c r="C1130" s="37"/>
      <c r="D1130" s="37"/>
      <c r="E1130" s="37"/>
      <c r="F1130" s="37"/>
      <c r="G1130" s="37"/>
      <c r="H1130" s="40"/>
      <c r="I1130" s="40"/>
      <c r="J1130" s="40"/>
      <c r="K1130" s="37"/>
      <c r="L1130" s="37"/>
      <c r="M1130" s="37"/>
      <c r="N1130" s="37"/>
      <c r="O1130" s="37"/>
      <c r="P1130" s="37"/>
      <c r="Q1130" s="37"/>
      <c r="R1130" s="37"/>
      <c r="S1130" s="37"/>
      <c r="T1130" s="37"/>
      <c r="U1130" s="37"/>
      <c r="V1130" s="37"/>
      <c r="W1130" s="37"/>
      <c r="X1130" s="37"/>
      <c r="Y1130" s="37"/>
      <c r="Z1130" s="37"/>
      <c r="AA1130" s="37"/>
      <c r="AB1130" s="37"/>
      <c r="AC1130" s="37"/>
      <c r="AD1130" s="37"/>
      <c r="AE1130" s="37"/>
      <c r="AF1130" s="37"/>
      <c r="AG1130" s="37"/>
      <c r="AH1130" s="37"/>
      <c r="AI1130" s="37"/>
      <c r="AJ1130" s="37"/>
      <c r="AK1130" s="39"/>
      <c r="AL1130" s="37"/>
      <c r="AM1130" s="37"/>
      <c r="AN1130" s="37"/>
      <c r="AO1130" s="37"/>
    </row>
    <row r="1131" spans="1:41">
      <c r="A1131" s="37"/>
      <c r="B1131" s="37"/>
      <c r="C1131" s="37"/>
      <c r="D1131" s="37"/>
      <c r="E1131" s="37"/>
      <c r="F1131" s="37"/>
      <c r="G1131" s="37"/>
      <c r="H1131" s="40"/>
      <c r="I1131" s="40"/>
      <c r="J1131" s="40"/>
      <c r="K1131" s="37"/>
      <c r="L1131" s="37"/>
      <c r="M1131" s="37"/>
      <c r="N1131" s="37"/>
      <c r="O1131" s="37"/>
      <c r="P1131" s="37"/>
      <c r="Q1131" s="37"/>
      <c r="R1131" s="37"/>
      <c r="S1131" s="37"/>
      <c r="T1131" s="37"/>
      <c r="U1131" s="37"/>
      <c r="V1131" s="37"/>
      <c r="W1131" s="37"/>
      <c r="X1131" s="37"/>
      <c r="Y1131" s="37"/>
      <c r="Z1131" s="37"/>
      <c r="AA1131" s="37"/>
      <c r="AB1131" s="37"/>
      <c r="AC1131" s="37"/>
      <c r="AD1131" s="37"/>
      <c r="AE1131" s="37"/>
      <c r="AF1131" s="37"/>
      <c r="AG1131" s="37"/>
      <c r="AH1131" s="37"/>
      <c r="AI1131" s="37"/>
      <c r="AJ1131" s="37"/>
      <c r="AK1131" s="39"/>
      <c r="AL1131" s="37"/>
      <c r="AM1131" s="37"/>
      <c r="AN1131" s="37"/>
      <c r="AO1131" s="37"/>
    </row>
    <row r="1132" spans="1:41">
      <c r="A1132" s="37"/>
      <c r="B1132" s="37"/>
      <c r="C1132" s="37"/>
      <c r="D1132" s="37"/>
      <c r="E1132" s="37"/>
      <c r="F1132" s="37"/>
      <c r="G1132" s="37"/>
      <c r="H1132" s="40"/>
      <c r="I1132" s="40"/>
      <c r="J1132" s="40"/>
      <c r="K1132" s="37"/>
      <c r="L1132" s="37"/>
      <c r="M1132" s="37"/>
      <c r="N1132" s="37"/>
      <c r="O1132" s="37"/>
      <c r="P1132" s="37"/>
      <c r="Q1132" s="37"/>
      <c r="R1132" s="37"/>
      <c r="S1132" s="37"/>
      <c r="T1132" s="37"/>
      <c r="U1132" s="37"/>
      <c r="V1132" s="37"/>
      <c r="W1132" s="37"/>
      <c r="X1132" s="37"/>
      <c r="Y1132" s="37"/>
      <c r="Z1132" s="37"/>
      <c r="AA1132" s="37"/>
      <c r="AB1132" s="37"/>
      <c r="AC1132" s="37"/>
      <c r="AD1132" s="37"/>
      <c r="AE1132" s="37"/>
      <c r="AF1132" s="37"/>
      <c r="AG1132" s="37"/>
      <c r="AH1132" s="37"/>
      <c r="AI1132" s="37"/>
      <c r="AJ1132" s="37"/>
      <c r="AK1132" s="39"/>
      <c r="AL1132" s="37"/>
      <c r="AM1132" s="37"/>
      <c r="AN1132" s="37"/>
      <c r="AO1132" s="37"/>
    </row>
    <row r="1133" spans="1:41">
      <c r="A1133" s="37"/>
      <c r="B1133" s="37"/>
      <c r="C1133" s="37"/>
      <c r="D1133" s="37"/>
      <c r="E1133" s="37"/>
      <c r="F1133" s="37"/>
      <c r="G1133" s="37"/>
      <c r="H1133" s="40"/>
      <c r="I1133" s="40"/>
      <c r="J1133" s="40"/>
      <c r="K1133" s="37"/>
      <c r="L1133" s="37"/>
      <c r="M1133" s="37"/>
      <c r="N1133" s="37"/>
      <c r="O1133" s="37"/>
      <c r="P1133" s="37"/>
      <c r="Q1133" s="37"/>
      <c r="R1133" s="37"/>
      <c r="S1133" s="37"/>
      <c r="T1133" s="37"/>
      <c r="U1133" s="37"/>
      <c r="V1133" s="37"/>
      <c r="W1133" s="37"/>
      <c r="X1133" s="37"/>
      <c r="Y1133" s="37"/>
      <c r="Z1133" s="37"/>
      <c r="AA1133" s="37"/>
      <c r="AB1133" s="37"/>
      <c r="AC1133" s="37"/>
      <c r="AD1133" s="37"/>
      <c r="AE1133" s="37"/>
      <c r="AF1133" s="37"/>
      <c r="AG1133" s="37"/>
      <c r="AH1133" s="37"/>
      <c r="AI1133" s="37"/>
      <c r="AJ1133" s="37"/>
      <c r="AK1133" s="39"/>
      <c r="AL1133" s="37"/>
      <c r="AM1133" s="37"/>
      <c r="AN1133" s="37"/>
      <c r="AO1133" s="37"/>
    </row>
    <row r="1134" spans="1:41">
      <c r="A1134" s="37"/>
      <c r="B1134" s="37"/>
      <c r="C1134" s="37"/>
      <c r="D1134" s="37"/>
      <c r="E1134" s="37"/>
      <c r="F1134" s="37"/>
      <c r="G1134" s="37"/>
      <c r="H1134" s="40"/>
      <c r="I1134" s="40"/>
      <c r="J1134" s="40"/>
      <c r="K1134" s="37"/>
      <c r="L1134" s="37"/>
      <c r="M1134" s="37"/>
      <c r="N1134" s="37"/>
      <c r="O1134" s="37"/>
      <c r="P1134" s="37"/>
      <c r="Q1134" s="37"/>
      <c r="R1134" s="37"/>
      <c r="S1134" s="37"/>
      <c r="T1134" s="37"/>
      <c r="U1134" s="37"/>
      <c r="V1134" s="37"/>
      <c r="W1134" s="37"/>
      <c r="X1134" s="37"/>
      <c r="Y1134" s="37"/>
      <c r="Z1134" s="37"/>
      <c r="AA1134" s="37"/>
      <c r="AB1134" s="37"/>
      <c r="AC1134" s="37"/>
      <c r="AD1134" s="37"/>
      <c r="AE1134" s="37"/>
      <c r="AF1134" s="37"/>
      <c r="AG1134" s="37"/>
      <c r="AH1134" s="37"/>
      <c r="AI1134" s="37"/>
      <c r="AJ1134" s="37"/>
      <c r="AK1134" s="39"/>
      <c r="AL1134" s="37"/>
      <c r="AM1134" s="37"/>
      <c r="AN1134" s="37"/>
      <c r="AO1134" s="37"/>
    </row>
    <row r="1135" spans="1:41">
      <c r="A1135" s="37"/>
      <c r="B1135" s="37"/>
      <c r="C1135" s="37"/>
      <c r="D1135" s="37"/>
      <c r="E1135" s="37"/>
      <c r="F1135" s="37"/>
      <c r="G1135" s="37"/>
      <c r="H1135" s="40"/>
      <c r="I1135" s="40"/>
      <c r="J1135" s="40"/>
      <c r="K1135" s="37"/>
      <c r="L1135" s="37"/>
      <c r="M1135" s="37"/>
      <c r="N1135" s="37"/>
      <c r="O1135" s="37"/>
      <c r="P1135" s="37"/>
      <c r="Q1135" s="37"/>
      <c r="R1135" s="37"/>
      <c r="S1135" s="37"/>
      <c r="T1135" s="37"/>
      <c r="U1135" s="37"/>
      <c r="V1135" s="37"/>
      <c r="W1135" s="37"/>
      <c r="X1135" s="37"/>
      <c r="Y1135" s="37"/>
      <c r="Z1135" s="37"/>
      <c r="AA1135" s="37"/>
      <c r="AB1135" s="37"/>
      <c r="AC1135" s="37"/>
      <c r="AD1135" s="37"/>
      <c r="AE1135" s="37"/>
      <c r="AF1135" s="37"/>
      <c r="AG1135" s="37"/>
      <c r="AH1135" s="37"/>
      <c r="AI1135" s="37"/>
      <c r="AJ1135" s="37"/>
      <c r="AK1135" s="39"/>
      <c r="AL1135" s="37"/>
      <c r="AM1135" s="37"/>
      <c r="AN1135" s="37"/>
      <c r="AO1135" s="37"/>
    </row>
    <row r="1136" spans="1:41">
      <c r="A1136" s="37"/>
      <c r="B1136" s="37"/>
      <c r="C1136" s="37"/>
      <c r="D1136" s="37"/>
      <c r="E1136" s="37"/>
      <c r="F1136" s="37"/>
      <c r="G1136" s="37"/>
      <c r="H1136" s="40"/>
      <c r="I1136" s="40"/>
      <c r="J1136" s="40"/>
      <c r="K1136" s="37"/>
      <c r="L1136" s="37"/>
      <c r="M1136" s="37"/>
      <c r="N1136" s="37"/>
      <c r="O1136" s="37"/>
      <c r="P1136" s="37"/>
      <c r="Q1136" s="37"/>
      <c r="R1136" s="37"/>
      <c r="S1136" s="37"/>
      <c r="T1136" s="37"/>
      <c r="U1136" s="37"/>
      <c r="V1136" s="37"/>
      <c r="W1136" s="37"/>
      <c r="X1136" s="37"/>
      <c r="Y1136" s="37"/>
      <c r="Z1136" s="37"/>
      <c r="AA1136" s="37"/>
      <c r="AB1136" s="37"/>
      <c r="AC1136" s="37"/>
      <c r="AD1136" s="37"/>
      <c r="AE1136" s="37"/>
      <c r="AF1136" s="37"/>
      <c r="AG1136" s="37"/>
      <c r="AH1136" s="37"/>
      <c r="AI1136" s="37"/>
      <c r="AJ1136" s="37"/>
      <c r="AK1136" s="39"/>
      <c r="AL1136" s="37"/>
      <c r="AM1136" s="37"/>
      <c r="AN1136" s="37"/>
      <c r="AO1136" s="37"/>
    </row>
    <row r="1137" spans="1:41">
      <c r="A1137" s="37"/>
      <c r="B1137" s="37"/>
      <c r="C1137" s="37"/>
      <c r="D1137" s="37"/>
      <c r="E1137" s="37"/>
      <c r="F1137" s="37"/>
      <c r="G1137" s="37"/>
      <c r="H1137" s="40"/>
      <c r="I1137" s="40"/>
      <c r="J1137" s="40"/>
      <c r="K1137" s="37"/>
      <c r="L1137" s="37"/>
      <c r="M1137" s="37"/>
      <c r="N1137" s="37"/>
      <c r="O1137" s="37"/>
      <c r="P1137" s="37"/>
      <c r="Q1137" s="37"/>
      <c r="R1137" s="37"/>
      <c r="S1137" s="37"/>
      <c r="T1137" s="37"/>
      <c r="U1137" s="37"/>
      <c r="V1137" s="37"/>
      <c r="W1137" s="37"/>
      <c r="X1137" s="37"/>
      <c r="Y1137" s="37"/>
      <c r="Z1137" s="37"/>
      <c r="AA1137" s="37"/>
      <c r="AB1137" s="37"/>
      <c r="AC1137" s="37"/>
      <c r="AD1137" s="37"/>
      <c r="AE1137" s="37"/>
      <c r="AF1137" s="37"/>
      <c r="AG1137" s="37"/>
      <c r="AH1137" s="37"/>
      <c r="AI1137" s="37"/>
      <c r="AJ1137" s="37"/>
      <c r="AK1137" s="39"/>
      <c r="AL1137" s="37"/>
      <c r="AM1137" s="37"/>
      <c r="AN1137" s="37"/>
      <c r="AO1137" s="37"/>
    </row>
    <row r="1138" spans="1:41">
      <c r="A1138" s="37"/>
      <c r="B1138" s="37"/>
      <c r="C1138" s="37"/>
      <c r="D1138" s="37"/>
      <c r="E1138" s="37"/>
      <c r="F1138" s="37"/>
      <c r="G1138" s="37"/>
      <c r="H1138" s="40"/>
      <c r="I1138" s="40"/>
      <c r="J1138" s="40"/>
      <c r="K1138" s="37"/>
      <c r="L1138" s="37"/>
      <c r="M1138" s="37"/>
      <c r="N1138" s="37"/>
      <c r="O1138" s="37"/>
      <c r="P1138" s="37"/>
      <c r="Q1138" s="37"/>
      <c r="R1138" s="37"/>
      <c r="S1138" s="37"/>
      <c r="T1138" s="37"/>
      <c r="U1138" s="37"/>
      <c r="V1138" s="37"/>
      <c r="W1138" s="37"/>
      <c r="X1138" s="37"/>
      <c r="Y1138" s="37"/>
      <c r="Z1138" s="37"/>
      <c r="AA1138" s="37"/>
      <c r="AB1138" s="37"/>
      <c r="AC1138" s="37"/>
      <c r="AD1138" s="37"/>
      <c r="AE1138" s="37"/>
      <c r="AF1138" s="37"/>
      <c r="AG1138" s="37"/>
      <c r="AH1138" s="37"/>
      <c r="AI1138" s="37"/>
      <c r="AJ1138" s="37"/>
      <c r="AK1138" s="39"/>
      <c r="AL1138" s="37"/>
      <c r="AM1138" s="37"/>
      <c r="AN1138" s="37"/>
      <c r="AO1138" s="37"/>
    </row>
    <row r="1139" spans="1:41">
      <c r="A1139" s="37"/>
      <c r="B1139" s="37"/>
      <c r="C1139" s="37"/>
      <c r="D1139" s="37"/>
      <c r="E1139" s="37"/>
      <c r="F1139" s="37"/>
      <c r="G1139" s="37"/>
      <c r="H1139" s="40"/>
      <c r="I1139" s="40"/>
      <c r="J1139" s="40"/>
      <c r="K1139" s="37"/>
      <c r="L1139" s="37"/>
      <c r="M1139" s="37"/>
      <c r="N1139" s="37"/>
      <c r="O1139" s="37"/>
      <c r="P1139" s="37"/>
      <c r="Q1139" s="37"/>
      <c r="R1139" s="37"/>
      <c r="S1139" s="37"/>
      <c r="T1139" s="37"/>
      <c r="U1139" s="37"/>
      <c r="V1139" s="37"/>
      <c r="W1139" s="37"/>
      <c r="X1139" s="37"/>
      <c r="Y1139" s="37"/>
      <c r="Z1139" s="37"/>
      <c r="AA1139" s="37"/>
      <c r="AB1139" s="37"/>
      <c r="AC1139" s="37"/>
      <c r="AD1139" s="37"/>
      <c r="AE1139" s="37"/>
      <c r="AF1139" s="37"/>
      <c r="AG1139" s="37"/>
      <c r="AH1139" s="37"/>
      <c r="AI1139" s="37"/>
      <c r="AJ1139" s="37"/>
      <c r="AK1139" s="39"/>
      <c r="AL1139" s="37"/>
      <c r="AM1139" s="37"/>
      <c r="AN1139" s="37"/>
      <c r="AO1139" s="37"/>
    </row>
    <row r="1140" spans="1:41">
      <c r="A1140" s="37"/>
      <c r="B1140" s="37"/>
      <c r="C1140" s="37"/>
      <c r="D1140" s="37"/>
      <c r="E1140" s="37"/>
      <c r="F1140" s="37"/>
      <c r="G1140" s="37"/>
      <c r="H1140" s="40"/>
      <c r="I1140" s="40"/>
      <c r="J1140" s="40"/>
      <c r="K1140" s="37"/>
      <c r="L1140" s="37"/>
      <c r="M1140" s="37"/>
      <c r="N1140" s="37"/>
      <c r="O1140" s="37"/>
      <c r="P1140" s="37"/>
      <c r="Q1140" s="37"/>
      <c r="R1140" s="37"/>
      <c r="S1140" s="37"/>
      <c r="T1140" s="37"/>
      <c r="U1140" s="37"/>
      <c r="V1140" s="37"/>
      <c r="W1140" s="37"/>
      <c r="X1140" s="37"/>
      <c r="Y1140" s="37"/>
      <c r="Z1140" s="37"/>
      <c r="AA1140" s="37"/>
      <c r="AB1140" s="37"/>
      <c r="AC1140" s="37"/>
      <c r="AD1140" s="37"/>
      <c r="AE1140" s="37"/>
      <c r="AF1140" s="37"/>
      <c r="AG1140" s="37"/>
      <c r="AH1140" s="37"/>
      <c r="AI1140" s="37"/>
      <c r="AJ1140" s="37"/>
      <c r="AK1140" s="39"/>
      <c r="AL1140" s="37"/>
      <c r="AM1140" s="37"/>
      <c r="AN1140" s="37"/>
      <c r="AO1140" s="37"/>
    </row>
    <row r="1141" spans="1:41">
      <c r="A1141" s="37"/>
      <c r="B1141" s="37"/>
      <c r="C1141" s="37"/>
      <c r="D1141" s="37"/>
      <c r="E1141" s="37"/>
      <c r="F1141" s="37"/>
      <c r="G1141" s="37"/>
      <c r="H1141" s="40"/>
      <c r="I1141" s="40"/>
      <c r="J1141" s="40"/>
      <c r="K1141" s="37"/>
      <c r="L1141" s="37"/>
      <c r="M1141" s="37"/>
      <c r="N1141" s="37"/>
      <c r="O1141" s="37"/>
      <c r="P1141" s="37"/>
      <c r="Q1141" s="37"/>
      <c r="R1141" s="37"/>
      <c r="S1141" s="37"/>
      <c r="T1141" s="37"/>
      <c r="U1141" s="37"/>
      <c r="V1141" s="37"/>
      <c r="W1141" s="37"/>
      <c r="X1141" s="37"/>
      <c r="Y1141" s="37"/>
      <c r="Z1141" s="37"/>
      <c r="AA1141" s="37"/>
      <c r="AB1141" s="37"/>
      <c r="AC1141" s="37"/>
      <c r="AD1141" s="37"/>
      <c r="AE1141" s="37"/>
      <c r="AF1141" s="37"/>
      <c r="AG1141" s="37"/>
      <c r="AH1141" s="37"/>
      <c r="AI1141" s="37"/>
      <c r="AJ1141" s="37"/>
      <c r="AK1141" s="39"/>
      <c r="AL1141" s="37"/>
      <c r="AM1141" s="37"/>
      <c r="AN1141" s="37"/>
      <c r="AO1141" s="37"/>
    </row>
    <row r="1142" spans="1:41">
      <c r="A1142" s="37"/>
      <c r="B1142" s="37"/>
      <c r="C1142" s="37"/>
      <c r="D1142" s="37"/>
      <c r="E1142" s="37"/>
      <c r="F1142" s="37"/>
      <c r="G1142" s="37"/>
      <c r="H1142" s="40"/>
      <c r="I1142" s="40"/>
      <c r="J1142" s="40"/>
      <c r="K1142" s="37"/>
      <c r="L1142" s="37"/>
      <c r="M1142" s="37"/>
      <c r="N1142" s="37"/>
      <c r="O1142" s="37"/>
      <c r="P1142" s="37"/>
      <c r="Q1142" s="37"/>
      <c r="R1142" s="37"/>
      <c r="S1142" s="37"/>
      <c r="T1142" s="37"/>
      <c r="U1142" s="37"/>
      <c r="V1142" s="37"/>
      <c r="W1142" s="37"/>
      <c r="X1142" s="37"/>
      <c r="Y1142" s="37"/>
      <c r="Z1142" s="37"/>
      <c r="AA1142" s="37"/>
      <c r="AB1142" s="37"/>
      <c r="AC1142" s="37"/>
      <c r="AD1142" s="37"/>
      <c r="AE1142" s="37"/>
      <c r="AF1142" s="37"/>
      <c r="AG1142" s="37"/>
      <c r="AH1142" s="37"/>
      <c r="AI1142" s="37"/>
      <c r="AJ1142" s="37"/>
      <c r="AK1142" s="39"/>
      <c r="AL1142" s="37"/>
      <c r="AM1142" s="37"/>
      <c r="AN1142" s="37"/>
      <c r="AO1142" s="37"/>
    </row>
    <row r="1143" spans="1:41">
      <c r="A1143" s="37"/>
      <c r="B1143" s="37"/>
      <c r="C1143" s="37"/>
      <c r="D1143" s="37"/>
      <c r="E1143" s="37"/>
      <c r="F1143" s="37"/>
      <c r="G1143" s="37"/>
      <c r="H1143" s="40"/>
      <c r="I1143" s="40"/>
      <c r="J1143" s="40"/>
      <c r="K1143" s="37"/>
      <c r="L1143" s="37"/>
      <c r="M1143" s="37"/>
      <c r="N1143" s="37"/>
      <c r="O1143" s="37"/>
      <c r="P1143" s="37"/>
      <c r="Q1143" s="37"/>
      <c r="R1143" s="37"/>
      <c r="S1143" s="37"/>
      <c r="T1143" s="37"/>
      <c r="U1143" s="37"/>
      <c r="V1143" s="37"/>
      <c r="W1143" s="37"/>
      <c r="X1143" s="37"/>
      <c r="Y1143" s="37"/>
      <c r="Z1143" s="37"/>
      <c r="AA1143" s="37"/>
      <c r="AB1143" s="37"/>
      <c r="AC1143" s="37"/>
      <c r="AD1143" s="37"/>
      <c r="AE1143" s="37"/>
      <c r="AF1143" s="37"/>
      <c r="AG1143" s="37"/>
      <c r="AH1143" s="37"/>
      <c r="AI1143" s="37"/>
      <c r="AJ1143" s="37"/>
      <c r="AK1143" s="39"/>
      <c r="AL1143" s="37"/>
      <c r="AM1143" s="37"/>
      <c r="AN1143" s="37"/>
      <c r="AO1143" s="37"/>
    </row>
    <row r="1144" spans="1:41">
      <c r="A1144" s="37"/>
      <c r="B1144" s="37"/>
      <c r="C1144" s="37"/>
      <c r="D1144" s="37"/>
      <c r="E1144" s="37"/>
      <c r="F1144" s="37"/>
      <c r="G1144" s="37"/>
      <c r="H1144" s="40"/>
      <c r="I1144" s="40"/>
      <c r="J1144" s="40"/>
      <c r="K1144" s="37"/>
      <c r="L1144" s="37"/>
      <c r="M1144" s="37"/>
      <c r="N1144" s="37"/>
      <c r="O1144" s="37"/>
      <c r="P1144" s="37"/>
      <c r="Q1144" s="37"/>
      <c r="R1144" s="37"/>
      <c r="S1144" s="37"/>
      <c r="T1144" s="37"/>
      <c r="U1144" s="37"/>
      <c r="V1144" s="37"/>
      <c r="W1144" s="37"/>
      <c r="X1144" s="37"/>
      <c r="Y1144" s="37"/>
      <c r="Z1144" s="37"/>
      <c r="AA1144" s="37"/>
      <c r="AB1144" s="37"/>
      <c r="AC1144" s="37"/>
      <c r="AD1144" s="37"/>
      <c r="AE1144" s="37"/>
      <c r="AF1144" s="37"/>
      <c r="AG1144" s="37"/>
      <c r="AH1144" s="37"/>
      <c r="AI1144" s="37"/>
      <c r="AJ1144" s="37"/>
      <c r="AK1144" s="39"/>
      <c r="AL1144" s="37"/>
      <c r="AM1144" s="37"/>
      <c r="AN1144" s="37"/>
      <c r="AO1144" s="37"/>
    </row>
    <row r="1145" spans="1:41">
      <c r="A1145" s="37"/>
      <c r="B1145" s="37"/>
      <c r="C1145" s="37"/>
      <c r="D1145" s="37"/>
      <c r="E1145" s="37"/>
      <c r="F1145" s="37"/>
      <c r="G1145" s="37"/>
      <c r="H1145" s="40"/>
      <c r="I1145" s="40"/>
      <c r="J1145" s="40"/>
      <c r="K1145" s="37"/>
      <c r="L1145" s="37"/>
      <c r="M1145" s="37"/>
      <c r="N1145" s="37"/>
      <c r="O1145" s="37"/>
      <c r="P1145" s="37"/>
      <c r="Q1145" s="37"/>
      <c r="R1145" s="37"/>
      <c r="S1145" s="37"/>
      <c r="T1145" s="37"/>
      <c r="U1145" s="37"/>
      <c r="V1145" s="37"/>
      <c r="W1145" s="37"/>
      <c r="X1145" s="37"/>
      <c r="Y1145" s="37"/>
      <c r="Z1145" s="37"/>
      <c r="AA1145" s="37"/>
      <c r="AB1145" s="37"/>
      <c r="AC1145" s="37"/>
      <c r="AD1145" s="37"/>
      <c r="AE1145" s="37"/>
      <c r="AF1145" s="37"/>
      <c r="AG1145" s="37"/>
      <c r="AH1145" s="37"/>
      <c r="AI1145" s="37"/>
      <c r="AJ1145" s="37"/>
      <c r="AK1145" s="39"/>
      <c r="AL1145" s="37"/>
      <c r="AM1145" s="37"/>
      <c r="AN1145" s="37"/>
      <c r="AO1145" s="37"/>
    </row>
    <row r="1146" spans="1:41">
      <c r="A1146" s="37"/>
      <c r="B1146" s="37"/>
      <c r="C1146" s="37"/>
      <c r="D1146" s="37"/>
      <c r="E1146" s="37"/>
      <c r="F1146" s="37"/>
      <c r="G1146" s="37"/>
      <c r="H1146" s="40"/>
      <c r="I1146" s="40"/>
      <c r="J1146" s="40"/>
      <c r="K1146" s="37"/>
      <c r="L1146" s="37"/>
      <c r="M1146" s="37"/>
      <c r="N1146" s="37"/>
      <c r="O1146" s="37"/>
      <c r="P1146" s="37"/>
      <c r="Q1146" s="37"/>
      <c r="R1146" s="37"/>
      <c r="S1146" s="37"/>
      <c r="T1146" s="37"/>
      <c r="U1146" s="37"/>
      <c r="V1146" s="37"/>
      <c r="W1146" s="37"/>
      <c r="X1146" s="37"/>
      <c r="Y1146" s="37"/>
      <c r="Z1146" s="37"/>
      <c r="AA1146" s="37"/>
      <c r="AB1146" s="37"/>
      <c r="AC1146" s="37"/>
      <c r="AD1146" s="37"/>
      <c r="AE1146" s="37"/>
      <c r="AF1146" s="37"/>
      <c r="AG1146" s="37"/>
      <c r="AH1146" s="37"/>
      <c r="AI1146" s="37"/>
      <c r="AJ1146" s="37"/>
      <c r="AK1146" s="39"/>
      <c r="AL1146" s="37"/>
      <c r="AM1146" s="37"/>
      <c r="AN1146" s="37"/>
      <c r="AO1146" s="37"/>
    </row>
    <row r="1147" spans="1:41">
      <c r="A1147" s="37"/>
      <c r="B1147" s="37"/>
      <c r="C1147" s="37"/>
      <c r="D1147" s="37"/>
      <c r="E1147" s="37"/>
      <c r="F1147" s="37"/>
      <c r="G1147" s="37"/>
      <c r="H1147" s="40"/>
      <c r="I1147" s="40"/>
      <c r="J1147" s="40"/>
      <c r="K1147" s="37"/>
      <c r="L1147" s="37"/>
      <c r="M1147" s="37"/>
      <c r="N1147" s="37"/>
      <c r="O1147" s="37"/>
      <c r="P1147" s="37"/>
      <c r="Q1147" s="37"/>
      <c r="R1147" s="37"/>
      <c r="S1147" s="37"/>
      <c r="T1147" s="37"/>
      <c r="U1147" s="37"/>
      <c r="V1147" s="37"/>
      <c r="W1147" s="37"/>
      <c r="X1147" s="37"/>
      <c r="Y1147" s="37"/>
      <c r="Z1147" s="37"/>
      <c r="AA1147" s="37"/>
      <c r="AB1147" s="37"/>
      <c r="AC1147" s="37"/>
      <c r="AD1147" s="37"/>
      <c r="AE1147" s="37"/>
      <c r="AF1147" s="37"/>
      <c r="AG1147" s="37"/>
      <c r="AH1147" s="37"/>
      <c r="AI1147" s="37"/>
      <c r="AJ1147" s="37"/>
      <c r="AK1147" s="39"/>
      <c r="AL1147" s="37"/>
      <c r="AM1147" s="37"/>
      <c r="AN1147" s="37"/>
      <c r="AO1147" s="37"/>
    </row>
    <row r="1148" spans="1:41">
      <c r="A1148" s="37"/>
      <c r="B1148" s="37"/>
      <c r="C1148" s="37"/>
      <c r="D1148" s="37"/>
      <c r="E1148" s="37"/>
      <c r="F1148" s="37"/>
      <c r="G1148" s="37"/>
      <c r="H1148" s="40"/>
      <c r="I1148" s="40"/>
      <c r="J1148" s="40"/>
      <c r="K1148" s="37"/>
      <c r="L1148" s="37"/>
      <c r="M1148" s="37"/>
      <c r="N1148" s="37"/>
      <c r="O1148" s="37"/>
      <c r="P1148" s="37"/>
      <c r="Q1148" s="37"/>
      <c r="R1148" s="37"/>
      <c r="S1148" s="37"/>
      <c r="T1148" s="37"/>
      <c r="U1148" s="37"/>
      <c r="V1148" s="37"/>
      <c r="W1148" s="37"/>
      <c r="X1148" s="37"/>
      <c r="Y1148" s="37"/>
      <c r="Z1148" s="37"/>
      <c r="AA1148" s="37"/>
      <c r="AB1148" s="37"/>
      <c r="AC1148" s="37"/>
      <c r="AD1148" s="37"/>
      <c r="AE1148" s="37"/>
      <c r="AF1148" s="37"/>
      <c r="AG1148" s="37"/>
      <c r="AH1148" s="37"/>
      <c r="AI1148" s="37"/>
      <c r="AJ1148" s="37"/>
      <c r="AK1148" s="39"/>
      <c r="AL1148" s="37"/>
      <c r="AM1148" s="37"/>
      <c r="AN1148" s="37"/>
      <c r="AO1148" s="37"/>
    </row>
    <row r="1149" spans="1:41">
      <c r="A1149" s="37"/>
      <c r="B1149" s="37"/>
      <c r="C1149" s="37"/>
      <c r="D1149" s="37"/>
      <c r="E1149" s="37"/>
      <c r="F1149" s="37"/>
      <c r="G1149" s="37"/>
      <c r="H1149" s="40"/>
      <c r="I1149" s="40"/>
      <c r="J1149" s="40"/>
      <c r="K1149" s="37"/>
      <c r="L1149" s="37"/>
      <c r="M1149" s="37"/>
      <c r="N1149" s="37"/>
      <c r="O1149" s="37"/>
      <c r="P1149" s="37"/>
      <c r="Q1149" s="37"/>
      <c r="R1149" s="37"/>
      <c r="S1149" s="37"/>
      <c r="T1149" s="37"/>
      <c r="U1149" s="37"/>
      <c r="V1149" s="37"/>
      <c r="W1149" s="37"/>
      <c r="X1149" s="37"/>
      <c r="Y1149" s="37"/>
      <c r="Z1149" s="37"/>
      <c r="AA1149" s="37"/>
      <c r="AB1149" s="37"/>
      <c r="AC1149" s="37"/>
      <c r="AD1149" s="37"/>
      <c r="AE1149" s="37"/>
      <c r="AF1149" s="37"/>
      <c r="AG1149" s="37"/>
      <c r="AH1149" s="37"/>
      <c r="AI1149" s="37"/>
      <c r="AJ1149" s="37"/>
      <c r="AK1149" s="39"/>
      <c r="AL1149" s="37"/>
      <c r="AM1149" s="37"/>
      <c r="AN1149" s="37"/>
      <c r="AO1149" s="37"/>
    </row>
    <row r="1150" spans="1:41">
      <c r="A1150" s="37"/>
      <c r="B1150" s="37"/>
      <c r="C1150" s="37"/>
      <c r="D1150" s="37"/>
      <c r="E1150" s="37"/>
      <c r="F1150" s="37"/>
      <c r="G1150" s="37"/>
      <c r="H1150" s="40"/>
      <c r="I1150" s="40"/>
      <c r="J1150" s="40"/>
      <c r="K1150" s="37"/>
      <c r="L1150" s="37"/>
      <c r="M1150" s="37"/>
      <c r="N1150" s="37"/>
      <c r="O1150" s="37"/>
      <c r="P1150" s="37"/>
      <c r="Q1150" s="37"/>
      <c r="R1150" s="37"/>
      <c r="S1150" s="37"/>
      <c r="T1150" s="37"/>
      <c r="U1150" s="37"/>
      <c r="V1150" s="37"/>
      <c r="W1150" s="37"/>
      <c r="X1150" s="37"/>
      <c r="Y1150" s="37"/>
      <c r="Z1150" s="37"/>
      <c r="AA1150" s="37"/>
      <c r="AB1150" s="37"/>
      <c r="AC1150" s="37"/>
      <c r="AD1150" s="37"/>
      <c r="AE1150" s="37"/>
      <c r="AF1150" s="37"/>
      <c r="AG1150" s="37"/>
      <c r="AH1150" s="37"/>
      <c r="AI1150" s="37"/>
      <c r="AJ1150" s="37"/>
      <c r="AK1150" s="39"/>
      <c r="AL1150" s="37"/>
      <c r="AM1150" s="37"/>
      <c r="AN1150" s="37"/>
      <c r="AO1150" s="37"/>
    </row>
    <row r="1151" spans="1:41">
      <c r="A1151" s="37"/>
      <c r="B1151" s="37"/>
      <c r="C1151" s="37"/>
      <c r="D1151" s="37"/>
      <c r="E1151" s="37"/>
      <c r="F1151" s="37"/>
      <c r="G1151" s="37"/>
      <c r="H1151" s="40"/>
      <c r="I1151" s="40"/>
      <c r="J1151" s="40"/>
      <c r="K1151" s="37"/>
      <c r="L1151" s="37"/>
      <c r="M1151" s="37"/>
      <c r="N1151" s="37"/>
      <c r="O1151" s="37"/>
      <c r="P1151" s="37"/>
      <c r="Q1151" s="37"/>
      <c r="R1151" s="37"/>
      <c r="S1151" s="37"/>
      <c r="T1151" s="37"/>
      <c r="U1151" s="37"/>
      <c r="V1151" s="37"/>
      <c r="W1151" s="37"/>
      <c r="X1151" s="37"/>
      <c r="Y1151" s="37"/>
      <c r="Z1151" s="37"/>
      <c r="AA1151" s="37"/>
      <c r="AB1151" s="37"/>
      <c r="AC1151" s="37"/>
      <c r="AD1151" s="37"/>
      <c r="AE1151" s="37"/>
      <c r="AF1151" s="37"/>
      <c r="AG1151" s="37"/>
      <c r="AH1151" s="37"/>
      <c r="AI1151" s="37"/>
      <c r="AJ1151" s="37"/>
      <c r="AK1151" s="39"/>
      <c r="AL1151" s="37"/>
      <c r="AM1151" s="37"/>
      <c r="AN1151" s="37"/>
      <c r="AO1151" s="37"/>
    </row>
    <row r="1152" spans="1:41">
      <c r="A1152" s="37"/>
      <c r="B1152" s="37"/>
      <c r="C1152" s="37"/>
      <c r="D1152" s="37"/>
      <c r="E1152" s="37"/>
      <c r="F1152" s="37"/>
      <c r="G1152" s="37"/>
      <c r="H1152" s="40"/>
      <c r="I1152" s="40"/>
      <c r="J1152" s="40"/>
      <c r="K1152" s="37"/>
      <c r="L1152" s="37"/>
      <c r="M1152" s="37"/>
      <c r="N1152" s="37"/>
      <c r="O1152" s="37"/>
      <c r="P1152" s="37"/>
      <c r="Q1152" s="37"/>
      <c r="R1152" s="37"/>
      <c r="S1152" s="37"/>
      <c r="T1152" s="37"/>
      <c r="U1152" s="37"/>
      <c r="V1152" s="37"/>
      <c r="W1152" s="37"/>
      <c r="X1152" s="37"/>
      <c r="Y1152" s="37"/>
      <c r="Z1152" s="37"/>
      <c r="AA1152" s="37"/>
      <c r="AB1152" s="37"/>
      <c r="AC1152" s="37"/>
      <c r="AD1152" s="37"/>
      <c r="AE1152" s="37"/>
      <c r="AF1152" s="37"/>
      <c r="AG1152" s="37"/>
      <c r="AH1152" s="37"/>
      <c r="AI1152" s="37"/>
      <c r="AJ1152" s="37"/>
      <c r="AK1152" s="39"/>
      <c r="AL1152" s="37"/>
      <c r="AM1152" s="37"/>
      <c r="AN1152" s="37"/>
      <c r="AO1152" s="37"/>
    </row>
    <row r="1153" spans="1:41">
      <c r="A1153" s="37"/>
      <c r="B1153" s="37"/>
      <c r="C1153" s="37"/>
      <c r="D1153" s="37"/>
      <c r="E1153" s="37"/>
      <c r="F1153" s="37"/>
      <c r="G1153" s="37"/>
      <c r="H1153" s="40"/>
      <c r="I1153" s="40"/>
      <c r="J1153" s="40"/>
      <c r="K1153" s="37"/>
      <c r="L1153" s="37"/>
      <c r="M1153" s="37"/>
      <c r="N1153" s="37"/>
      <c r="O1153" s="37"/>
      <c r="P1153" s="37"/>
      <c r="Q1153" s="37"/>
      <c r="R1153" s="37"/>
      <c r="S1153" s="37"/>
      <c r="T1153" s="37"/>
      <c r="U1153" s="37"/>
      <c r="V1153" s="37"/>
      <c r="W1153" s="37"/>
      <c r="X1153" s="37"/>
      <c r="Y1153" s="37"/>
      <c r="Z1153" s="37"/>
      <c r="AA1153" s="37"/>
      <c r="AB1153" s="37"/>
      <c r="AC1153" s="37"/>
      <c r="AD1153" s="37"/>
      <c r="AE1153" s="37"/>
      <c r="AF1153" s="37"/>
      <c r="AG1153" s="37"/>
      <c r="AH1153" s="37"/>
      <c r="AI1153" s="37"/>
      <c r="AJ1153" s="37"/>
      <c r="AK1153" s="39"/>
      <c r="AL1153" s="37"/>
      <c r="AM1153" s="37"/>
      <c r="AN1153" s="37"/>
      <c r="AO1153" s="37"/>
    </row>
    <row r="1154" spans="1:41">
      <c r="A1154" s="37"/>
      <c r="B1154" s="37"/>
      <c r="C1154" s="37"/>
      <c r="D1154" s="37"/>
      <c r="E1154" s="37"/>
      <c r="F1154" s="37"/>
      <c r="G1154" s="37"/>
      <c r="H1154" s="40"/>
      <c r="I1154" s="40"/>
      <c r="J1154" s="40"/>
      <c r="K1154" s="37"/>
      <c r="L1154" s="37"/>
      <c r="M1154" s="37"/>
      <c r="N1154" s="37"/>
      <c r="O1154" s="37"/>
      <c r="P1154" s="37"/>
      <c r="Q1154" s="37"/>
      <c r="R1154" s="37"/>
      <c r="S1154" s="37"/>
      <c r="T1154" s="37"/>
      <c r="U1154" s="37"/>
      <c r="V1154" s="37"/>
      <c r="W1154" s="37"/>
      <c r="X1154" s="37"/>
      <c r="Y1154" s="37"/>
      <c r="Z1154" s="37"/>
      <c r="AA1154" s="37"/>
      <c r="AB1154" s="37"/>
      <c r="AC1154" s="37"/>
      <c r="AD1154" s="37"/>
      <c r="AE1154" s="37"/>
      <c r="AF1154" s="37"/>
      <c r="AG1154" s="37"/>
      <c r="AH1154" s="37"/>
      <c r="AI1154" s="37"/>
      <c r="AJ1154" s="37"/>
      <c r="AK1154" s="39"/>
      <c r="AL1154" s="37"/>
      <c r="AM1154" s="37"/>
      <c r="AN1154" s="37"/>
      <c r="AO1154" s="37"/>
    </row>
    <row r="1155" spans="1:41">
      <c r="A1155" s="37"/>
      <c r="B1155" s="37"/>
      <c r="C1155" s="37"/>
      <c r="D1155" s="37"/>
      <c r="E1155" s="37"/>
      <c r="F1155" s="37"/>
      <c r="G1155" s="37"/>
      <c r="H1155" s="40"/>
      <c r="I1155" s="40"/>
      <c r="J1155" s="40"/>
      <c r="K1155" s="37"/>
      <c r="L1155" s="37"/>
      <c r="M1155" s="37"/>
      <c r="N1155" s="37"/>
      <c r="O1155" s="37"/>
      <c r="P1155" s="37"/>
      <c r="Q1155" s="37"/>
      <c r="R1155" s="37"/>
      <c r="S1155" s="37"/>
      <c r="T1155" s="37"/>
      <c r="U1155" s="37"/>
      <c r="V1155" s="37"/>
      <c r="W1155" s="37"/>
      <c r="X1155" s="37"/>
      <c r="Y1155" s="37"/>
      <c r="Z1155" s="37"/>
      <c r="AA1155" s="37"/>
      <c r="AB1155" s="37"/>
      <c r="AC1155" s="37"/>
      <c r="AD1155" s="37"/>
      <c r="AE1155" s="37"/>
      <c r="AF1155" s="37"/>
      <c r="AG1155" s="37"/>
      <c r="AH1155" s="37"/>
      <c r="AI1155" s="37"/>
      <c r="AJ1155" s="37"/>
      <c r="AK1155" s="39"/>
      <c r="AL1155" s="37"/>
      <c r="AM1155" s="37"/>
      <c r="AN1155" s="37"/>
      <c r="AO1155" s="37"/>
    </row>
    <row r="1156" spans="1:41">
      <c r="A1156" s="37"/>
      <c r="B1156" s="37"/>
      <c r="C1156" s="37"/>
      <c r="D1156" s="37"/>
      <c r="E1156" s="37"/>
      <c r="F1156" s="37"/>
      <c r="G1156" s="37"/>
      <c r="H1156" s="40"/>
      <c r="I1156" s="40"/>
      <c r="J1156" s="40"/>
      <c r="K1156" s="37"/>
      <c r="L1156" s="37"/>
      <c r="M1156" s="37"/>
      <c r="N1156" s="37"/>
      <c r="O1156" s="37"/>
      <c r="P1156" s="37"/>
      <c r="Q1156" s="37"/>
      <c r="R1156" s="37"/>
      <c r="S1156" s="37"/>
      <c r="T1156" s="37"/>
      <c r="U1156" s="37"/>
      <c r="V1156" s="37"/>
      <c r="W1156" s="37"/>
      <c r="X1156" s="37"/>
      <c r="Y1156" s="37"/>
      <c r="Z1156" s="37"/>
      <c r="AA1156" s="37"/>
      <c r="AB1156" s="37"/>
      <c r="AC1156" s="37"/>
      <c r="AD1156" s="37"/>
      <c r="AE1156" s="37"/>
      <c r="AF1156" s="37"/>
      <c r="AG1156" s="37"/>
      <c r="AH1156" s="37"/>
      <c r="AI1156" s="37"/>
      <c r="AJ1156" s="37"/>
      <c r="AK1156" s="39"/>
      <c r="AL1156" s="37"/>
      <c r="AM1156" s="37"/>
      <c r="AN1156" s="37"/>
      <c r="AO1156" s="37"/>
    </row>
    <row r="1157" spans="1:41">
      <c r="A1157" s="37"/>
      <c r="B1157" s="37"/>
      <c r="C1157" s="37"/>
      <c r="D1157" s="37"/>
      <c r="E1157" s="37"/>
      <c r="F1157" s="37"/>
      <c r="G1157" s="37"/>
      <c r="H1157" s="40"/>
      <c r="I1157" s="40"/>
      <c r="J1157" s="40"/>
      <c r="K1157" s="37"/>
      <c r="L1157" s="37"/>
      <c r="M1157" s="37"/>
      <c r="N1157" s="37"/>
      <c r="O1157" s="37"/>
      <c r="P1157" s="37"/>
      <c r="Q1157" s="37"/>
      <c r="R1157" s="37"/>
      <c r="S1157" s="37"/>
      <c r="T1157" s="37"/>
      <c r="U1157" s="37"/>
      <c r="V1157" s="37"/>
      <c r="W1157" s="37"/>
      <c r="X1157" s="37"/>
      <c r="Y1157" s="37"/>
      <c r="Z1157" s="37"/>
      <c r="AA1157" s="37"/>
      <c r="AB1157" s="37"/>
      <c r="AC1157" s="37"/>
      <c r="AD1157" s="37"/>
      <c r="AE1157" s="37"/>
      <c r="AF1157" s="37"/>
      <c r="AG1157" s="37"/>
      <c r="AH1157" s="37"/>
      <c r="AI1157" s="37"/>
      <c r="AJ1157" s="37"/>
      <c r="AK1157" s="39"/>
      <c r="AL1157" s="37"/>
      <c r="AM1157" s="37"/>
      <c r="AN1157" s="37"/>
      <c r="AO1157" s="37"/>
    </row>
    <row r="1158" spans="1:41">
      <c r="A1158" s="37"/>
      <c r="B1158" s="37"/>
      <c r="C1158" s="37"/>
      <c r="D1158" s="37"/>
      <c r="E1158" s="37"/>
      <c r="F1158" s="37"/>
      <c r="G1158" s="37"/>
      <c r="H1158" s="40"/>
      <c r="I1158" s="40"/>
      <c r="J1158" s="40"/>
      <c r="K1158" s="37"/>
      <c r="L1158" s="37"/>
      <c r="M1158" s="37"/>
      <c r="N1158" s="37"/>
      <c r="O1158" s="37"/>
      <c r="P1158" s="37"/>
      <c r="Q1158" s="37"/>
      <c r="R1158" s="37"/>
      <c r="S1158" s="37"/>
      <c r="T1158" s="37"/>
      <c r="U1158" s="37"/>
      <c r="V1158" s="37"/>
      <c r="W1158" s="37"/>
      <c r="X1158" s="37"/>
      <c r="Y1158" s="37"/>
      <c r="Z1158" s="37"/>
      <c r="AA1158" s="37"/>
      <c r="AB1158" s="37"/>
      <c r="AC1158" s="37"/>
      <c r="AD1158" s="37"/>
      <c r="AE1158" s="37"/>
      <c r="AF1158" s="37"/>
      <c r="AG1158" s="37"/>
      <c r="AH1158" s="37"/>
      <c r="AI1158" s="37"/>
      <c r="AJ1158" s="37"/>
      <c r="AK1158" s="39"/>
      <c r="AL1158" s="37"/>
      <c r="AM1158" s="37"/>
      <c r="AN1158" s="37"/>
      <c r="AO1158" s="37"/>
    </row>
    <row r="1159" spans="1:41">
      <c r="A1159" s="37"/>
      <c r="B1159" s="37"/>
      <c r="C1159" s="37"/>
      <c r="D1159" s="37"/>
      <c r="E1159" s="37"/>
      <c r="F1159" s="37"/>
      <c r="G1159" s="37"/>
      <c r="H1159" s="40"/>
      <c r="I1159" s="40"/>
      <c r="J1159" s="40"/>
      <c r="K1159" s="37"/>
      <c r="L1159" s="37"/>
      <c r="M1159" s="37"/>
      <c r="N1159" s="37"/>
      <c r="O1159" s="37"/>
      <c r="P1159" s="37"/>
      <c r="Q1159" s="37"/>
      <c r="R1159" s="37"/>
      <c r="S1159" s="37"/>
      <c r="T1159" s="37"/>
      <c r="U1159" s="37"/>
      <c r="V1159" s="37"/>
      <c r="W1159" s="37"/>
      <c r="X1159" s="37"/>
      <c r="Y1159" s="37"/>
      <c r="Z1159" s="37"/>
      <c r="AA1159" s="37"/>
      <c r="AB1159" s="37"/>
      <c r="AC1159" s="37"/>
      <c r="AD1159" s="37"/>
      <c r="AE1159" s="37"/>
      <c r="AF1159" s="37"/>
      <c r="AG1159" s="37"/>
      <c r="AH1159" s="37"/>
      <c r="AI1159" s="37"/>
      <c r="AJ1159" s="37"/>
      <c r="AK1159" s="39"/>
      <c r="AL1159" s="37"/>
      <c r="AM1159" s="37"/>
      <c r="AN1159" s="37"/>
      <c r="AO1159" s="37"/>
    </row>
    <row r="1160" spans="1:41">
      <c r="A1160" s="37"/>
      <c r="B1160" s="37"/>
      <c r="C1160" s="37"/>
      <c r="D1160" s="37"/>
      <c r="E1160" s="37"/>
      <c r="F1160" s="37"/>
      <c r="G1160" s="37"/>
      <c r="H1160" s="40"/>
      <c r="I1160" s="40"/>
      <c r="J1160" s="40"/>
      <c r="K1160" s="37"/>
      <c r="L1160" s="37"/>
      <c r="M1160" s="37"/>
      <c r="N1160" s="37"/>
      <c r="O1160" s="37"/>
      <c r="P1160" s="37"/>
      <c r="Q1160" s="37"/>
      <c r="R1160" s="37"/>
      <c r="S1160" s="37"/>
      <c r="T1160" s="37"/>
      <c r="U1160" s="37"/>
      <c r="V1160" s="37"/>
      <c r="W1160" s="37"/>
      <c r="X1160" s="37"/>
      <c r="Y1160" s="37"/>
      <c r="Z1160" s="37"/>
      <c r="AA1160" s="37"/>
      <c r="AB1160" s="37"/>
      <c r="AC1160" s="37"/>
      <c r="AD1160" s="37"/>
      <c r="AE1160" s="37"/>
      <c r="AF1160" s="37"/>
      <c r="AG1160" s="37"/>
      <c r="AH1160" s="37"/>
      <c r="AI1160" s="37"/>
      <c r="AJ1160" s="37"/>
      <c r="AK1160" s="39"/>
      <c r="AL1160" s="37"/>
      <c r="AM1160" s="37"/>
      <c r="AN1160" s="37"/>
      <c r="AO1160" s="37"/>
    </row>
    <row r="1161" spans="1:41">
      <c r="A1161" s="37"/>
      <c r="B1161" s="37"/>
      <c r="C1161" s="37"/>
      <c r="D1161" s="37"/>
      <c r="E1161" s="37"/>
      <c r="F1161" s="37"/>
      <c r="G1161" s="37"/>
      <c r="H1161" s="40"/>
      <c r="I1161" s="40"/>
      <c r="J1161" s="40"/>
      <c r="K1161" s="37"/>
      <c r="L1161" s="37"/>
      <c r="M1161" s="37"/>
      <c r="N1161" s="37"/>
      <c r="O1161" s="37"/>
      <c r="P1161" s="37"/>
      <c r="Q1161" s="37"/>
      <c r="R1161" s="37"/>
      <c r="S1161" s="37"/>
      <c r="T1161" s="37"/>
      <c r="U1161" s="37"/>
      <c r="V1161" s="37"/>
      <c r="W1161" s="37"/>
      <c r="X1161" s="37"/>
      <c r="Y1161" s="37"/>
      <c r="Z1161" s="37"/>
      <c r="AA1161" s="37"/>
      <c r="AB1161" s="37"/>
      <c r="AC1161" s="37"/>
      <c r="AD1161" s="37"/>
      <c r="AE1161" s="37"/>
      <c r="AF1161" s="37"/>
      <c r="AG1161" s="37"/>
      <c r="AH1161" s="37"/>
      <c r="AI1161" s="37"/>
      <c r="AJ1161" s="37"/>
      <c r="AK1161" s="39"/>
      <c r="AL1161" s="37"/>
      <c r="AM1161" s="37"/>
      <c r="AN1161" s="37"/>
      <c r="AO1161" s="37"/>
    </row>
    <row r="1162" spans="1:41">
      <c r="A1162" s="37"/>
      <c r="B1162" s="37"/>
      <c r="C1162" s="37"/>
      <c r="D1162" s="37"/>
      <c r="E1162" s="37"/>
      <c r="F1162" s="37"/>
      <c r="G1162" s="37"/>
      <c r="H1162" s="40"/>
      <c r="I1162" s="40"/>
      <c r="J1162" s="40"/>
      <c r="K1162" s="37"/>
      <c r="L1162" s="37"/>
      <c r="M1162" s="37"/>
      <c r="N1162" s="37"/>
      <c r="O1162" s="37"/>
      <c r="P1162" s="37"/>
      <c r="Q1162" s="37"/>
      <c r="R1162" s="37"/>
      <c r="S1162" s="37"/>
      <c r="T1162" s="37"/>
      <c r="U1162" s="37"/>
      <c r="V1162" s="37"/>
      <c r="W1162" s="37"/>
      <c r="X1162" s="37"/>
      <c r="Y1162" s="37"/>
      <c r="Z1162" s="37"/>
      <c r="AA1162" s="37"/>
      <c r="AB1162" s="37"/>
      <c r="AC1162" s="37"/>
      <c r="AD1162" s="37"/>
      <c r="AE1162" s="37"/>
      <c r="AF1162" s="37"/>
      <c r="AG1162" s="37"/>
      <c r="AH1162" s="37"/>
      <c r="AI1162" s="37"/>
      <c r="AJ1162" s="37"/>
      <c r="AK1162" s="39"/>
      <c r="AL1162" s="37"/>
      <c r="AM1162" s="37"/>
      <c r="AN1162" s="37"/>
      <c r="AO1162" s="37"/>
    </row>
    <row r="1163" spans="1:41">
      <c r="A1163" s="37"/>
      <c r="B1163" s="37"/>
      <c r="C1163" s="37"/>
      <c r="D1163" s="37"/>
      <c r="E1163" s="37"/>
      <c r="F1163" s="37"/>
      <c r="G1163" s="37"/>
      <c r="H1163" s="40"/>
      <c r="I1163" s="40"/>
      <c r="J1163" s="40"/>
      <c r="K1163" s="37"/>
      <c r="L1163" s="37"/>
      <c r="M1163" s="37"/>
      <c r="N1163" s="37"/>
      <c r="O1163" s="37"/>
      <c r="P1163" s="37"/>
      <c r="Q1163" s="37"/>
      <c r="R1163" s="37"/>
      <c r="S1163" s="37"/>
      <c r="T1163" s="37"/>
      <c r="U1163" s="37"/>
      <c r="V1163" s="37"/>
      <c r="W1163" s="37"/>
      <c r="X1163" s="37"/>
      <c r="Y1163" s="37"/>
      <c r="Z1163" s="37"/>
      <c r="AA1163" s="37"/>
      <c r="AB1163" s="37"/>
      <c r="AC1163" s="37"/>
      <c r="AD1163" s="37"/>
      <c r="AE1163" s="37"/>
      <c r="AF1163" s="37"/>
      <c r="AG1163" s="37"/>
      <c r="AH1163" s="37"/>
      <c r="AI1163" s="37"/>
      <c r="AJ1163" s="37"/>
      <c r="AK1163" s="39"/>
      <c r="AL1163" s="37"/>
      <c r="AM1163" s="37"/>
      <c r="AN1163" s="37"/>
      <c r="AO1163" s="37"/>
    </row>
    <row r="1164" spans="1:41">
      <c r="A1164" s="37"/>
      <c r="B1164" s="37"/>
      <c r="C1164" s="37"/>
      <c r="D1164" s="37"/>
      <c r="E1164" s="37"/>
      <c r="F1164" s="37"/>
      <c r="G1164" s="37"/>
      <c r="H1164" s="40"/>
      <c r="I1164" s="40"/>
      <c r="J1164" s="40"/>
      <c r="K1164" s="37"/>
      <c r="L1164" s="37"/>
      <c r="M1164" s="37"/>
      <c r="N1164" s="37"/>
      <c r="O1164" s="37"/>
      <c r="P1164" s="37"/>
      <c r="Q1164" s="37"/>
      <c r="R1164" s="37"/>
      <c r="S1164" s="37"/>
      <c r="T1164" s="37"/>
      <c r="U1164" s="37"/>
      <c r="V1164" s="37"/>
      <c r="W1164" s="37"/>
      <c r="X1164" s="37"/>
      <c r="Y1164" s="37"/>
      <c r="Z1164" s="37"/>
      <c r="AA1164" s="37"/>
      <c r="AB1164" s="37"/>
      <c r="AC1164" s="37"/>
      <c r="AD1164" s="37"/>
      <c r="AE1164" s="37"/>
      <c r="AF1164" s="37"/>
      <c r="AG1164" s="37"/>
      <c r="AH1164" s="37"/>
      <c r="AI1164" s="37"/>
      <c r="AJ1164" s="37"/>
      <c r="AK1164" s="39"/>
      <c r="AL1164" s="37"/>
      <c r="AM1164" s="37"/>
      <c r="AN1164" s="37"/>
      <c r="AO1164" s="37"/>
    </row>
    <row r="1165" spans="1:41">
      <c r="A1165" s="37"/>
      <c r="B1165" s="37"/>
      <c r="C1165" s="37"/>
      <c r="D1165" s="37"/>
      <c r="E1165" s="37"/>
      <c r="F1165" s="37"/>
      <c r="G1165" s="37"/>
      <c r="H1165" s="40"/>
      <c r="I1165" s="40"/>
      <c r="J1165" s="40"/>
      <c r="K1165" s="37"/>
      <c r="L1165" s="37"/>
      <c r="M1165" s="37"/>
      <c r="N1165" s="37"/>
      <c r="O1165" s="37"/>
      <c r="P1165" s="37"/>
      <c r="Q1165" s="37"/>
      <c r="R1165" s="37"/>
      <c r="S1165" s="37"/>
      <c r="T1165" s="37"/>
      <c r="U1165" s="37"/>
      <c r="V1165" s="37"/>
      <c r="W1165" s="37"/>
      <c r="X1165" s="37"/>
      <c r="Y1165" s="37"/>
      <c r="Z1165" s="37"/>
      <c r="AA1165" s="37"/>
      <c r="AB1165" s="37"/>
      <c r="AC1165" s="37"/>
      <c r="AD1165" s="37"/>
      <c r="AE1165" s="37"/>
      <c r="AF1165" s="37"/>
      <c r="AG1165" s="37"/>
      <c r="AH1165" s="37"/>
      <c r="AI1165" s="37"/>
      <c r="AJ1165" s="37"/>
      <c r="AK1165" s="39"/>
      <c r="AL1165" s="37"/>
      <c r="AM1165" s="37"/>
      <c r="AN1165" s="37"/>
      <c r="AO1165" s="37"/>
    </row>
    <row r="1166" spans="1:41">
      <c r="A1166" s="37"/>
      <c r="B1166" s="37"/>
      <c r="C1166" s="37"/>
      <c r="D1166" s="37"/>
      <c r="E1166" s="37"/>
      <c r="F1166" s="37"/>
      <c r="G1166" s="37"/>
      <c r="H1166" s="40"/>
      <c r="I1166" s="40"/>
      <c r="J1166" s="40"/>
      <c r="K1166" s="37"/>
      <c r="L1166" s="37"/>
      <c r="M1166" s="37"/>
      <c r="N1166" s="37"/>
      <c r="O1166" s="37"/>
      <c r="P1166" s="37"/>
      <c r="Q1166" s="37"/>
      <c r="R1166" s="37"/>
      <c r="S1166" s="37"/>
      <c r="T1166" s="37"/>
      <c r="U1166" s="37"/>
      <c r="V1166" s="37"/>
      <c r="W1166" s="37"/>
      <c r="X1166" s="37"/>
      <c r="Y1166" s="37"/>
      <c r="Z1166" s="37"/>
      <c r="AA1166" s="37"/>
      <c r="AB1166" s="37"/>
      <c r="AC1166" s="37"/>
      <c r="AD1166" s="37"/>
      <c r="AE1166" s="37"/>
      <c r="AF1166" s="37"/>
      <c r="AG1166" s="37"/>
      <c r="AH1166" s="37"/>
      <c r="AI1166" s="37"/>
      <c r="AJ1166" s="37"/>
      <c r="AK1166" s="39"/>
      <c r="AL1166" s="37"/>
      <c r="AM1166" s="37"/>
      <c r="AN1166" s="37"/>
      <c r="AO1166" s="37"/>
    </row>
    <row r="1167" spans="1:41">
      <c r="A1167" s="37"/>
      <c r="B1167" s="37"/>
      <c r="C1167" s="37"/>
      <c r="D1167" s="37"/>
      <c r="E1167" s="37"/>
      <c r="F1167" s="37"/>
      <c r="G1167" s="37"/>
      <c r="H1167" s="40"/>
      <c r="I1167" s="40"/>
      <c r="J1167" s="40"/>
      <c r="K1167" s="37"/>
      <c r="L1167" s="37"/>
      <c r="M1167" s="37"/>
      <c r="N1167" s="37"/>
      <c r="O1167" s="37"/>
      <c r="P1167" s="37"/>
      <c r="Q1167" s="37"/>
      <c r="R1167" s="37"/>
      <c r="S1167" s="37"/>
      <c r="T1167" s="37"/>
      <c r="U1167" s="37"/>
      <c r="V1167" s="37"/>
      <c r="W1167" s="37"/>
      <c r="X1167" s="37"/>
      <c r="Y1167" s="37"/>
      <c r="Z1167" s="37"/>
      <c r="AA1167" s="37"/>
      <c r="AB1167" s="37"/>
      <c r="AC1167" s="37"/>
      <c r="AD1167" s="37"/>
      <c r="AE1167" s="37"/>
      <c r="AF1167" s="37"/>
      <c r="AG1167" s="37"/>
      <c r="AH1167" s="37"/>
      <c r="AI1167" s="37"/>
      <c r="AJ1167" s="37"/>
      <c r="AK1167" s="39"/>
      <c r="AL1167" s="37"/>
      <c r="AM1167" s="37"/>
      <c r="AN1167" s="37"/>
      <c r="AO1167" s="37"/>
    </row>
    <row r="1168" spans="1:41">
      <c r="A1168" s="37"/>
      <c r="B1168" s="37"/>
      <c r="C1168" s="37"/>
      <c r="D1168" s="37"/>
      <c r="E1168" s="37"/>
      <c r="F1168" s="37"/>
      <c r="G1168" s="37"/>
      <c r="H1168" s="40"/>
      <c r="I1168" s="40"/>
      <c r="J1168" s="40"/>
      <c r="K1168" s="37"/>
      <c r="L1168" s="37"/>
      <c r="M1168" s="37"/>
      <c r="N1168" s="37"/>
      <c r="O1168" s="37"/>
      <c r="P1168" s="37"/>
      <c r="Q1168" s="37"/>
      <c r="R1168" s="37"/>
      <c r="S1168" s="37"/>
      <c r="T1168" s="37"/>
      <c r="U1168" s="37"/>
      <c r="V1168" s="37"/>
      <c r="W1168" s="37"/>
      <c r="X1168" s="37"/>
      <c r="Y1168" s="37"/>
      <c r="Z1168" s="37"/>
      <c r="AA1168" s="37"/>
      <c r="AB1168" s="37"/>
      <c r="AC1168" s="37"/>
      <c r="AD1168" s="37"/>
      <c r="AE1168" s="37"/>
      <c r="AF1168" s="37"/>
      <c r="AG1168" s="37"/>
      <c r="AH1168" s="37"/>
      <c r="AI1168" s="37"/>
      <c r="AJ1168" s="37"/>
      <c r="AK1168" s="39"/>
      <c r="AL1168" s="37"/>
      <c r="AM1168" s="37"/>
      <c r="AN1168" s="37"/>
      <c r="AO1168" s="37"/>
    </row>
    <row r="1169" spans="1:41">
      <c r="A1169" s="37"/>
      <c r="B1169" s="37"/>
      <c r="C1169" s="37"/>
      <c r="D1169" s="37"/>
      <c r="E1169" s="37"/>
      <c r="F1169" s="37"/>
      <c r="G1169" s="37"/>
      <c r="H1169" s="40"/>
      <c r="I1169" s="40"/>
      <c r="J1169" s="40"/>
      <c r="K1169" s="37"/>
      <c r="L1169" s="37"/>
      <c r="M1169" s="37"/>
      <c r="N1169" s="37"/>
      <c r="O1169" s="37"/>
      <c r="P1169" s="37"/>
      <c r="Q1169" s="37"/>
      <c r="R1169" s="37"/>
      <c r="S1169" s="37"/>
      <c r="T1169" s="37"/>
      <c r="U1169" s="37"/>
      <c r="V1169" s="37"/>
      <c r="W1169" s="37"/>
      <c r="X1169" s="37"/>
      <c r="Y1169" s="37"/>
      <c r="Z1169" s="37"/>
      <c r="AA1169" s="37"/>
      <c r="AB1169" s="37"/>
      <c r="AC1169" s="37"/>
      <c r="AD1169" s="37"/>
      <c r="AE1169" s="37"/>
      <c r="AF1169" s="37"/>
      <c r="AG1169" s="37"/>
      <c r="AH1169" s="37"/>
      <c r="AI1169" s="37"/>
      <c r="AJ1169" s="37"/>
      <c r="AK1169" s="39"/>
      <c r="AL1169" s="37"/>
      <c r="AM1169" s="37"/>
      <c r="AN1169" s="37"/>
      <c r="AO1169" s="37"/>
    </row>
    <row r="1170" spans="1:41">
      <c r="A1170" s="37"/>
      <c r="B1170" s="37"/>
      <c r="C1170" s="37"/>
      <c r="D1170" s="37"/>
      <c r="E1170" s="37"/>
      <c r="F1170" s="37"/>
      <c r="G1170" s="37"/>
      <c r="H1170" s="40"/>
      <c r="I1170" s="40"/>
      <c r="J1170" s="40"/>
      <c r="K1170" s="37"/>
      <c r="L1170" s="37"/>
      <c r="M1170" s="37"/>
      <c r="N1170" s="37"/>
      <c r="O1170" s="37"/>
      <c r="P1170" s="37"/>
      <c r="Q1170" s="37"/>
      <c r="R1170" s="37"/>
      <c r="S1170" s="37"/>
      <c r="T1170" s="37"/>
      <c r="U1170" s="37"/>
      <c r="V1170" s="37"/>
      <c r="W1170" s="37"/>
      <c r="X1170" s="37"/>
      <c r="Y1170" s="37"/>
      <c r="Z1170" s="37"/>
      <c r="AA1170" s="37"/>
      <c r="AB1170" s="37"/>
      <c r="AC1170" s="37"/>
      <c r="AD1170" s="37"/>
      <c r="AE1170" s="37"/>
      <c r="AF1170" s="37"/>
      <c r="AG1170" s="37"/>
      <c r="AH1170" s="37"/>
      <c r="AI1170" s="37"/>
      <c r="AJ1170" s="37"/>
      <c r="AK1170" s="39"/>
      <c r="AL1170" s="37"/>
      <c r="AM1170" s="37"/>
      <c r="AN1170" s="37"/>
      <c r="AO1170" s="37"/>
    </row>
    <row r="1171" spans="1:41">
      <c r="A1171" s="37"/>
      <c r="B1171" s="37"/>
      <c r="C1171" s="37"/>
      <c r="D1171" s="37"/>
      <c r="E1171" s="37"/>
      <c r="F1171" s="37"/>
      <c r="G1171" s="37"/>
      <c r="H1171" s="40"/>
      <c r="I1171" s="40"/>
      <c r="J1171" s="40"/>
      <c r="K1171" s="37"/>
      <c r="L1171" s="37"/>
      <c r="M1171" s="37"/>
      <c r="N1171" s="37"/>
      <c r="O1171" s="37"/>
      <c r="P1171" s="37"/>
      <c r="Q1171" s="37"/>
      <c r="R1171" s="37"/>
      <c r="S1171" s="37"/>
      <c r="T1171" s="37"/>
      <c r="U1171" s="37"/>
      <c r="V1171" s="37"/>
      <c r="W1171" s="37"/>
      <c r="X1171" s="37"/>
      <c r="Y1171" s="37"/>
      <c r="Z1171" s="37"/>
      <c r="AA1171" s="37"/>
      <c r="AB1171" s="37"/>
      <c r="AC1171" s="37"/>
      <c r="AD1171" s="37"/>
      <c r="AE1171" s="37"/>
      <c r="AF1171" s="37"/>
      <c r="AG1171" s="37"/>
      <c r="AH1171" s="37"/>
      <c r="AI1171" s="37"/>
      <c r="AJ1171" s="37"/>
      <c r="AK1171" s="39"/>
      <c r="AL1171" s="37"/>
      <c r="AM1171" s="37"/>
      <c r="AN1171" s="37"/>
      <c r="AO1171" s="37"/>
    </row>
    <row r="1172" spans="1:41">
      <c r="A1172" s="37"/>
      <c r="B1172" s="37"/>
      <c r="C1172" s="37"/>
      <c r="D1172" s="37"/>
      <c r="E1172" s="37"/>
      <c r="F1172" s="37"/>
      <c r="G1172" s="37"/>
      <c r="H1172" s="40"/>
      <c r="I1172" s="40"/>
      <c r="J1172" s="40"/>
      <c r="K1172" s="37"/>
      <c r="L1172" s="37"/>
      <c r="M1172" s="37"/>
      <c r="N1172" s="37"/>
      <c r="O1172" s="37"/>
      <c r="P1172" s="37"/>
      <c r="Q1172" s="37"/>
      <c r="R1172" s="37"/>
      <c r="S1172" s="37"/>
      <c r="T1172" s="37"/>
      <c r="U1172" s="37"/>
      <c r="V1172" s="37"/>
      <c r="W1172" s="37"/>
      <c r="X1172" s="37"/>
      <c r="Y1172" s="37"/>
      <c r="Z1172" s="37"/>
      <c r="AA1172" s="37"/>
      <c r="AB1172" s="37"/>
      <c r="AC1172" s="37"/>
      <c r="AD1172" s="37"/>
      <c r="AE1172" s="37"/>
      <c r="AF1172" s="37"/>
      <c r="AG1172" s="37"/>
      <c r="AH1172" s="37"/>
      <c r="AI1172" s="37"/>
      <c r="AJ1172" s="37"/>
      <c r="AK1172" s="39"/>
      <c r="AL1172" s="37"/>
      <c r="AM1172" s="37"/>
      <c r="AN1172" s="37"/>
      <c r="AO1172" s="37"/>
    </row>
    <row r="1173" spans="1:41">
      <c r="A1173" s="37"/>
      <c r="B1173" s="37"/>
      <c r="C1173" s="37"/>
      <c r="D1173" s="37"/>
      <c r="E1173" s="37"/>
      <c r="F1173" s="37"/>
      <c r="G1173" s="37"/>
      <c r="H1173" s="40"/>
      <c r="I1173" s="40"/>
      <c r="J1173" s="40"/>
      <c r="K1173" s="37"/>
      <c r="L1173" s="37"/>
      <c r="M1173" s="37"/>
      <c r="N1173" s="37"/>
      <c r="O1173" s="37"/>
      <c r="P1173" s="37"/>
      <c r="Q1173" s="37"/>
      <c r="R1173" s="37"/>
      <c r="S1173" s="37"/>
      <c r="T1173" s="37"/>
      <c r="U1173" s="37"/>
      <c r="V1173" s="37"/>
      <c r="W1173" s="37"/>
      <c r="X1173" s="37"/>
      <c r="Y1173" s="37"/>
      <c r="Z1173" s="37"/>
      <c r="AA1173" s="37"/>
      <c r="AB1173" s="37"/>
      <c r="AC1173" s="37"/>
      <c r="AD1173" s="37"/>
      <c r="AE1173" s="37"/>
      <c r="AF1173" s="37"/>
      <c r="AG1173" s="37"/>
      <c r="AH1173" s="37"/>
      <c r="AI1173" s="37"/>
      <c r="AJ1173" s="37"/>
      <c r="AK1173" s="39"/>
      <c r="AL1173" s="37"/>
      <c r="AM1173" s="37"/>
      <c r="AN1173" s="37"/>
      <c r="AO1173" s="37"/>
    </row>
    <row r="1174" spans="1:41">
      <c r="A1174" s="37"/>
      <c r="B1174" s="37"/>
      <c r="C1174" s="37"/>
      <c r="D1174" s="37"/>
      <c r="E1174" s="37"/>
      <c r="F1174" s="37"/>
      <c r="G1174" s="37"/>
      <c r="H1174" s="40"/>
      <c r="I1174" s="40"/>
      <c r="J1174" s="40"/>
      <c r="K1174" s="37"/>
      <c r="L1174" s="37"/>
      <c r="M1174" s="37"/>
      <c r="N1174" s="37"/>
      <c r="O1174" s="37"/>
      <c r="P1174" s="37"/>
      <c r="Q1174" s="37"/>
      <c r="R1174" s="37"/>
      <c r="S1174" s="37"/>
      <c r="T1174" s="37"/>
      <c r="U1174" s="37"/>
      <c r="V1174" s="37"/>
      <c r="W1174" s="37"/>
      <c r="X1174" s="37"/>
      <c r="Y1174" s="37"/>
      <c r="Z1174" s="37"/>
      <c r="AA1174" s="37"/>
      <c r="AB1174" s="37"/>
      <c r="AC1174" s="37"/>
      <c r="AD1174" s="37"/>
      <c r="AE1174" s="37"/>
      <c r="AF1174" s="37"/>
      <c r="AG1174" s="37"/>
      <c r="AH1174" s="37"/>
      <c r="AI1174" s="37"/>
      <c r="AJ1174" s="37"/>
      <c r="AK1174" s="39"/>
      <c r="AL1174" s="37"/>
      <c r="AM1174" s="37"/>
      <c r="AN1174" s="37"/>
      <c r="AO1174" s="37"/>
    </row>
    <row r="1175" spans="1:41">
      <c r="A1175" s="37"/>
      <c r="B1175" s="37"/>
      <c r="C1175" s="37"/>
      <c r="D1175" s="37"/>
      <c r="E1175" s="37"/>
      <c r="F1175" s="37"/>
      <c r="G1175" s="37"/>
      <c r="H1175" s="40"/>
      <c r="I1175" s="40"/>
      <c r="J1175" s="40"/>
      <c r="K1175" s="37"/>
      <c r="L1175" s="37"/>
      <c r="M1175" s="37"/>
      <c r="N1175" s="37"/>
      <c r="O1175" s="37"/>
      <c r="P1175" s="37"/>
      <c r="Q1175" s="37"/>
      <c r="R1175" s="37"/>
      <c r="S1175" s="37"/>
      <c r="T1175" s="37"/>
      <c r="U1175" s="37"/>
      <c r="V1175" s="37"/>
      <c r="W1175" s="37"/>
      <c r="X1175" s="37"/>
      <c r="Y1175" s="37"/>
      <c r="Z1175" s="37"/>
      <c r="AA1175" s="37"/>
      <c r="AB1175" s="37"/>
      <c r="AC1175" s="37"/>
      <c r="AD1175" s="37"/>
      <c r="AE1175" s="37"/>
      <c r="AF1175" s="37"/>
      <c r="AG1175" s="37"/>
      <c r="AH1175" s="37"/>
      <c r="AI1175" s="37"/>
      <c r="AJ1175" s="37"/>
      <c r="AK1175" s="39"/>
      <c r="AL1175" s="37"/>
      <c r="AM1175" s="37"/>
      <c r="AN1175" s="37"/>
      <c r="AO1175" s="37"/>
    </row>
    <row r="1176" spans="1:41">
      <c r="A1176" s="37"/>
      <c r="B1176" s="37"/>
      <c r="C1176" s="37"/>
      <c r="D1176" s="37"/>
      <c r="E1176" s="37"/>
      <c r="F1176" s="37"/>
      <c r="G1176" s="37"/>
      <c r="H1176" s="40"/>
      <c r="I1176" s="40"/>
      <c r="J1176" s="40"/>
      <c r="K1176" s="37"/>
      <c r="L1176" s="37"/>
      <c r="M1176" s="37"/>
      <c r="N1176" s="37"/>
      <c r="O1176" s="37"/>
      <c r="P1176" s="37"/>
      <c r="Q1176" s="37"/>
      <c r="R1176" s="37"/>
      <c r="S1176" s="37"/>
      <c r="T1176" s="37"/>
      <c r="U1176" s="37"/>
      <c r="V1176" s="37"/>
      <c r="W1176" s="37"/>
      <c r="X1176" s="37"/>
      <c r="Y1176" s="37"/>
      <c r="Z1176" s="37"/>
      <c r="AA1176" s="37"/>
      <c r="AB1176" s="37"/>
      <c r="AC1176" s="37"/>
      <c r="AD1176" s="37"/>
      <c r="AE1176" s="37"/>
      <c r="AF1176" s="37"/>
      <c r="AG1176" s="37"/>
      <c r="AH1176" s="37"/>
      <c r="AI1176" s="37"/>
      <c r="AJ1176" s="37"/>
      <c r="AK1176" s="39"/>
      <c r="AL1176" s="37"/>
      <c r="AM1176" s="37"/>
      <c r="AN1176" s="37"/>
      <c r="AO1176" s="37"/>
    </row>
    <row r="1177" spans="1:41">
      <c r="A1177" s="37"/>
      <c r="B1177" s="37"/>
      <c r="C1177" s="37"/>
      <c r="D1177" s="37"/>
      <c r="E1177" s="37"/>
      <c r="F1177" s="37"/>
      <c r="G1177" s="37"/>
      <c r="H1177" s="40"/>
      <c r="I1177" s="40"/>
      <c r="J1177" s="40"/>
      <c r="K1177" s="37"/>
      <c r="L1177" s="37"/>
      <c r="M1177" s="37"/>
      <c r="N1177" s="37"/>
      <c r="O1177" s="37"/>
      <c r="P1177" s="37"/>
      <c r="Q1177" s="37"/>
      <c r="R1177" s="37"/>
      <c r="S1177" s="37"/>
      <c r="T1177" s="37"/>
      <c r="U1177" s="37"/>
      <c r="V1177" s="37"/>
      <c r="W1177" s="37"/>
      <c r="X1177" s="37"/>
      <c r="Y1177" s="37"/>
      <c r="Z1177" s="37"/>
      <c r="AA1177" s="37"/>
      <c r="AB1177" s="37"/>
      <c r="AC1177" s="37"/>
      <c r="AD1177" s="37"/>
      <c r="AE1177" s="37"/>
      <c r="AF1177" s="37"/>
      <c r="AG1177" s="37"/>
      <c r="AH1177" s="37"/>
      <c r="AI1177" s="37"/>
      <c r="AJ1177" s="37"/>
      <c r="AK1177" s="39"/>
      <c r="AL1177" s="37"/>
      <c r="AM1177" s="37"/>
      <c r="AN1177" s="37"/>
      <c r="AO1177" s="37"/>
    </row>
    <row r="1178" spans="1:41">
      <c r="A1178" s="37"/>
      <c r="B1178" s="37"/>
      <c r="C1178" s="37"/>
      <c r="D1178" s="37"/>
      <c r="E1178" s="37"/>
      <c r="F1178" s="37"/>
      <c r="G1178" s="37"/>
      <c r="H1178" s="40"/>
      <c r="I1178" s="40"/>
      <c r="J1178" s="40"/>
      <c r="K1178" s="37"/>
      <c r="L1178" s="37"/>
      <c r="M1178" s="37"/>
      <c r="N1178" s="37"/>
      <c r="O1178" s="37"/>
      <c r="P1178" s="37"/>
      <c r="Q1178" s="37"/>
      <c r="R1178" s="37"/>
      <c r="S1178" s="37"/>
      <c r="T1178" s="37"/>
      <c r="U1178" s="37"/>
      <c r="V1178" s="37"/>
      <c r="W1178" s="37"/>
      <c r="X1178" s="37"/>
      <c r="Y1178" s="37"/>
      <c r="Z1178" s="37"/>
      <c r="AA1178" s="37"/>
      <c r="AB1178" s="37"/>
      <c r="AC1178" s="37"/>
      <c r="AD1178" s="37"/>
      <c r="AE1178" s="37"/>
      <c r="AF1178" s="37"/>
      <c r="AG1178" s="37"/>
      <c r="AH1178" s="37"/>
      <c r="AI1178" s="37"/>
      <c r="AJ1178" s="37"/>
      <c r="AK1178" s="39"/>
      <c r="AL1178" s="37"/>
      <c r="AM1178" s="37"/>
      <c r="AN1178" s="37"/>
      <c r="AO1178" s="37"/>
    </row>
    <row r="1179" spans="1:41">
      <c r="A1179" s="37"/>
      <c r="B1179" s="37"/>
      <c r="C1179" s="37"/>
      <c r="D1179" s="37"/>
      <c r="E1179" s="37"/>
      <c r="F1179" s="37"/>
      <c r="G1179" s="37"/>
      <c r="H1179" s="40"/>
      <c r="I1179" s="40"/>
      <c r="J1179" s="40"/>
      <c r="K1179" s="37"/>
      <c r="L1179" s="37"/>
      <c r="M1179" s="37"/>
      <c r="N1179" s="37"/>
      <c r="O1179" s="37"/>
      <c r="P1179" s="37"/>
      <c r="Q1179" s="37"/>
      <c r="R1179" s="37"/>
      <c r="S1179" s="37"/>
      <c r="T1179" s="37"/>
      <c r="U1179" s="37"/>
      <c r="V1179" s="37"/>
      <c r="W1179" s="37"/>
      <c r="X1179" s="37"/>
      <c r="Y1179" s="37"/>
      <c r="Z1179" s="37"/>
      <c r="AA1179" s="37"/>
      <c r="AB1179" s="37"/>
      <c r="AC1179" s="37"/>
      <c r="AD1179" s="37"/>
      <c r="AE1179" s="37"/>
      <c r="AF1179" s="37"/>
      <c r="AG1179" s="37"/>
      <c r="AH1179" s="37"/>
      <c r="AI1179" s="37"/>
      <c r="AJ1179" s="37"/>
      <c r="AK1179" s="39"/>
      <c r="AL1179" s="37"/>
      <c r="AM1179" s="37"/>
      <c r="AN1179" s="37"/>
      <c r="AO1179" s="37"/>
    </row>
    <row r="1180" spans="1:41">
      <c r="A1180" s="37"/>
      <c r="B1180" s="37"/>
      <c r="C1180" s="37"/>
      <c r="D1180" s="37"/>
      <c r="E1180" s="37"/>
      <c r="F1180" s="37"/>
      <c r="G1180" s="37"/>
      <c r="H1180" s="40"/>
      <c r="I1180" s="40"/>
      <c r="J1180" s="40"/>
      <c r="K1180" s="37"/>
      <c r="L1180" s="37"/>
      <c r="M1180" s="37"/>
      <c r="N1180" s="37"/>
      <c r="O1180" s="37"/>
      <c r="P1180" s="37"/>
      <c r="Q1180" s="37"/>
      <c r="R1180" s="37"/>
      <c r="S1180" s="37"/>
      <c r="T1180" s="37"/>
      <c r="U1180" s="37"/>
      <c r="V1180" s="37"/>
      <c r="W1180" s="37"/>
      <c r="X1180" s="37"/>
      <c r="Y1180" s="37"/>
      <c r="Z1180" s="37"/>
      <c r="AA1180" s="37"/>
      <c r="AB1180" s="37"/>
      <c r="AC1180" s="37"/>
      <c r="AD1180" s="37"/>
      <c r="AE1180" s="37"/>
      <c r="AF1180" s="37"/>
      <c r="AG1180" s="37"/>
      <c r="AH1180" s="37"/>
      <c r="AI1180" s="37"/>
      <c r="AJ1180" s="37"/>
      <c r="AK1180" s="39"/>
      <c r="AL1180" s="37"/>
      <c r="AM1180" s="37"/>
      <c r="AN1180" s="37"/>
      <c r="AO1180" s="37"/>
    </row>
    <row r="1181" spans="1:41">
      <c r="A1181" s="37"/>
      <c r="B1181" s="37"/>
      <c r="C1181" s="37"/>
      <c r="D1181" s="37"/>
      <c r="E1181" s="37"/>
      <c r="F1181" s="37"/>
      <c r="G1181" s="37"/>
      <c r="H1181" s="40"/>
      <c r="I1181" s="40"/>
      <c r="J1181" s="40"/>
      <c r="K1181" s="37"/>
      <c r="L1181" s="37"/>
      <c r="M1181" s="37"/>
      <c r="N1181" s="37"/>
      <c r="O1181" s="37"/>
      <c r="P1181" s="37"/>
      <c r="Q1181" s="37"/>
      <c r="R1181" s="37"/>
      <c r="S1181" s="37"/>
      <c r="T1181" s="37"/>
      <c r="U1181" s="37"/>
      <c r="V1181" s="37"/>
      <c r="W1181" s="37"/>
      <c r="X1181" s="37"/>
      <c r="Y1181" s="37"/>
      <c r="Z1181" s="37"/>
      <c r="AA1181" s="37"/>
      <c r="AB1181" s="37"/>
      <c r="AC1181" s="37"/>
      <c r="AD1181" s="37"/>
      <c r="AE1181" s="37"/>
      <c r="AF1181" s="37"/>
      <c r="AG1181" s="37"/>
      <c r="AH1181" s="37"/>
      <c r="AI1181" s="37"/>
      <c r="AJ1181" s="37"/>
      <c r="AK1181" s="39"/>
      <c r="AL1181" s="37"/>
      <c r="AM1181" s="37"/>
      <c r="AN1181" s="37"/>
      <c r="AO1181" s="37"/>
    </row>
    <row r="1182" spans="1:41">
      <c r="A1182" s="37"/>
      <c r="B1182" s="37"/>
      <c r="C1182" s="37"/>
      <c r="D1182" s="37"/>
      <c r="E1182" s="37"/>
      <c r="F1182" s="37"/>
      <c r="G1182" s="37"/>
      <c r="H1182" s="40"/>
      <c r="I1182" s="40"/>
      <c r="J1182" s="40"/>
      <c r="K1182" s="37"/>
      <c r="L1182" s="37"/>
      <c r="M1182" s="37"/>
      <c r="N1182" s="37"/>
      <c r="O1182" s="37"/>
      <c r="P1182" s="37"/>
      <c r="Q1182" s="37"/>
      <c r="R1182" s="37"/>
      <c r="S1182" s="37"/>
      <c r="T1182" s="37"/>
      <c r="U1182" s="37"/>
      <c r="V1182" s="37"/>
      <c r="W1182" s="37"/>
      <c r="X1182" s="37"/>
      <c r="Y1182" s="37"/>
      <c r="Z1182" s="37"/>
      <c r="AA1182" s="37"/>
      <c r="AB1182" s="37"/>
      <c r="AC1182" s="37"/>
      <c r="AD1182" s="37"/>
      <c r="AE1182" s="37"/>
      <c r="AF1182" s="37"/>
      <c r="AG1182" s="37"/>
      <c r="AH1182" s="37"/>
      <c r="AI1182" s="37"/>
      <c r="AJ1182" s="37"/>
      <c r="AK1182" s="39"/>
      <c r="AL1182" s="37"/>
      <c r="AM1182" s="37"/>
      <c r="AN1182" s="37"/>
      <c r="AO1182" s="37"/>
    </row>
    <row r="1183" spans="1:41">
      <c r="A1183" s="37"/>
      <c r="B1183" s="37"/>
      <c r="C1183" s="37"/>
      <c r="D1183" s="37"/>
      <c r="E1183" s="37"/>
      <c r="F1183" s="37"/>
      <c r="G1183" s="37"/>
      <c r="H1183" s="40"/>
      <c r="I1183" s="40"/>
      <c r="J1183" s="40"/>
      <c r="K1183" s="37"/>
      <c r="L1183" s="37"/>
      <c r="M1183" s="37"/>
      <c r="N1183" s="37"/>
      <c r="O1183" s="37"/>
      <c r="P1183" s="37"/>
      <c r="Q1183" s="37"/>
      <c r="R1183" s="37"/>
      <c r="S1183" s="37"/>
      <c r="T1183" s="37"/>
      <c r="U1183" s="37"/>
      <c r="V1183" s="37"/>
      <c r="W1183" s="37"/>
      <c r="X1183" s="37"/>
      <c r="Y1183" s="37"/>
      <c r="Z1183" s="37"/>
      <c r="AA1183" s="37"/>
      <c r="AB1183" s="37"/>
      <c r="AC1183" s="37"/>
      <c r="AD1183" s="37"/>
      <c r="AE1183" s="37"/>
      <c r="AF1183" s="37"/>
      <c r="AG1183" s="37"/>
      <c r="AH1183" s="37"/>
      <c r="AI1183" s="37"/>
      <c r="AJ1183" s="37"/>
      <c r="AK1183" s="39"/>
      <c r="AL1183" s="37"/>
      <c r="AM1183" s="37"/>
      <c r="AN1183" s="37"/>
      <c r="AO1183" s="37"/>
    </row>
    <row r="1184" spans="1:41">
      <c r="A1184" s="37"/>
      <c r="B1184" s="37"/>
      <c r="C1184" s="37"/>
      <c r="D1184" s="37"/>
      <c r="E1184" s="37"/>
      <c r="F1184" s="37"/>
      <c r="G1184" s="37"/>
      <c r="H1184" s="40"/>
      <c r="I1184" s="40"/>
      <c r="J1184" s="40"/>
      <c r="K1184" s="37"/>
      <c r="L1184" s="37"/>
      <c r="M1184" s="37"/>
      <c r="N1184" s="37"/>
      <c r="O1184" s="37"/>
      <c r="P1184" s="37"/>
      <c r="Q1184" s="37"/>
      <c r="R1184" s="37"/>
      <c r="S1184" s="37"/>
      <c r="T1184" s="37"/>
      <c r="U1184" s="37"/>
      <c r="V1184" s="37"/>
      <c r="W1184" s="37"/>
      <c r="X1184" s="37"/>
      <c r="Y1184" s="37"/>
      <c r="Z1184" s="37"/>
      <c r="AA1184" s="37"/>
      <c r="AB1184" s="37"/>
      <c r="AC1184" s="37"/>
      <c r="AD1184" s="37"/>
      <c r="AE1184" s="37"/>
      <c r="AF1184" s="37"/>
      <c r="AG1184" s="37"/>
      <c r="AH1184" s="37"/>
      <c r="AI1184" s="37"/>
      <c r="AJ1184" s="37"/>
      <c r="AK1184" s="39"/>
      <c r="AL1184" s="37"/>
      <c r="AM1184" s="37"/>
      <c r="AN1184" s="37"/>
      <c r="AO1184" s="37"/>
    </row>
    <row r="1185" spans="1:41">
      <c r="A1185" s="37"/>
      <c r="B1185" s="37"/>
      <c r="C1185" s="37"/>
      <c r="D1185" s="37"/>
      <c r="E1185" s="37"/>
      <c r="F1185" s="37"/>
      <c r="G1185" s="37"/>
      <c r="H1185" s="40"/>
      <c r="I1185" s="40"/>
      <c r="J1185" s="40"/>
      <c r="K1185" s="37"/>
      <c r="L1185" s="37"/>
      <c r="M1185" s="37"/>
      <c r="N1185" s="37"/>
      <c r="O1185" s="37"/>
      <c r="P1185" s="37"/>
      <c r="Q1185" s="37"/>
      <c r="R1185" s="37"/>
      <c r="S1185" s="37"/>
      <c r="T1185" s="37"/>
      <c r="U1185" s="37"/>
      <c r="V1185" s="37"/>
      <c r="W1185" s="37"/>
      <c r="X1185" s="37"/>
      <c r="Y1185" s="37"/>
      <c r="Z1185" s="37"/>
      <c r="AA1185" s="37"/>
      <c r="AB1185" s="37"/>
      <c r="AC1185" s="37"/>
      <c r="AD1185" s="37"/>
      <c r="AE1185" s="37"/>
      <c r="AF1185" s="37"/>
      <c r="AG1185" s="37"/>
      <c r="AH1185" s="37"/>
      <c r="AI1185" s="37"/>
      <c r="AJ1185" s="37"/>
      <c r="AK1185" s="39"/>
      <c r="AL1185" s="37"/>
      <c r="AM1185" s="37"/>
      <c r="AN1185" s="37"/>
      <c r="AO1185" s="37"/>
    </row>
    <row r="1186" spans="1:41">
      <c r="A1186" s="37"/>
      <c r="B1186" s="37"/>
      <c r="C1186" s="37"/>
      <c r="D1186" s="37"/>
      <c r="E1186" s="37"/>
      <c r="F1186" s="37"/>
      <c r="G1186" s="37"/>
      <c r="H1186" s="40"/>
      <c r="I1186" s="40"/>
      <c r="J1186" s="40"/>
      <c r="K1186" s="37"/>
      <c r="L1186" s="37"/>
      <c r="M1186" s="37"/>
      <c r="N1186" s="37"/>
      <c r="O1186" s="37"/>
      <c r="P1186" s="37"/>
      <c r="Q1186" s="37"/>
      <c r="R1186" s="37"/>
      <c r="S1186" s="37"/>
      <c r="T1186" s="37"/>
      <c r="U1186" s="37"/>
      <c r="V1186" s="37"/>
      <c r="W1186" s="37"/>
      <c r="X1186" s="37"/>
      <c r="Y1186" s="37"/>
      <c r="Z1186" s="37"/>
      <c r="AA1186" s="37"/>
      <c r="AB1186" s="37"/>
      <c r="AC1186" s="37"/>
      <c r="AD1186" s="37"/>
      <c r="AE1186" s="37"/>
      <c r="AF1186" s="37"/>
      <c r="AG1186" s="37"/>
      <c r="AH1186" s="37"/>
      <c r="AI1186" s="37"/>
      <c r="AJ1186" s="37"/>
      <c r="AK1186" s="39"/>
      <c r="AL1186" s="37"/>
      <c r="AM1186" s="37"/>
      <c r="AN1186" s="37"/>
      <c r="AO1186" s="37"/>
    </row>
    <row r="1187" spans="1:41">
      <c r="A1187" s="37"/>
      <c r="B1187" s="37"/>
      <c r="C1187" s="37"/>
      <c r="D1187" s="37"/>
      <c r="E1187" s="37"/>
      <c r="F1187" s="37"/>
      <c r="G1187" s="37"/>
      <c r="H1187" s="40"/>
      <c r="I1187" s="40"/>
      <c r="J1187" s="40"/>
      <c r="K1187" s="37"/>
      <c r="L1187" s="37"/>
      <c r="M1187" s="37"/>
      <c r="N1187" s="37"/>
      <c r="O1187" s="37"/>
      <c r="P1187" s="37"/>
      <c r="Q1187" s="37"/>
      <c r="R1187" s="37"/>
      <c r="S1187" s="37"/>
      <c r="T1187" s="37"/>
      <c r="U1187" s="37"/>
      <c r="V1187" s="37"/>
      <c r="W1187" s="37"/>
      <c r="X1187" s="37"/>
      <c r="Y1187" s="37"/>
      <c r="Z1187" s="37"/>
      <c r="AA1187" s="37"/>
      <c r="AB1187" s="37"/>
      <c r="AC1187" s="37"/>
      <c r="AD1187" s="37"/>
      <c r="AE1187" s="37"/>
      <c r="AF1187" s="37"/>
      <c r="AG1187" s="37"/>
      <c r="AH1187" s="37"/>
      <c r="AI1187" s="37"/>
      <c r="AJ1187" s="37"/>
      <c r="AK1187" s="39"/>
      <c r="AL1187" s="37"/>
      <c r="AM1187" s="37"/>
      <c r="AN1187" s="37"/>
      <c r="AO1187" s="37"/>
    </row>
    <row r="1188" spans="1:41">
      <c r="A1188" s="37"/>
      <c r="B1188" s="37"/>
      <c r="C1188" s="37"/>
      <c r="D1188" s="37"/>
      <c r="E1188" s="37"/>
      <c r="F1188" s="37"/>
      <c r="G1188" s="37"/>
      <c r="H1188" s="40"/>
      <c r="I1188" s="40"/>
      <c r="J1188" s="40"/>
      <c r="K1188" s="37"/>
      <c r="L1188" s="37"/>
      <c r="M1188" s="37"/>
      <c r="N1188" s="37"/>
      <c r="O1188" s="37"/>
      <c r="P1188" s="37"/>
      <c r="Q1188" s="37"/>
      <c r="R1188" s="37"/>
      <c r="S1188" s="37"/>
      <c r="T1188" s="37"/>
      <c r="U1188" s="37"/>
      <c r="V1188" s="37"/>
      <c r="W1188" s="37"/>
      <c r="X1188" s="37"/>
      <c r="Y1188" s="37"/>
      <c r="Z1188" s="37"/>
      <c r="AA1188" s="37"/>
      <c r="AB1188" s="37"/>
      <c r="AC1188" s="37"/>
      <c r="AD1188" s="37"/>
      <c r="AE1188" s="37"/>
      <c r="AF1188" s="37"/>
      <c r="AG1188" s="37"/>
      <c r="AH1188" s="37"/>
      <c r="AI1188" s="37"/>
      <c r="AJ1188" s="37"/>
      <c r="AK1188" s="39"/>
      <c r="AL1188" s="37"/>
      <c r="AM1188" s="37"/>
      <c r="AN1188" s="37"/>
      <c r="AO1188" s="37"/>
    </row>
    <row r="1189" spans="1:41">
      <c r="A1189" s="37"/>
      <c r="B1189" s="37"/>
      <c r="C1189" s="37"/>
      <c r="D1189" s="37"/>
      <c r="E1189" s="37"/>
      <c r="F1189" s="37"/>
      <c r="G1189" s="37"/>
      <c r="H1189" s="40"/>
      <c r="I1189" s="40"/>
      <c r="J1189" s="40"/>
      <c r="K1189" s="37"/>
      <c r="L1189" s="37"/>
      <c r="M1189" s="37"/>
      <c r="N1189" s="37"/>
      <c r="O1189" s="37"/>
      <c r="P1189" s="37"/>
      <c r="Q1189" s="37"/>
      <c r="R1189" s="37"/>
      <c r="S1189" s="37"/>
      <c r="T1189" s="37"/>
      <c r="U1189" s="37"/>
      <c r="V1189" s="37"/>
      <c r="W1189" s="37"/>
      <c r="X1189" s="37"/>
      <c r="Y1189" s="37"/>
      <c r="Z1189" s="37"/>
      <c r="AA1189" s="37"/>
      <c r="AB1189" s="37"/>
      <c r="AC1189" s="37"/>
      <c r="AD1189" s="37"/>
      <c r="AE1189" s="37"/>
      <c r="AF1189" s="37"/>
      <c r="AG1189" s="37"/>
      <c r="AH1189" s="37"/>
      <c r="AI1189" s="37"/>
      <c r="AJ1189" s="37"/>
      <c r="AK1189" s="39"/>
      <c r="AL1189" s="37"/>
      <c r="AM1189" s="37"/>
      <c r="AN1189" s="37"/>
      <c r="AO1189" s="37"/>
    </row>
    <row r="1190" spans="1:41">
      <c r="A1190" s="37"/>
      <c r="B1190" s="37"/>
      <c r="C1190" s="37"/>
      <c r="D1190" s="37"/>
      <c r="E1190" s="37"/>
      <c r="F1190" s="37"/>
      <c r="G1190" s="37"/>
      <c r="H1190" s="40"/>
      <c r="I1190" s="40"/>
      <c r="J1190" s="40"/>
      <c r="K1190" s="37"/>
      <c r="L1190" s="37"/>
      <c r="M1190" s="37"/>
      <c r="N1190" s="37"/>
      <c r="O1190" s="37"/>
      <c r="P1190" s="37"/>
      <c r="Q1190" s="37"/>
      <c r="R1190" s="37"/>
      <c r="S1190" s="37"/>
      <c r="T1190" s="37"/>
      <c r="U1190" s="37"/>
      <c r="V1190" s="37"/>
      <c r="W1190" s="37"/>
      <c r="X1190" s="37"/>
      <c r="Y1190" s="37"/>
      <c r="Z1190" s="37"/>
      <c r="AA1190" s="37"/>
      <c r="AB1190" s="37"/>
      <c r="AC1190" s="37"/>
      <c r="AD1190" s="37"/>
      <c r="AE1190" s="37"/>
      <c r="AF1190" s="37"/>
      <c r="AG1190" s="37"/>
      <c r="AH1190" s="37"/>
      <c r="AI1190" s="37"/>
      <c r="AJ1190" s="37"/>
      <c r="AK1190" s="39"/>
      <c r="AL1190" s="37"/>
      <c r="AM1190" s="37"/>
      <c r="AN1190" s="37"/>
      <c r="AO1190" s="37"/>
    </row>
    <row r="1191" spans="1:41">
      <c r="A1191" s="37"/>
      <c r="B1191" s="37"/>
      <c r="C1191" s="37"/>
      <c r="D1191" s="37"/>
      <c r="E1191" s="37"/>
      <c r="F1191" s="37"/>
      <c r="G1191" s="37"/>
      <c r="H1191" s="40"/>
      <c r="I1191" s="40"/>
      <c r="J1191" s="40"/>
      <c r="K1191" s="37"/>
      <c r="L1191" s="37"/>
      <c r="M1191" s="37"/>
      <c r="N1191" s="37"/>
      <c r="O1191" s="37"/>
      <c r="P1191" s="37"/>
      <c r="Q1191" s="37"/>
      <c r="R1191" s="37"/>
      <c r="S1191" s="37"/>
      <c r="T1191" s="37"/>
      <c r="U1191" s="37"/>
      <c r="V1191" s="37"/>
      <c r="W1191" s="37"/>
      <c r="X1191" s="37"/>
      <c r="Y1191" s="37"/>
      <c r="Z1191" s="37"/>
      <c r="AA1191" s="37"/>
      <c r="AB1191" s="37"/>
      <c r="AC1191" s="37"/>
      <c r="AD1191" s="37"/>
      <c r="AE1191" s="37"/>
      <c r="AF1191" s="37"/>
      <c r="AG1191" s="37"/>
      <c r="AH1191" s="37"/>
      <c r="AI1191" s="37"/>
      <c r="AJ1191" s="37"/>
      <c r="AK1191" s="39"/>
      <c r="AL1191" s="37"/>
      <c r="AM1191" s="37"/>
      <c r="AN1191" s="37"/>
      <c r="AO1191" s="37"/>
    </row>
    <row r="1192" spans="1:41">
      <c r="A1192" s="37"/>
      <c r="B1192" s="37"/>
      <c r="C1192" s="37"/>
      <c r="D1192" s="37"/>
      <c r="E1192" s="37"/>
      <c r="F1192" s="37"/>
      <c r="G1192" s="37"/>
      <c r="H1192" s="40"/>
      <c r="I1192" s="40"/>
      <c r="J1192" s="40"/>
      <c r="K1192" s="37"/>
      <c r="L1192" s="37"/>
      <c r="M1192" s="37"/>
      <c r="N1192" s="37"/>
      <c r="O1192" s="37"/>
      <c r="P1192" s="37"/>
      <c r="Q1192" s="37"/>
      <c r="R1192" s="37"/>
      <c r="S1192" s="37"/>
      <c r="T1192" s="37"/>
      <c r="U1192" s="37"/>
      <c r="V1192" s="37"/>
      <c r="W1192" s="37"/>
      <c r="X1192" s="37"/>
      <c r="Y1192" s="37"/>
      <c r="Z1192" s="37"/>
      <c r="AA1192" s="37"/>
      <c r="AB1192" s="37"/>
      <c r="AC1192" s="37"/>
      <c r="AD1192" s="37"/>
      <c r="AE1192" s="37"/>
      <c r="AF1192" s="37"/>
      <c r="AG1192" s="37"/>
      <c r="AH1192" s="37"/>
      <c r="AI1192" s="37"/>
      <c r="AJ1192" s="37"/>
      <c r="AK1192" s="39"/>
      <c r="AL1192" s="37"/>
      <c r="AM1192" s="37"/>
      <c r="AN1192" s="37"/>
      <c r="AO1192" s="37"/>
    </row>
    <row r="1193" spans="1:41">
      <c r="A1193" s="37"/>
      <c r="B1193" s="37"/>
      <c r="C1193" s="37"/>
      <c r="D1193" s="37"/>
      <c r="E1193" s="37"/>
      <c r="F1193" s="37"/>
      <c r="G1193" s="37"/>
      <c r="H1193" s="40"/>
      <c r="I1193" s="40"/>
      <c r="J1193" s="40"/>
      <c r="K1193" s="37"/>
      <c r="L1193" s="37"/>
      <c r="M1193" s="37"/>
      <c r="N1193" s="37"/>
      <c r="O1193" s="37"/>
      <c r="P1193" s="37"/>
      <c r="Q1193" s="37"/>
      <c r="R1193" s="37"/>
      <c r="S1193" s="37"/>
      <c r="T1193" s="37"/>
      <c r="U1193" s="37"/>
      <c r="V1193" s="37"/>
      <c r="W1193" s="37"/>
      <c r="X1193" s="37"/>
      <c r="Y1193" s="37"/>
      <c r="Z1193" s="37"/>
      <c r="AA1193" s="37"/>
      <c r="AB1193" s="37"/>
      <c r="AC1193" s="37"/>
      <c r="AD1193" s="37"/>
      <c r="AE1193" s="37"/>
      <c r="AF1193" s="37"/>
      <c r="AG1193" s="37"/>
      <c r="AH1193" s="37"/>
      <c r="AI1193" s="37"/>
      <c r="AJ1193" s="37"/>
      <c r="AK1193" s="39"/>
      <c r="AL1193" s="37"/>
      <c r="AM1193" s="37"/>
      <c r="AN1193" s="37"/>
      <c r="AO1193" s="37"/>
    </row>
    <row r="1194" spans="1:41">
      <c r="A1194" s="37"/>
      <c r="B1194" s="37"/>
      <c r="C1194" s="37"/>
      <c r="D1194" s="37"/>
      <c r="E1194" s="37"/>
      <c r="F1194" s="37"/>
      <c r="G1194" s="37"/>
      <c r="H1194" s="40"/>
      <c r="I1194" s="40"/>
      <c r="J1194" s="40"/>
      <c r="K1194" s="37"/>
      <c r="L1194" s="37"/>
      <c r="M1194" s="37"/>
      <c r="N1194" s="37"/>
      <c r="O1194" s="37"/>
      <c r="P1194" s="37"/>
      <c r="Q1194" s="37"/>
      <c r="R1194" s="37"/>
      <c r="S1194" s="37"/>
      <c r="T1194" s="37"/>
      <c r="U1194" s="37"/>
      <c r="V1194" s="37"/>
      <c r="W1194" s="37"/>
      <c r="X1194" s="37"/>
      <c r="Y1194" s="37"/>
      <c r="Z1194" s="37"/>
      <c r="AA1194" s="37"/>
      <c r="AB1194" s="37"/>
      <c r="AC1194" s="37"/>
      <c r="AD1194" s="37"/>
      <c r="AE1194" s="37"/>
      <c r="AF1194" s="37"/>
      <c r="AG1194" s="37"/>
      <c r="AH1194" s="37"/>
      <c r="AI1194" s="37"/>
      <c r="AJ1194" s="37"/>
      <c r="AK1194" s="39"/>
      <c r="AL1194" s="37"/>
      <c r="AM1194" s="37"/>
      <c r="AN1194" s="37"/>
      <c r="AO1194" s="37"/>
    </row>
    <row r="1195" spans="1:41">
      <c r="A1195" s="37"/>
      <c r="B1195" s="37"/>
      <c r="C1195" s="37"/>
      <c r="D1195" s="37"/>
      <c r="E1195" s="37"/>
      <c r="F1195" s="37"/>
      <c r="G1195" s="37"/>
      <c r="H1195" s="40"/>
      <c r="I1195" s="40"/>
      <c r="J1195" s="40"/>
      <c r="K1195" s="37"/>
      <c r="L1195" s="37"/>
      <c r="M1195" s="37"/>
      <c r="N1195" s="37"/>
      <c r="O1195" s="37"/>
      <c r="P1195" s="37"/>
      <c r="Q1195" s="37"/>
      <c r="R1195" s="37"/>
      <c r="S1195" s="37"/>
      <c r="T1195" s="37"/>
      <c r="U1195" s="37"/>
      <c r="V1195" s="37"/>
      <c r="W1195" s="37"/>
      <c r="X1195" s="37"/>
      <c r="Y1195" s="37"/>
      <c r="Z1195" s="37"/>
      <c r="AA1195" s="37"/>
      <c r="AB1195" s="37"/>
      <c r="AC1195" s="37"/>
      <c r="AD1195" s="37"/>
      <c r="AE1195" s="37"/>
      <c r="AF1195" s="37"/>
      <c r="AG1195" s="37"/>
      <c r="AH1195" s="37"/>
      <c r="AI1195" s="37"/>
      <c r="AJ1195" s="37"/>
      <c r="AK1195" s="39"/>
      <c r="AL1195" s="37"/>
      <c r="AM1195" s="37"/>
      <c r="AN1195" s="37"/>
      <c r="AO1195" s="37"/>
    </row>
    <row r="1196" spans="1:41">
      <c r="A1196" s="37"/>
      <c r="B1196" s="37"/>
      <c r="C1196" s="37"/>
      <c r="D1196" s="37"/>
      <c r="E1196" s="37"/>
      <c r="F1196" s="37"/>
      <c r="G1196" s="37"/>
      <c r="H1196" s="40"/>
      <c r="I1196" s="40"/>
      <c r="J1196" s="40"/>
      <c r="K1196" s="37"/>
      <c r="L1196" s="37"/>
      <c r="M1196" s="37"/>
      <c r="N1196" s="37"/>
      <c r="O1196" s="37"/>
      <c r="P1196" s="37"/>
      <c r="Q1196" s="37"/>
      <c r="R1196" s="37"/>
      <c r="S1196" s="37"/>
      <c r="T1196" s="37"/>
      <c r="U1196" s="37"/>
      <c r="V1196" s="37"/>
      <c r="W1196" s="37"/>
      <c r="X1196" s="37"/>
      <c r="Y1196" s="37"/>
      <c r="Z1196" s="37"/>
      <c r="AA1196" s="37"/>
      <c r="AB1196" s="37"/>
      <c r="AC1196" s="37"/>
      <c r="AD1196" s="37"/>
      <c r="AE1196" s="37"/>
      <c r="AF1196" s="37"/>
      <c r="AG1196" s="37"/>
      <c r="AH1196" s="37"/>
      <c r="AI1196" s="37"/>
      <c r="AJ1196" s="37"/>
      <c r="AK1196" s="39"/>
      <c r="AL1196" s="37"/>
      <c r="AM1196" s="37"/>
      <c r="AN1196" s="37"/>
      <c r="AO1196" s="37"/>
    </row>
    <row r="1197" spans="1:41">
      <c r="A1197" s="37"/>
      <c r="B1197" s="37"/>
      <c r="C1197" s="37"/>
      <c r="D1197" s="37"/>
      <c r="E1197" s="37"/>
      <c r="F1197" s="37"/>
      <c r="G1197" s="37"/>
      <c r="H1197" s="40"/>
      <c r="I1197" s="40"/>
      <c r="J1197" s="40"/>
      <c r="K1197" s="37"/>
      <c r="L1197" s="37"/>
      <c r="M1197" s="37"/>
      <c r="N1197" s="37"/>
      <c r="O1197" s="37"/>
      <c r="P1197" s="37"/>
      <c r="Q1197" s="37"/>
      <c r="R1197" s="37"/>
      <c r="S1197" s="37"/>
      <c r="T1197" s="37"/>
      <c r="U1197" s="37"/>
      <c r="V1197" s="37"/>
      <c r="W1197" s="37"/>
      <c r="X1197" s="37"/>
      <c r="Y1197" s="37"/>
      <c r="Z1197" s="37"/>
      <c r="AA1197" s="37"/>
      <c r="AB1197" s="37"/>
      <c r="AC1197" s="37"/>
      <c r="AD1197" s="37"/>
      <c r="AE1197" s="37"/>
      <c r="AF1197" s="37"/>
      <c r="AG1197" s="37"/>
      <c r="AH1197" s="37"/>
      <c r="AI1197" s="37"/>
      <c r="AJ1197" s="37"/>
      <c r="AK1197" s="39"/>
      <c r="AL1197" s="37"/>
      <c r="AM1197" s="37"/>
      <c r="AN1197" s="37"/>
      <c r="AO1197" s="37"/>
    </row>
    <row r="1198" spans="1:41">
      <c r="A1198" s="37"/>
      <c r="B1198" s="37"/>
      <c r="C1198" s="37"/>
      <c r="D1198" s="37"/>
      <c r="E1198" s="37"/>
      <c r="F1198" s="37"/>
      <c r="G1198" s="37"/>
      <c r="H1198" s="40"/>
      <c r="I1198" s="40"/>
      <c r="J1198" s="40"/>
      <c r="K1198" s="37"/>
      <c r="L1198" s="37"/>
      <c r="M1198" s="37"/>
      <c r="N1198" s="37"/>
      <c r="O1198" s="37"/>
      <c r="P1198" s="37"/>
      <c r="Q1198" s="37"/>
      <c r="R1198" s="37"/>
      <c r="S1198" s="37"/>
      <c r="T1198" s="37"/>
      <c r="U1198" s="37"/>
      <c r="V1198" s="37"/>
      <c r="W1198" s="37"/>
      <c r="X1198" s="37"/>
      <c r="Y1198" s="37"/>
      <c r="Z1198" s="37"/>
      <c r="AA1198" s="37"/>
      <c r="AB1198" s="37"/>
      <c r="AC1198" s="37"/>
      <c r="AD1198" s="37"/>
      <c r="AE1198" s="37"/>
      <c r="AF1198" s="37"/>
      <c r="AG1198" s="37"/>
      <c r="AH1198" s="37"/>
      <c r="AI1198" s="37"/>
      <c r="AJ1198" s="37"/>
      <c r="AK1198" s="39"/>
      <c r="AL1198" s="37"/>
      <c r="AM1198" s="37"/>
      <c r="AN1198" s="37"/>
      <c r="AO1198" s="37"/>
    </row>
    <row r="1199" spans="1:41">
      <c r="A1199" s="37"/>
      <c r="B1199" s="37"/>
      <c r="C1199" s="37"/>
      <c r="D1199" s="37"/>
      <c r="E1199" s="37"/>
      <c r="F1199" s="37"/>
      <c r="G1199" s="37"/>
      <c r="H1199" s="40"/>
      <c r="I1199" s="40"/>
      <c r="J1199" s="40"/>
      <c r="K1199" s="37"/>
      <c r="L1199" s="37"/>
      <c r="M1199" s="37"/>
      <c r="N1199" s="37"/>
      <c r="O1199" s="37"/>
      <c r="P1199" s="37"/>
      <c r="Q1199" s="37"/>
      <c r="R1199" s="37"/>
      <c r="S1199" s="37"/>
      <c r="T1199" s="37"/>
      <c r="U1199" s="37"/>
      <c r="V1199" s="37"/>
      <c r="W1199" s="37"/>
      <c r="X1199" s="37"/>
      <c r="Y1199" s="37"/>
      <c r="Z1199" s="37"/>
      <c r="AA1199" s="37"/>
      <c r="AB1199" s="37"/>
      <c r="AC1199" s="37"/>
      <c r="AD1199" s="37"/>
      <c r="AE1199" s="37"/>
      <c r="AF1199" s="37"/>
      <c r="AG1199" s="37"/>
      <c r="AH1199" s="37"/>
      <c r="AI1199" s="37"/>
      <c r="AJ1199" s="37"/>
      <c r="AK1199" s="39"/>
      <c r="AL1199" s="37"/>
      <c r="AM1199" s="37"/>
      <c r="AN1199" s="37"/>
      <c r="AO1199" s="37"/>
    </row>
    <row r="1200" spans="1:41">
      <c r="A1200" s="37"/>
      <c r="B1200" s="37"/>
      <c r="C1200" s="37"/>
      <c r="D1200" s="37"/>
      <c r="E1200" s="37"/>
      <c r="F1200" s="37"/>
      <c r="G1200" s="37"/>
      <c r="H1200" s="40"/>
      <c r="I1200" s="40"/>
      <c r="J1200" s="40"/>
      <c r="K1200" s="37"/>
      <c r="L1200" s="37"/>
      <c r="M1200" s="37"/>
      <c r="N1200" s="37"/>
      <c r="O1200" s="37"/>
      <c r="P1200" s="37"/>
      <c r="Q1200" s="37"/>
      <c r="R1200" s="37"/>
      <c r="S1200" s="37"/>
      <c r="T1200" s="37"/>
      <c r="U1200" s="37"/>
      <c r="V1200" s="37"/>
      <c r="W1200" s="37"/>
      <c r="X1200" s="37"/>
      <c r="Y1200" s="37"/>
      <c r="Z1200" s="37"/>
      <c r="AA1200" s="37"/>
      <c r="AB1200" s="37"/>
      <c r="AC1200" s="37"/>
      <c r="AD1200" s="37"/>
      <c r="AE1200" s="37"/>
      <c r="AF1200" s="37"/>
      <c r="AG1200" s="37"/>
      <c r="AH1200" s="37"/>
      <c r="AI1200" s="37"/>
      <c r="AJ1200" s="37"/>
      <c r="AK1200" s="39"/>
      <c r="AL1200" s="37"/>
      <c r="AM1200" s="37"/>
      <c r="AN1200" s="37"/>
      <c r="AO1200" s="37"/>
    </row>
    <row r="1201" spans="1:41">
      <c r="A1201" s="37"/>
      <c r="B1201" s="37"/>
      <c r="C1201" s="37"/>
      <c r="D1201" s="37"/>
      <c r="E1201" s="37"/>
      <c r="F1201" s="37"/>
      <c r="G1201" s="37"/>
      <c r="H1201" s="40"/>
      <c r="I1201" s="40"/>
      <c r="J1201" s="40"/>
      <c r="K1201" s="37"/>
      <c r="L1201" s="37"/>
      <c r="M1201" s="37"/>
      <c r="N1201" s="37"/>
      <c r="O1201" s="37"/>
      <c r="P1201" s="37"/>
      <c r="Q1201" s="37"/>
      <c r="R1201" s="37"/>
      <c r="S1201" s="37"/>
      <c r="T1201" s="37"/>
      <c r="U1201" s="37"/>
      <c r="V1201" s="37"/>
      <c r="W1201" s="37"/>
      <c r="X1201" s="37"/>
      <c r="Y1201" s="37"/>
      <c r="Z1201" s="37"/>
      <c r="AA1201" s="37"/>
      <c r="AB1201" s="37"/>
      <c r="AC1201" s="37"/>
      <c r="AD1201" s="37"/>
      <c r="AE1201" s="37"/>
      <c r="AF1201" s="37"/>
      <c r="AG1201" s="37"/>
      <c r="AH1201" s="37"/>
      <c r="AI1201" s="37"/>
      <c r="AJ1201" s="37"/>
      <c r="AK1201" s="39"/>
      <c r="AL1201" s="37"/>
      <c r="AM1201" s="37"/>
      <c r="AN1201" s="37"/>
      <c r="AO1201" s="37"/>
    </row>
    <row r="1202" spans="1:41">
      <c r="A1202" s="37"/>
      <c r="B1202" s="37"/>
      <c r="C1202" s="37"/>
      <c r="D1202" s="37"/>
      <c r="E1202" s="37"/>
      <c r="F1202" s="37"/>
      <c r="G1202" s="37"/>
      <c r="H1202" s="40"/>
      <c r="I1202" s="40"/>
      <c r="J1202" s="40"/>
      <c r="K1202" s="37"/>
      <c r="L1202" s="37"/>
      <c r="M1202" s="37"/>
      <c r="N1202" s="37"/>
      <c r="O1202" s="37"/>
      <c r="P1202" s="37"/>
      <c r="Q1202" s="37"/>
      <c r="R1202" s="37"/>
      <c r="S1202" s="37"/>
      <c r="T1202" s="37"/>
      <c r="U1202" s="37"/>
      <c r="V1202" s="37"/>
      <c r="W1202" s="37"/>
      <c r="X1202" s="37"/>
      <c r="Y1202" s="37"/>
      <c r="Z1202" s="37"/>
      <c r="AA1202" s="37"/>
      <c r="AB1202" s="37"/>
      <c r="AC1202" s="37"/>
      <c r="AD1202" s="37"/>
      <c r="AE1202" s="37"/>
      <c r="AF1202" s="37"/>
      <c r="AG1202" s="37"/>
      <c r="AH1202" s="37"/>
      <c r="AI1202" s="37"/>
      <c r="AJ1202" s="37"/>
      <c r="AK1202" s="39"/>
      <c r="AL1202" s="37"/>
      <c r="AM1202" s="37"/>
      <c r="AN1202" s="37"/>
      <c r="AO1202" s="37"/>
    </row>
    <row r="1203" spans="1:41">
      <c r="A1203" s="37"/>
      <c r="B1203" s="37"/>
      <c r="C1203" s="37"/>
      <c r="D1203" s="37"/>
      <c r="E1203" s="37"/>
      <c r="F1203" s="37"/>
      <c r="G1203" s="37"/>
      <c r="H1203" s="40"/>
      <c r="I1203" s="40"/>
      <c r="J1203" s="40"/>
      <c r="K1203" s="37"/>
      <c r="L1203" s="37"/>
      <c r="M1203" s="37"/>
      <c r="N1203" s="37"/>
      <c r="O1203" s="37"/>
      <c r="P1203" s="37"/>
      <c r="Q1203" s="37"/>
      <c r="R1203" s="37"/>
      <c r="S1203" s="37"/>
      <c r="T1203" s="37"/>
      <c r="U1203" s="37"/>
      <c r="V1203" s="37"/>
      <c r="W1203" s="37"/>
      <c r="X1203" s="37"/>
      <c r="Y1203" s="37"/>
      <c r="Z1203" s="37"/>
      <c r="AA1203" s="37"/>
      <c r="AB1203" s="37"/>
      <c r="AC1203" s="37"/>
      <c r="AD1203" s="37"/>
      <c r="AE1203" s="37"/>
      <c r="AF1203" s="37"/>
      <c r="AG1203" s="37"/>
      <c r="AH1203" s="37"/>
      <c r="AI1203" s="37"/>
      <c r="AJ1203" s="37"/>
      <c r="AK1203" s="39"/>
      <c r="AL1203" s="37"/>
      <c r="AM1203" s="37"/>
      <c r="AN1203" s="37"/>
      <c r="AO1203" s="37"/>
    </row>
    <row r="1204" spans="1:41">
      <c r="A1204" s="37"/>
      <c r="B1204" s="37"/>
      <c r="C1204" s="37"/>
      <c r="D1204" s="37"/>
      <c r="E1204" s="37"/>
      <c r="F1204" s="37"/>
      <c r="G1204" s="37"/>
      <c r="H1204" s="40"/>
      <c r="I1204" s="40"/>
      <c r="J1204" s="40"/>
      <c r="K1204" s="37"/>
      <c r="L1204" s="37"/>
      <c r="M1204" s="37"/>
      <c r="N1204" s="37"/>
      <c r="O1204" s="37"/>
      <c r="P1204" s="37"/>
      <c r="Q1204" s="37"/>
      <c r="R1204" s="37"/>
      <c r="S1204" s="37"/>
      <c r="T1204" s="37"/>
      <c r="U1204" s="37"/>
      <c r="V1204" s="37"/>
      <c r="W1204" s="37"/>
      <c r="X1204" s="37"/>
      <c r="Y1204" s="37"/>
      <c r="Z1204" s="37"/>
      <c r="AA1204" s="37"/>
      <c r="AB1204" s="37"/>
      <c r="AC1204" s="37"/>
      <c r="AD1204" s="37"/>
      <c r="AE1204" s="37"/>
      <c r="AF1204" s="37"/>
      <c r="AG1204" s="37"/>
      <c r="AH1204" s="37"/>
      <c r="AI1204" s="37"/>
      <c r="AJ1204" s="37"/>
      <c r="AK1204" s="39"/>
      <c r="AL1204" s="37"/>
      <c r="AM1204" s="37"/>
      <c r="AN1204" s="37"/>
      <c r="AO1204" s="37"/>
    </row>
    <row r="1205" spans="1:41">
      <c r="A1205" s="37"/>
      <c r="B1205" s="37"/>
      <c r="C1205" s="37"/>
      <c r="D1205" s="37"/>
      <c r="E1205" s="37"/>
      <c r="F1205" s="37"/>
      <c r="G1205" s="37"/>
      <c r="H1205" s="40"/>
      <c r="I1205" s="40"/>
      <c r="J1205" s="40"/>
      <c r="K1205" s="37"/>
      <c r="L1205" s="37"/>
      <c r="M1205" s="37"/>
      <c r="N1205" s="37"/>
      <c r="O1205" s="37"/>
      <c r="P1205" s="37"/>
      <c r="Q1205" s="37"/>
      <c r="R1205" s="37"/>
      <c r="S1205" s="37"/>
      <c r="T1205" s="37"/>
      <c r="U1205" s="37"/>
      <c r="V1205" s="37"/>
      <c r="W1205" s="37"/>
      <c r="X1205" s="37"/>
      <c r="Y1205" s="37"/>
      <c r="Z1205" s="37"/>
      <c r="AA1205" s="37"/>
      <c r="AB1205" s="37"/>
      <c r="AC1205" s="37"/>
      <c r="AD1205" s="37"/>
      <c r="AE1205" s="37"/>
      <c r="AF1205" s="37"/>
      <c r="AG1205" s="37"/>
      <c r="AH1205" s="37"/>
      <c r="AI1205" s="37"/>
      <c r="AJ1205" s="37"/>
      <c r="AK1205" s="39"/>
      <c r="AL1205" s="37"/>
      <c r="AM1205" s="37"/>
      <c r="AN1205" s="37"/>
      <c r="AO1205" s="37"/>
    </row>
    <row r="1206" spans="1:41">
      <c r="A1206" s="37"/>
      <c r="B1206" s="37"/>
      <c r="C1206" s="37"/>
      <c r="D1206" s="37"/>
      <c r="E1206" s="37"/>
      <c r="F1206" s="37"/>
      <c r="G1206" s="37"/>
      <c r="H1206" s="40"/>
      <c r="I1206" s="40"/>
      <c r="J1206" s="40"/>
      <c r="K1206" s="37"/>
      <c r="L1206" s="37"/>
      <c r="M1206" s="37"/>
      <c r="N1206" s="37"/>
      <c r="O1206" s="37"/>
      <c r="P1206" s="37"/>
      <c r="Q1206" s="37"/>
      <c r="R1206" s="37"/>
      <c r="S1206" s="37"/>
      <c r="T1206" s="37"/>
      <c r="U1206" s="37"/>
      <c r="V1206" s="37"/>
      <c r="W1206" s="37"/>
      <c r="X1206" s="37"/>
      <c r="Y1206" s="37"/>
      <c r="Z1206" s="37"/>
      <c r="AA1206" s="37"/>
      <c r="AB1206" s="37"/>
      <c r="AC1206" s="37"/>
      <c r="AD1206" s="37"/>
      <c r="AE1206" s="37"/>
      <c r="AF1206" s="37"/>
      <c r="AG1206" s="37"/>
      <c r="AH1206" s="37"/>
      <c r="AI1206" s="37"/>
      <c r="AJ1206" s="37"/>
      <c r="AK1206" s="39"/>
      <c r="AL1206" s="37"/>
      <c r="AM1206" s="37"/>
      <c r="AN1206" s="37"/>
      <c r="AO1206" s="37"/>
    </row>
    <row r="1207" spans="1:41">
      <c r="A1207" s="37"/>
      <c r="B1207" s="37"/>
      <c r="C1207" s="37"/>
      <c r="D1207" s="37"/>
      <c r="E1207" s="37"/>
      <c r="F1207" s="37"/>
      <c r="G1207" s="37"/>
      <c r="H1207" s="40"/>
      <c r="I1207" s="40"/>
      <c r="J1207" s="40"/>
      <c r="K1207" s="37"/>
      <c r="L1207" s="37"/>
      <c r="M1207" s="37"/>
      <c r="N1207" s="37"/>
      <c r="O1207" s="37"/>
      <c r="P1207" s="37"/>
      <c r="Q1207" s="37"/>
      <c r="R1207" s="37"/>
      <c r="S1207" s="37"/>
      <c r="T1207" s="37"/>
      <c r="U1207" s="37"/>
      <c r="V1207" s="37"/>
      <c r="W1207" s="37"/>
      <c r="X1207" s="37"/>
      <c r="Y1207" s="37"/>
      <c r="Z1207" s="37"/>
      <c r="AA1207" s="37"/>
      <c r="AB1207" s="37"/>
      <c r="AC1207" s="37"/>
      <c r="AD1207" s="37"/>
      <c r="AE1207" s="37"/>
      <c r="AF1207" s="37"/>
      <c r="AG1207" s="37"/>
      <c r="AH1207" s="37"/>
      <c r="AI1207" s="37"/>
      <c r="AJ1207" s="37"/>
      <c r="AK1207" s="39"/>
      <c r="AL1207" s="37"/>
      <c r="AM1207" s="37"/>
      <c r="AN1207" s="37"/>
      <c r="AO1207" s="37"/>
    </row>
    <row r="1208" spans="1:41">
      <c r="A1208" s="37"/>
      <c r="B1208" s="37"/>
      <c r="C1208" s="37"/>
      <c r="D1208" s="37"/>
      <c r="E1208" s="37"/>
      <c r="F1208" s="37"/>
      <c r="G1208" s="37"/>
      <c r="H1208" s="40"/>
      <c r="I1208" s="40"/>
      <c r="J1208" s="40"/>
      <c r="K1208" s="37"/>
      <c r="L1208" s="37"/>
      <c r="M1208" s="37"/>
      <c r="N1208" s="37"/>
      <c r="O1208" s="37"/>
      <c r="P1208" s="37"/>
      <c r="Q1208" s="37"/>
      <c r="R1208" s="37"/>
      <c r="S1208" s="37"/>
      <c r="T1208" s="37"/>
      <c r="U1208" s="37"/>
      <c r="V1208" s="37"/>
      <c r="W1208" s="37"/>
      <c r="X1208" s="37"/>
      <c r="Y1208" s="37"/>
      <c r="Z1208" s="37"/>
      <c r="AA1208" s="37"/>
      <c r="AB1208" s="37"/>
      <c r="AC1208" s="37"/>
      <c r="AD1208" s="37"/>
      <c r="AE1208" s="37"/>
      <c r="AF1208" s="37"/>
      <c r="AG1208" s="37"/>
      <c r="AH1208" s="37"/>
      <c r="AI1208" s="37"/>
      <c r="AJ1208" s="37"/>
      <c r="AK1208" s="39"/>
      <c r="AL1208" s="37"/>
      <c r="AM1208" s="37"/>
      <c r="AN1208" s="37"/>
      <c r="AO1208" s="37"/>
    </row>
    <row r="1209" spans="1:41">
      <c r="A1209" s="37"/>
      <c r="B1209" s="37"/>
      <c r="C1209" s="37"/>
      <c r="D1209" s="37"/>
      <c r="E1209" s="37"/>
      <c r="F1209" s="37"/>
      <c r="G1209" s="37"/>
      <c r="H1209" s="40"/>
      <c r="I1209" s="40"/>
      <c r="J1209" s="40"/>
      <c r="K1209" s="37"/>
      <c r="L1209" s="37"/>
      <c r="M1209" s="37"/>
      <c r="N1209" s="37"/>
      <c r="O1209" s="37"/>
      <c r="P1209" s="37"/>
      <c r="Q1209" s="37"/>
      <c r="R1209" s="37"/>
      <c r="S1209" s="37"/>
      <c r="T1209" s="37"/>
      <c r="U1209" s="37"/>
      <c r="V1209" s="37"/>
      <c r="W1209" s="37"/>
      <c r="X1209" s="37"/>
      <c r="Y1209" s="37"/>
      <c r="Z1209" s="37"/>
      <c r="AA1209" s="37"/>
      <c r="AB1209" s="37"/>
      <c r="AC1209" s="37"/>
      <c r="AD1209" s="37"/>
      <c r="AE1209" s="37"/>
      <c r="AF1209" s="37"/>
      <c r="AG1209" s="37"/>
      <c r="AH1209" s="37"/>
      <c r="AI1209" s="37"/>
      <c r="AJ1209" s="37"/>
      <c r="AK1209" s="39"/>
      <c r="AL1209" s="37"/>
      <c r="AM1209" s="37"/>
      <c r="AN1209" s="37"/>
      <c r="AO1209" s="37"/>
    </row>
    <row r="1210" spans="1:41">
      <c r="A1210" s="37"/>
      <c r="B1210" s="37"/>
      <c r="C1210" s="37"/>
      <c r="D1210" s="37"/>
      <c r="E1210" s="37"/>
      <c r="F1210" s="37"/>
      <c r="G1210" s="37"/>
      <c r="H1210" s="40"/>
      <c r="I1210" s="40"/>
      <c r="J1210" s="40"/>
      <c r="K1210" s="37"/>
      <c r="L1210" s="37"/>
      <c r="M1210" s="37"/>
      <c r="N1210" s="37"/>
      <c r="O1210" s="37"/>
      <c r="P1210" s="37"/>
      <c r="Q1210" s="37"/>
      <c r="R1210" s="37"/>
      <c r="S1210" s="37"/>
      <c r="T1210" s="37"/>
      <c r="U1210" s="37"/>
      <c r="V1210" s="37"/>
      <c r="W1210" s="37"/>
      <c r="X1210" s="37"/>
      <c r="Y1210" s="37"/>
      <c r="Z1210" s="37"/>
      <c r="AA1210" s="37"/>
      <c r="AB1210" s="37"/>
      <c r="AC1210" s="37"/>
      <c r="AD1210" s="37"/>
      <c r="AE1210" s="37"/>
      <c r="AF1210" s="37"/>
      <c r="AG1210" s="37"/>
      <c r="AH1210" s="37"/>
      <c r="AI1210" s="37"/>
      <c r="AJ1210" s="37"/>
      <c r="AK1210" s="39"/>
      <c r="AL1210" s="37"/>
      <c r="AM1210" s="37"/>
      <c r="AN1210" s="37"/>
      <c r="AO1210" s="37"/>
    </row>
    <row r="1211" spans="1:41">
      <c r="A1211" s="37"/>
      <c r="B1211" s="37"/>
      <c r="C1211" s="37"/>
      <c r="D1211" s="37"/>
      <c r="E1211" s="37"/>
      <c r="F1211" s="37"/>
      <c r="G1211" s="37"/>
      <c r="H1211" s="40"/>
      <c r="I1211" s="40"/>
      <c r="J1211" s="40"/>
      <c r="K1211" s="37"/>
      <c r="L1211" s="37"/>
      <c r="M1211" s="37"/>
      <c r="N1211" s="37"/>
      <c r="O1211" s="37"/>
      <c r="P1211" s="37"/>
      <c r="Q1211" s="37"/>
      <c r="R1211" s="37"/>
      <c r="S1211" s="37"/>
      <c r="T1211" s="37"/>
      <c r="U1211" s="37"/>
      <c r="V1211" s="37"/>
      <c r="W1211" s="37"/>
      <c r="X1211" s="37"/>
      <c r="Y1211" s="37"/>
      <c r="Z1211" s="37"/>
      <c r="AA1211" s="37"/>
      <c r="AB1211" s="37"/>
      <c r="AC1211" s="37"/>
      <c r="AD1211" s="37"/>
      <c r="AE1211" s="37"/>
      <c r="AF1211" s="37"/>
      <c r="AG1211" s="37"/>
      <c r="AH1211" s="37"/>
      <c r="AI1211" s="37"/>
      <c r="AJ1211" s="37"/>
      <c r="AK1211" s="39"/>
      <c r="AL1211" s="37"/>
      <c r="AM1211" s="37"/>
      <c r="AN1211" s="37"/>
      <c r="AO1211" s="37"/>
    </row>
    <row r="1212" spans="1:41">
      <c r="A1212" s="37"/>
      <c r="B1212" s="37"/>
      <c r="C1212" s="37"/>
      <c r="D1212" s="37"/>
      <c r="E1212" s="37"/>
      <c r="F1212" s="37"/>
      <c r="G1212" s="37"/>
      <c r="H1212" s="40"/>
      <c r="I1212" s="40"/>
      <c r="J1212" s="40"/>
      <c r="K1212" s="37"/>
      <c r="L1212" s="37"/>
      <c r="M1212" s="37"/>
      <c r="N1212" s="37"/>
      <c r="O1212" s="37"/>
      <c r="P1212" s="37"/>
      <c r="Q1212" s="37"/>
      <c r="R1212" s="37"/>
      <c r="S1212" s="37"/>
      <c r="T1212" s="37"/>
      <c r="U1212" s="37"/>
      <c r="V1212" s="37"/>
      <c r="W1212" s="37"/>
      <c r="X1212" s="37"/>
      <c r="Y1212" s="37"/>
      <c r="Z1212" s="37"/>
      <c r="AA1212" s="37"/>
      <c r="AB1212" s="37"/>
      <c r="AC1212" s="37"/>
      <c r="AD1212" s="37"/>
      <c r="AE1212" s="37"/>
      <c r="AF1212" s="37"/>
      <c r="AG1212" s="37"/>
      <c r="AH1212" s="37"/>
      <c r="AI1212" s="37"/>
      <c r="AJ1212" s="37"/>
      <c r="AK1212" s="39"/>
      <c r="AL1212" s="37"/>
      <c r="AM1212" s="37"/>
      <c r="AN1212" s="37"/>
      <c r="AO1212" s="37"/>
    </row>
    <row r="1213" spans="1:41">
      <c r="A1213" s="37"/>
      <c r="B1213" s="37"/>
      <c r="C1213" s="37"/>
      <c r="D1213" s="37"/>
      <c r="E1213" s="37"/>
      <c r="F1213" s="37"/>
      <c r="G1213" s="37"/>
      <c r="H1213" s="40"/>
      <c r="I1213" s="40"/>
      <c r="J1213" s="40"/>
      <c r="K1213" s="37"/>
      <c r="L1213" s="37"/>
      <c r="M1213" s="37"/>
      <c r="N1213" s="37"/>
      <c r="O1213" s="37"/>
      <c r="P1213" s="37"/>
      <c r="Q1213" s="37"/>
      <c r="R1213" s="37"/>
      <c r="S1213" s="37"/>
      <c r="T1213" s="37"/>
      <c r="U1213" s="37"/>
      <c r="V1213" s="37"/>
      <c r="W1213" s="37"/>
      <c r="X1213" s="37"/>
      <c r="Y1213" s="37"/>
      <c r="Z1213" s="37"/>
      <c r="AA1213" s="37"/>
      <c r="AB1213" s="37"/>
      <c r="AC1213" s="37"/>
      <c r="AD1213" s="37"/>
      <c r="AE1213" s="37"/>
      <c r="AF1213" s="37"/>
      <c r="AG1213" s="37"/>
      <c r="AH1213" s="37"/>
      <c r="AI1213" s="37"/>
      <c r="AJ1213" s="37"/>
      <c r="AK1213" s="39"/>
      <c r="AL1213" s="37"/>
      <c r="AM1213" s="37"/>
      <c r="AN1213" s="37"/>
      <c r="AO1213" s="37"/>
    </row>
    <row r="1214" spans="1:41">
      <c r="A1214" s="37"/>
      <c r="B1214" s="37"/>
      <c r="C1214" s="37"/>
      <c r="D1214" s="37"/>
      <c r="E1214" s="37"/>
      <c r="F1214" s="37"/>
      <c r="G1214" s="37"/>
      <c r="H1214" s="40"/>
      <c r="I1214" s="40"/>
      <c r="J1214" s="40"/>
      <c r="K1214" s="37"/>
      <c r="L1214" s="37"/>
      <c r="M1214" s="37"/>
      <c r="N1214" s="37"/>
      <c r="O1214" s="37"/>
      <c r="P1214" s="37"/>
      <c r="Q1214" s="37"/>
      <c r="R1214" s="37"/>
      <c r="S1214" s="37"/>
      <c r="T1214" s="37"/>
      <c r="U1214" s="37"/>
      <c r="V1214" s="37"/>
      <c r="W1214" s="37"/>
      <c r="X1214" s="37"/>
      <c r="Y1214" s="37"/>
      <c r="Z1214" s="37"/>
      <c r="AA1214" s="37"/>
      <c r="AB1214" s="37"/>
      <c r="AC1214" s="37"/>
      <c r="AD1214" s="37"/>
      <c r="AE1214" s="37"/>
      <c r="AF1214" s="37"/>
      <c r="AG1214" s="37"/>
      <c r="AH1214" s="37"/>
      <c r="AI1214" s="37"/>
      <c r="AJ1214" s="37"/>
      <c r="AK1214" s="39"/>
      <c r="AL1214" s="37"/>
      <c r="AM1214" s="37"/>
      <c r="AN1214" s="37"/>
      <c r="AO1214" s="37"/>
    </row>
    <row r="1215" spans="1:41">
      <c r="A1215" s="37"/>
      <c r="B1215" s="37"/>
      <c r="C1215" s="37"/>
      <c r="D1215" s="37"/>
      <c r="E1215" s="37"/>
      <c r="F1215" s="37"/>
      <c r="G1215" s="37"/>
      <c r="H1215" s="40"/>
      <c r="I1215" s="40"/>
      <c r="J1215" s="40"/>
      <c r="K1215" s="37"/>
      <c r="L1215" s="37"/>
      <c r="M1215" s="37"/>
      <c r="N1215" s="37"/>
      <c r="O1215" s="37"/>
      <c r="P1215" s="37"/>
      <c r="Q1215" s="37"/>
      <c r="R1215" s="37"/>
      <c r="S1215" s="37"/>
      <c r="T1215" s="37"/>
      <c r="U1215" s="37"/>
      <c r="V1215" s="37"/>
      <c r="W1215" s="37"/>
      <c r="X1215" s="37"/>
      <c r="Y1215" s="37"/>
      <c r="Z1215" s="37"/>
      <c r="AA1215" s="37"/>
      <c r="AB1215" s="37"/>
      <c r="AC1215" s="37"/>
      <c r="AD1215" s="37"/>
      <c r="AE1215" s="37"/>
      <c r="AF1215" s="37"/>
      <c r="AG1215" s="37"/>
      <c r="AH1215" s="37"/>
      <c r="AI1215" s="37"/>
      <c r="AJ1215" s="37"/>
      <c r="AK1215" s="39"/>
      <c r="AL1215" s="37"/>
      <c r="AM1215" s="37"/>
      <c r="AN1215" s="37"/>
      <c r="AO1215" s="37"/>
    </row>
    <row r="1216" spans="1:41">
      <c r="A1216" s="37"/>
      <c r="B1216" s="37"/>
      <c r="C1216" s="37"/>
      <c r="D1216" s="37"/>
      <c r="E1216" s="37"/>
      <c r="F1216" s="37"/>
      <c r="G1216" s="37"/>
      <c r="H1216" s="40"/>
      <c r="I1216" s="40"/>
      <c r="J1216" s="40"/>
      <c r="K1216" s="37"/>
      <c r="L1216" s="37"/>
      <c r="M1216" s="37"/>
      <c r="N1216" s="37"/>
      <c r="O1216" s="37"/>
      <c r="P1216" s="37"/>
      <c r="Q1216" s="37"/>
      <c r="R1216" s="37"/>
      <c r="S1216" s="37"/>
      <c r="T1216" s="37"/>
      <c r="U1216" s="37"/>
      <c r="V1216" s="37"/>
      <c r="W1216" s="37"/>
      <c r="X1216" s="37"/>
      <c r="Y1216" s="37"/>
      <c r="Z1216" s="37"/>
      <c r="AA1216" s="37"/>
      <c r="AB1216" s="37"/>
      <c r="AC1216" s="37"/>
      <c r="AD1216" s="37"/>
      <c r="AE1216" s="37"/>
      <c r="AF1216" s="37"/>
      <c r="AG1216" s="37"/>
      <c r="AH1216" s="37"/>
      <c r="AI1216" s="37"/>
      <c r="AJ1216" s="37"/>
      <c r="AK1216" s="39"/>
      <c r="AL1216" s="37"/>
      <c r="AM1216" s="37"/>
      <c r="AN1216" s="37"/>
      <c r="AO1216" s="37"/>
    </row>
    <row r="1217" spans="1:41">
      <c r="A1217" s="37"/>
      <c r="B1217" s="37"/>
      <c r="C1217" s="37"/>
      <c r="D1217" s="37"/>
      <c r="E1217" s="37"/>
      <c r="F1217" s="37"/>
      <c r="G1217" s="37"/>
      <c r="H1217" s="40"/>
      <c r="I1217" s="40"/>
      <c r="J1217" s="40"/>
      <c r="K1217" s="37"/>
      <c r="L1217" s="37"/>
      <c r="M1217" s="37"/>
      <c r="N1217" s="37"/>
      <c r="O1217" s="37"/>
      <c r="P1217" s="37"/>
      <c r="Q1217" s="37"/>
      <c r="R1217" s="37"/>
      <c r="S1217" s="37"/>
      <c r="T1217" s="37"/>
      <c r="U1217" s="37"/>
      <c r="V1217" s="37"/>
      <c r="W1217" s="37"/>
      <c r="X1217" s="37"/>
      <c r="Y1217" s="37"/>
      <c r="Z1217" s="37"/>
      <c r="AA1217" s="37"/>
      <c r="AB1217" s="37"/>
      <c r="AC1217" s="37"/>
      <c r="AD1217" s="37"/>
      <c r="AE1217" s="37"/>
      <c r="AF1217" s="37"/>
      <c r="AG1217" s="37"/>
      <c r="AH1217" s="37"/>
      <c r="AI1217" s="37"/>
      <c r="AJ1217" s="37"/>
      <c r="AK1217" s="39"/>
      <c r="AL1217" s="37"/>
      <c r="AM1217" s="37"/>
      <c r="AN1217" s="37"/>
      <c r="AO1217" s="37"/>
    </row>
    <row r="1218" spans="1:41">
      <c r="A1218" s="37"/>
      <c r="B1218" s="37"/>
      <c r="C1218" s="37"/>
      <c r="D1218" s="37"/>
      <c r="E1218" s="37"/>
      <c r="F1218" s="37"/>
      <c r="G1218" s="37"/>
      <c r="H1218" s="40"/>
      <c r="I1218" s="40"/>
      <c r="J1218" s="40"/>
      <c r="K1218" s="37"/>
      <c r="L1218" s="37"/>
      <c r="M1218" s="37"/>
      <c r="N1218" s="37"/>
      <c r="O1218" s="37"/>
      <c r="P1218" s="37"/>
      <c r="Q1218" s="37"/>
      <c r="R1218" s="37"/>
      <c r="S1218" s="37"/>
      <c r="T1218" s="37"/>
      <c r="U1218" s="37"/>
      <c r="V1218" s="37"/>
      <c r="W1218" s="37"/>
      <c r="X1218" s="37"/>
      <c r="Y1218" s="37"/>
      <c r="Z1218" s="37"/>
      <c r="AA1218" s="37"/>
      <c r="AB1218" s="37"/>
      <c r="AC1218" s="37"/>
      <c r="AD1218" s="37"/>
      <c r="AE1218" s="37"/>
      <c r="AF1218" s="37"/>
      <c r="AG1218" s="37"/>
      <c r="AH1218" s="37"/>
      <c r="AI1218" s="37"/>
      <c r="AJ1218" s="37"/>
      <c r="AK1218" s="39"/>
      <c r="AL1218" s="37"/>
      <c r="AM1218" s="37"/>
      <c r="AN1218" s="37"/>
      <c r="AO1218" s="37"/>
    </row>
    <row r="1219" spans="1:41">
      <c r="A1219" s="37"/>
      <c r="B1219" s="37"/>
      <c r="C1219" s="37"/>
      <c r="D1219" s="37"/>
      <c r="E1219" s="37"/>
      <c r="F1219" s="37"/>
      <c r="G1219" s="37"/>
      <c r="H1219" s="40"/>
      <c r="I1219" s="40"/>
      <c r="J1219" s="40"/>
      <c r="K1219" s="37"/>
      <c r="L1219" s="37"/>
      <c r="M1219" s="37"/>
      <c r="N1219" s="37"/>
      <c r="O1219" s="37"/>
      <c r="P1219" s="37"/>
      <c r="Q1219" s="37"/>
      <c r="R1219" s="37"/>
      <c r="S1219" s="37"/>
      <c r="T1219" s="37"/>
      <c r="U1219" s="37"/>
      <c r="V1219" s="37"/>
      <c r="W1219" s="37"/>
      <c r="X1219" s="37"/>
      <c r="Y1219" s="37"/>
      <c r="Z1219" s="37"/>
      <c r="AA1219" s="37"/>
      <c r="AB1219" s="37"/>
      <c r="AC1219" s="37"/>
      <c r="AD1219" s="37"/>
      <c r="AE1219" s="37"/>
      <c r="AF1219" s="37"/>
      <c r="AG1219" s="37"/>
      <c r="AH1219" s="37"/>
      <c r="AI1219" s="37"/>
      <c r="AJ1219" s="37"/>
      <c r="AK1219" s="39"/>
      <c r="AL1219" s="37"/>
      <c r="AM1219" s="37"/>
      <c r="AN1219" s="37"/>
      <c r="AO1219" s="37"/>
    </row>
    <row r="1220" spans="1:41">
      <c r="A1220" s="37"/>
      <c r="B1220" s="37"/>
      <c r="C1220" s="37"/>
      <c r="D1220" s="37"/>
      <c r="E1220" s="37"/>
      <c r="F1220" s="37"/>
      <c r="G1220" s="37"/>
      <c r="H1220" s="40"/>
      <c r="I1220" s="40"/>
      <c r="J1220" s="40"/>
      <c r="K1220" s="37"/>
      <c r="L1220" s="37"/>
      <c r="M1220" s="37"/>
      <c r="N1220" s="37"/>
      <c r="O1220" s="37"/>
      <c r="P1220" s="37"/>
      <c r="Q1220" s="37"/>
      <c r="R1220" s="37"/>
      <c r="S1220" s="37"/>
      <c r="T1220" s="37"/>
      <c r="U1220" s="37"/>
      <c r="V1220" s="37"/>
      <c r="W1220" s="37"/>
      <c r="X1220" s="37"/>
      <c r="Y1220" s="37"/>
      <c r="Z1220" s="37"/>
      <c r="AA1220" s="37"/>
      <c r="AB1220" s="37"/>
      <c r="AC1220" s="37"/>
      <c r="AD1220" s="37"/>
      <c r="AE1220" s="37"/>
      <c r="AF1220" s="37"/>
      <c r="AG1220" s="37"/>
      <c r="AH1220" s="37"/>
      <c r="AI1220" s="37"/>
      <c r="AJ1220" s="37"/>
      <c r="AK1220" s="39"/>
      <c r="AL1220" s="37"/>
      <c r="AM1220" s="37"/>
      <c r="AN1220" s="37"/>
      <c r="AO1220" s="37"/>
    </row>
    <row r="1221" spans="1:41">
      <c r="A1221" s="37"/>
      <c r="B1221" s="37"/>
      <c r="C1221" s="37"/>
      <c r="D1221" s="37"/>
      <c r="E1221" s="37"/>
      <c r="F1221" s="37"/>
      <c r="G1221" s="37"/>
      <c r="H1221" s="40"/>
      <c r="I1221" s="40"/>
      <c r="J1221" s="40"/>
      <c r="K1221" s="37"/>
      <c r="L1221" s="37"/>
      <c r="M1221" s="37"/>
      <c r="N1221" s="37"/>
      <c r="O1221" s="37"/>
      <c r="P1221" s="37"/>
      <c r="Q1221" s="37"/>
      <c r="R1221" s="37"/>
      <c r="S1221" s="37"/>
      <c r="T1221" s="37"/>
      <c r="U1221" s="37"/>
      <c r="V1221" s="37"/>
      <c r="W1221" s="37"/>
      <c r="X1221" s="37"/>
      <c r="Y1221" s="37"/>
      <c r="Z1221" s="37"/>
      <c r="AA1221" s="37"/>
      <c r="AB1221" s="37"/>
      <c r="AC1221" s="37"/>
      <c r="AD1221" s="37"/>
      <c r="AE1221" s="37"/>
      <c r="AF1221" s="37"/>
      <c r="AG1221" s="37"/>
      <c r="AH1221" s="37"/>
      <c r="AI1221" s="37"/>
      <c r="AJ1221" s="37"/>
      <c r="AK1221" s="39"/>
      <c r="AL1221" s="37"/>
      <c r="AM1221" s="37"/>
      <c r="AN1221" s="37"/>
      <c r="AO1221" s="37"/>
    </row>
    <row r="1222" spans="1:41">
      <c r="A1222" s="37"/>
      <c r="B1222" s="37"/>
      <c r="C1222" s="37"/>
      <c r="D1222" s="37"/>
      <c r="E1222" s="37"/>
      <c r="F1222" s="37"/>
      <c r="G1222" s="37"/>
      <c r="H1222" s="40"/>
      <c r="I1222" s="40"/>
      <c r="J1222" s="40"/>
      <c r="K1222" s="37"/>
      <c r="L1222" s="37"/>
      <c r="M1222" s="37"/>
      <c r="N1222" s="37"/>
      <c r="O1222" s="37"/>
      <c r="P1222" s="37"/>
      <c r="Q1222" s="37"/>
      <c r="R1222" s="37"/>
      <c r="S1222" s="37"/>
      <c r="T1222" s="37"/>
      <c r="U1222" s="37"/>
      <c r="V1222" s="37"/>
      <c r="W1222" s="37"/>
      <c r="X1222" s="37"/>
      <c r="Y1222" s="37"/>
      <c r="Z1222" s="37"/>
      <c r="AA1222" s="37"/>
      <c r="AB1222" s="37"/>
      <c r="AC1222" s="37"/>
      <c r="AD1222" s="37"/>
      <c r="AE1222" s="37"/>
      <c r="AF1222" s="37"/>
      <c r="AG1222" s="37"/>
      <c r="AH1222" s="37"/>
      <c r="AI1222" s="37"/>
      <c r="AJ1222" s="37"/>
      <c r="AK1222" s="39"/>
      <c r="AL1222" s="37"/>
      <c r="AM1222" s="37"/>
      <c r="AN1222" s="37"/>
      <c r="AO1222" s="37"/>
    </row>
    <row r="1223" spans="1:41">
      <c r="A1223" s="37"/>
      <c r="B1223" s="37"/>
      <c r="C1223" s="37"/>
      <c r="D1223" s="37"/>
      <c r="E1223" s="37"/>
      <c r="F1223" s="37"/>
      <c r="G1223" s="37"/>
      <c r="H1223" s="40"/>
      <c r="I1223" s="40"/>
      <c r="J1223" s="40"/>
      <c r="K1223" s="37"/>
      <c r="L1223" s="37"/>
      <c r="M1223" s="37"/>
      <c r="N1223" s="37"/>
      <c r="O1223" s="37"/>
      <c r="P1223" s="37"/>
      <c r="Q1223" s="37"/>
      <c r="R1223" s="37"/>
      <c r="S1223" s="37"/>
      <c r="T1223" s="37"/>
      <c r="U1223" s="37"/>
      <c r="V1223" s="37"/>
      <c r="W1223" s="37"/>
      <c r="X1223" s="37"/>
      <c r="Y1223" s="37"/>
      <c r="Z1223" s="37"/>
      <c r="AA1223" s="37"/>
      <c r="AB1223" s="37"/>
      <c r="AC1223" s="37"/>
      <c r="AD1223" s="37"/>
      <c r="AE1223" s="37"/>
      <c r="AF1223" s="37"/>
      <c r="AG1223" s="37"/>
      <c r="AH1223" s="37"/>
      <c r="AI1223" s="37"/>
      <c r="AJ1223" s="37"/>
      <c r="AK1223" s="39"/>
      <c r="AL1223" s="37"/>
      <c r="AM1223" s="37"/>
      <c r="AN1223" s="37"/>
      <c r="AO1223" s="37"/>
    </row>
    <row r="1224" spans="1:41">
      <c r="A1224" s="37"/>
      <c r="B1224" s="37"/>
      <c r="C1224" s="37"/>
      <c r="D1224" s="37"/>
      <c r="E1224" s="37"/>
      <c r="F1224" s="37"/>
      <c r="G1224" s="37"/>
      <c r="H1224" s="40"/>
      <c r="I1224" s="40"/>
      <c r="J1224" s="40"/>
      <c r="K1224" s="37"/>
      <c r="L1224" s="37"/>
      <c r="M1224" s="37"/>
      <c r="N1224" s="37"/>
      <c r="O1224" s="37"/>
      <c r="P1224" s="37"/>
      <c r="Q1224" s="37"/>
      <c r="R1224" s="37"/>
      <c r="S1224" s="37"/>
      <c r="T1224" s="37"/>
      <c r="U1224" s="37"/>
      <c r="V1224" s="37"/>
      <c r="W1224" s="37"/>
      <c r="X1224" s="37"/>
      <c r="Y1224" s="37"/>
      <c r="Z1224" s="37"/>
      <c r="AA1224" s="37"/>
      <c r="AB1224" s="37"/>
      <c r="AC1224" s="37"/>
      <c r="AD1224" s="37"/>
      <c r="AE1224" s="37"/>
      <c r="AF1224" s="37"/>
      <c r="AG1224" s="37"/>
      <c r="AH1224" s="37"/>
      <c r="AI1224" s="37"/>
      <c r="AJ1224" s="37"/>
      <c r="AK1224" s="39"/>
      <c r="AL1224" s="37"/>
      <c r="AM1224" s="37"/>
      <c r="AN1224" s="37"/>
      <c r="AO1224" s="37"/>
    </row>
    <row r="1225" spans="1:41">
      <c r="A1225" s="37"/>
      <c r="B1225" s="37"/>
      <c r="C1225" s="37"/>
      <c r="D1225" s="37"/>
      <c r="E1225" s="37"/>
      <c r="F1225" s="37"/>
      <c r="G1225" s="37"/>
      <c r="H1225" s="40"/>
      <c r="I1225" s="40"/>
      <c r="J1225" s="40"/>
      <c r="K1225" s="37"/>
      <c r="L1225" s="37"/>
      <c r="M1225" s="37"/>
      <c r="N1225" s="37"/>
      <c r="O1225" s="37"/>
      <c r="P1225" s="37"/>
      <c r="Q1225" s="37"/>
      <c r="R1225" s="37"/>
      <c r="S1225" s="37"/>
      <c r="T1225" s="37"/>
      <c r="U1225" s="37"/>
      <c r="V1225" s="37"/>
      <c r="W1225" s="37"/>
      <c r="X1225" s="37"/>
      <c r="Y1225" s="37"/>
      <c r="Z1225" s="37"/>
      <c r="AA1225" s="37"/>
      <c r="AB1225" s="37"/>
      <c r="AC1225" s="37"/>
      <c r="AD1225" s="37"/>
      <c r="AE1225" s="37"/>
      <c r="AF1225" s="37"/>
      <c r="AG1225" s="37"/>
      <c r="AH1225" s="37"/>
      <c r="AI1225" s="37"/>
      <c r="AJ1225" s="37"/>
      <c r="AK1225" s="39"/>
      <c r="AL1225" s="37"/>
      <c r="AM1225" s="37"/>
      <c r="AN1225" s="37"/>
      <c r="AO1225" s="37"/>
    </row>
    <row r="1226" spans="1:41">
      <c r="A1226" s="37"/>
      <c r="B1226" s="37"/>
      <c r="C1226" s="37"/>
      <c r="D1226" s="37"/>
      <c r="E1226" s="37"/>
      <c r="F1226" s="37"/>
      <c r="G1226" s="37"/>
      <c r="H1226" s="40"/>
      <c r="I1226" s="40"/>
      <c r="J1226" s="40"/>
      <c r="K1226" s="37"/>
      <c r="L1226" s="37"/>
      <c r="M1226" s="37"/>
      <c r="N1226" s="37"/>
      <c r="O1226" s="37"/>
      <c r="P1226" s="37"/>
      <c r="Q1226" s="37"/>
      <c r="R1226" s="37"/>
      <c r="S1226" s="37"/>
      <c r="T1226" s="37"/>
      <c r="U1226" s="37"/>
      <c r="V1226" s="37"/>
      <c r="W1226" s="37"/>
      <c r="X1226" s="37"/>
      <c r="Y1226" s="37"/>
      <c r="Z1226" s="37"/>
      <c r="AA1226" s="37"/>
      <c r="AB1226" s="37"/>
      <c r="AC1226" s="37"/>
      <c r="AD1226" s="37"/>
      <c r="AE1226" s="37"/>
      <c r="AF1226" s="37"/>
      <c r="AG1226" s="37"/>
      <c r="AH1226" s="37"/>
      <c r="AI1226" s="37"/>
      <c r="AJ1226" s="37"/>
      <c r="AK1226" s="39"/>
      <c r="AL1226" s="37"/>
      <c r="AM1226" s="37"/>
      <c r="AN1226" s="37"/>
      <c r="AO1226" s="37"/>
    </row>
    <row r="1227" spans="1:41">
      <c r="A1227" s="37"/>
      <c r="B1227" s="37"/>
      <c r="C1227" s="37"/>
      <c r="D1227" s="37"/>
      <c r="E1227" s="37"/>
      <c r="F1227" s="37"/>
      <c r="G1227" s="37"/>
      <c r="H1227" s="40"/>
      <c r="I1227" s="40"/>
      <c r="J1227" s="40"/>
      <c r="K1227" s="37"/>
      <c r="L1227" s="37"/>
      <c r="M1227" s="37"/>
      <c r="N1227" s="37"/>
      <c r="O1227" s="37"/>
      <c r="P1227" s="37"/>
      <c r="Q1227" s="37"/>
      <c r="R1227" s="37"/>
      <c r="S1227" s="37"/>
      <c r="T1227" s="37"/>
      <c r="U1227" s="37"/>
      <c r="V1227" s="37"/>
      <c r="W1227" s="37"/>
      <c r="X1227" s="37"/>
      <c r="Y1227" s="37"/>
      <c r="Z1227" s="37"/>
      <c r="AA1227" s="37"/>
      <c r="AB1227" s="37"/>
      <c r="AC1227" s="37"/>
      <c r="AD1227" s="37"/>
      <c r="AE1227" s="37"/>
      <c r="AF1227" s="37"/>
      <c r="AG1227" s="37"/>
      <c r="AH1227" s="37"/>
      <c r="AI1227" s="37"/>
      <c r="AJ1227" s="37"/>
      <c r="AK1227" s="39"/>
      <c r="AL1227" s="37"/>
      <c r="AM1227" s="37"/>
      <c r="AN1227" s="37"/>
      <c r="AO1227" s="37"/>
    </row>
    <row r="1228" spans="1:41">
      <c r="A1228" s="37"/>
      <c r="B1228" s="37"/>
      <c r="C1228" s="37"/>
      <c r="D1228" s="37"/>
      <c r="E1228" s="37"/>
      <c r="F1228" s="37"/>
      <c r="G1228" s="37"/>
      <c r="H1228" s="40"/>
      <c r="I1228" s="40"/>
      <c r="J1228" s="40"/>
      <c r="K1228" s="37"/>
      <c r="L1228" s="37"/>
      <c r="M1228" s="37"/>
      <c r="N1228" s="37"/>
      <c r="O1228" s="37"/>
      <c r="P1228" s="37"/>
      <c r="Q1228" s="37"/>
      <c r="R1228" s="37"/>
      <c r="S1228" s="37"/>
      <c r="T1228" s="37"/>
      <c r="U1228" s="37"/>
      <c r="V1228" s="37"/>
      <c r="W1228" s="37"/>
      <c r="X1228" s="37"/>
      <c r="Y1228" s="37"/>
      <c r="Z1228" s="37"/>
      <c r="AA1228" s="37"/>
      <c r="AB1228" s="37"/>
      <c r="AC1228" s="37"/>
      <c r="AD1228" s="37"/>
      <c r="AE1228" s="37"/>
      <c r="AF1228" s="37"/>
      <c r="AG1228" s="37"/>
      <c r="AH1228" s="37"/>
      <c r="AI1228" s="37"/>
      <c r="AJ1228" s="37"/>
      <c r="AK1228" s="39"/>
      <c r="AL1228" s="37"/>
      <c r="AM1228" s="37"/>
      <c r="AN1228" s="37"/>
      <c r="AO1228" s="37"/>
    </row>
    <row r="1229" spans="1:41">
      <c r="A1229" s="37"/>
      <c r="B1229" s="37"/>
      <c r="C1229" s="37"/>
      <c r="D1229" s="37"/>
      <c r="E1229" s="37"/>
      <c r="F1229" s="37"/>
      <c r="G1229" s="37"/>
      <c r="H1229" s="40"/>
      <c r="I1229" s="40"/>
      <c r="J1229" s="40"/>
      <c r="K1229" s="37"/>
      <c r="L1229" s="37"/>
      <c r="M1229" s="37"/>
      <c r="N1229" s="37"/>
      <c r="O1229" s="37"/>
      <c r="P1229" s="37"/>
      <c r="Q1229" s="37"/>
      <c r="R1229" s="37"/>
      <c r="S1229" s="37"/>
      <c r="T1229" s="37"/>
      <c r="U1229" s="37"/>
      <c r="V1229" s="37"/>
      <c r="W1229" s="37"/>
      <c r="X1229" s="37"/>
      <c r="Y1229" s="37"/>
      <c r="Z1229" s="37"/>
      <c r="AA1229" s="37"/>
      <c r="AB1229" s="37"/>
      <c r="AC1229" s="37"/>
      <c r="AD1229" s="37"/>
      <c r="AE1229" s="37"/>
      <c r="AF1229" s="37"/>
      <c r="AG1229" s="37"/>
      <c r="AH1229" s="37"/>
      <c r="AI1229" s="37"/>
      <c r="AJ1229" s="37"/>
      <c r="AK1229" s="39"/>
      <c r="AL1229" s="37"/>
      <c r="AM1229" s="37"/>
      <c r="AN1229" s="37"/>
      <c r="AO1229" s="37"/>
    </row>
    <row r="1230" spans="1:41">
      <c r="A1230" s="37"/>
      <c r="B1230" s="37"/>
      <c r="C1230" s="37"/>
      <c r="D1230" s="37"/>
      <c r="E1230" s="37"/>
      <c r="F1230" s="37"/>
      <c r="G1230" s="37"/>
      <c r="H1230" s="40"/>
      <c r="I1230" s="40"/>
      <c r="J1230" s="40"/>
      <c r="K1230" s="37"/>
      <c r="L1230" s="37"/>
      <c r="M1230" s="37"/>
      <c r="N1230" s="37"/>
      <c r="O1230" s="37"/>
      <c r="P1230" s="37"/>
      <c r="Q1230" s="37"/>
      <c r="R1230" s="37"/>
      <c r="S1230" s="37"/>
      <c r="T1230" s="37"/>
      <c r="U1230" s="37"/>
      <c r="V1230" s="37"/>
      <c r="W1230" s="37"/>
      <c r="X1230" s="37"/>
      <c r="Y1230" s="37"/>
      <c r="Z1230" s="37"/>
      <c r="AA1230" s="37"/>
      <c r="AB1230" s="37"/>
      <c r="AC1230" s="37"/>
      <c r="AD1230" s="37"/>
      <c r="AE1230" s="37"/>
      <c r="AF1230" s="37"/>
      <c r="AG1230" s="37"/>
      <c r="AH1230" s="37"/>
      <c r="AI1230" s="37"/>
      <c r="AJ1230" s="37"/>
      <c r="AK1230" s="39"/>
      <c r="AL1230" s="37"/>
      <c r="AM1230" s="37"/>
      <c r="AN1230" s="37"/>
      <c r="AO1230" s="37"/>
    </row>
    <row r="1231" spans="1:41">
      <c r="A1231" s="37"/>
      <c r="B1231" s="37"/>
      <c r="C1231" s="37"/>
      <c r="D1231" s="37"/>
      <c r="E1231" s="37"/>
      <c r="F1231" s="37"/>
      <c r="G1231" s="37"/>
      <c r="H1231" s="40"/>
      <c r="I1231" s="40"/>
      <c r="J1231" s="40"/>
      <c r="K1231" s="37"/>
      <c r="L1231" s="37"/>
      <c r="M1231" s="37"/>
      <c r="N1231" s="37"/>
      <c r="O1231" s="37"/>
      <c r="P1231" s="37"/>
      <c r="Q1231" s="37"/>
      <c r="R1231" s="37"/>
      <c r="S1231" s="37"/>
      <c r="T1231" s="37"/>
      <c r="U1231" s="37"/>
      <c r="V1231" s="37"/>
      <c r="W1231" s="37"/>
      <c r="X1231" s="37"/>
      <c r="Y1231" s="37"/>
      <c r="Z1231" s="37"/>
      <c r="AA1231" s="37"/>
      <c r="AB1231" s="37"/>
      <c r="AC1231" s="37"/>
      <c r="AD1231" s="37"/>
      <c r="AE1231" s="37"/>
      <c r="AF1231" s="37"/>
      <c r="AG1231" s="37"/>
      <c r="AH1231" s="37"/>
      <c r="AI1231" s="37"/>
      <c r="AJ1231" s="37"/>
      <c r="AK1231" s="39"/>
      <c r="AL1231" s="37"/>
      <c r="AM1231" s="37"/>
      <c r="AN1231" s="37"/>
      <c r="AO1231" s="37"/>
    </row>
    <row r="1232" spans="1:41">
      <c r="A1232" s="37"/>
      <c r="B1232" s="37"/>
      <c r="C1232" s="37"/>
      <c r="D1232" s="37"/>
      <c r="E1232" s="37"/>
      <c r="F1232" s="37"/>
      <c r="G1232" s="37"/>
      <c r="H1232" s="40"/>
      <c r="I1232" s="40"/>
      <c r="J1232" s="40"/>
      <c r="K1232" s="37"/>
      <c r="L1232" s="37"/>
      <c r="M1232" s="37"/>
      <c r="N1232" s="37"/>
      <c r="O1232" s="37"/>
      <c r="P1232" s="37"/>
      <c r="Q1232" s="37"/>
      <c r="R1232" s="37"/>
      <c r="S1232" s="37"/>
      <c r="T1232" s="37"/>
      <c r="U1232" s="37"/>
      <c r="V1232" s="37"/>
      <c r="W1232" s="37"/>
      <c r="X1232" s="37"/>
      <c r="Y1232" s="37"/>
      <c r="Z1232" s="37"/>
      <c r="AA1232" s="37"/>
      <c r="AB1232" s="37"/>
      <c r="AC1232" s="37"/>
      <c r="AD1232" s="37"/>
      <c r="AE1232" s="37"/>
      <c r="AF1232" s="37"/>
      <c r="AG1232" s="37"/>
      <c r="AH1232" s="37"/>
      <c r="AI1232" s="37"/>
      <c r="AJ1232" s="37"/>
      <c r="AK1232" s="39"/>
      <c r="AL1232" s="37"/>
      <c r="AM1232" s="37"/>
      <c r="AN1232" s="37"/>
      <c r="AO1232" s="37"/>
    </row>
    <row r="1233" spans="1:41">
      <c r="A1233" s="37"/>
      <c r="B1233" s="37"/>
      <c r="C1233" s="37"/>
      <c r="D1233" s="37"/>
      <c r="E1233" s="37"/>
      <c r="F1233" s="37"/>
      <c r="G1233" s="37"/>
      <c r="H1233" s="40"/>
      <c r="I1233" s="40"/>
      <c r="J1233" s="40"/>
      <c r="K1233" s="37"/>
      <c r="L1233" s="37"/>
      <c r="M1233" s="37"/>
      <c r="N1233" s="37"/>
      <c r="O1233" s="37"/>
      <c r="P1233" s="37"/>
      <c r="Q1233" s="37"/>
      <c r="R1233" s="37"/>
      <c r="S1233" s="37"/>
      <c r="T1233" s="37"/>
      <c r="U1233" s="37"/>
      <c r="V1233" s="37"/>
      <c r="W1233" s="37"/>
      <c r="X1233" s="37"/>
      <c r="Y1233" s="37"/>
      <c r="Z1233" s="37"/>
      <c r="AA1233" s="37"/>
      <c r="AB1233" s="37"/>
      <c r="AC1233" s="37"/>
      <c r="AD1233" s="37"/>
      <c r="AE1233" s="37"/>
      <c r="AF1233" s="37"/>
      <c r="AG1233" s="37"/>
      <c r="AH1233" s="37"/>
      <c r="AI1233" s="37"/>
      <c r="AJ1233" s="37"/>
      <c r="AK1233" s="39"/>
      <c r="AL1233" s="37"/>
      <c r="AM1233" s="37"/>
      <c r="AN1233" s="37"/>
      <c r="AO1233" s="37"/>
    </row>
    <row r="1234" spans="1:41">
      <c r="A1234" s="37"/>
      <c r="B1234" s="37"/>
      <c r="C1234" s="37"/>
      <c r="D1234" s="37"/>
      <c r="E1234" s="37"/>
      <c r="F1234" s="37"/>
      <c r="G1234" s="37"/>
      <c r="H1234" s="40"/>
      <c r="I1234" s="40"/>
      <c r="J1234" s="40"/>
      <c r="K1234" s="37"/>
      <c r="L1234" s="37"/>
      <c r="M1234" s="37"/>
      <c r="N1234" s="37"/>
      <c r="O1234" s="37"/>
      <c r="P1234" s="37"/>
      <c r="Q1234" s="37"/>
      <c r="R1234" s="37"/>
      <c r="S1234" s="37"/>
      <c r="T1234" s="37"/>
      <c r="U1234" s="37"/>
      <c r="V1234" s="37"/>
      <c r="W1234" s="37"/>
      <c r="X1234" s="37"/>
      <c r="Y1234" s="37"/>
      <c r="Z1234" s="37"/>
      <c r="AA1234" s="37"/>
      <c r="AB1234" s="37"/>
      <c r="AC1234" s="37"/>
      <c r="AD1234" s="37"/>
      <c r="AE1234" s="37"/>
      <c r="AF1234" s="37"/>
      <c r="AG1234" s="37"/>
      <c r="AH1234" s="37"/>
      <c r="AI1234" s="37"/>
      <c r="AJ1234" s="37"/>
      <c r="AK1234" s="39"/>
      <c r="AL1234" s="37"/>
      <c r="AM1234" s="37"/>
      <c r="AN1234" s="37"/>
      <c r="AO1234" s="37"/>
    </row>
    <row r="1235" spans="1:41">
      <c r="A1235" s="37"/>
      <c r="B1235" s="37"/>
      <c r="C1235" s="37"/>
      <c r="D1235" s="37"/>
      <c r="E1235" s="37"/>
      <c r="F1235" s="37"/>
      <c r="G1235" s="37"/>
      <c r="H1235" s="40"/>
      <c r="I1235" s="40"/>
      <c r="J1235" s="40"/>
      <c r="K1235" s="37"/>
      <c r="L1235" s="37"/>
      <c r="M1235" s="37"/>
      <c r="N1235" s="37"/>
      <c r="O1235" s="37"/>
      <c r="P1235" s="37"/>
      <c r="Q1235" s="37"/>
      <c r="R1235" s="37"/>
      <c r="S1235" s="37"/>
      <c r="T1235" s="37"/>
      <c r="U1235" s="37"/>
      <c r="V1235" s="37"/>
      <c r="W1235" s="37"/>
      <c r="X1235" s="37"/>
      <c r="Y1235" s="37"/>
      <c r="Z1235" s="37"/>
      <c r="AA1235" s="37"/>
      <c r="AB1235" s="37"/>
      <c r="AC1235" s="37"/>
      <c r="AD1235" s="37"/>
      <c r="AE1235" s="37"/>
      <c r="AF1235" s="37"/>
      <c r="AG1235" s="37"/>
      <c r="AH1235" s="37"/>
      <c r="AI1235" s="37"/>
      <c r="AJ1235" s="37"/>
      <c r="AK1235" s="39"/>
      <c r="AL1235" s="37"/>
      <c r="AM1235" s="37"/>
      <c r="AN1235" s="37"/>
      <c r="AO1235" s="37"/>
    </row>
    <row r="1236" spans="1:41">
      <c r="A1236" s="37"/>
      <c r="B1236" s="37"/>
      <c r="C1236" s="37"/>
      <c r="D1236" s="37"/>
      <c r="E1236" s="37"/>
      <c r="F1236" s="37"/>
      <c r="G1236" s="37"/>
      <c r="H1236" s="40"/>
      <c r="I1236" s="40"/>
      <c r="J1236" s="40"/>
      <c r="K1236" s="37"/>
      <c r="L1236" s="37"/>
      <c r="M1236" s="37"/>
      <c r="N1236" s="37"/>
      <c r="O1236" s="37"/>
      <c r="P1236" s="37"/>
      <c r="Q1236" s="37"/>
      <c r="R1236" s="37"/>
      <c r="S1236" s="37"/>
      <c r="T1236" s="37"/>
      <c r="U1236" s="37"/>
      <c r="V1236" s="37"/>
      <c r="W1236" s="37"/>
      <c r="X1236" s="37"/>
      <c r="Y1236" s="37"/>
      <c r="Z1236" s="37"/>
      <c r="AA1236" s="37"/>
      <c r="AB1236" s="37"/>
      <c r="AC1236" s="37"/>
      <c r="AD1236" s="37"/>
      <c r="AE1236" s="37"/>
      <c r="AF1236" s="37"/>
      <c r="AG1236" s="37"/>
      <c r="AH1236" s="37"/>
      <c r="AI1236" s="37"/>
      <c r="AJ1236" s="37"/>
      <c r="AK1236" s="39"/>
      <c r="AL1236" s="37"/>
      <c r="AM1236" s="37"/>
      <c r="AN1236" s="37"/>
      <c r="AO1236" s="37"/>
    </row>
    <row r="1237" spans="1:41">
      <c r="A1237" s="37"/>
      <c r="B1237" s="37"/>
      <c r="C1237" s="37"/>
      <c r="D1237" s="37"/>
      <c r="E1237" s="37"/>
      <c r="F1237" s="37"/>
      <c r="G1237" s="37"/>
      <c r="H1237" s="40"/>
      <c r="I1237" s="40"/>
      <c r="J1237" s="40"/>
      <c r="K1237" s="37"/>
      <c r="L1237" s="37"/>
      <c r="M1237" s="37"/>
      <c r="N1237" s="37"/>
      <c r="O1237" s="37"/>
      <c r="P1237" s="37"/>
      <c r="Q1237" s="37"/>
      <c r="R1237" s="37"/>
      <c r="S1237" s="37"/>
      <c r="T1237" s="37"/>
      <c r="U1237" s="37"/>
      <c r="V1237" s="37"/>
      <c r="W1237" s="37"/>
      <c r="X1237" s="37"/>
      <c r="Y1237" s="37"/>
      <c r="Z1237" s="37"/>
      <c r="AA1237" s="37"/>
      <c r="AB1237" s="37"/>
      <c r="AC1237" s="37"/>
      <c r="AD1237" s="37"/>
      <c r="AE1237" s="37"/>
      <c r="AF1237" s="37"/>
      <c r="AG1237" s="37"/>
      <c r="AH1237" s="37"/>
      <c r="AI1237" s="37"/>
      <c r="AJ1237" s="37"/>
      <c r="AK1237" s="39"/>
      <c r="AL1237" s="37"/>
      <c r="AM1237" s="37"/>
      <c r="AN1237" s="37"/>
      <c r="AO1237" s="37"/>
    </row>
    <row r="1238" spans="1:41">
      <c r="A1238" s="37"/>
      <c r="B1238" s="37"/>
      <c r="C1238" s="37"/>
      <c r="D1238" s="37"/>
      <c r="E1238" s="37"/>
      <c r="F1238" s="37"/>
      <c r="G1238" s="37"/>
      <c r="H1238" s="40"/>
      <c r="I1238" s="40"/>
      <c r="J1238" s="40"/>
      <c r="K1238" s="37"/>
      <c r="L1238" s="37"/>
      <c r="M1238" s="37"/>
      <c r="N1238" s="37"/>
      <c r="O1238" s="37"/>
      <c r="P1238" s="37"/>
      <c r="Q1238" s="37"/>
      <c r="R1238" s="37"/>
      <c r="S1238" s="37"/>
      <c r="T1238" s="37"/>
      <c r="U1238" s="37"/>
      <c r="V1238" s="37"/>
      <c r="W1238" s="37"/>
      <c r="X1238" s="37"/>
      <c r="Y1238" s="37"/>
      <c r="Z1238" s="37"/>
      <c r="AA1238" s="37"/>
      <c r="AB1238" s="37"/>
      <c r="AC1238" s="37"/>
      <c r="AD1238" s="37"/>
      <c r="AE1238" s="37"/>
      <c r="AF1238" s="37"/>
      <c r="AG1238" s="37"/>
      <c r="AH1238" s="37"/>
      <c r="AI1238" s="37"/>
      <c r="AJ1238" s="37"/>
      <c r="AK1238" s="39"/>
      <c r="AL1238" s="37"/>
      <c r="AM1238" s="37"/>
      <c r="AN1238" s="37"/>
      <c r="AO1238" s="37"/>
    </row>
    <row r="1239" spans="1:41">
      <c r="A1239" s="37"/>
      <c r="B1239" s="37"/>
      <c r="C1239" s="37"/>
      <c r="D1239" s="37"/>
      <c r="E1239" s="37"/>
      <c r="F1239" s="37"/>
      <c r="G1239" s="37"/>
      <c r="H1239" s="40"/>
      <c r="I1239" s="40"/>
      <c r="J1239" s="40"/>
      <c r="K1239" s="37"/>
      <c r="L1239" s="37"/>
      <c r="M1239" s="37"/>
      <c r="N1239" s="37"/>
      <c r="O1239" s="37"/>
      <c r="P1239" s="37"/>
      <c r="Q1239" s="37"/>
      <c r="R1239" s="37"/>
      <c r="S1239" s="37"/>
      <c r="T1239" s="37"/>
      <c r="U1239" s="37"/>
      <c r="V1239" s="37"/>
      <c r="W1239" s="37"/>
      <c r="X1239" s="37"/>
      <c r="Y1239" s="37"/>
      <c r="Z1239" s="37"/>
      <c r="AA1239" s="37"/>
      <c r="AB1239" s="37"/>
      <c r="AC1239" s="37"/>
      <c r="AD1239" s="37"/>
      <c r="AE1239" s="37"/>
      <c r="AF1239" s="37"/>
      <c r="AG1239" s="37"/>
      <c r="AH1239" s="37"/>
      <c r="AI1239" s="37"/>
      <c r="AJ1239" s="37"/>
      <c r="AK1239" s="39"/>
      <c r="AL1239" s="37"/>
      <c r="AM1239" s="37"/>
      <c r="AN1239" s="37"/>
      <c r="AO1239" s="37"/>
    </row>
    <row r="1240" spans="1:41">
      <c r="A1240" s="37"/>
      <c r="B1240" s="37"/>
      <c r="C1240" s="37"/>
      <c r="D1240" s="37"/>
      <c r="E1240" s="37"/>
      <c r="F1240" s="37"/>
      <c r="G1240" s="37"/>
      <c r="H1240" s="40"/>
      <c r="I1240" s="40"/>
      <c r="J1240" s="40"/>
      <c r="K1240" s="37"/>
      <c r="L1240" s="37"/>
      <c r="M1240" s="37"/>
      <c r="N1240" s="37"/>
      <c r="O1240" s="37"/>
      <c r="P1240" s="37"/>
      <c r="Q1240" s="37"/>
      <c r="R1240" s="37"/>
      <c r="S1240" s="37"/>
      <c r="T1240" s="37"/>
      <c r="U1240" s="37"/>
      <c r="V1240" s="37"/>
      <c r="W1240" s="37"/>
      <c r="X1240" s="37"/>
      <c r="Y1240" s="37"/>
      <c r="Z1240" s="37"/>
      <c r="AA1240" s="37"/>
      <c r="AB1240" s="37"/>
      <c r="AC1240" s="37"/>
      <c r="AD1240" s="37"/>
      <c r="AE1240" s="37"/>
      <c r="AF1240" s="37"/>
      <c r="AG1240" s="37"/>
      <c r="AH1240" s="37"/>
      <c r="AI1240" s="37"/>
      <c r="AJ1240" s="37"/>
      <c r="AK1240" s="39"/>
      <c r="AL1240" s="37"/>
      <c r="AM1240" s="37"/>
      <c r="AN1240" s="37"/>
      <c r="AO1240" s="37"/>
    </row>
    <row r="1241" spans="1:41">
      <c r="A1241" s="37"/>
      <c r="B1241" s="37"/>
      <c r="C1241" s="37"/>
      <c r="D1241" s="37"/>
      <c r="E1241" s="37"/>
      <c r="F1241" s="37"/>
      <c r="G1241" s="37"/>
      <c r="H1241" s="40"/>
      <c r="I1241" s="40"/>
      <c r="J1241" s="40"/>
      <c r="K1241" s="37"/>
      <c r="L1241" s="37"/>
      <c r="M1241" s="37"/>
      <c r="N1241" s="37"/>
      <c r="O1241" s="37"/>
      <c r="P1241" s="37"/>
      <c r="Q1241" s="37"/>
      <c r="R1241" s="37"/>
      <c r="S1241" s="37"/>
      <c r="T1241" s="37"/>
      <c r="U1241" s="37"/>
      <c r="V1241" s="37"/>
      <c r="W1241" s="37"/>
      <c r="X1241" s="37"/>
      <c r="Y1241" s="37"/>
      <c r="Z1241" s="37"/>
      <c r="AA1241" s="37"/>
      <c r="AB1241" s="37"/>
      <c r="AC1241" s="37"/>
      <c r="AD1241" s="37"/>
      <c r="AE1241" s="37"/>
      <c r="AF1241" s="37"/>
      <c r="AG1241" s="37"/>
      <c r="AH1241" s="37"/>
      <c r="AI1241" s="37"/>
      <c r="AJ1241" s="37"/>
      <c r="AK1241" s="39"/>
      <c r="AL1241" s="37"/>
      <c r="AM1241" s="37"/>
      <c r="AN1241" s="37"/>
      <c r="AO1241" s="37"/>
    </row>
    <row r="1242" spans="1:41">
      <c r="A1242" s="37"/>
      <c r="B1242" s="37"/>
      <c r="C1242" s="37"/>
      <c r="D1242" s="37"/>
      <c r="E1242" s="37"/>
      <c r="F1242" s="37"/>
      <c r="G1242" s="37"/>
      <c r="H1242" s="40"/>
      <c r="I1242" s="40"/>
      <c r="J1242" s="40"/>
      <c r="K1242" s="37"/>
      <c r="L1242" s="37"/>
      <c r="M1242" s="37"/>
      <c r="N1242" s="37"/>
      <c r="O1242" s="37"/>
      <c r="P1242" s="37"/>
      <c r="Q1242" s="37"/>
      <c r="R1242" s="37"/>
      <c r="S1242" s="37"/>
      <c r="T1242" s="37"/>
      <c r="U1242" s="37"/>
      <c r="V1242" s="37"/>
      <c r="W1242" s="37"/>
      <c r="X1242" s="37"/>
      <c r="Y1242" s="37"/>
      <c r="Z1242" s="37"/>
      <c r="AA1242" s="37"/>
      <c r="AB1242" s="37"/>
      <c r="AC1242" s="37"/>
      <c r="AD1242" s="37"/>
      <c r="AE1242" s="37"/>
      <c r="AF1242" s="37"/>
      <c r="AG1242" s="37"/>
      <c r="AH1242" s="37"/>
      <c r="AI1242" s="37"/>
      <c r="AJ1242" s="37"/>
      <c r="AK1242" s="39"/>
      <c r="AL1242" s="37"/>
      <c r="AM1242" s="37"/>
      <c r="AN1242" s="37"/>
      <c r="AO1242" s="37"/>
    </row>
    <row r="1243" spans="1:41">
      <c r="A1243" s="37"/>
      <c r="B1243" s="37"/>
      <c r="C1243" s="37"/>
      <c r="D1243" s="37"/>
      <c r="E1243" s="37"/>
      <c r="F1243" s="37"/>
      <c r="G1243" s="37"/>
      <c r="H1243" s="40"/>
      <c r="I1243" s="40"/>
      <c r="J1243" s="40"/>
      <c r="K1243" s="37"/>
      <c r="L1243" s="37"/>
      <c r="M1243" s="37"/>
      <c r="N1243" s="37"/>
      <c r="O1243" s="37"/>
      <c r="P1243" s="37"/>
      <c r="Q1243" s="37"/>
      <c r="R1243" s="37"/>
      <c r="S1243" s="37"/>
      <c r="T1243" s="37"/>
      <c r="U1243" s="37"/>
      <c r="V1243" s="37"/>
      <c r="W1243" s="37"/>
      <c r="X1243" s="37"/>
      <c r="Y1243" s="37"/>
      <c r="Z1243" s="37"/>
      <c r="AA1243" s="37"/>
      <c r="AB1243" s="37"/>
      <c r="AC1243" s="37"/>
      <c r="AD1243" s="37"/>
      <c r="AE1243" s="37"/>
      <c r="AF1243" s="37"/>
      <c r="AG1243" s="37"/>
      <c r="AH1243" s="37"/>
      <c r="AI1243" s="37"/>
      <c r="AJ1243" s="37"/>
      <c r="AK1243" s="39"/>
      <c r="AL1243" s="37"/>
      <c r="AM1243" s="37"/>
      <c r="AN1243" s="37"/>
      <c r="AO1243" s="37"/>
    </row>
    <row r="1244" spans="1:41">
      <c r="A1244" s="37"/>
      <c r="B1244" s="37"/>
      <c r="C1244" s="37"/>
      <c r="D1244" s="37"/>
      <c r="E1244" s="37"/>
      <c r="F1244" s="37"/>
      <c r="G1244" s="37"/>
      <c r="H1244" s="40"/>
      <c r="I1244" s="40"/>
      <c r="J1244" s="40"/>
      <c r="K1244" s="37"/>
      <c r="L1244" s="37"/>
      <c r="M1244" s="37"/>
      <c r="N1244" s="37"/>
      <c r="O1244" s="37"/>
      <c r="P1244" s="37"/>
      <c r="Q1244" s="37"/>
      <c r="R1244" s="37"/>
      <c r="S1244" s="37"/>
      <c r="T1244" s="37"/>
      <c r="U1244" s="37"/>
      <c r="V1244" s="37"/>
      <c r="W1244" s="37"/>
      <c r="X1244" s="37"/>
      <c r="Y1244" s="37"/>
      <c r="Z1244" s="37"/>
      <c r="AA1244" s="37"/>
      <c r="AB1244" s="37"/>
      <c r="AC1244" s="37"/>
      <c r="AD1244" s="37"/>
      <c r="AE1244" s="37"/>
      <c r="AF1244" s="37"/>
      <c r="AG1244" s="37"/>
      <c r="AH1244" s="37"/>
      <c r="AI1244" s="37"/>
      <c r="AJ1244" s="37"/>
      <c r="AK1244" s="39"/>
      <c r="AL1244" s="37"/>
      <c r="AM1244" s="37"/>
      <c r="AN1244" s="37"/>
      <c r="AO1244" s="37"/>
    </row>
    <row r="1245" spans="1:41">
      <c r="A1245" s="37"/>
      <c r="B1245" s="37"/>
      <c r="C1245" s="37"/>
      <c r="D1245" s="37"/>
      <c r="E1245" s="37"/>
      <c r="F1245" s="37"/>
      <c r="G1245" s="37"/>
      <c r="H1245" s="40"/>
      <c r="I1245" s="40"/>
      <c r="J1245" s="40"/>
      <c r="K1245" s="37"/>
      <c r="L1245" s="37"/>
      <c r="M1245" s="37"/>
      <c r="N1245" s="37"/>
      <c r="O1245" s="37"/>
      <c r="P1245" s="37"/>
      <c r="Q1245" s="37"/>
      <c r="R1245" s="37"/>
      <c r="S1245" s="37"/>
      <c r="T1245" s="37"/>
      <c r="U1245" s="37"/>
      <c r="V1245" s="37"/>
      <c r="W1245" s="37"/>
      <c r="X1245" s="37"/>
      <c r="Y1245" s="37"/>
      <c r="Z1245" s="37"/>
      <c r="AA1245" s="37"/>
      <c r="AB1245" s="37"/>
      <c r="AC1245" s="37"/>
      <c r="AD1245" s="37"/>
      <c r="AE1245" s="37"/>
      <c r="AF1245" s="37"/>
      <c r="AG1245" s="37"/>
      <c r="AH1245" s="37"/>
      <c r="AI1245" s="37"/>
      <c r="AJ1245" s="37"/>
      <c r="AK1245" s="39"/>
      <c r="AL1245" s="37"/>
      <c r="AM1245" s="37"/>
      <c r="AN1245" s="37"/>
      <c r="AO1245" s="37"/>
    </row>
    <row r="1246" spans="1:41">
      <c r="A1246" s="37"/>
      <c r="B1246" s="37"/>
      <c r="C1246" s="37"/>
      <c r="D1246" s="37"/>
      <c r="E1246" s="37"/>
      <c r="F1246" s="37"/>
      <c r="G1246" s="37"/>
      <c r="H1246" s="40"/>
      <c r="I1246" s="40"/>
      <c r="J1246" s="40"/>
      <c r="K1246" s="37"/>
      <c r="L1246" s="37"/>
      <c r="M1246" s="37"/>
      <c r="N1246" s="37"/>
      <c r="O1246" s="37"/>
      <c r="P1246" s="37"/>
      <c r="Q1246" s="37"/>
      <c r="R1246" s="37"/>
      <c r="S1246" s="37"/>
      <c r="T1246" s="37"/>
      <c r="U1246" s="37"/>
      <c r="V1246" s="37"/>
      <c r="W1246" s="37"/>
      <c r="X1246" s="37"/>
      <c r="Y1246" s="37"/>
      <c r="Z1246" s="37"/>
      <c r="AA1246" s="37"/>
      <c r="AB1246" s="37"/>
      <c r="AC1246" s="37"/>
      <c r="AD1246" s="37"/>
      <c r="AE1246" s="37"/>
      <c r="AF1246" s="37"/>
      <c r="AG1246" s="37"/>
      <c r="AH1246" s="37"/>
      <c r="AI1246" s="37"/>
      <c r="AJ1246" s="37"/>
      <c r="AK1246" s="39"/>
      <c r="AL1246" s="37"/>
      <c r="AM1246" s="37"/>
      <c r="AN1246" s="37"/>
      <c r="AO1246" s="37"/>
    </row>
    <row r="1247" spans="1:41">
      <c r="A1247" s="37"/>
      <c r="B1247" s="37"/>
      <c r="C1247" s="37"/>
      <c r="D1247" s="37"/>
      <c r="E1247" s="37"/>
      <c r="F1247" s="37"/>
      <c r="G1247" s="37"/>
      <c r="H1247" s="40"/>
      <c r="I1247" s="40"/>
      <c r="J1247" s="40"/>
      <c r="K1247" s="37"/>
      <c r="L1247" s="37"/>
      <c r="M1247" s="37"/>
      <c r="N1247" s="37"/>
      <c r="O1247" s="37"/>
      <c r="P1247" s="37"/>
      <c r="Q1247" s="37"/>
      <c r="R1247" s="37"/>
      <c r="S1247" s="37"/>
      <c r="T1247" s="37"/>
      <c r="U1247" s="37"/>
      <c r="V1247" s="37"/>
      <c r="W1247" s="37"/>
      <c r="X1247" s="37"/>
      <c r="Y1247" s="37"/>
      <c r="Z1247" s="37"/>
      <c r="AA1247" s="37"/>
      <c r="AB1247" s="37"/>
      <c r="AC1247" s="37"/>
      <c r="AD1247" s="37"/>
      <c r="AE1247" s="37"/>
      <c r="AF1247" s="37"/>
      <c r="AG1247" s="37"/>
      <c r="AH1247" s="37"/>
      <c r="AI1247" s="37"/>
      <c r="AJ1247" s="37"/>
      <c r="AK1247" s="39"/>
      <c r="AL1247" s="37"/>
      <c r="AM1247" s="37"/>
      <c r="AN1247" s="37"/>
      <c r="AO1247" s="37"/>
    </row>
    <row r="1248" spans="1:41">
      <c r="A1248" s="37"/>
      <c r="B1248" s="37"/>
      <c r="C1248" s="37"/>
      <c r="D1248" s="37"/>
      <c r="E1248" s="37"/>
      <c r="F1248" s="37"/>
      <c r="G1248" s="37"/>
      <c r="H1248" s="40"/>
      <c r="I1248" s="40"/>
      <c r="J1248" s="40"/>
      <c r="K1248" s="37"/>
      <c r="L1248" s="37"/>
      <c r="M1248" s="37"/>
      <c r="N1248" s="37"/>
      <c r="O1248" s="37"/>
      <c r="P1248" s="37"/>
      <c r="Q1248" s="37"/>
      <c r="R1248" s="37"/>
      <c r="S1248" s="37"/>
      <c r="T1248" s="37"/>
      <c r="U1248" s="37"/>
      <c r="V1248" s="37"/>
      <c r="W1248" s="37"/>
      <c r="X1248" s="37"/>
      <c r="Y1248" s="37"/>
      <c r="Z1248" s="37"/>
      <c r="AA1248" s="37"/>
      <c r="AB1248" s="37"/>
      <c r="AC1248" s="37"/>
      <c r="AD1248" s="37"/>
      <c r="AE1248" s="37"/>
      <c r="AF1248" s="37"/>
      <c r="AG1248" s="37"/>
      <c r="AH1248" s="37"/>
      <c r="AI1248" s="37"/>
      <c r="AJ1248" s="37"/>
      <c r="AK1248" s="39"/>
      <c r="AL1248" s="37"/>
      <c r="AM1248" s="37"/>
      <c r="AN1248" s="37"/>
      <c r="AO1248" s="37"/>
    </row>
    <row r="1249" spans="1:41">
      <c r="A1249" s="37"/>
      <c r="B1249" s="37"/>
      <c r="C1249" s="37"/>
      <c r="D1249" s="37"/>
      <c r="E1249" s="37"/>
      <c r="F1249" s="37"/>
      <c r="G1249" s="37"/>
      <c r="H1249" s="40"/>
      <c r="I1249" s="40"/>
      <c r="J1249" s="40"/>
      <c r="K1249" s="37"/>
      <c r="L1249" s="37"/>
      <c r="M1249" s="37"/>
      <c r="N1249" s="37"/>
      <c r="O1249" s="37"/>
      <c r="P1249" s="37"/>
      <c r="Q1249" s="37"/>
      <c r="R1249" s="37"/>
      <c r="S1249" s="37"/>
      <c r="T1249" s="37"/>
      <c r="U1249" s="37"/>
      <c r="V1249" s="37"/>
      <c r="W1249" s="37"/>
      <c r="X1249" s="37"/>
      <c r="Y1249" s="37"/>
      <c r="Z1249" s="37"/>
      <c r="AA1249" s="37"/>
      <c r="AB1249" s="37"/>
      <c r="AC1249" s="37"/>
      <c r="AD1249" s="37"/>
      <c r="AE1249" s="37"/>
      <c r="AF1249" s="37"/>
      <c r="AG1249" s="37"/>
      <c r="AH1249" s="37"/>
      <c r="AI1249" s="37"/>
      <c r="AJ1249" s="37"/>
      <c r="AK1249" s="39"/>
      <c r="AL1249" s="37"/>
      <c r="AM1249" s="37"/>
      <c r="AN1249" s="37"/>
      <c r="AO1249" s="37"/>
    </row>
    <row r="1250" spans="1:41">
      <c r="A1250" s="37"/>
      <c r="B1250" s="37"/>
      <c r="C1250" s="37"/>
      <c r="D1250" s="37"/>
      <c r="E1250" s="37"/>
      <c r="F1250" s="37"/>
      <c r="G1250" s="37"/>
      <c r="H1250" s="40"/>
      <c r="I1250" s="40"/>
      <c r="J1250" s="40"/>
      <c r="K1250" s="37"/>
      <c r="L1250" s="37"/>
      <c r="M1250" s="37"/>
      <c r="N1250" s="37"/>
      <c r="O1250" s="37"/>
      <c r="P1250" s="37"/>
      <c r="Q1250" s="37"/>
      <c r="R1250" s="37"/>
      <c r="S1250" s="37"/>
      <c r="T1250" s="37"/>
      <c r="U1250" s="37"/>
      <c r="V1250" s="37"/>
      <c r="W1250" s="37"/>
      <c r="X1250" s="37"/>
      <c r="Y1250" s="37"/>
      <c r="Z1250" s="37"/>
      <c r="AA1250" s="37"/>
      <c r="AB1250" s="37"/>
      <c r="AC1250" s="37"/>
      <c r="AD1250" s="37"/>
      <c r="AE1250" s="37"/>
      <c r="AF1250" s="37"/>
      <c r="AG1250" s="37"/>
      <c r="AH1250" s="37"/>
      <c r="AI1250" s="37"/>
      <c r="AJ1250" s="37"/>
      <c r="AK1250" s="39"/>
      <c r="AL1250" s="37"/>
      <c r="AM1250" s="37"/>
      <c r="AN1250" s="37"/>
      <c r="AO1250" s="37"/>
    </row>
    <row r="1251" spans="1:41">
      <c r="A1251" s="37"/>
      <c r="B1251" s="37"/>
      <c r="C1251" s="37"/>
      <c r="D1251" s="37"/>
      <c r="E1251" s="37"/>
      <c r="F1251" s="37"/>
      <c r="G1251" s="37"/>
      <c r="H1251" s="40"/>
      <c r="I1251" s="40"/>
      <c r="J1251" s="40"/>
      <c r="K1251" s="37"/>
      <c r="L1251" s="37"/>
      <c r="M1251" s="37"/>
      <c r="N1251" s="37"/>
      <c r="O1251" s="37"/>
      <c r="P1251" s="37"/>
      <c r="Q1251" s="37"/>
      <c r="R1251" s="37"/>
      <c r="S1251" s="37"/>
      <c r="T1251" s="37"/>
      <c r="U1251" s="37"/>
      <c r="V1251" s="37"/>
      <c r="W1251" s="37"/>
      <c r="X1251" s="37"/>
      <c r="Y1251" s="37"/>
      <c r="Z1251" s="37"/>
      <c r="AA1251" s="37"/>
      <c r="AB1251" s="37"/>
      <c r="AC1251" s="37"/>
      <c r="AD1251" s="37"/>
      <c r="AE1251" s="37"/>
      <c r="AF1251" s="37"/>
      <c r="AG1251" s="37"/>
      <c r="AH1251" s="37"/>
      <c r="AI1251" s="37"/>
      <c r="AJ1251" s="37"/>
      <c r="AK1251" s="39"/>
      <c r="AL1251" s="37"/>
      <c r="AM1251" s="37"/>
      <c r="AN1251" s="37"/>
      <c r="AO1251" s="37"/>
    </row>
    <row r="1252" spans="1:41">
      <c r="A1252" s="37"/>
      <c r="B1252" s="37"/>
      <c r="C1252" s="37"/>
      <c r="D1252" s="37"/>
      <c r="E1252" s="37"/>
      <c r="F1252" s="37"/>
      <c r="G1252" s="37"/>
      <c r="H1252" s="40"/>
      <c r="I1252" s="40"/>
      <c r="J1252" s="40"/>
      <c r="K1252" s="37"/>
      <c r="L1252" s="37"/>
      <c r="M1252" s="37"/>
      <c r="N1252" s="37"/>
      <c r="O1252" s="37"/>
      <c r="P1252" s="37"/>
      <c r="Q1252" s="37"/>
      <c r="R1252" s="37"/>
      <c r="S1252" s="37"/>
      <c r="T1252" s="37"/>
      <c r="U1252" s="37"/>
      <c r="V1252" s="37"/>
      <c r="W1252" s="37"/>
      <c r="X1252" s="37"/>
      <c r="Y1252" s="37"/>
      <c r="Z1252" s="37"/>
      <c r="AA1252" s="37"/>
      <c r="AB1252" s="37"/>
      <c r="AC1252" s="37"/>
      <c r="AD1252" s="37"/>
      <c r="AE1252" s="37"/>
      <c r="AF1252" s="37"/>
      <c r="AG1252" s="37"/>
      <c r="AH1252" s="37"/>
      <c r="AI1252" s="37"/>
      <c r="AJ1252" s="37"/>
      <c r="AK1252" s="39"/>
      <c r="AL1252" s="37"/>
      <c r="AM1252" s="37"/>
      <c r="AN1252" s="37"/>
      <c r="AO1252" s="37"/>
    </row>
    <row r="1253" spans="1:41">
      <c r="A1253" s="37"/>
      <c r="B1253" s="37"/>
      <c r="C1253" s="37"/>
      <c r="D1253" s="37"/>
      <c r="E1253" s="37"/>
      <c r="F1253" s="37"/>
      <c r="G1253" s="37"/>
      <c r="H1253" s="40"/>
      <c r="I1253" s="40"/>
      <c r="J1253" s="40"/>
      <c r="K1253" s="37"/>
      <c r="L1253" s="37"/>
      <c r="M1253" s="37"/>
      <c r="N1253" s="37"/>
      <c r="O1253" s="37"/>
      <c r="P1253" s="37"/>
      <c r="Q1253" s="37"/>
      <c r="R1253" s="37"/>
      <c r="S1253" s="37"/>
      <c r="T1253" s="37"/>
      <c r="U1253" s="37"/>
      <c r="V1253" s="37"/>
      <c r="W1253" s="37"/>
      <c r="X1253" s="37"/>
      <c r="Y1253" s="37"/>
      <c r="Z1253" s="37"/>
      <c r="AA1253" s="37"/>
      <c r="AB1253" s="37"/>
      <c r="AC1253" s="37"/>
      <c r="AD1253" s="37"/>
      <c r="AE1253" s="37"/>
      <c r="AF1253" s="37"/>
      <c r="AG1253" s="37"/>
      <c r="AH1253" s="37"/>
      <c r="AI1253" s="37"/>
      <c r="AJ1253" s="37"/>
      <c r="AK1253" s="39"/>
      <c r="AL1253" s="37"/>
      <c r="AM1253" s="37"/>
      <c r="AN1253" s="37"/>
      <c r="AO1253" s="37"/>
    </row>
    <row r="1254" spans="1:41">
      <c r="A1254" s="37"/>
      <c r="B1254" s="37"/>
      <c r="C1254" s="37"/>
      <c r="D1254" s="37"/>
      <c r="E1254" s="37"/>
      <c r="F1254" s="37"/>
      <c r="G1254" s="37"/>
      <c r="H1254" s="40"/>
      <c r="I1254" s="40"/>
      <c r="J1254" s="40"/>
      <c r="K1254" s="37"/>
      <c r="L1254" s="37"/>
      <c r="M1254" s="37"/>
      <c r="N1254" s="37"/>
      <c r="O1254" s="37"/>
      <c r="P1254" s="37"/>
      <c r="Q1254" s="37"/>
      <c r="R1254" s="37"/>
      <c r="S1254" s="37"/>
      <c r="T1254" s="37"/>
      <c r="U1254" s="37"/>
      <c r="V1254" s="37"/>
      <c r="W1254" s="37"/>
      <c r="X1254" s="37"/>
      <c r="Y1254" s="37"/>
      <c r="Z1254" s="37"/>
      <c r="AA1254" s="37"/>
      <c r="AB1254" s="37"/>
      <c r="AC1254" s="37"/>
      <c r="AD1254" s="37"/>
      <c r="AE1254" s="37"/>
      <c r="AF1254" s="37"/>
      <c r="AG1254" s="37"/>
      <c r="AH1254" s="37"/>
      <c r="AI1254" s="37"/>
      <c r="AJ1254" s="37"/>
      <c r="AK1254" s="39"/>
      <c r="AL1254" s="37"/>
      <c r="AM1254" s="37"/>
      <c r="AN1254" s="37"/>
      <c r="AO1254" s="37"/>
    </row>
    <row r="1255" spans="1:41">
      <c r="A1255" s="37"/>
      <c r="B1255" s="37"/>
      <c r="C1255" s="37"/>
      <c r="D1255" s="37"/>
      <c r="E1255" s="37"/>
      <c r="F1255" s="37"/>
      <c r="G1255" s="37"/>
      <c r="H1255" s="40"/>
      <c r="I1255" s="40"/>
      <c r="J1255" s="40"/>
      <c r="K1255" s="37"/>
      <c r="L1255" s="37"/>
      <c r="M1255" s="37"/>
      <c r="N1255" s="37"/>
      <c r="O1255" s="37"/>
      <c r="P1255" s="37"/>
      <c r="Q1255" s="37"/>
      <c r="R1255" s="37"/>
      <c r="S1255" s="37"/>
      <c r="T1255" s="37"/>
      <c r="U1255" s="37"/>
      <c r="V1255" s="37"/>
      <c r="W1255" s="37"/>
      <c r="X1255" s="37"/>
      <c r="Y1255" s="37"/>
      <c r="Z1255" s="37"/>
      <c r="AA1255" s="37"/>
      <c r="AB1255" s="37"/>
      <c r="AC1255" s="37"/>
      <c r="AD1255" s="37"/>
      <c r="AE1255" s="37"/>
      <c r="AF1255" s="37"/>
      <c r="AG1255" s="37"/>
      <c r="AH1255" s="37"/>
      <c r="AI1255" s="37"/>
      <c r="AJ1255" s="37"/>
      <c r="AK1255" s="39"/>
      <c r="AL1255" s="37"/>
      <c r="AM1255" s="37"/>
      <c r="AN1255" s="37"/>
      <c r="AO1255" s="37"/>
    </row>
    <row r="1256" spans="1:41">
      <c r="A1256" s="37"/>
      <c r="B1256" s="37"/>
      <c r="C1256" s="37"/>
      <c r="D1256" s="37"/>
      <c r="E1256" s="37"/>
      <c r="F1256" s="37"/>
      <c r="G1256" s="37"/>
      <c r="H1256" s="40"/>
      <c r="I1256" s="40"/>
      <c r="J1256" s="40"/>
      <c r="K1256" s="37"/>
      <c r="L1256" s="37"/>
      <c r="M1256" s="37"/>
      <c r="N1256" s="37"/>
      <c r="O1256" s="37"/>
      <c r="P1256" s="37"/>
      <c r="Q1256" s="37"/>
      <c r="R1256" s="37"/>
      <c r="S1256" s="37"/>
      <c r="T1256" s="37"/>
      <c r="U1256" s="37"/>
      <c r="V1256" s="37"/>
      <c r="W1256" s="37"/>
      <c r="X1256" s="37"/>
      <c r="Y1256" s="37"/>
      <c r="Z1256" s="37"/>
      <c r="AA1256" s="37"/>
      <c r="AB1256" s="37"/>
      <c r="AC1256" s="37"/>
      <c r="AD1256" s="37"/>
      <c r="AE1256" s="37"/>
      <c r="AF1256" s="37"/>
      <c r="AG1256" s="37"/>
      <c r="AH1256" s="37"/>
      <c r="AI1256" s="37"/>
      <c r="AJ1256" s="37"/>
      <c r="AK1256" s="39"/>
      <c r="AL1256" s="37"/>
      <c r="AM1256" s="37"/>
      <c r="AN1256" s="37"/>
      <c r="AO1256" s="37"/>
    </row>
    <row r="1257" spans="1:41">
      <c r="A1257" s="37"/>
      <c r="B1257" s="37"/>
      <c r="C1257" s="37"/>
      <c r="D1257" s="37"/>
      <c r="E1257" s="37"/>
      <c r="F1257" s="37"/>
      <c r="G1257" s="37"/>
      <c r="H1257" s="40"/>
      <c r="I1257" s="40"/>
      <c r="J1257" s="40"/>
      <c r="K1257" s="37"/>
      <c r="L1257" s="37"/>
      <c r="M1257" s="37"/>
      <c r="N1257" s="37"/>
      <c r="O1257" s="37"/>
      <c r="P1257" s="37"/>
      <c r="Q1257" s="37"/>
      <c r="R1257" s="37"/>
      <c r="S1257" s="37"/>
      <c r="T1257" s="37"/>
      <c r="U1257" s="37"/>
      <c r="V1257" s="37"/>
      <c r="W1257" s="37"/>
      <c r="X1257" s="37"/>
      <c r="Y1257" s="37"/>
      <c r="Z1257" s="37"/>
      <c r="AA1257" s="37"/>
      <c r="AB1257" s="37"/>
      <c r="AC1257" s="37"/>
      <c r="AD1257" s="37"/>
      <c r="AE1257" s="37"/>
      <c r="AF1257" s="37"/>
      <c r="AG1257" s="37"/>
      <c r="AH1257" s="37"/>
      <c r="AI1257" s="37"/>
      <c r="AJ1257" s="37"/>
      <c r="AK1257" s="39"/>
      <c r="AL1257" s="37"/>
      <c r="AM1257" s="37"/>
      <c r="AN1257" s="37"/>
      <c r="AO1257" s="37"/>
    </row>
    <row r="1258" spans="1:41">
      <c r="A1258" s="37"/>
      <c r="B1258" s="37"/>
      <c r="C1258" s="37"/>
      <c r="D1258" s="37"/>
      <c r="E1258" s="37"/>
      <c r="F1258" s="37"/>
      <c r="G1258" s="37"/>
      <c r="H1258" s="40"/>
      <c r="I1258" s="40"/>
      <c r="J1258" s="40"/>
      <c r="K1258" s="37"/>
      <c r="L1258" s="37"/>
      <c r="M1258" s="37"/>
      <c r="N1258" s="37"/>
      <c r="O1258" s="37"/>
      <c r="P1258" s="37"/>
      <c r="Q1258" s="37"/>
      <c r="R1258" s="37"/>
      <c r="S1258" s="37"/>
      <c r="T1258" s="37"/>
      <c r="U1258" s="37"/>
      <c r="V1258" s="37"/>
      <c r="W1258" s="37"/>
      <c r="X1258" s="37"/>
      <c r="Y1258" s="37"/>
      <c r="Z1258" s="37"/>
      <c r="AA1258" s="37"/>
      <c r="AB1258" s="37"/>
      <c r="AC1258" s="37"/>
      <c r="AD1258" s="37"/>
      <c r="AE1258" s="37"/>
      <c r="AF1258" s="37"/>
      <c r="AG1258" s="37"/>
      <c r="AH1258" s="37"/>
      <c r="AI1258" s="37"/>
      <c r="AJ1258" s="37"/>
      <c r="AK1258" s="39"/>
      <c r="AL1258" s="37"/>
      <c r="AM1258" s="37"/>
      <c r="AN1258" s="37"/>
      <c r="AO1258" s="37"/>
    </row>
    <row r="1259" spans="1:41">
      <c r="A1259" s="37"/>
      <c r="B1259" s="37"/>
      <c r="C1259" s="37"/>
      <c r="D1259" s="37"/>
      <c r="E1259" s="37"/>
      <c r="F1259" s="37"/>
      <c r="G1259" s="37"/>
      <c r="H1259" s="40"/>
      <c r="I1259" s="40"/>
      <c r="J1259" s="40"/>
      <c r="K1259" s="37"/>
      <c r="L1259" s="37"/>
      <c r="M1259" s="37"/>
      <c r="N1259" s="37"/>
      <c r="O1259" s="37"/>
      <c r="P1259" s="37"/>
      <c r="Q1259" s="37"/>
      <c r="R1259" s="37"/>
      <c r="S1259" s="37"/>
      <c r="T1259" s="37"/>
      <c r="U1259" s="37"/>
      <c r="V1259" s="37"/>
      <c r="W1259" s="37"/>
      <c r="X1259" s="37"/>
      <c r="Y1259" s="37"/>
      <c r="Z1259" s="37"/>
      <c r="AA1259" s="37"/>
      <c r="AB1259" s="37"/>
      <c r="AC1259" s="37"/>
      <c r="AD1259" s="37"/>
      <c r="AE1259" s="37"/>
      <c r="AF1259" s="37"/>
      <c r="AG1259" s="37"/>
      <c r="AH1259" s="37"/>
      <c r="AI1259" s="37"/>
      <c r="AJ1259" s="37"/>
      <c r="AK1259" s="39"/>
      <c r="AL1259" s="37"/>
      <c r="AM1259" s="37"/>
      <c r="AN1259" s="37"/>
      <c r="AO1259" s="37"/>
    </row>
    <row r="1260" spans="1:41">
      <c r="A1260" s="37"/>
      <c r="B1260" s="37"/>
      <c r="C1260" s="37"/>
      <c r="D1260" s="37"/>
      <c r="E1260" s="37"/>
      <c r="F1260" s="37"/>
      <c r="G1260" s="37"/>
      <c r="H1260" s="40"/>
      <c r="I1260" s="40"/>
      <c r="J1260" s="40"/>
      <c r="K1260" s="37"/>
      <c r="L1260" s="37"/>
      <c r="M1260" s="37"/>
      <c r="N1260" s="37"/>
      <c r="O1260" s="37"/>
      <c r="P1260" s="37"/>
      <c r="Q1260" s="37"/>
      <c r="R1260" s="37"/>
      <c r="S1260" s="37"/>
      <c r="T1260" s="37"/>
      <c r="U1260" s="37"/>
      <c r="V1260" s="37"/>
      <c r="W1260" s="37"/>
      <c r="X1260" s="37"/>
      <c r="Y1260" s="37"/>
      <c r="Z1260" s="37"/>
      <c r="AA1260" s="37"/>
      <c r="AB1260" s="37"/>
      <c r="AC1260" s="37"/>
      <c r="AD1260" s="37"/>
      <c r="AE1260" s="37"/>
      <c r="AF1260" s="37"/>
      <c r="AG1260" s="37"/>
      <c r="AH1260" s="37"/>
      <c r="AI1260" s="37"/>
      <c r="AJ1260" s="37"/>
      <c r="AK1260" s="39"/>
      <c r="AL1260" s="37"/>
      <c r="AM1260" s="37"/>
      <c r="AN1260" s="37"/>
      <c r="AO1260" s="37"/>
    </row>
    <row r="1261" spans="1:41">
      <c r="A1261" s="37"/>
      <c r="B1261" s="37"/>
      <c r="C1261" s="37"/>
      <c r="D1261" s="37"/>
      <c r="E1261" s="37"/>
      <c r="F1261" s="37"/>
      <c r="G1261" s="37"/>
      <c r="H1261" s="40"/>
      <c r="I1261" s="40"/>
      <c r="J1261" s="40"/>
      <c r="K1261" s="37"/>
      <c r="L1261" s="37"/>
      <c r="M1261" s="37"/>
      <c r="N1261" s="37"/>
      <c r="O1261" s="37"/>
      <c r="P1261" s="37"/>
      <c r="Q1261" s="37"/>
      <c r="R1261" s="37"/>
      <c r="S1261" s="37"/>
      <c r="T1261" s="37"/>
      <c r="U1261" s="37"/>
      <c r="V1261" s="37"/>
      <c r="W1261" s="37"/>
      <c r="X1261" s="37"/>
      <c r="Y1261" s="37"/>
      <c r="Z1261" s="37"/>
      <c r="AA1261" s="37"/>
      <c r="AB1261" s="37"/>
      <c r="AC1261" s="37"/>
      <c r="AD1261" s="37"/>
      <c r="AE1261" s="37"/>
      <c r="AF1261" s="37"/>
      <c r="AG1261" s="37"/>
      <c r="AH1261" s="37"/>
      <c r="AI1261" s="37"/>
      <c r="AJ1261" s="37"/>
      <c r="AK1261" s="39"/>
      <c r="AL1261" s="37"/>
      <c r="AM1261" s="37"/>
      <c r="AN1261" s="37"/>
      <c r="AO1261" s="37"/>
    </row>
    <row r="1262" spans="1:41">
      <c r="A1262" s="37"/>
      <c r="B1262" s="37"/>
      <c r="C1262" s="37"/>
      <c r="D1262" s="37"/>
      <c r="E1262" s="37"/>
      <c r="F1262" s="37"/>
      <c r="G1262" s="37"/>
      <c r="H1262" s="40"/>
      <c r="I1262" s="40"/>
      <c r="J1262" s="40"/>
      <c r="K1262" s="37"/>
      <c r="L1262" s="37"/>
      <c r="M1262" s="37"/>
      <c r="N1262" s="37"/>
      <c r="O1262" s="37"/>
      <c r="P1262" s="37"/>
      <c r="Q1262" s="37"/>
      <c r="R1262" s="37"/>
      <c r="S1262" s="37"/>
      <c r="T1262" s="37"/>
      <c r="U1262" s="37"/>
      <c r="V1262" s="37"/>
      <c r="W1262" s="37"/>
      <c r="X1262" s="37"/>
      <c r="Y1262" s="37"/>
      <c r="Z1262" s="37"/>
      <c r="AA1262" s="37"/>
      <c r="AB1262" s="37"/>
      <c r="AC1262" s="37"/>
      <c r="AD1262" s="37"/>
      <c r="AE1262" s="37"/>
      <c r="AF1262" s="37"/>
      <c r="AG1262" s="37"/>
      <c r="AH1262" s="37"/>
      <c r="AI1262" s="37"/>
      <c r="AJ1262" s="37"/>
      <c r="AK1262" s="39"/>
      <c r="AL1262" s="37"/>
      <c r="AM1262" s="37"/>
      <c r="AN1262" s="37"/>
      <c r="AO1262" s="37"/>
    </row>
    <row r="1263" spans="1:41">
      <c r="A1263" s="37"/>
      <c r="B1263" s="37"/>
      <c r="C1263" s="37"/>
      <c r="D1263" s="37"/>
      <c r="E1263" s="37"/>
      <c r="F1263" s="37"/>
      <c r="G1263" s="37"/>
      <c r="H1263" s="40"/>
      <c r="I1263" s="40"/>
      <c r="J1263" s="40"/>
      <c r="K1263" s="37"/>
      <c r="L1263" s="37"/>
      <c r="M1263" s="37"/>
      <c r="N1263" s="37"/>
      <c r="O1263" s="37"/>
      <c r="P1263" s="37"/>
      <c r="Q1263" s="37"/>
      <c r="R1263" s="37"/>
      <c r="S1263" s="37"/>
      <c r="T1263" s="37"/>
      <c r="U1263" s="37"/>
      <c r="V1263" s="37"/>
      <c r="W1263" s="37"/>
      <c r="X1263" s="37"/>
      <c r="Y1263" s="37"/>
      <c r="Z1263" s="37"/>
      <c r="AA1263" s="37"/>
      <c r="AB1263" s="37"/>
      <c r="AC1263" s="37"/>
      <c r="AD1263" s="37"/>
      <c r="AE1263" s="37"/>
      <c r="AF1263" s="37"/>
      <c r="AG1263" s="37"/>
      <c r="AH1263" s="37"/>
      <c r="AI1263" s="37"/>
      <c r="AJ1263" s="37"/>
      <c r="AK1263" s="39"/>
      <c r="AL1263" s="37"/>
      <c r="AM1263" s="37"/>
      <c r="AN1263" s="37"/>
      <c r="AO1263" s="37"/>
    </row>
    <row r="1264" spans="1:41">
      <c r="A1264" s="37"/>
      <c r="B1264" s="37"/>
      <c r="C1264" s="37"/>
      <c r="D1264" s="37"/>
      <c r="E1264" s="37"/>
      <c r="F1264" s="37"/>
      <c r="G1264" s="37"/>
      <c r="H1264" s="40"/>
      <c r="I1264" s="40"/>
      <c r="J1264" s="40"/>
      <c r="K1264" s="37"/>
      <c r="L1264" s="37"/>
      <c r="M1264" s="37"/>
      <c r="N1264" s="37"/>
      <c r="O1264" s="37"/>
      <c r="P1264" s="37"/>
      <c r="Q1264" s="37"/>
      <c r="R1264" s="37"/>
      <c r="S1264" s="37"/>
      <c r="T1264" s="37"/>
      <c r="U1264" s="37"/>
      <c r="V1264" s="37"/>
      <c r="W1264" s="37"/>
      <c r="X1264" s="37"/>
      <c r="Y1264" s="37"/>
      <c r="Z1264" s="37"/>
      <c r="AA1264" s="37"/>
      <c r="AB1264" s="37"/>
      <c r="AC1264" s="37"/>
      <c r="AD1264" s="37"/>
      <c r="AE1264" s="37"/>
      <c r="AF1264" s="37"/>
      <c r="AG1264" s="37"/>
      <c r="AH1264" s="37"/>
      <c r="AI1264" s="37"/>
      <c r="AJ1264" s="37"/>
      <c r="AK1264" s="39"/>
      <c r="AL1264" s="37"/>
      <c r="AM1264" s="37"/>
      <c r="AN1264" s="37"/>
      <c r="AO1264" s="37"/>
    </row>
    <row r="1265" spans="1:41">
      <c r="A1265" s="37"/>
      <c r="B1265" s="37"/>
      <c r="C1265" s="37"/>
      <c r="D1265" s="37"/>
      <c r="E1265" s="37"/>
      <c r="F1265" s="37"/>
      <c r="G1265" s="37"/>
      <c r="H1265" s="40"/>
      <c r="I1265" s="40"/>
      <c r="J1265" s="40"/>
      <c r="K1265" s="37"/>
      <c r="L1265" s="37"/>
      <c r="M1265" s="37"/>
      <c r="N1265" s="37"/>
      <c r="O1265" s="37"/>
      <c r="P1265" s="37"/>
      <c r="Q1265" s="37"/>
      <c r="R1265" s="37"/>
      <c r="S1265" s="37"/>
      <c r="T1265" s="37"/>
      <c r="U1265" s="37"/>
      <c r="V1265" s="37"/>
      <c r="W1265" s="37"/>
      <c r="X1265" s="37"/>
      <c r="Y1265" s="37"/>
      <c r="Z1265" s="37"/>
      <c r="AA1265" s="37"/>
      <c r="AB1265" s="37"/>
      <c r="AC1265" s="37"/>
      <c r="AD1265" s="37"/>
      <c r="AE1265" s="37"/>
      <c r="AF1265" s="37"/>
      <c r="AG1265" s="37"/>
      <c r="AH1265" s="37"/>
      <c r="AI1265" s="37"/>
      <c r="AJ1265" s="37"/>
      <c r="AK1265" s="39"/>
      <c r="AL1265" s="37"/>
      <c r="AM1265" s="37"/>
      <c r="AN1265" s="37"/>
      <c r="AO1265" s="37"/>
    </row>
    <row r="1266" spans="1:41">
      <c r="A1266" s="37"/>
      <c r="B1266" s="37"/>
      <c r="C1266" s="37"/>
      <c r="D1266" s="37"/>
      <c r="E1266" s="37"/>
      <c r="F1266" s="37"/>
      <c r="G1266" s="37"/>
      <c r="H1266" s="40"/>
      <c r="I1266" s="40"/>
      <c r="J1266" s="40"/>
      <c r="K1266" s="37"/>
      <c r="L1266" s="37"/>
      <c r="M1266" s="37"/>
      <c r="N1266" s="37"/>
      <c r="O1266" s="37"/>
      <c r="P1266" s="37"/>
      <c r="Q1266" s="37"/>
      <c r="R1266" s="37"/>
      <c r="S1266" s="37"/>
      <c r="T1266" s="37"/>
      <c r="U1266" s="37"/>
      <c r="V1266" s="37"/>
      <c r="W1266" s="37"/>
      <c r="X1266" s="37"/>
      <c r="Y1266" s="37"/>
      <c r="Z1266" s="37"/>
      <c r="AA1266" s="37"/>
      <c r="AB1266" s="37"/>
      <c r="AC1266" s="37"/>
      <c r="AD1266" s="37"/>
      <c r="AE1266" s="37"/>
      <c r="AF1266" s="37"/>
      <c r="AG1266" s="37"/>
      <c r="AH1266" s="37"/>
      <c r="AI1266" s="37"/>
      <c r="AJ1266" s="37"/>
      <c r="AK1266" s="39"/>
      <c r="AL1266" s="37"/>
      <c r="AM1266" s="37"/>
      <c r="AN1266" s="37"/>
      <c r="AO1266" s="37"/>
    </row>
    <row r="1267" spans="1:41">
      <c r="A1267" s="37"/>
      <c r="B1267" s="37"/>
      <c r="C1267" s="37"/>
      <c r="D1267" s="37"/>
      <c r="E1267" s="37"/>
      <c r="F1267" s="37"/>
      <c r="G1267" s="37"/>
      <c r="H1267" s="40"/>
      <c r="I1267" s="40"/>
      <c r="J1267" s="40"/>
      <c r="K1267" s="37"/>
      <c r="L1267" s="37"/>
      <c r="M1267" s="37"/>
      <c r="N1267" s="37"/>
      <c r="O1267" s="37"/>
      <c r="P1267" s="37"/>
      <c r="Q1267" s="37"/>
      <c r="R1267" s="37"/>
      <c r="S1267" s="37"/>
      <c r="T1267" s="37"/>
      <c r="U1267" s="37"/>
      <c r="V1267" s="37"/>
      <c r="W1267" s="37"/>
      <c r="X1267" s="37"/>
      <c r="Y1267" s="37"/>
      <c r="Z1267" s="37"/>
      <c r="AA1267" s="37"/>
      <c r="AB1267" s="37"/>
      <c r="AC1267" s="37"/>
      <c r="AD1267" s="37"/>
      <c r="AE1267" s="37"/>
      <c r="AF1267" s="37"/>
      <c r="AG1267" s="37"/>
      <c r="AH1267" s="37"/>
      <c r="AI1267" s="37"/>
      <c r="AJ1267" s="37"/>
      <c r="AK1267" s="39"/>
      <c r="AL1267" s="37"/>
      <c r="AM1267" s="37"/>
      <c r="AN1267" s="37"/>
      <c r="AO1267" s="37"/>
    </row>
    <row r="1268" spans="1:41">
      <c r="A1268" s="37"/>
      <c r="B1268" s="37"/>
      <c r="C1268" s="37"/>
      <c r="D1268" s="37"/>
      <c r="E1268" s="37"/>
      <c r="F1268" s="37"/>
      <c r="G1268" s="37"/>
      <c r="H1268" s="40"/>
      <c r="I1268" s="40"/>
      <c r="J1268" s="40"/>
      <c r="K1268" s="37"/>
      <c r="L1268" s="37"/>
      <c r="M1268" s="37"/>
      <c r="N1268" s="37"/>
      <c r="O1268" s="37"/>
      <c r="P1268" s="37"/>
      <c r="Q1268" s="37"/>
      <c r="R1268" s="37"/>
      <c r="S1268" s="37"/>
      <c r="T1268" s="37"/>
      <c r="U1268" s="37"/>
      <c r="V1268" s="37"/>
      <c r="W1268" s="37"/>
      <c r="X1268" s="37"/>
      <c r="Y1268" s="37"/>
      <c r="Z1268" s="37"/>
      <c r="AA1268" s="37"/>
      <c r="AB1268" s="37"/>
      <c r="AC1268" s="37"/>
      <c r="AD1268" s="37"/>
      <c r="AE1268" s="37"/>
      <c r="AF1268" s="37"/>
      <c r="AG1268" s="37"/>
      <c r="AH1268" s="37"/>
      <c r="AI1268" s="37"/>
      <c r="AJ1268" s="37"/>
      <c r="AK1268" s="39"/>
      <c r="AL1268" s="37"/>
      <c r="AM1268" s="37"/>
      <c r="AN1268" s="37"/>
      <c r="AO1268" s="37"/>
    </row>
    <row r="1269" spans="1:41">
      <c r="A1269" s="37"/>
      <c r="B1269" s="37"/>
      <c r="C1269" s="37"/>
      <c r="D1269" s="37"/>
      <c r="E1269" s="37"/>
      <c r="F1269" s="37"/>
      <c r="G1269" s="37"/>
      <c r="H1269" s="40"/>
      <c r="I1269" s="40"/>
      <c r="J1269" s="40"/>
      <c r="K1269" s="37"/>
      <c r="L1269" s="37"/>
      <c r="M1269" s="37"/>
      <c r="N1269" s="37"/>
      <c r="O1269" s="37"/>
      <c r="P1269" s="37"/>
      <c r="Q1269" s="37"/>
      <c r="R1269" s="37"/>
      <c r="S1269" s="37"/>
      <c r="T1269" s="37"/>
      <c r="U1269" s="37"/>
      <c r="V1269" s="37"/>
      <c r="W1269" s="37"/>
      <c r="X1269" s="37"/>
      <c r="Y1269" s="37"/>
      <c r="Z1269" s="37"/>
      <c r="AA1269" s="37"/>
      <c r="AB1269" s="37"/>
      <c r="AC1269" s="37"/>
      <c r="AD1269" s="37"/>
      <c r="AE1269" s="37"/>
      <c r="AF1269" s="37"/>
      <c r="AG1269" s="37"/>
      <c r="AH1269" s="37"/>
      <c r="AI1269" s="37"/>
      <c r="AJ1269" s="37"/>
      <c r="AK1269" s="39"/>
      <c r="AL1269" s="37"/>
      <c r="AM1269" s="37"/>
      <c r="AN1269" s="37"/>
      <c r="AO1269" s="37"/>
    </row>
    <row r="1270" spans="1:41">
      <c r="A1270" s="37"/>
      <c r="B1270" s="37"/>
      <c r="C1270" s="37"/>
      <c r="D1270" s="37"/>
      <c r="E1270" s="37"/>
      <c r="F1270" s="37"/>
      <c r="G1270" s="37"/>
      <c r="H1270" s="40"/>
      <c r="I1270" s="40"/>
      <c r="J1270" s="40"/>
      <c r="K1270" s="37"/>
      <c r="L1270" s="37"/>
      <c r="M1270" s="37"/>
      <c r="N1270" s="37"/>
      <c r="O1270" s="37"/>
      <c r="P1270" s="37"/>
      <c r="Q1270" s="37"/>
      <c r="R1270" s="37"/>
      <c r="S1270" s="37"/>
      <c r="T1270" s="37"/>
      <c r="U1270" s="37"/>
      <c r="V1270" s="37"/>
      <c r="W1270" s="37"/>
      <c r="X1270" s="37"/>
      <c r="Y1270" s="37"/>
      <c r="Z1270" s="37"/>
      <c r="AA1270" s="37"/>
      <c r="AB1270" s="37"/>
      <c r="AC1270" s="37"/>
      <c r="AD1270" s="37"/>
      <c r="AE1270" s="37"/>
      <c r="AF1270" s="37"/>
      <c r="AG1270" s="37"/>
      <c r="AH1270" s="37"/>
      <c r="AI1270" s="37"/>
      <c r="AJ1270" s="37"/>
      <c r="AK1270" s="39"/>
      <c r="AL1270" s="37"/>
      <c r="AM1270" s="37"/>
      <c r="AN1270" s="37"/>
      <c r="AO1270" s="37"/>
    </row>
    <row r="1271" spans="1:41">
      <c r="A1271" s="37"/>
      <c r="B1271" s="37"/>
      <c r="C1271" s="37"/>
      <c r="D1271" s="37"/>
      <c r="E1271" s="37"/>
      <c r="F1271" s="37"/>
      <c r="G1271" s="37"/>
      <c r="H1271" s="40"/>
      <c r="I1271" s="40"/>
      <c r="J1271" s="40"/>
      <c r="K1271" s="37"/>
      <c r="L1271" s="37"/>
      <c r="M1271" s="37"/>
      <c r="N1271" s="37"/>
      <c r="O1271" s="37"/>
      <c r="P1271" s="37"/>
      <c r="Q1271" s="37"/>
      <c r="R1271" s="37"/>
      <c r="S1271" s="37"/>
      <c r="T1271" s="37"/>
      <c r="U1271" s="37"/>
      <c r="V1271" s="37"/>
      <c r="W1271" s="37"/>
      <c r="X1271" s="37"/>
      <c r="Y1271" s="37"/>
      <c r="Z1271" s="37"/>
      <c r="AA1271" s="37"/>
      <c r="AB1271" s="37"/>
      <c r="AC1271" s="37"/>
      <c r="AD1271" s="37"/>
      <c r="AE1271" s="37"/>
      <c r="AF1271" s="37"/>
      <c r="AG1271" s="37"/>
      <c r="AH1271" s="37"/>
      <c r="AI1271" s="37"/>
      <c r="AJ1271" s="37"/>
      <c r="AK1271" s="39"/>
      <c r="AL1271" s="37"/>
      <c r="AM1271" s="37"/>
      <c r="AN1271" s="37"/>
      <c r="AO1271" s="37"/>
    </row>
    <row r="1272" spans="1:41">
      <c r="A1272" s="37"/>
      <c r="B1272" s="37"/>
      <c r="C1272" s="37"/>
      <c r="D1272" s="37"/>
      <c r="E1272" s="37"/>
      <c r="F1272" s="37"/>
      <c r="G1272" s="37"/>
      <c r="H1272" s="40"/>
      <c r="I1272" s="40"/>
      <c r="J1272" s="40"/>
      <c r="K1272" s="37"/>
      <c r="L1272" s="37"/>
      <c r="M1272" s="37"/>
      <c r="N1272" s="37"/>
      <c r="O1272" s="37"/>
      <c r="P1272" s="37"/>
      <c r="Q1272" s="37"/>
      <c r="R1272" s="37"/>
      <c r="S1272" s="37"/>
      <c r="T1272" s="37"/>
      <c r="U1272" s="37"/>
      <c r="V1272" s="37"/>
      <c r="W1272" s="37"/>
      <c r="X1272" s="37"/>
      <c r="Y1272" s="37"/>
      <c r="Z1272" s="37"/>
      <c r="AA1272" s="37"/>
      <c r="AB1272" s="37"/>
      <c r="AC1272" s="37"/>
      <c r="AD1272" s="37"/>
      <c r="AE1272" s="37"/>
      <c r="AF1272" s="37"/>
      <c r="AG1272" s="37"/>
      <c r="AH1272" s="37"/>
      <c r="AI1272" s="37"/>
      <c r="AJ1272" s="37"/>
      <c r="AK1272" s="39"/>
      <c r="AL1272" s="37"/>
      <c r="AM1272" s="37"/>
      <c r="AN1272" s="37"/>
      <c r="AO1272" s="37"/>
    </row>
    <row r="1273" spans="1:41">
      <c r="A1273" s="37"/>
      <c r="B1273" s="37"/>
      <c r="C1273" s="37"/>
      <c r="D1273" s="37"/>
      <c r="E1273" s="37"/>
      <c r="F1273" s="37"/>
      <c r="G1273" s="37"/>
      <c r="H1273" s="40"/>
      <c r="I1273" s="40"/>
      <c r="J1273" s="40"/>
      <c r="K1273" s="37"/>
      <c r="L1273" s="37"/>
      <c r="M1273" s="37"/>
      <c r="N1273" s="37"/>
      <c r="O1273" s="37"/>
      <c r="P1273" s="37"/>
      <c r="Q1273" s="37"/>
      <c r="R1273" s="37"/>
      <c r="S1273" s="37"/>
      <c r="T1273" s="37"/>
      <c r="U1273" s="37"/>
      <c r="V1273" s="37"/>
      <c r="W1273" s="37"/>
      <c r="X1273" s="37"/>
      <c r="Y1273" s="37"/>
      <c r="Z1273" s="37"/>
      <c r="AA1273" s="37"/>
      <c r="AB1273" s="37"/>
      <c r="AC1273" s="37"/>
      <c r="AD1273" s="37"/>
      <c r="AE1273" s="37"/>
      <c r="AF1273" s="37"/>
      <c r="AG1273" s="37"/>
      <c r="AH1273" s="37"/>
      <c r="AI1273" s="37"/>
      <c r="AJ1273" s="37"/>
      <c r="AK1273" s="39"/>
      <c r="AL1273" s="37"/>
      <c r="AM1273" s="37"/>
      <c r="AN1273" s="37"/>
      <c r="AO1273" s="37"/>
    </row>
    <row r="1274" spans="1:41">
      <c r="A1274" s="37"/>
      <c r="B1274" s="37"/>
      <c r="C1274" s="37"/>
      <c r="D1274" s="37"/>
      <c r="E1274" s="37"/>
      <c r="F1274" s="37"/>
      <c r="G1274" s="37"/>
      <c r="H1274" s="40"/>
      <c r="I1274" s="40"/>
      <c r="J1274" s="40"/>
      <c r="K1274" s="37"/>
      <c r="L1274" s="37"/>
      <c r="M1274" s="37"/>
      <c r="N1274" s="37"/>
      <c r="O1274" s="37"/>
      <c r="P1274" s="37"/>
      <c r="Q1274" s="37"/>
      <c r="R1274" s="37"/>
      <c r="S1274" s="37"/>
      <c r="T1274" s="37"/>
      <c r="U1274" s="37"/>
      <c r="V1274" s="37"/>
      <c r="W1274" s="37"/>
      <c r="X1274" s="37"/>
      <c r="Y1274" s="37"/>
      <c r="Z1274" s="37"/>
      <c r="AA1274" s="37"/>
      <c r="AB1274" s="37"/>
      <c r="AC1274" s="37"/>
      <c r="AD1274" s="37"/>
      <c r="AE1274" s="37"/>
      <c r="AF1274" s="37"/>
      <c r="AG1274" s="37"/>
      <c r="AH1274" s="37"/>
      <c r="AI1274" s="37"/>
      <c r="AJ1274" s="37"/>
      <c r="AK1274" s="39"/>
      <c r="AL1274" s="37"/>
      <c r="AM1274" s="37"/>
      <c r="AN1274" s="37"/>
      <c r="AO1274" s="37"/>
    </row>
    <row r="1275" spans="1:41">
      <c r="A1275" s="37"/>
      <c r="B1275" s="37"/>
      <c r="C1275" s="37"/>
      <c r="D1275" s="37"/>
      <c r="E1275" s="37"/>
      <c r="F1275" s="37"/>
      <c r="G1275" s="37"/>
      <c r="H1275" s="40"/>
      <c r="I1275" s="40"/>
      <c r="J1275" s="40"/>
      <c r="K1275" s="37"/>
      <c r="L1275" s="37"/>
      <c r="M1275" s="37"/>
      <c r="N1275" s="37"/>
      <c r="O1275" s="37"/>
      <c r="P1275" s="37"/>
      <c r="Q1275" s="37"/>
      <c r="R1275" s="37"/>
      <c r="S1275" s="37"/>
      <c r="T1275" s="37"/>
      <c r="U1275" s="37"/>
      <c r="V1275" s="37"/>
      <c r="W1275" s="37"/>
      <c r="X1275" s="37"/>
      <c r="Y1275" s="37"/>
      <c r="Z1275" s="37"/>
      <c r="AA1275" s="37"/>
      <c r="AB1275" s="37"/>
      <c r="AC1275" s="37"/>
      <c r="AD1275" s="37"/>
      <c r="AE1275" s="37"/>
      <c r="AF1275" s="37"/>
      <c r="AG1275" s="37"/>
      <c r="AH1275" s="37"/>
      <c r="AI1275" s="37"/>
      <c r="AJ1275" s="37"/>
      <c r="AK1275" s="39"/>
      <c r="AL1275" s="37"/>
      <c r="AM1275" s="37"/>
      <c r="AN1275" s="37"/>
      <c r="AO1275" s="37"/>
    </row>
    <row r="1276" spans="1:41">
      <c r="A1276" s="37"/>
      <c r="B1276" s="37"/>
      <c r="C1276" s="37"/>
      <c r="D1276" s="37"/>
      <c r="E1276" s="37"/>
      <c r="F1276" s="37"/>
      <c r="G1276" s="37"/>
      <c r="H1276" s="40"/>
      <c r="I1276" s="40"/>
      <c r="J1276" s="40"/>
      <c r="K1276" s="37"/>
      <c r="L1276" s="37"/>
      <c r="M1276" s="37"/>
      <c r="N1276" s="37"/>
      <c r="O1276" s="37"/>
      <c r="P1276" s="37"/>
      <c r="Q1276" s="37"/>
      <c r="R1276" s="37"/>
      <c r="S1276" s="37"/>
      <c r="T1276" s="37"/>
      <c r="U1276" s="37"/>
      <c r="V1276" s="37"/>
      <c r="W1276" s="37"/>
      <c r="X1276" s="37"/>
      <c r="Y1276" s="37"/>
      <c r="Z1276" s="37"/>
      <c r="AA1276" s="37"/>
      <c r="AB1276" s="37"/>
      <c r="AC1276" s="37"/>
      <c r="AD1276" s="37"/>
      <c r="AE1276" s="37"/>
      <c r="AF1276" s="37"/>
      <c r="AG1276" s="37"/>
      <c r="AH1276" s="37"/>
      <c r="AI1276" s="37"/>
      <c r="AJ1276" s="37"/>
      <c r="AK1276" s="39"/>
      <c r="AL1276" s="37"/>
      <c r="AM1276" s="37"/>
      <c r="AN1276" s="37"/>
      <c r="AO1276" s="37"/>
    </row>
    <row r="1277" spans="1:41">
      <c r="A1277" s="37"/>
      <c r="B1277" s="37"/>
      <c r="C1277" s="37"/>
      <c r="D1277" s="37"/>
      <c r="E1277" s="37"/>
      <c r="F1277" s="37"/>
      <c r="G1277" s="37"/>
      <c r="H1277" s="40"/>
      <c r="I1277" s="40"/>
      <c r="J1277" s="40"/>
      <c r="K1277" s="37"/>
      <c r="L1277" s="37"/>
      <c r="M1277" s="37"/>
      <c r="N1277" s="37"/>
      <c r="O1277" s="37"/>
      <c r="P1277" s="37"/>
      <c r="Q1277" s="37"/>
      <c r="R1277" s="37"/>
      <c r="S1277" s="37"/>
      <c r="T1277" s="37"/>
      <c r="U1277" s="37"/>
      <c r="V1277" s="37"/>
      <c r="W1277" s="37"/>
      <c r="X1277" s="37"/>
      <c r="Y1277" s="37"/>
      <c r="Z1277" s="37"/>
      <c r="AA1277" s="37"/>
      <c r="AB1277" s="37"/>
      <c r="AC1277" s="37"/>
      <c r="AD1277" s="37"/>
      <c r="AE1277" s="37"/>
      <c r="AF1277" s="37"/>
      <c r="AG1277" s="37"/>
      <c r="AH1277" s="37"/>
      <c r="AI1277" s="37"/>
      <c r="AJ1277" s="37"/>
      <c r="AK1277" s="39"/>
      <c r="AL1277" s="37"/>
      <c r="AM1277" s="37"/>
      <c r="AN1277" s="37"/>
      <c r="AO1277" s="37"/>
    </row>
    <row r="1278" spans="1:41">
      <c r="A1278" s="37"/>
      <c r="B1278" s="37"/>
      <c r="C1278" s="37"/>
      <c r="D1278" s="37"/>
      <c r="E1278" s="37"/>
      <c r="F1278" s="37"/>
      <c r="G1278" s="37"/>
      <c r="H1278" s="40"/>
      <c r="I1278" s="40"/>
      <c r="J1278" s="40"/>
      <c r="K1278" s="37"/>
      <c r="L1278" s="37"/>
      <c r="M1278" s="37"/>
      <c r="N1278" s="37"/>
      <c r="O1278" s="37"/>
      <c r="P1278" s="37"/>
      <c r="Q1278" s="37"/>
      <c r="R1278" s="37"/>
      <c r="S1278" s="37"/>
      <c r="T1278" s="37"/>
      <c r="U1278" s="37"/>
      <c r="V1278" s="37"/>
      <c r="W1278" s="37"/>
      <c r="X1278" s="37"/>
      <c r="Y1278" s="37"/>
      <c r="Z1278" s="37"/>
      <c r="AA1278" s="37"/>
      <c r="AB1278" s="37"/>
      <c r="AC1278" s="37"/>
      <c r="AD1278" s="37"/>
      <c r="AE1278" s="37"/>
      <c r="AF1278" s="37"/>
      <c r="AG1278" s="37"/>
      <c r="AH1278" s="37"/>
      <c r="AI1278" s="37"/>
      <c r="AJ1278" s="37"/>
      <c r="AK1278" s="39"/>
      <c r="AL1278" s="37"/>
      <c r="AM1278" s="37"/>
      <c r="AN1278" s="37"/>
      <c r="AO1278" s="37"/>
    </row>
    <row r="1279" spans="1:41">
      <c r="A1279" s="37"/>
      <c r="B1279" s="37"/>
      <c r="C1279" s="37"/>
      <c r="D1279" s="37"/>
      <c r="E1279" s="37"/>
      <c r="F1279" s="37"/>
      <c r="G1279" s="37"/>
      <c r="H1279" s="40"/>
      <c r="I1279" s="40"/>
      <c r="J1279" s="40"/>
      <c r="K1279" s="37"/>
      <c r="L1279" s="37"/>
      <c r="M1279" s="37"/>
      <c r="N1279" s="37"/>
      <c r="O1279" s="37"/>
      <c r="P1279" s="37"/>
      <c r="Q1279" s="37"/>
      <c r="R1279" s="37"/>
      <c r="S1279" s="37"/>
      <c r="T1279" s="37"/>
      <c r="U1279" s="37"/>
      <c r="V1279" s="37"/>
      <c r="W1279" s="37"/>
      <c r="X1279" s="37"/>
      <c r="Y1279" s="37"/>
      <c r="Z1279" s="37"/>
      <c r="AA1279" s="37"/>
      <c r="AB1279" s="37"/>
      <c r="AC1279" s="37"/>
      <c r="AD1279" s="37"/>
      <c r="AE1279" s="37"/>
      <c r="AF1279" s="37"/>
      <c r="AG1279" s="37"/>
      <c r="AH1279" s="37"/>
      <c r="AI1279" s="37"/>
      <c r="AJ1279" s="37"/>
      <c r="AK1279" s="39"/>
      <c r="AL1279" s="37"/>
      <c r="AM1279" s="37"/>
      <c r="AN1279" s="37"/>
      <c r="AO1279" s="37"/>
    </row>
    <row r="1280" spans="1:41">
      <c r="A1280" s="37"/>
      <c r="B1280" s="37"/>
      <c r="C1280" s="37"/>
      <c r="D1280" s="37"/>
      <c r="E1280" s="37"/>
      <c r="F1280" s="37"/>
      <c r="G1280" s="37"/>
      <c r="H1280" s="40"/>
      <c r="I1280" s="40"/>
      <c r="J1280" s="40"/>
      <c r="K1280" s="37"/>
      <c r="L1280" s="37"/>
      <c r="M1280" s="37"/>
      <c r="N1280" s="37"/>
      <c r="O1280" s="37"/>
      <c r="P1280" s="37"/>
      <c r="Q1280" s="37"/>
      <c r="R1280" s="37"/>
      <c r="S1280" s="37"/>
      <c r="T1280" s="37"/>
      <c r="U1280" s="37"/>
      <c r="V1280" s="37"/>
      <c r="W1280" s="37"/>
      <c r="X1280" s="37"/>
      <c r="Y1280" s="37"/>
      <c r="Z1280" s="37"/>
      <c r="AA1280" s="37"/>
      <c r="AB1280" s="37"/>
      <c r="AC1280" s="37"/>
      <c r="AD1280" s="37"/>
      <c r="AE1280" s="37"/>
      <c r="AF1280" s="37"/>
      <c r="AG1280" s="37"/>
      <c r="AH1280" s="37"/>
      <c r="AI1280" s="37"/>
      <c r="AJ1280" s="37"/>
      <c r="AK1280" s="39"/>
      <c r="AL1280" s="37"/>
      <c r="AM1280" s="37"/>
      <c r="AN1280" s="37"/>
      <c r="AO1280" s="37"/>
    </row>
    <row r="1281" spans="1:41">
      <c r="A1281" s="37"/>
      <c r="B1281" s="37"/>
      <c r="C1281" s="37"/>
      <c r="D1281" s="37"/>
      <c r="E1281" s="37"/>
      <c r="F1281" s="37"/>
      <c r="G1281" s="37"/>
      <c r="H1281" s="40"/>
      <c r="I1281" s="40"/>
      <c r="J1281" s="40"/>
      <c r="K1281" s="37"/>
      <c r="L1281" s="37"/>
      <c r="M1281" s="37"/>
      <c r="N1281" s="37"/>
      <c r="O1281" s="37"/>
      <c r="P1281" s="37"/>
      <c r="Q1281" s="37"/>
      <c r="R1281" s="37"/>
      <c r="S1281" s="37"/>
      <c r="T1281" s="37"/>
      <c r="U1281" s="37"/>
      <c r="V1281" s="37"/>
      <c r="W1281" s="37"/>
      <c r="X1281" s="37"/>
      <c r="Y1281" s="37"/>
      <c r="Z1281" s="37"/>
      <c r="AA1281" s="37"/>
      <c r="AB1281" s="37"/>
      <c r="AC1281" s="37"/>
      <c r="AD1281" s="37"/>
      <c r="AE1281" s="37"/>
      <c r="AF1281" s="37"/>
      <c r="AG1281" s="37"/>
      <c r="AH1281" s="37"/>
      <c r="AI1281" s="37"/>
      <c r="AJ1281" s="37"/>
      <c r="AK1281" s="39"/>
      <c r="AL1281" s="37"/>
      <c r="AM1281" s="37"/>
      <c r="AN1281" s="37"/>
      <c r="AO1281" s="37"/>
    </row>
    <row r="1282" spans="1:41">
      <c r="A1282" s="37"/>
      <c r="B1282" s="37"/>
      <c r="C1282" s="37"/>
      <c r="D1282" s="37"/>
      <c r="E1282" s="37"/>
      <c r="F1282" s="37"/>
      <c r="G1282" s="37"/>
      <c r="H1282" s="40"/>
      <c r="I1282" s="40"/>
      <c r="J1282" s="40"/>
      <c r="K1282" s="37"/>
      <c r="L1282" s="37"/>
      <c r="M1282" s="37"/>
      <c r="N1282" s="37"/>
      <c r="O1282" s="37"/>
      <c r="P1282" s="37"/>
      <c r="Q1282" s="37"/>
      <c r="R1282" s="37"/>
      <c r="S1282" s="37"/>
      <c r="T1282" s="37"/>
      <c r="U1282" s="37"/>
      <c r="V1282" s="37"/>
      <c r="W1282" s="37"/>
      <c r="X1282" s="37"/>
      <c r="Y1282" s="37"/>
      <c r="Z1282" s="37"/>
      <c r="AA1282" s="37"/>
      <c r="AB1282" s="37"/>
      <c r="AC1282" s="37"/>
      <c r="AD1282" s="37"/>
      <c r="AE1282" s="37"/>
      <c r="AF1282" s="37"/>
      <c r="AG1282" s="37"/>
      <c r="AH1282" s="37"/>
      <c r="AI1282" s="37"/>
      <c r="AJ1282" s="37"/>
      <c r="AK1282" s="39"/>
      <c r="AL1282" s="37"/>
      <c r="AM1282" s="37"/>
      <c r="AN1282" s="37"/>
      <c r="AO1282" s="37"/>
    </row>
    <row r="1283" spans="1:41">
      <c r="A1283" s="37"/>
      <c r="B1283" s="37"/>
      <c r="C1283" s="37"/>
      <c r="D1283" s="37"/>
      <c r="E1283" s="37"/>
      <c r="F1283" s="37"/>
      <c r="G1283" s="37"/>
      <c r="H1283" s="40"/>
      <c r="I1283" s="40"/>
      <c r="J1283" s="40"/>
      <c r="K1283" s="37"/>
      <c r="L1283" s="37"/>
      <c r="M1283" s="37"/>
      <c r="N1283" s="37"/>
      <c r="O1283" s="37"/>
      <c r="P1283" s="37"/>
      <c r="Q1283" s="37"/>
      <c r="R1283" s="37"/>
      <c r="S1283" s="37"/>
      <c r="T1283" s="37"/>
      <c r="U1283" s="37"/>
      <c r="V1283" s="37"/>
      <c r="W1283" s="37"/>
      <c r="X1283" s="37"/>
      <c r="Y1283" s="37"/>
      <c r="Z1283" s="37"/>
      <c r="AA1283" s="37"/>
      <c r="AB1283" s="37"/>
      <c r="AC1283" s="37"/>
      <c r="AD1283" s="37"/>
      <c r="AE1283" s="37"/>
      <c r="AF1283" s="37"/>
      <c r="AG1283" s="37"/>
      <c r="AH1283" s="37"/>
      <c r="AI1283" s="37"/>
      <c r="AJ1283" s="37"/>
      <c r="AK1283" s="39"/>
      <c r="AL1283" s="37"/>
      <c r="AM1283" s="37"/>
      <c r="AN1283" s="37"/>
      <c r="AO1283" s="37"/>
    </row>
    <row r="1284" spans="1:41">
      <c r="A1284" s="37"/>
      <c r="B1284" s="37"/>
      <c r="C1284" s="37"/>
      <c r="D1284" s="37"/>
      <c r="E1284" s="37"/>
      <c r="F1284" s="37"/>
      <c r="G1284" s="37"/>
      <c r="H1284" s="40"/>
      <c r="I1284" s="40"/>
      <c r="J1284" s="40"/>
      <c r="K1284" s="37"/>
      <c r="L1284" s="37"/>
      <c r="M1284" s="37"/>
      <c r="N1284" s="37"/>
      <c r="O1284" s="37"/>
      <c r="P1284" s="37"/>
      <c r="Q1284" s="37"/>
      <c r="R1284" s="37"/>
      <c r="S1284" s="37"/>
      <c r="T1284" s="37"/>
      <c r="U1284" s="37"/>
      <c r="V1284" s="37"/>
      <c r="W1284" s="37"/>
      <c r="X1284" s="37"/>
      <c r="Y1284" s="37"/>
      <c r="Z1284" s="37"/>
      <c r="AA1284" s="37"/>
      <c r="AB1284" s="37"/>
      <c r="AC1284" s="37"/>
      <c r="AD1284" s="37"/>
      <c r="AE1284" s="37"/>
      <c r="AF1284" s="37"/>
      <c r="AG1284" s="37"/>
      <c r="AH1284" s="37"/>
      <c r="AI1284" s="37"/>
      <c r="AJ1284" s="37"/>
      <c r="AK1284" s="39"/>
      <c r="AL1284" s="37"/>
      <c r="AM1284" s="37"/>
      <c r="AN1284" s="37"/>
      <c r="AO1284" s="37"/>
    </row>
    <row r="1285" spans="1:41">
      <c r="A1285" s="37"/>
      <c r="B1285" s="37"/>
      <c r="C1285" s="37"/>
      <c r="D1285" s="37"/>
      <c r="E1285" s="37"/>
      <c r="F1285" s="37"/>
      <c r="G1285" s="37"/>
      <c r="H1285" s="40"/>
      <c r="I1285" s="40"/>
      <c r="J1285" s="40"/>
      <c r="K1285" s="37"/>
      <c r="L1285" s="37"/>
      <c r="M1285" s="37"/>
      <c r="N1285" s="37"/>
      <c r="O1285" s="37"/>
      <c r="P1285" s="37"/>
      <c r="Q1285" s="37"/>
      <c r="R1285" s="37"/>
      <c r="S1285" s="37"/>
      <c r="T1285" s="37"/>
      <c r="U1285" s="37"/>
      <c r="V1285" s="37"/>
      <c r="W1285" s="37"/>
      <c r="X1285" s="37"/>
      <c r="Y1285" s="37"/>
      <c r="Z1285" s="37"/>
      <c r="AA1285" s="37"/>
      <c r="AB1285" s="37"/>
      <c r="AC1285" s="37"/>
      <c r="AD1285" s="37"/>
      <c r="AE1285" s="37"/>
      <c r="AF1285" s="37"/>
      <c r="AG1285" s="37"/>
      <c r="AH1285" s="37"/>
      <c r="AI1285" s="37"/>
      <c r="AJ1285" s="37"/>
      <c r="AK1285" s="39"/>
      <c r="AL1285" s="37"/>
      <c r="AM1285" s="37"/>
      <c r="AN1285" s="37"/>
      <c r="AO1285" s="37"/>
    </row>
    <row r="1286" spans="1:41">
      <c r="A1286" s="37"/>
      <c r="B1286" s="37"/>
      <c r="C1286" s="37"/>
      <c r="D1286" s="37"/>
      <c r="E1286" s="37"/>
      <c r="F1286" s="37"/>
      <c r="G1286" s="37"/>
      <c r="H1286" s="40"/>
      <c r="I1286" s="40"/>
      <c r="J1286" s="40"/>
      <c r="K1286" s="37"/>
      <c r="L1286" s="37"/>
      <c r="M1286" s="37"/>
      <c r="N1286" s="37"/>
      <c r="O1286" s="37"/>
      <c r="P1286" s="37"/>
      <c r="Q1286" s="37"/>
      <c r="R1286" s="37"/>
      <c r="S1286" s="37"/>
      <c r="T1286" s="37"/>
      <c r="U1286" s="37"/>
      <c r="V1286" s="37"/>
      <c r="W1286" s="37"/>
      <c r="X1286" s="37"/>
      <c r="Y1286" s="37"/>
      <c r="Z1286" s="37"/>
      <c r="AA1286" s="37"/>
      <c r="AB1286" s="37"/>
      <c r="AC1286" s="37"/>
      <c r="AD1286" s="37"/>
      <c r="AE1286" s="37"/>
      <c r="AF1286" s="37"/>
      <c r="AG1286" s="37"/>
      <c r="AH1286" s="37"/>
      <c r="AI1286" s="37"/>
      <c r="AJ1286" s="37"/>
      <c r="AK1286" s="39"/>
      <c r="AL1286" s="37"/>
      <c r="AM1286" s="37"/>
      <c r="AN1286" s="37"/>
      <c r="AO1286" s="37"/>
    </row>
    <row r="1287" spans="1:41">
      <c r="A1287" s="37"/>
      <c r="B1287" s="37"/>
      <c r="C1287" s="37"/>
      <c r="D1287" s="37"/>
      <c r="E1287" s="37"/>
      <c r="F1287" s="37"/>
      <c r="G1287" s="37"/>
      <c r="H1287" s="40"/>
      <c r="I1287" s="40"/>
      <c r="J1287" s="40"/>
      <c r="K1287" s="37"/>
      <c r="L1287" s="37"/>
      <c r="M1287" s="37"/>
      <c r="N1287" s="37"/>
      <c r="O1287" s="37"/>
      <c r="P1287" s="37"/>
      <c r="Q1287" s="37"/>
      <c r="R1287" s="37"/>
      <c r="S1287" s="37"/>
      <c r="T1287" s="37"/>
      <c r="U1287" s="37"/>
      <c r="V1287" s="37"/>
      <c r="W1287" s="37"/>
      <c r="X1287" s="37"/>
      <c r="Y1287" s="37"/>
      <c r="Z1287" s="37"/>
      <c r="AA1287" s="37"/>
      <c r="AB1287" s="37"/>
      <c r="AC1287" s="37"/>
      <c r="AD1287" s="37"/>
      <c r="AE1287" s="37"/>
      <c r="AF1287" s="37"/>
      <c r="AG1287" s="37"/>
      <c r="AH1287" s="37"/>
      <c r="AI1287" s="37"/>
      <c r="AJ1287" s="37"/>
      <c r="AK1287" s="39"/>
      <c r="AL1287" s="37"/>
      <c r="AM1287" s="37"/>
      <c r="AN1287" s="37"/>
      <c r="AO1287" s="37"/>
    </row>
    <row r="1288" spans="1:41">
      <c r="A1288" s="37"/>
      <c r="B1288" s="37"/>
      <c r="C1288" s="37"/>
      <c r="D1288" s="37"/>
      <c r="E1288" s="37"/>
      <c r="F1288" s="37"/>
      <c r="G1288" s="37"/>
      <c r="H1288" s="40"/>
      <c r="I1288" s="40"/>
      <c r="J1288" s="40"/>
      <c r="K1288" s="37"/>
      <c r="L1288" s="37"/>
      <c r="M1288" s="37"/>
      <c r="N1288" s="37"/>
      <c r="O1288" s="37"/>
      <c r="P1288" s="37"/>
      <c r="Q1288" s="37"/>
      <c r="R1288" s="37"/>
      <c r="S1288" s="37"/>
      <c r="T1288" s="37"/>
      <c r="U1288" s="37"/>
      <c r="V1288" s="37"/>
      <c r="W1288" s="37"/>
      <c r="X1288" s="37"/>
      <c r="Y1288" s="37"/>
      <c r="Z1288" s="37"/>
      <c r="AA1288" s="37"/>
      <c r="AB1288" s="37"/>
      <c r="AC1288" s="37"/>
      <c r="AD1288" s="37"/>
      <c r="AE1288" s="37"/>
      <c r="AF1288" s="37"/>
      <c r="AG1288" s="37"/>
      <c r="AH1288" s="37"/>
      <c r="AI1288" s="37"/>
      <c r="AJ1288" s="37"/>
      <c r="AK1288" s="39"/>
      <c r="AL1288" s="37"/>
      <c r="AM1288" s="37"/>
      <c r="AN1288" s="37"/>
      <c r="AO1288" s="37"/>
    </row>
    <row r="1289" spans="1:41">
      <c r="A1289" s="37"/>
      <c r="B1289" s="37"/>
      <c r="C1289" s="37"/>
      <c r="D1289" s="37"/>
      <c r="E1289" s="37"/>
      <c r="F1289" s="37"/>
      <c r="G1289" s="37"/>
      <c r="H1289" s="40"/>
      <c r="I1289" s="40"/>
      <c r="J1289" s="40"/>
      <c r="K1289" s="37"/>
      <c r="L1289" s="37"/>
      <c r="M1289" s="37"/>
      <c r="N1289" s="37"/>
      <c r="O1289" s="37"/>
      <c r="P1289" s="37"/>
      <c r="Q1289" s="37"/>
      <c r="R1289" s="37"/>
      <c r="S1289" s="37"/>
      <c r="T1289" s="37"/>
      <c r="U1289" s="37"/>
      <c r="V1289" s="37"/>
      <c r="W1289" s="37"/>
      <c r="X1289" s="37"/>
      <c r="Y1289" s="37"/>
      <c r="Z1289" s="37"/>
      <c r="AA1289" s="37"/>
      <c r="AB1289" s="37"/>
      <c r="AC1289" s="37"/>
      <c r="AD1289" s="37"/>
      <c r="AE1289" s="37"/>
      <c r="AF1289" s="37"/>
      <c r="AG1289" s="37"/>
      <c r="AH1289" s="37"/>
      <c r="AI1289" s="37"/>
      <c r="AJ1289" s="37"/>
      <c r="AK1289" s="39"/>
      <c r="AL1289" s="37"/>
      <c r="AM1289" s="37"/>
      <c r="AN1289" s="37"/>
      <c r="AO1289" s="37"/>
    </row>
    <row r="1290" spans="1:41">
      <c r="A1290" s="37"/>
      <c r="B1290" s="37"/>
      <c r="C1290" s="37"/>
      <c r="D1290" s="37"/>
      <c r="E1290" s="37"/>
      <c r="F1290" s="37"/>
      <c r="G1290" s="37"/>
      <c r="H1290" s="40"/>
      <c r="I1290" s="40"/>
      <c r="J1290" s="40"/>
      <c r="K1290" s="37"/>
      <c r="L1290" s="37"/>
      <c r="M1290" s="37"/>
      <c r="N1290" s="37"/>
      <c r="O1290" s="37"/>
      <c r="P1290" s="37"/>
      <c r="Q1290" s="37"/>
      <c r="R1290" s="37"/>
      <c r="S1290" s="37"/>
      <c r="T1290" s="37"/>
      <c r="U1290" s="37"/>
      <c r="V1290" s="37"/>
      <c r="W1290" s="37"/>
      <c r="X1290" s="37"/>
      <c r="Y1290" s="37"/>
      <c r="Z1290" s="37"/>
      <c r="AA1290" s="37"/>
      <c r="AB1290" s="37"/>
      <c r="AC1290" s="37"/>
      <c r="AD1290" s="37"/>
      <c r="AE1290" s="37"/>
      <c r="AF1290" s="37"/>
      <c r="AG1290" s="37"/>
      <c r="AH1290" s="37"/>
      <c r="AI1290" s="37"/>
      <c r="AJ1290" s="37"/>
      <c r="AK1290" s="39"/>
      <c r="AL1290" s="37"/>
      <c r="AM1290" s="37"/>
      <c r="AN1290" s="37"/>
      <c r="AO1290" s="37"/>
    </row>
    <row r="1291" spans="1:41">
      <c r="A1291" s="37"/>
      <c r="B1291" s="37"/>
      <c r="C1291" s="37"/>
      <c r="D1291" s="37"/>
      <c r="E1291" s="37"/>
      <c r="F1291" s="37"/>
      <c r="G1291" s="37"/>
      <c r="H1291" s="40"/>
      <c r="I1291" s="40"/>
      <c r="J1291" s="40"/>
      <c r="K1291" s="37"/>
      <c r="L1291" s="37"/>
      <c r="M1291" s="37"/>
      <c r="N1291" s="37"/>
      <c r="O1291" s="37"/>
      <c r="P1291" s="37"/>
      <c r="Q1291" s="37"/>
      <c r="R1291" s="37"/>
      <c r="S1291" s="37"/>
      <c r="T1291" s="37"/>
      <c r="U1291" s="37"/>
      <c r="V1291" s="37"/>
      <c r="W1291" s="37"/>
      <c r="X1291" s="37"/>
      <c r="Y1291" s="37"/>
      <c r="Z1291" s="37"/>
      <c r="AA1291" s="37"/>
      <c r="AB1291" s="37"/>
      <c r="AC1291" s="37"/>
      <c r="AD1291" s="37"/>
      <c r="AE1291" s="37"/>
      <c r="AF1291" s="37"/>
      <c r="AG1291" s="37"/>
      <c r="AH1291" s="37"/>
      <c r="AI1291" s="37"/>
      <c r="AJ1291" s="37"/>
      <c r="AK1291" s="39"/>
      <c r="AL1291" s="37"/>
      <c r="AM1291" s="37"/>
      <c r="AN1291" s="37"/>
      <c r="AO1291" s="37"/>
    </row>
    <row r="1292" spans="1:41">
      <c r="A1292" s="37"/>
      <c r="B1292" s="37"/>
      <c r="C1292" s="37"/>
      <c r="D1292" s="37"/>
      <c r="E1292" s="37"/>
      <c r="F1292" s="37"/>
      <c r="G1292" s="37"/>
      <c r="H1292" s="40"/>
      <c r="I1292" s="40"/>
      <c r="J1292" s="40"/>
      <c r="K1292" s="37"/>
      <c r="L1292" s="37"/>
      <c r="M1292" s="37"/>
      <c r="N1292" s="37"/>
      <c r="O1292" s="37"/>
      <c r="P1292" s="37"/>
      <c r="Q1292" s="37"/>
      <c r="R1292" s="37"/>
      <c r="S1292" s="37"/>
      <c r="T1292" s="37"/>
      <c r="U1292" s="37"/>
      <c r="V1292" s="37"/>
      <c r="W1292" s="37"/>
      <c r="X1292" s="37"/>
      <c r="Y1292" s="37"/>
      <c r="Z1292" s="37"/>
      <c r="AA1292" s="37"/>
      <c r="AB1292" s="37"/>
      <c r="AC1292" s="37"/>
      <c r="AD1292" s="37"/>
      <c r="AE1292" s="37"/>
      <c r="AF1292" s="37"/>
      <c r="AG1292" s="37"/>
      <c r="AH1292" s="37"/>
      <c r="AI1292" s="37"/>
      <c r="AJ1292" s="37"/>
      <c r="AK1292" s="39"/>
      <c r="AL1292" s="37"/>
      <c r="AM1292" s="37"/>
      <c r="AN1292" s="37"/>
      <c r="AO1292" s="37"/>
    </row>
    <row r="1293" spans="1:41">
      <c r="A1293" s="37"/>
      <c r="B1293" s="37"/>
      <c r="C1293" s="37"/>
      <c r="D1293" s="37"/>
      <c r="E1293" s="37"/>
      <c r="F1293" s="37"/>
      <c r="G1293" s="37"/>
      <c r="H1293" s="40"/>
      <c r="I1293" s="40"/>
      <c r="J1293" s="40"/>
      <c r="K1293" s="37"/>
      <c r="L1293" s="37"/>
      <c r="M1293" s="37"/>
      <c r="N1293" s="37"/>
      <c r="O1293" s="37"/>
      <c r="P1293" s="37"/>
      <c r="Q1293" s="37"/>
      <c r="R1293" s="37"/>
      <c r="S1293" s="37"/>
      <c r="T1293" s="37"/>
      <c r="U1293" s="37"/>
      <c r="V1293" s="37"/>
      <c r="W1293" s="37"/>
      <c r="X1293" s="37"/>
      <c r="Y1293" s="37"/>
      <c r="Z1293" s="37"/>
      <c r="AA1293" s="37"/>
      <c r="AB1293" s="37"/>
      <c r="AC1293" s="37"/>
      <c r="AD1293" s="37"/>
      <c r="AE1293" s="37"/>
      <c r="AF1293" s="37"/>
      <c r="AG1293" s="37"/>
      <c r="AH1293" s="37"/>
      <c r="AI1293" s="37"/>
      <c r="AJ1293" s="37"/>
      <c r="AK1293" s="39"/>
      <c r="AL1293" s="37"/>
      <c r="AM1293" s="37"/>
      <c r="AN1293" s="37"/>
      <c r="AO1293" s="37"/>
    </row>
    <row r="1294" spans="1:41">
      <c r="A1294" s="37"/>
      <c r="B1294" s="37"/>
      <c r="C1294" s="37"/>
      <c r="D1294" s="37"/>
      <c r="E1294" s="37"/>
      <c r="F1294" s="37"/>
      <c r="G1294" s="37"/>
      <c r="H1294" s="40"/>
      <c r="I1294" s="40"/>
      <c r="J1294" s="40"/>
      <c r="K1294" s="37"/>
      <c r="L1294" s="37"/>
      <c r="M1294" s="37"/>
      <c r="N1294" s="37"/>
      <c r="O1294" s="37"/>
      <c r="P1294" s="37"/>
      <c r="Q1294" s="37"/>
      <c r="R1294" s="37"/>
      <c r="S1294" s="37"/>
      <c r="T1294" s="37"/>
      <c r="U1294" s="37"/>
      <c r="V1294" s="37"/>
      <c r="W1294" s="37"/>
      <c r="X1294" s="37"/>
      <c r="Y1294" s="37"/>
      <c r="Z1294" s="37"/>
      <c r="AA1294" s="37"/>
      <c r="AB1294" s="37"/>
      <c r="AC1294" s="37"/>
      <c r="AD1294" s="37"/>
      <c r="AE1294" s="37"/>
      <c r="AF1294" s="37"/>
      <c r="AG1294" s="37"/>
      <c r="AH1294" s="37"/>
      <c r="AI1294" s="37"/>
      <c r="AJ1294" s="37"/>
      <c r="AK1294" s="39"/>
      <c r="AL1294" s="37"/>
      <c r="AM1294" s="37"/>
      <c r="AN1294" s="37"/>
      <c r="AO1294" s="37"/>
    </row>
    <row r="1295" spans="1:41">
      <c r="A1295" s="37"/>
      <c r="B1295" s="37"/>
      <c r="C1295" s="37"/>
      <c r="D1295" s="37"/>
      <c r="E1295" s="37"/>
      <c r="F1295" s="37"/>
      <c r="G1295" s="37"/>
      <c r="H1295" s="40"/>
      <c r="I1295" s="40"/>
      <c r="J1295" s="40"/>
      <c r="K1295" s="37"/>
      <c r="L1295" s="37"/>
      <c r="M1295" s="37"/>
      <c r="N1295" s="37"/>
      <c r="O1295" s="37"/>
      <c r="P1295" s="37"/>
      <c r="Q1295" s="37"/>
      <c r="R1295" s="37"/>
      <c r="S1295" s="37"/>
      <c r="T1295" s="37"/>
      <c r="U1295" s="37"/>
      <c r="V1295" s="37"/>
      <c r="W1295" s="37"/>
      <c r="X1295" s="37"/>
      <c r="Y1295" s="37"/>
      <c r="Z1295" s="37"/>
      <c r="AA1295" s="37"/>
      <c r="AB1295" s="37"/>
      <c r="AC1295" s="37"/>
      <c r="AD1295" s="37"/>
      <c r="AE1295" s="37"/>
      <c r="AF1295" s="37"/>
      <c r="AG1295" s="37"/>
      <c r="AH1295" s="37"/>
      <c r="AI1295" s="37"/>
      <c r="AJ1295" s="37"/>
      <c r="AK1295" s="39"/>
      <c r="AL1295" s="37"/>
      <c r="AM1295" s="37"/>
      <c r="AN1295" s="37"/>
      <c r="AO1295" s="37"/>
    </row>
    <row r="1296" spans="1:41">
      <c r="A1296" s="37"/>
      <c r="B1296" s="37"/>
      <c r="C1296" s="37"/>
      <c r="D1296" s="37"/>
      <c r="E1296" s="37"/>
      <c r="F1296" s="37"/>
      <c r="G1296" s="37"/>
      <c r="H1296" s="40"/>
      <c r="I1296" s="40"/>
      <c r="J1296" s="40"/>
      <c r="K1296" s="37"/>
      <c r="L1296" s="37"/>
      <c r="M1296" s="37"/>
      <c r="N1296" s="37"/>
      <c r="O1296" s="37"/>
      <c r="P1296" s="37"/>
      <c r="Q1296" s="37"/>
      <c r="R1296" s="37"/>
      <c r="S1296" s="37"/>
      <c r="T1296" s="37"/>
      <c r="U1296" s="37"/>
      <c r="V1296" s="37"/>
      <c r="W1296" s="37"/>
      <c r="X1296" s="37"/>
      <c r="Y1296" s="37"/>
      <c r="Z1296" s="37"/>
      <c r="AA1296" s="37"/>
      <c r="AB1296" s="37"/>
      <c r="AC1296" s="37"/>
      <c r="AD1296" s="37"/>
      <c r="AE1296" s="37"/>
      <c r="AF1296" s="37"/>
      <c r="AG1296" s="37"/>
      <c r="AH1296" s="37"/>
      <c r="AI1296" s="37"/>
      <c r="AJ1296" s="37"/>
      <c r="AK1296" s="39"/>
      <c r="AL1296" s="37"/>
      <c r="AM1296" s="37"/>
      <c r="AN1296" s="37"/>
      <c r="AO1296" s="37"/>
    </row>
    <row r="1297" spans="1:41">
      <c r="A1297" s="37"/>
      <c r="B1297" s="37"/>
      <c r="C1297" s="37"/>
      <c r="D1297" s="37"/>
      <c r="E1297" s="37"/>
      <c r="F1297" s="37"/>
      <c r="G1297" s="37"/>
      <c r="H1297" s="40"/>
      <c r="I1297" s="40"/>
      <c r="J1297" s="40"/>
      <c r="K1297" s="37"/>
      <c r="L1297" s="37"/>
      <c r="M1297" s="37"/>
      <c r="N1297" s="37"/>
      <c r="O1297" s="37"/>
      <c r="P1297" s="37"/>
      <c r="Q1297" s="37"/>
      <c r="R1297" s="37"/>
      <c r="S1297" s="37"/>
      <c r="T1297" s="37"/>
      <c r="U1297" s="37"/>
      <c r="V1297" s="37"/>
      <c r="W1297" s="37"/>
      <c r="X1297" s="37"/>
      <c r="Y1297" s="37"/>
      <c r="Z1297" s="37"/>
      <c r="AA1297" s="37"/>
      <c r="AB1297" s="37"/>
      <c r="AC1297" s="37"/>
      <c r="AD1297" s="37"/>
      <c r="AE1297" s="37"/>
      <c r="AF1297" s="37"/>
      <c r="AG1297" s="37"/>
      <c r="AH1297" s="37"/>
      <c r="AI1297" s="37"/>
      <c r="AJ1297" s="37"/>
      <c r="AK1297" s="39"/>
      <c r="AL1297" s="37"/>
      <c r="AM1297" s="37"/>
      <c r="AN1297" s="37"/>
      <c r="AO1297" s="37"/>
    </row>
    <row r="1298" spans="1:41">
      <c r="A1298" s="37"/>
      <c r="B1298" s="37"/>
      <c r="C1298" s="37"/>
      <c r="D1298" s="37"/>
      <c r="E1298" s="37"/>
      <c r="F1298" s="37"/>
      <c r="G1298" s="37"/>
      <c r="H1298" s="40"/>
      <c r="I1298" s="40"/>
      <c r="J1298" s="40"/>
      <c r="K1298" s="37"/>
      <c r="L1298" s="37"/>
      <c r="M1298" s="37"/>
      <c r="N1298" s="37"/>
      <c r="O1298" s="37"/>
      <c r="P1298" s="37"/>
      <c r="Q1298" s="37"/>
      <c r="R1298" s="37"/>
      <c r="S1298" s="37"/>
      <c r="T1298" s="37"/>
      <c r="U1298" s="37"/>
      <c r="V1298" s="37"/>
      <c r="W1298" s="37"/>
      <c r="X1298" s="37"/>
      <c r="Y1298" s="37"/>
      <c r="Z1298" s="37"/>
      <c r="AA1298" s="37"/>
      <c r="AB1298" s="37"/>
      <c r="AC1298" s="37"/>
      <c r="AD1298" s="37"/>
      <c r="AE1298" s="37"/>
      <c r="AF1298" s="37"/>
      <c r="AG1298" s="37"/>
      <c r="AH1298" s="37"/>
      <c r="AI1298" s="37"/>
      <c r="AJ1298" s="37"/>
      <c r="AK1298" s="39"/>
      <c r="AL1298" s="37"/>
      <c r="AM1298" s="37"/>
      <c r="AN1298" s="37"/>
      <c r="AO1298" s="37"/>
    </row>
    <row r="1299" spans="1:41">
      <c r="A1299" s="37"/>
      <c r="B1299" s="37"/>
      <c r="C1299" s="37"/>
      <c r="D1299" s="37"/>
      <c r="E1299" s="37"/>
      <c r="F1299" s="37"/>
      <c r="G1299" s="37"/>
      <c r="H1299" s="40"/>
      <c r="I1299" s="40"/>
      <c r="J1299" s="40"/>
      <c r="K1299" s="37"/>
      <c r="L1299" s="37"/>
      <c r="M1299" s="37"/>
      <c r="N1299" s="37"/>
      <c r="O1299" s="37"/>
      <c r="P1299" s="37"/>
      <c r="Q1299" s="37"/>
      <c r="R1299" s="37"/>
      <c r="S1299" s="37"/>
      <c r="T1299" s="37"/>
      <c r="U1299" s="37"/>
      <c r="V1299" s="37"/>
      <c r="W1299" s="37"/>
      <c r="X1299" s="37"/>
      <c r="Y1299" s="37"/>
      <c r="Z1299" s="37"/>
      <c r="AA1299" s="37"/>
      <c r="AB1299" s="37"/>
      <c r="AC1299" s="37"/>
      <c r="AD1299" s="37"/>
      <c r="AE1299" s="37"/>
      <c r="AF1299" s="37"/>
      <c r="AG1299" s="37"/>
      <c r="AH1299" s="37"/>
      <c r="AI1299" s="37"/>
      <c r="AJ1299" s="37"/>
      <c r="AK1299" s="39"/>
      <c r="AL1299" s="37"/>
      <c r="AM1299" s="37"/>
      <c r="AN1299" s="37"/>
      <c r="AO1299" s="37"/>
    </row>
    <row r="1300" spans="1:41">
      <c r="A1300" s="37"/>
      <c r="B1300" s="37"/>
      <c r="C1300" s="37"/>
      <c r="D1300" s="37"/>
      <c r="E1300" s="37"/>
      <c r="F1300" s="37"/>
      <c r="G1300" s="37"/>
      <c r="H1300" s="40"/>
      <c r="I1300" s="40"/>
      <c r="J1300" s="40"/>
      <c r="K1300" s="37"/>
      <c r="L1300" s="37"/>
      <c r="M1300" s="37"/>
      <c r="N1300" s="37"/>
      <c r="O1300" s="37"/>
      <c r="P1300" s="37"/>
      <c r="Q1300" s="37"/>
      <c r="R1300" s="37"/>
      <c r="S1300" s="37"/>
      <c r="T1300" s="37"/>
      <c r="U1300" s="37"/>
      <c r="V1300" s="37"/>
      <c r="W1300" s="37"/>
      <c r="X1300" s="37"/>
      <c r="Y1300" s="37"/>
      <c r="Z1300" s="37"/>
      <c r="AA1300" s="37"/>
      <c r="AB1300" s="37"/>
      <c r="AC1300" s="37"/>
      <c r="AD1300" s="37"/>
      <c r="AE1300" s="37"/>
      <c r="AF1300" s="37"/>
      <c r="AG1300" s="37"/>
      <c r="AH1300" s="37"/>
      <c r="AI1300" s="37"/>
      <c r="AJ1300" s="37"/>
      <c r="AK1300" s="39"/>
      <c r="AL1300" s="37"/>
      <c r="AM1300" s="37"/>
      <c r="AN1300" s="37"/>
      <c r="AO1300" s="37"/>
    </row>
    <row r="1301" spans="1:41">
      <c r="A1301" s="37"/>
      <c r="B1301" s="37"/>
      <c r="C1301" s="37"/>
      <c r="D1301" s="37"/>
      <c r="E1301" s="37"/>
      <c r="F1301" s="37"/>
      <c r="G1301" s="37"/>
      <c r="H1301" s="40"/>
      <c r="I1301" s="40"/>
      <c r="J1301" s="40"/>
      <c r="K1301" s="37"/>
      <c r="L1301" s="37"/>
      <c r="M1301" s="37"/>
      <c r="N1301" s="37"/>
      <c r="O1301" s="37"/>
      <c r="P1301" s="37"/>
      <c r="Q1301" s="37"/>
      <c r="R1301" s="37"/>
      <c r="S1301" s="37"/>
      <c r="T1301" s="37"/>
      <c r="U1301" s="37"/>
      <c r="V1301" s="37"/>
      <c r="W1301" s="37"/>
      <c r="X1301" s="37"/>
      <c r="Y1301" s="37"/>
      <c r="Z1301" s="37"/>
      <c r="AA1301" s="37"/>
      <c r="AB1301" s="37"/>
      <c r="AC1301" s="37"/>
      <c r="AD1301" s="37"/>
      <c r="AE1301" s="37"/>
      <c r="AF1301" s="37"/>
      <c r="AG1301" s="37"/>
      <c r="AH1301" s="37"/>
      <c r="AI1301" s="37"/>
      <c r="AJ1301" s="37"/>
      <c r="AK1301" s="39"/>
      <c r="AL1301" s="37"/>
      <c r="AM1301" s="37"/>
      <c r="AN1301" s="37"/>
      <c r="AO1301" s="37"/>
    </row>
    <row r="1302" spans="1:41">
      <c r="A1302" s="37"/>
      <c r="B1302" s="37"/>
      <c r="C1302" s="37"/>
      <c r="D1302" s="37"/>
      <c r="E1302" s="37"/>
      <c r="F1302" s="37"/>
      <c r="G1302" s="37"/>
      <c r="H1302" s="40"/>
      <c r="I1302" s="40"/>
      <c r="J1302" s="40"/>
      <c r="K1302" s="37"/>
      <c r="L1302" s="37"/>
      <c r="M1302" s="37"/>
      <c r="N1302" s="37"/>
      <c r="O1302" s="37"/>
      <c r="P1302" s="37"/>
      <c r="Q1302" s="37"/>
      <c r="R1302" s="37"/>
      <c r="S1302" s="37"/>
      <c r="T1302" s="37"/>
      <c r="U1302" s="37"/>
      <c r="V1302" s="37"/>
      <c r="W1302" s="37"/>
      <c r="X1302" s="37"/>
      <c r="Y1302" s="37"/>
      <c r="Z1302" s="37"/>
      <c r="AA1302" s="37"/>
      <c r="AB1302" s="37"/>
      <c r="AC1302" s="37"/>
      <c r="AD1302" s="37"/>
      <c r="AE1302" s="37"/>
      <c r="AF1302" s="37"/>
      <c r="AG1302" s="37"/>
      <c r="AH1302" s="37"/>
      <c r="AI1302" s="37"/>
      <c r="AJ1302" s="37"/>
      <c r="AK1302" s="39"/>
      <c r="AL1302" s="37"/>
      <c r="AM1302" s="37"/>
      <c r="AN1302" s="37"/>
      <c r="AO1302" s="37"/>
    </row>
    <row r="1303" spans="1:41">
      <c r="A1303" s="37"/>
      <c r="B1303" s="37"/>
      <c r="C1303" s="37"/>
      <c r="D1303" s="37"/>
      <c r="E1303" s="37"/>
      <c r="F1303" s="37"/>
      <c r="G1303" s="37"/>
      <c r="H1303" s="40"/>
      <c r="I1303" s="40"/>
      <c r="J1303" s="40"/>
      <c r="K1303" s="37"/>
      <c r="L1303" s="37"/>
      <c r="M1303" s="37"/>
      <c r="N1303" s="37"/>
      <c r="O1303" s="37"/>
      <c r="P1303" s="37"/>
      <c r="Q1303" s="37"/>
      <c r="R1303" s="37"/>
      <c r="S1303" s="37"/>
      <c r="T1303" s="37"/>
      <c r="U1303" s="37"/>
      <c r="V1303" s="37"/>
      <c r="W1303" s="37"/>
      <c r="X1303" s="37"/>
      <c r="Y1303" s="37"/>
      <c r="Z1303" s="37"/>
      <c r="AA1303" s="37"/>
      <c r="AB1303" s="37"/>
      <c r="AC1303" s="37"/>
      <c r="AD1303" s="37"/>
      <c r="AE1303" s="37"/>
      <c r="AF1303" s="37"/>
      <c r="AG1303" s="37"/>
      <c r="AH1303" s="37"/>
      <c r="AI1303" s="37"/>
      <c r="AJ1303" s="37"/>
      <c r="AK1303" s="39"/>
      <c r="AL1303" s="37"/>
      <c r="AM1303" s="37"/>
      <c r="AN1303" s="37"/>
      <c r="AO1303" s="37"/>
    </row>
    <row r="1304" spans="1:41">
      <c r="A1304" s="37"/>
      <c r="B1304" s="37"/>
      <c r="C1304" s="37"/>
      <c r="D1304" s="37"/>
      <c r="E1304" s="37"/>
      <c r="F1304" s="37"/>
      <c r="G1304" s="37"/>
      <c r="H1304" s="40"/>
      <c r="I1304" s="40"/>
      <c r="J1304" s="40"/>
      <c r="K1304" s="37"/>
      <c r="L1304" s="37"/>
      <c r="M1304" s="37"/>
      <c r="N1304" s="37"/>
      <c r="O1304" s="37"/>
      <c r="P1304" s="37"/>
      <c r="Q1304" s="37"/>
      <c r="R1304" s="37"/>
      <c r="S1304" s="37"/>
      <c r="T1304" s="37"/>
      <c r="U1304" s="37"/>
      <c r="V1304" s="37"/>
      <c r="W1304" s="37"/>
      <c r="X1304" s="37"/>
      <c r="Y1304" s="37"/>
      <c r="Z1304" s="37"/>
      <c r="AA1304" s="37"/>
      <c r="AB1304" s="37"/>
      <c r="AC1304" s="37"/>
      <c r="AD1304" s="37"/>
      <c r="AE1304" s="37"/>
      <c r="AF1304" s="37"/>
      <c r="AG1304" s="37"/>
      <c r="AH1304" s="37"/>
      <c r="AI1304" s="37"/>
      <c r="AJ1304" s="37"/>
      <c r="AK1304" s="39"/>
      <c r="AL1304" s="37"/>
      <c r="AM1304" s="37"/>
      <c r="AN1304" s="37"/>
      <c r="AO1304" s="37"/>
    </row>
    <row r="1305" spans="1:41">
      <c r="A1305" s="37"/>
      <c r="B1305" s="37"/>
      <c r="C1305" s="37"/>
      <c r="D1305" s="37"/>
      <c r="E1305" s="37"/>
      <c r="F1305" s="37"/>
      <c r="G1305" s="37"/>
      <c r="H1305" s="40"/>
      <c r="I1305" s="40"/>
      <c r="J1305" s="40"/>
      <c r="K1305" s="37"/>
      <c r="L1305" s="37"/>
      <c r="M1305" s="37"/>
      <c r="N1305" s="37"/>
      <c r="O1305" s="37"/>
      <c r="P1305" s="37"/>
      <c r="Q1305" s="37"/>
      <c r="R1305" s="37"/>
      <c r="S1305" s="37"/>
      <c r="T1305" s="37"/>
      <c r="U1305" s="37"/>
      <c r="V1305" s="37"/>
      <c r="W1305" s="37"/>
      <c r="X1305" s="37"/>
      <c r="Y1305" s="37"/>
      <c r="Z1305" s="37"/>
      <c r="AA1305" s="37"/>
      <c r="AB1305" s="37"/>
      <c r="AC1305" s="37"/>
      <c r="AD1305" s="37"/>
      <c r="AE1305" s="37"/>
      <c r="AF1305" s="37"/>
      <c r="AG1305" s="37"/>
      <c r="AH1305" s="37"/>
      <c r="AI1305" s="37"/>
      <c r="AJ1305" s="37"/>
      <c r="AK1305" s="39"/>
      <c r="AL1305" s="37"/>
      <c r="AM1305" s="37"/>
      <c r="AN1305" s="37"/>
      <c r="AO1305" s="37"/>
    </row>
    <row r="1306" spans="1:41">
      <c r="A1306" s="37"/>
      <c r="B1306" s="37"/>
      <c r="C1306" s="37"/>
      <c r="D1306" s="37"/>
      <c r="E1306" s="37"/>
      <c r="F1306" s="37"/>
      <c r="G1306" s="37"/>
      <c r="H1306" s="40"/>
      <c r="I1306" s="40"/>
      <c r="J1306" s="40"/>
      <c r="K1306" s="37"/>
      <c r="L1306" s="37"/>
      <c r="M1306" s="37"/>
      <c r="N1306" s="37"/>
      <c r="O1306" s="37"/>
      <c r="P1306" s="37"/>
      <c r="Q1306" s="37"/>
      <c r="R1306" s="37"/>
      <c r="S1306" s="37"/>
      <c r="T1306" s="37"/>
      <c r="U1306" s="37"/>
      <c r="V1306" s="37"/>
      <c r="W1306" s="37"/>
      <c r="X1306" s="37"/>
      <c r="Y1306" s="37"/>
      <c r="Z1306" s="37"/>
      <c r="AA1306" s="37"/>
      <c r="AB1306" s="37"/>
      <c r="AC1306" s="37"/>
      <c r="AD1306" s="37"/>
      <c r="AE1306" s="37"/>
      <c r="AF1306" s="37"/>
      <c r="AG1306" s="37"/>
      <c r="AH1306" s="37"/>
      <c r="AI1306" s="37"/>
      <c r="AJ1306" s="37"/>
      <c r="AK1306" s="39"/>
      <c r="AL1306" s="37"/>
      <c r="AM1306" s="37"/>
      <c r="AN1306" s="37"/>
      <c r="AO1306" s="37"/>
    </row>
    <row r="1307" spans="1:41">
      <c r="A1307" s="37"/>
      <c r="B1307" s="37"/>
      <c r="C1307" s="37"/>
      <c r="D1307" s="37"/>
      <c r="E1307" s="37"/>
      <c r="F1307" s="37"/>
      <c r="G1307" s="37"/>
      <c r="H1307" s="40"/>
      <c r="I1307" s="40"/>
      <c r="J1307" s="40"/>
      <c r="K1307" s="37"/>
      <c r="L1307" s="37"/>
      <c r="M1307" s="37"/>
      <c r="N1307" s="37"/>
      <c r="O1307" s="37"/>
      <c r="P1307" s="37"/>
      <c r="Q1307" s="37"/>
      <c r="R1307" s="37"/>
      <c r="S1307" s="37"/>
      <c r="T1307" s="37"/>
      <c r="U1307" s="37"/>
      <c r="V1307" s="37"/>
      <c r="W1307" s="37"/>
      <c r="X1307" s="37"/>
      <c r="Y1307" s="37"/>
      <c r="Z1307" s="37"/>
      <c r="AA1307" s="37"/>
      <c r="AB1307" s="37"/>
      <c r="AC1307" s="37"/>
      <c r="AD1307" s="37"/>
      <c r="AE1307" s="37"/>
      <c r="AF1307" s="37"/>
      <c r="AG1307" s="37"/>
      <c r="AH1307" s="37"/>
      <c r="AI1307" s="37"/>
      <c r="AJ1307" s="37"/>
      <c r="AK1307" s="39"/>
      <c r="AL1307" s="37"/>
      <c r="AM1307" s="37"/>
      <c r="AN1307" s="37"/>
      <c r="AO1307" s="37"/>
    </row>
    <row r="1308" spans="1:41">
      <c r="A1308" s="37"/>
      <c r="B1308" s="37"/>
      <c r="C1308" s="37"/>
      <c r="D1308" s="37"/>
      <c r="E1308" s="37"/>
      <c r="F1308" s="37"/>
      <c r="G1308" s="37"/>
      <c r="H1308" s="40"/>
      <c r="I1308" s="40"/>
      <c r="J1308" s="40"/>
      <c r="K1308" s="37"/>
      <c r="L1308" s="37"/>
      <c r="M1308" s="37"/>
      <c r="N1308" s="37"/>
      <c r="O1308" s="37"/>
      <c r="P1308" s="37"/>
      <c r="Q1308" s="37"/>
      <c r="R1308" s="37"/>
      <c r="S1308" s="37"/>
      <c r="T1308" s="37"/>
      <c r="U1308" s="37"/>
      <c r="V1308" s="37"/>
      <c r="W1308" s="37"/>
      <c r="X1308" s="37"/>
      <c r="Y1308" s="37"/>
      <c r="Z1308" s="37"/>
      <c r="AA1308" s="37"/>
      <c r="AB1308" s="37"/>
      <c r="AC1308" s="37"/>
      <c r="AD1308" s="37"/>
      <c r="AE1308" s="37"/>
      <c r="AF1308" s="37"/>
      <c r="AG1308" s="37"/>
      <c r="AH1308" s="37"/>
      <c r="AI1308" s="37"/>
      <c r="AJ1308" s="37"/>
      <c r="AK1308" s="39"/>
      <c r="AL1308" s="37"/>
      <c r="AM1308" s="37"/>
      <c r="AN1308" s="37"/>
      <c r="AO1308" s="37"/>
    </row>
    <row r="1309" spans="1:41">
      <c r="A1309" s="37"/>
      <c r="B1309" s="37"/>
      <c r="C1309" s="37"/>
      <c r="D1309" s="37"/>
      <c r="E1309" s="37"/>
      <c r="F1309" s="37"/>
      <c r="G1309" s="37"/>
      <c r="H1309" s="40"/>
      <c r="I1309" s="40"/>
      <c r="J1309" s="40"/>
      <c r="K1309" s="37"/>
      <c r="L1309" s="37"/>
      <c r="M1309" s="37"/>
      <c r="N1309" s="37"/>
      <c r="O1309" s="37"/>
      <c r="P1309" s="37"/>
      <c r="Q1309" s="37"/>
      <c r="R1309" s="37"/>
      <c r="S1309" s="37"/>
      <c r="T1309" s="37"/>
      <c r="U1309" s="37"/>
      <c r="V1309" s="37"/>
      <c r="W1309" s="37"/>
      <c r="X1309" s="37"/>
      <c r="Y1309" s="37"/>
      <c r="Z1309" s="37"/>
      <c r="AA1309" s="37"/>
      <c r="AB1309" s="37"/>
      <c r="AC1309" s="37"/>
      <c r="AD1309" s="37"/>
      <c r="AE1309" s="37"/>
      <c r="AF1309" s="37"/>
      <c r="AG1309" s="37"/>
      <c r="AH1309" s="37"/>
      <c r="AI1309" s="37"/>
      <c r="AJ1309" s="37"/>
      <c r="AK1309" s="39"/>
      <c r="AL1309" s="37"/>
      <c r="AM1309" s="37"/>
      <c r="AN1309" s="37"/>
      <c r="AO1309" s="37"/>
    </row>
    <row r="1310" spans="1:41">
      <c r="A1310" s="37"/>
      <c r="B1310" s="37"/>
      <c r="C1310" s="37"/>
      <c r="D1310" s="37"/>
      <c r="E1310" s="37"/>
      <c r="F1310" s="37"/>
      <c r="G1310" s="37"/>
      <c r="H1310" s="40"/>
      <c r="I1310" s="40"/>
      <c r="J1310" s="40"/>
      <c r="K1310" s="37"/>
      <c r="L1310" s="37"/>
      <c r="M1310" s="37"/>
      <c r="N1310" s="37"/>
      <c r="O1310" s="37"/>
      <c r="P1310" s="37"/>
      <c r="Q1310" s="37"/>
      <c r="R1310" s="37"/>
      <c r="S1310" s="37"/>
      <c r="T1310" s="37"/>
      <c r="U1310" s="37"/>
      <c r="V1310" s="37"/>
      <c r="W1310" s="37"/>
      <c r="X1310" s="37"/>
      <c r="Y1310" s="37"/>
      <c r="Z1310" s="37"/>
      <c r="AA1310" s="37"/>
      <c r="AB1310" s="37"/>
      <c r="AC1310" s="37"/>
      <c r="AD1310" s="37"/>
      <c r="AE1310" s="37"/>
      <c r="AF1310" s="37"/>
      <c r="AG1310" s="37"/>
      <c r="AH1310" s="37"/>
      <c r="AI1310" s="37"/>
      <c r="AJ1310" s="37"/>
      <c r="AK1310" s="39"/>
      <c r="AL1310" s="37"/>
      <c r="AM1310" s="37"/>
      <c r="AN1310" s="37"/>
      <c r="AO1310" s="37"/>
    </row>
    <row r="1311" spans="1:41">
      <c r="A1311" s="37"/>
      <c r="B1311" s="37"/>
      <c r="C1311" s="37"/>
      <c r="D1311" s="37"/>
      <c r="E1311" s="37"/>
      <c r="F1311" s="37"/>
      <c r="G1311" s="37"/>
      <c r="H1311" s="40"/>
      <c r="I1311" s="40"/>
      <c r="J1311" s="40"/>
      <c r="K1311" s="37"/>
      <c r="L1311" s="37"/>
      <c r="M1311" s="37"/>
      <c r="N1311" s="37"/>
      <c r="O1311" s="37"/>
      <c r="P1311" s="37"/>
      <c r="Q1311" s="37"/>
      <c r="R1311" s="37"/>
      <c r="S1311" s="37"/>
      <c r="T1311" s="37"/>
      <c r="U1311" s="37"/>
      <c r="V1311" s="37"/>
      <c r="W1311" s="37"/>
      <c r="X1311" s="37"/>
      <c r="Y1311" s="37"/>
      <c r="Z1311" s="37"/>
      <c r="AA1311" s="37"/>
      <c r="AB1311" s="37"/>
      <c r="AC1311" s="37"/>
      <c r="AD1311" s="37"/>
      <c r="AE1311" s="37"/>
      <c r="AF1311" s="37"/>
      <c r="AG1311" s="37"/>
      <c r="AH1311" s="37"/>
      <c r="AI1311" s="37"/>
      <c r="AJ1311" s="37"/>
      <c r="AK1311" s="39"/>
      <c r="AL1311" s="37"/>
      <c r="AM1311" s="37"/>
      <c r="AN1311" s="37"/>
      <c r="AO1311" s="37"/>
    </row>
    <row r="1312" spans="1:41">
      <c r="A1312" s="37"/>
      <c r="B1312" s="37"/>
      <c r="C1312" s="37"/>
      <c r="D1312" s="37"/>
      <c r="E1312" s="37"/>
      <c r="F1312" s="37"/>
      <c r="G1312" s="37"/>
      <c r="H1312" s="40"/>
      <c r="I1312" s="40"/>
      <c r="J1312" s="40"/>
      <c r="K1312" s="37"/>
      <c r="L1312" s="37"/>
      <c r="M1312" s="37"/>
      <c r="N1312" s="37"/>
      <c r="O1312" s="37"/>
      <c r="P1312" s="37"/>
      <c r="Q1312" s="37"/>
      <c r="R1312" s="37"/>
      <c r="S1312" s="37"/>
      <c r="T1312" s="37"/>
      <c r="U1312" s="37"/>
      <c r="V1312" s="37"/>
      <c r="W1312" s="37"/>
      <c r="X1312" s="37"/>
      <c r="Y1312" s="37"/>
      <c r="Z1312" s="37"/>
      <c r="AA1312" s="37"/>
      <c r="AB1312" s="37"/>
      <c r="AC1312" s="37"/>
      <c r="AD1312" s="37"/>
      <c r="AE1312" s="37"/>
      <c r="AF1312" s="37"/>
      <c r="AG1312" s="37"/>
      <c r="AH1312" s="37"/>
      <c r="AI1312" s="37"/>
      <c r="AJ1312" s="37"/>
      <c r="AK1312" s="39"/>
      <c r="AL1312" s="37"/>
      <c r="AM1312" s="37"/>
      <c r="AN1312" s="37"/>
      <c r="AO1312" s="37"/>
    </row>
    <row r="1313" spans="1:41">
      <c r="A1313" s="37"/>
      <c r="B1313" s="37"/>
      <c r="C1313" s="37"/>
      <c r="D1313" s="37"/>
      <c r="E1313" s="37"/>
      <c r="F1313" s="37"/>
      <c r="G1313" s="37"/>
      <c r="H1313" s="40"/>
      <c r="I1313" s="40"/>
      <c r="J1313" s="40"/>
      <c r="K1313" s="37"/>
      <c r="L1313" s="37"/>
      <c r="M1313" s="37"/>
      <c r="N1313" s="37"/>
      <c r="O1313" s="37"/>
      <c r="P1313" s="37"/>
      <c r="Q1313" s="37"/>
      <c r="R1313" s="37"/>
      <c r="S1313" s="37"/>
      <c r="T1313" s="37"/>
      <c r="U1313" s="37"/>
      <c r="V1313" s="37"/>
      <c r="W1313" s="37"/>
      <c r="X1313" s="37"/>
      <c r="Y1313" s="37"/>
      <c r="Z1313" s="37"/>
      <c r="AA1313" s="37"/>
      <c r="AB1313" s="37"/>
      <c r="AC1313" s="37"/>
      <c r="AD1313" s="37"/>
      <c r="AE1313" s="37"/>
      <c r="AF1313" s="37"/>
      <c r="AG1313" s="37"/>
      <c r="AH1313" s="37"/>
      <c r="AI1313" s="37"/>
      <c r="AJ1313" s="37"/>
      <c r="AK1313" s="39"/>
      <c r="AL1313" s="37"/>
      <c r="AM1313" s="37"/>
      <c r="AN1313" s="37"/>
      <c r="AO1313" s="37"/>
    </row>
    <row r="1314" spans="1:41">
      <c r="A1314" s="37"/>
      <c r="B1314" s="37"/>
      <c r="C1314" s="37"/>
      <c r="D1314" s="37"/>
      <c r="E1314" s="37"/>
      <c r="F1314" s="37"/>
      <c r="G1314" s="37"/>
      <c r="H1314" s="40"/>
      <c r="I1314" s="40"/>
      <c r="J1314" s="40"/>
      <c r="K1314" s="37"/>
      <c r="L1314" s="37"/>
      <c r="M1314" s="37"/>
      <c r="N1314" s="37"/>
      <c r="O1314" s="37"/>
      <c r="P1314" s="37"/>
      <c r="Q1314" s="37"/>
      <c r="R1314" s="37"/>
      <c r="S1314" s="37"/>
      <c r="T1314" s="37"/>
      <c r="U1314" s="37"/>
      <c r="V1314" s="37"/>
      <c r="W1314" s="37"/>
      <c r="X1314" s="37"/>
      <c r="Y1314" s="37"/>
      <c r="Z1314" s="37"/>
      <c r="AA1314" s="37"/>
      <c r="AB1314" s="37"/>
      <c r="AC1314" s="37"/>
      <c r="AD1314" s="37"/>
      <c r="AE1314" s="37"/>
      <c r="AF1314" s="37"/>
      <c r="AG1314" s="37"/>
      <c r="AH1314" s="37"/>
      <c r="AI1314" s="37"/>
      <c r="AJ1314" s="37"/>
      <c r="AK1314" s="39"/>
      <c r="AL1314" s="37"/>
      <c r="AM1314" s="37"/>
      <c r="AN1314" s="37"/>
      <c r="AO1314" s="37"/>
    </row>
    <row r="1315" spans="1:41">
      <c r="A1315" s="37"/>
      <c r="B1315" s="37"/>
      <c r="C1315" s="37"/>
      <c r="D1315" s="37"/>
      <c r="E1315" s="37"/>
      <c r="F1315" s="37"/>
      <c r="G1315" s="37"/>
      <c r="H1315" s="40"/>
      <c r="I1315" s="40"/>
      <c r="J1315" s="40"/>
      <c r="K1315" s="37"/>
      <c r="L1315" s="37"/>
      <c r="M1315" s="37"/>
      <c r="N1315" s="37"/>
      <c r="O1315" s="37"/>
      <c r="P1315" s="37"/>
      <c r="Q1315" s="37"/>
      <c r="R1315" s="37"/>
      <c r="S1315" s="37"/>
      <c r="T1315" s="37"/>
      <c r="U1315" s="37"/>
      <c r="V1315" s="37"/>
      <c r="W1315" s="37"/>
      <c r="X1315" s="37"/>
      <c r="Y1315" s="37"/>
      <c r="Z1315" s="37"/>
      <c r="AA1315" s="37"/>
      <c r="AB1315" s="37"/>
      <c r="AC1315" s="37"/>
      <c r="AD1315" s="37"/>
      <c r="AE1315" s="37"/>
      <c r="AF1315" s="37"/>
      <c r="AG1315" s="37"/>
      <c r="AH1315" s="37"/>
      <c r="AI1315" s="37"/>
      <c r="AJ1315" s="37"/>
      <c r="AK1315" s="39"/>
      <c r="AL1315" s="37"/>
      <c r="AM1315" s="37"/>
      <c r="AN1315" s="37"/>
      <c r="AO1315" s="37"/>
    </row>
    <row r="1316" spans="1:41">
      <c r="A1316" s="37"/>
      <c r="B1316" s="37"/>
      <c r="C1316" s="37"/>
      <c r="D1316" s="37"/>
      <c r="E1316" s="37"/>
      <c r="F1316" s="37"/>
      <c r="G1316" s="37"/>
      <c r="H1316" s="40"/>
      <c r="I1316" s="40"/>
      <c r="J1316" s="40"/>
      <c r="K1316" s="37"/>
      <c r="L1316" s="37"/>
      <c r="M1316" s="37"/>
      <c r="N1316" s="37"/>
      <c r="O1316" s="37"/>
      <c r="P1316" s="37"/>
      <c r="Q1316" s="37"/>
      <c r="R1316" s="37"/>
      <c r="S1316" s="37"/>
      <c r="T1316" s="37"/>
      <c r="U1316" s="37"/>
      <c r="V1316" s="37"/>
      <c r="W1316" s="37"/>
      <c r="X1316" s="37"/>
      <c r="Y1316" s="37"/>
      <c r="Z1316" s="37"/>
      <c r="AA1316" s="37"/>
      <c r="AB1316" s="37"/>
      <c r="AC1316" s="37"/>
      <c r="AD1316" s="37"/>
      <c r="AE1316" s="37"/>
      <c r="AF1316" s="37"/>
      <c r="AG1316" s="37"/>
      <c r="AH1316" s="37"/>
      <c r="AI1316" s="37"/>
      <c r="AJ1316" s="37"/>
      <c r="AK1316" s="39"/>
      <c r="AL1316" s="37"/>
      <c r="AM1316" s="37"/>
      <c r="AN1316" s="37"/>
      <c r="AO1316" s="37"/>
    </row>
    <row r="1317" spans="1:41">
      <c r="A1317" s="37"/>
      <c r="B1317" s="37"/>
      <c r="C1317" s="37"/>
      <c r="D1317" s="37"/>
      <c r="E1317" s="37"/>
      <c r="F1317" s="37"/>
      <c r="G1317" s="37"/>
      <c r="H1317" s="40"/>
      <c r="I1317" s="40"/>
      <c r="J1317" s="40"/>
      <c r="K1317" s="37"/>
      <c r="L1317" s="37"/>
      <c r="M1317" s="37"/>
      <c r="N1317" s="37"/>
      <c r="O1317" s="37"/>
      <c r="P1317" s="37"/>
      <c r="Q1317" s="37"/>
      <c r="R1317" s="37"/>
      <c r="S1317" s="37"/>
      <c r="T1317" s="37"/>
      <c r="U1317" s="37"/>
      <c r="V1317" s="37"/>
      <c r="W1317" s="37"/>
      <c r="X1317" s="37"/>
      <c r="Y1317" s="37"/>
      <c r="Z1317" s="37"/>
      <c r="AA1317" s="37"/>
      <c r="AB1317" s="37"/>
      <c r="AC1317" s="37"/>
      <c r="AD1317" s="37"/>
      <c r="AE1317" s="37"/>
      <c r="AF1317" s="37"/>
      <c r="AG1317" s="37"/>
      <c r="AH1317" s="37"/>
      <c r="AI1317" s="37"/>
      <c r="AJ1317" s="37"/>
      <c r="AK1317" s="39"/>
      <c r="AL1317" s="37"/>
      <c r="AM1317" s="37"/>
      <c r="AN1317" s="37"/>
      <c r="AO1317" s="37"/>
    </row>
    <row r="1318" spans="1:41">
      <c r="A1318" s="37"/>
      <c r="B1318" s="37"/>
      <c r="C1318" s="37"/>
      <c r="D1318" s="37"/>
      <c r="E1318" s="37"/>
      <c r="F1318" s="37"/>
      <c r="G1318" s="37"/>
      <c r="H1318" s="40"/>
      <c r="I1318" s="40"/>
      <c r="J1318" s="40"/>
      <c r="K1318" s="37"/>
      <c r="L1318" s="37"/>
      <c r="M1318" s="37"/>
      <c r="N1318" s="37"/>
      <c r="O1318" s="37"/>
      <c r="P1318" s="37"/>
      <c r="Q1318" s="37"/>
      <c r="R1318" s="37"/>
      <c r="S1318" s="37"/>
      <c r="T1318" s="37"/>
      <c r="U1318" s="37"/>
      <c r="V1318" s="37"/>
      <c r="W1318" s="37"/>
      <c r="X1318" s="37"/>
      <c r="Y1318" s="37"/>
      <c r="Z1318" s="37"/>
      <c r="AA1318" s="37"/>
      <c r="AB1318" s="37"/>
      <c r="AC1318" s="37"/>
      <c r="AD1318" s="37"/>
      <c r="AE1318" s="37"/>
      <c r="AF1318" s="37"/>
      <c r="AG1318" s="37"/>
      <c r="AH1318" s="37"/>
      <c r="AI1318" s="37"/>
      <c r="AJ1318" s="37"/>
      <c r="AK1318" s="39"/>
      <c r="AL1318" s="37"/>
      <c r="AM1318" s="37"/>
      <c r="AN1318" s="37"/>
      <c r="AO1318" s="37"/>
    </row>
    <row r="1319" spans="1:41">
      <c r="A1319" s="37"/>
      <c r="B1319" s="37"/>
      <c r="C1319" s="37"/>
      <c r="D1319" s="37"/>
      <c r="E1319" s="37"/>
      <c r="F1319" s="37"/>
      <c r="G1319" s="37"/>
      <c r="H1319" s="40"/>
      <c r="I1319" s="40"/>
      <c r="J1319" s="40"/>
      <c r="K1319" s="37"/>
      <c r="L1319" s="37"/>
      <c r="M1319" s="37"/>
      <c r="N1319" s="37"/>
      <c r="O1319" s="37"/>
      <c r="P1319" s="37"/>
      <c r="Q1319" s="37"/>
      <c r="R1319" s="37"/>
      <c r="S1319" s="37"/>
      <c r="T1319" s="37"/>
      <c r="U1319" s="37"/>
      <c r="V1319" s="37"/>
      <c r="W1319" s="37"/>
      <c r="X1319" s="37"/>
      <c r="Y1319" s="37"/>
      <c r="Z1319" s="37"/>
      <c r="AA1319" s="37"/>
      <c r="AB1319" s="37"/>
      <c r="AC1319" s="37"/>
      <c r="AD1319" s="37"/>
      <c r="AE1319" s="37"/>
      <c r="AF1319" s="37"/>
      <c r="AG1319" s="37"/>
      <c r="AH1319" s="37"/>
      <c r="AI1319" s="37"/>
      <c r="AJ1319" s="37"/>
      <c r="AK1319" s="39"/>
      <c r="AL1319" s="37"/>
      <c r="AM1319" s="37"/>
      <c r="AN1319" s="37"/>
      <c r="AO1319" s="37"/>
    </row>
    <row r="1320" spans="1:41">
      <c r="A1320" s="37"/>
      <c r="B1320" s="37"/>
      <c r="C1320" s="37"/>
      <c r="D1320" s="37"/>
      <c r="E1320" s="37"/>
      <c r="F1320" s="37"/>
      <c r="G1320" s="37"/>
      <c r="H1320" s="40"/>
      <c r="I1320" s="40"/>
      <c r="J1320" s="40"/>
      <c r="K1320" s="37"/>
      <c r="L1320" s="37"/>
      <c r="M1320" s="37"/>
      <c r="N1320" s="37"/>
      <c r="O1320" s="37"/>
      <c r="P1320" s="37"/>
      <c r="Q1320" s="37"/>
      <c r="R1320" s="37"/>
      <c r="S1320" s="37"/>
      <c r="T1320" s="37"/>
      <c r="U1320" s="37"/>
      <c r="V1320" s="37"/>
      <c r="W1320" s="37"/>
      <c r="X1320" s="37"/>
      <c r="Y1320" s="37"/>
      <c r="Z1320" s="37"/>
      <c r="AA1320" s="37"/>
      <c r="AB1320" s="37"/>
      <c r="AC1320" s="37"/>
      <c r="AD1320" s="37"/>
      <c r="AE1320" s="37"/>
      <c r="AF1320" s="37"/>
      <c r="AG1320" s="37"/>
      <c r="AH1320" s="37"/>
      <c r="AI1320" s="37"/>
      <c r="AJ1320" s="37"/>
      <c r="AK1320" s="39"/>
      <c r="AL1320" s="37"/>
      <c r="AM1320" s="37"/>
      <c r="AN1320" s="37"/>
      <c r="AO1320" s="37"/>
    </row>
    <row r="1321" spans="1:41">
      <c r="A1321" s="37"/>
      <c r="B1321" s="37"/>
      <c r="C1321" s="37"/>
      <c r="D1321" s="37"/>
      <c r="E1321" s="37"/>
      <c r="F1321" s="37"/>
      <c r="G1321" s="37"/>
      <c r="H1321" s="40"/>
      <c r="I1321" s="40"/>
      <c r="J1321" s="40"/>
      <c r="K1321" s="37"/>
      <c r="L1321" s="37"/>
      <c r="M1321" s="37"/>
      <c r="N1321" s="37"/>
      <c r="O1321" s="37"/>
      <c r="P1321" s="37"/>
      <c r="Q1321" s="37"/>
      <c r="R1321" s="37"/>
      <c r="S1321" s="37"/>
      <c r="T1321" s="37"/>
      <c r="U1321" s="37"/>
      <c r="V1321" s="37"/>
      <c r="W1321" s="37"/>
      <c r="X1321" s="37"/>
      <c r="Y1321" s="37"/>
      <c r="Z1321" s="37"/>
      <c r="AA1321" s="37"/>
      <c r="AB1321" s="37"/>
      <c r="AC1321" s="37"/>
      <c r="AD1321" s="37"/>
      <c r="AE1321" s="37"/>
      <c r="AF1321" s="37"/>
      <c r="AG1321" s="37"/>
      <c r="AH1321" s="37"/>
      <c r="AI1321" s="37"/>
      <c r="AJ1321" s="37"/>
      <c r="AK1321" s="39"/>
      <c r="AL1321" s="37"/>
      <c r="AM1321" s="37"/>
      <c r="AN1321" s="37"/>
      <c r="AO1321" s="37"/>
    </row>
    <row r="1322" spans="1:41">
      <c r="A1322" s="37"/>
      <c r="B1322" s="37"/>
      <c r="C1322" s="37"/>
      <c r="D1322" s="37"/>
      <c r="E1322" s="37"/>
      <c r="F1322" s="37"/>
      <c r="G1322" s="37"/>
      <c r="H1322" s="40"/>
      <c r="I1322" s="40"/>
      <c r="J1322" s="40"/>
      <c r="K1322" s="37"/>
      <c r="L1322" s="37"/>
      <c r="M1322" s="37"/>
      <c r="N1322" s="37"/>
      <c r="O1322" s="37"/>
      <c r="P1322" s="37"/>
      <c r="Q1322" s="37"/>
      <c r="R1322" s="37"/>
      <c r="S1322" s="37"/>
      <c r="T1322" s="37"/>
      <c r="U1322" s="37"/>
      <c r="V1322" s="37"/>
      <c r="W1322" s="37"/>
      <c r="X1322" s="37"/>
      <c r="Y1322" s="37"/>
      <c r="Z1322" s="37"/>
      <c r="AA1322" s="37"/>
      <c r="AB1322" s="37"/>
      <c r="AC1322" s="37"/>
      <c r="AD1322" s="37"/>
      <c r="AE1322" s="37"/>
      <c r="AF1322" s="37"/>
      <c r="AG1322" s="37"/>
      <c r="AH1322" s="37"/>
      <c r="AI1322" s="37"/>
      <c r="AJ1322" s="37"/>
      <c r="AK1322" s="39"/>
      <c r="AL1322" s="37"/>
      <c r="AM1322" s="37"/>
      <c r="AN1322" s="37"/>
      <c r="AO1322" s="37"/>
    </row>
    <row r="1323" spans="1:41">
      <c r="A1323" s="37"/>
      <c r="B1323" s="37"/>
      <c r="C1323" s="37"/>
      <c r="D1323" s="37"/>
      <c r="E1323" s="37"/>
      <c r="F1323" s="37"/>
      <c r="G1323" s="37"/>
      <c r="H1323" s="40"/>
      <c r="I1323" s="40"/>
      <c r="J1323" s="40"/>
      <c r="K1323" s="37"/>
      <c r="L1323" s="37"/>
      <c r="M1323" s="37"/>
      <c r="N1323" s="37"/>
      <c r="O1323" s="37"/>
      <c r="P1323" s="37"/>
      <c r="Q1323" s="37"/>
      <c r="R1323" s="37"/>
      <c r="S1323" s="37"/>
      <c r="T1323" s="37"/>
      <c r="U1323" s="37"/>
      <c r="V1323" s="37"/>
      <c r="W1323" s="37"/>
      <c r="X1323" s="37"/>
      <c r="Y1323" s="37"/>
      <c r="Z1323" s="37"/>
      <c r="AA1323" s="37"/>
      <c r="AB1323" s="37"/>
      <c r="AC1323" s="37"/>
      <c r="AD1323" s="37"/>
      <c r="AE1323" s="37"/>
      <c r="AF1323" s="37"/>
      <c r="AG1323" s="37"/>
      <c r="AH1323" s="37"/>
      <c r="AI1323" s="37"/>
      <c r="AJ1323" s="37"/>
      <c r="AK1323" s="39"/>
      <c r="AL1323" s="37"/>
      <c r="AM1323" s="37"/>
      <c r="AN1323" s="37"/>
      <c r="AO1323" s="37"/>
    </row>
    <row r="1324" spans="1:41">
      <c r="A1324" s="37"/>
      <c r="B1324" s="37"/>
      <c r="C1324" s="37"/>
      <c r="D1324" s="37"/>
      <c r="E1324" s="37"/>
      <c r="F1324" s="37"/>
      <c r="G1324" s="37"/>
      <c r="H1324" s="40"/>
      <c r="I1324" s="40"/>
      <c r="J1324" s="40"/>
      <c r="K1324" s="37"/>
      <c r="L1324" s="37"/>
      <c r="M1324" s="37"/>
      <c r="N1324" s="37"/>
      <c r="O1324" s="37"/>
      <c r="P1324" s="37"/>
      <c r="Q1324" s="37"/>
      <c r="R1324" s="37"/>
      <c r="S1324" s="37"/>
      <c r="T1324" s="37"/>
      <c r="U1324" s="37"/>
      <c r="V1324" s="37"/>
      <c r="W1324" s="37"/>
      <c r="X1324" s="37"/>
      <c r="Y1324" s="37"/>
      <c r="Z1324" s="37"/>
      <c r="AA1324" s="37"/>
      <c r="AB1324" s="37"/>
      <c r="AC1324" s="37"/>
      <c r="AD1324" s="37"/>
      <c r="AE1324" s="37"/>
      <c r="AF1324" s="37"/>
      <c r="AG1324" s="37"/>
      <c r="AH1324" s="37"/>
      <c r="AI1324" s="37"/>
      <c r="AJ1324" s="37"/>
      <c r="AK1324" s="39"/>
      <c r="AL1324" s="37"/>
      <c r="AM1324" s="37"/>
      <c r="AN1324" s="37"/>
      <c r="AO1324" s="37"/>
    </row>
    <row r="1325" spans="1:41">
      <c r="A1325" s="37"/>
      <c r="B1325" s="37"/>
      <c r="C1325" s="37"/>
      <c r="D1325" s="37"/>
      <c r="E1325" s="37"/>
      <c r="F1325" s="37"/>
      <c r="G1325" s="37"/>
      <c r="H1325" s="40"/>
      <c r="I1325" s="40"/>
      <c r="J1325" s="40"/>
      <c r="K1325" s="37"/>
      <c r="L1325" s="37"/>
      <c r="M1325" s="37"/>
      <c r="N1325" s="37"/>
      <c r="O1325" s="37"/>
      <c r="P1325" s="37"/>
      <c r="Q1325" s="37"/>
      <c r="R1325" s="37"/>
      <c r="S1325" s="37"/>
      <c r="T1325" s="37"/>
      <c r="U1325" s="37"/>
      <c r="V1325" s="37"/>
      <c r="W1325" s="37"/>
      <c r="X1325" s="37"/>
      <c r="Y1325" s="37"/>
      <c r="Z1325" s="37"/>
      <c r="AA1325" s="37"/>
      <c r="AB1325" s="37"/>
      <c r="AC1325" s="37"/>
      <c r="AD1325" s="37"/>
      <c r="AE1325" s="37"/>
      <c r="AF1325" s="37"/>
      <c r="AG1325" s="37"/>
      <c r="AH1325" s="37"/>
      <c r="AI1325" s="37"/>
      <c r="AJ1325" s="37"/>
      <c r="AK1325" s="39"/>
      <c r="AL1325" s="37"/>
      <c r="AM1325" s="37"/>
      <c r="AN1325" s="37"/>
      <c r="AO1325" s="37"/>
    </row>
    <row r="1326" spans="1:41">
      <c r="A1326" s="37"/>
      <c r="B1326" s="37"/>
      <c r="C1326" s="37"/>
      <c r="D1326" s="37"/>
      <c r="E1326" s="37"/>
      <c r="F1326" s="37"/>
      <c r="G1326" s="37"/>
      <c r="H1326" s="40"/>
      <c r="I1326" s="40"/>
      <c r="J1326" s="40"/>
      <c r="K1326" s="37"/>
      <c r="L1326" s="37"/>
      <c r="M1326" s="37"/>
      <c r="N1326" s="37"/>
      <c r="O1326" s="37"/>
      <c r="P1326" s="37"/>
      <c r="Q1326" s="37"/>
      <c r="R1326" s="37"/>
      <c r="S1326" s="37"/>
      <c r="T1326" s="37"/>
      <c r="U1326" s="37"/>
      <c r="V1326" s="37"/>
      <c r="W1326" s="37"/>
      <c r="X1326" s="37"/>
      <c r="Y1326" s="37"/>
      <c r="Z1326" s="37"/>
      <c r="AA1326" s="37"/>
      <c r="AB1326" s="37"/>
      <c r="AC1326" s="37"/>
      <c r="AD1326" s="37"/>
      <c r="AE1326" s="37"/>
      <c r="AF1326" s="37"/>
      <c r="AG1326" s="37"/>
      <c r="AH1326" s="37"/>
      <c r="AI1326" s="37"/>
      <c r="AJ1326" s="37"/>
      <c r="AK1326" s="39"/>
      <c r="AL1326" s="37"/>
      <c r="AM1326" s="37"/>
      <c r="AN1326" s="37"/>
      <c r="AO1326" s="37"/>
    </row>
    <row r="1327" spans="1:41">
      <c r="A1327" s="37"/>
      <c r="B1327" s="37"/>
      <c r="C1327" s="37"/>
      <c r="D1327" s="37"/>
      <c r="E1327" s="37"/>
      <c r="F1327" s="37"/>
      <c r="G1327" s="37"/>
      <c r="H1327" s="40"/>
      <c r="I1327" s="40"/>
      <c r="J1327" s="40"/>
      <c r="K1327" s="37"/>
      <c r="L1327" s="37"/>
      <c r="M1327" s="37"/>
      <c r="N1327" s="37"/>
      <c r="O1327" s="37"/>
      <c r="P1327" s="37"/>
      <c r="Q1327" s="37"/>
      <c r="R1327" s="37"/>
      <c r="S1327" s="37"/>
      <c r="T1327" s="37"/>
      <c r="U1327" s="37"/>
      <c r="V1327" s="37"/>
      <c r="W1327" s="37"/>
      <c r="X1327" s="37"/>
      <c r="Y1327" s="37"/>
      <c r="Z1327" s="37"/>
      <c r="AA1327" s="37"/>
      <c r="AB1327" s="37"/>
      <c r="AC1327" s="37"/>
      <c r="AD1327" s="37"/>
      <c r="AE1327" s="37"/>
      <c r="AF1327" s="37"/>
      <c r="AG1327" s="37"/>
      <c r="AH1327" s="37"/>
      <c r="AI1327" s="37"/>
      <c r="AJ1327" s="37"/>
      <c r="AK1327" s="39"/>
      <c r="AL1327" s="37"/>
      <c r="AM1327" s="37"/>
      <c r="AN1327" s="37"/>
      <c r="AO1327" s="37"/>
    </row>
    <row r="1328" spans="1:41">
      <c r="A1328" s="37"/>
      <c r="B1328" s="37"/>
      <c r="C1328" s="37"/>
      <c r="D1328" s="37"/>
      <c r="E1328" s="37"/>
      <c r="F1328" s="37"/>
      <c r="G1328" s="37"/>
      <c r="H1328" s="40"/>
      <c r="I1328" s="40"/>
      <c r="J1328" s="40"/>
      <c r="K1328" s="37"/>
      <c r="L1328" s="37"/>
      <c r="M1328" s="37"/>
      <c r="N1328" s="37"/>
      <c r="O1328" s="37"/>
      <c r="P1328" s="37"/>
      <c r="Q1328" s="37"/>
      <c r="R1328" s="37"/>
      <c r="S1328" s="37"/>
      <c r="T1328" s="37"/>
      <c r="U1328" s="37"/>
      <c r="V1328" s="37"/>
      <c r="W1328" s="37"/>
      <c r="X1328" s="37"/>
      <c r="Y1328" s="37"/>
      <c r="Z1328" s="37"/>
      <c r="AA1328" s="37"/>
      <c r="AB1328" s="37"/>
      <c r="AC1328" s="37"/>
      <c r="AD1328" s="37"/>
      <c r="AE1328" s="37"/>
      <c r="AF1328" s="37"/>
      <c r="AG1328" s="37"/>
      <c r="AH1328" s="37"/>
      <c r="AI1328" s="37"/>
      <c r="AJ1328" s="37"/>
      <c r="AK1328" s="39"/>
      <c r="AL1328" s="37"/>
      <c r="AM1328" s="37"/>
      <c r="AN1328" s="37"/>
      <c r="AO1328" s="37"/>
    </row>
    <row r="1329" spans="1:41">
      <c r="A1329" s="37"/>
      <c r="B1329" s="37"/>
      <c r="C1329" s="37"/>
      <c r="D1329" s="37"/>
      <c r="E1329" s="37"/>
      <c r="F1329" s="37"/>
      <c r="G1329" s="37"/>
      <c r="H1329" s="40"/>
      <c r="I1329" s="40"/>
      <c r="J1329" s="40"/>
      <c r="K1329" s="37"/>
      <c r="L1329" s="37"/>
      <c r="M1329" s="37"/>
      <c r="N1329" s="37"/>
      <c r="O1329" s="37"/>
      <c r="P1329" s="37"/>
      <c r="Q1329" s="37"/>
      <c r="R1329" s="37"/>
      <c r="S1329" s="37"/>
      <c r="T1329" s="37"/>
      <c r="U1329" s="37"/>
      <c r="V1329" s="37"/>
      <c r="W1329" s="37"/>
      <c r="X1329" s="37"/>
      <c r="Y1329" s="37"/>
      <c r="Z1329" s="37"/>
      <c r="AA1329" s="37"/>
      <c r="AB1329" s="37"/>
      <c r="AC1329" s="37"/>
      <c r="AD1329" s="37"/>
      <c r="AE1329" s="37"/>
      <c r="AF1329" s="37"/>
      <c r="AG1329" s="37"/>
      <c r="AH1329" s="37"/>
      <c r="AI1329" s="37"/>
      <c r="AJ1329" s="37"/>
      <c r="AK1329" s="39"/>
      <c r="AL1329" s="37"/>
      <c r="AM1329" s="37"/>
      <c r="AN1329" s="37"/>
      <c r="AO1329" s="37"/>
    </row>
    <row r="1330" spans="1:41">
      <c r="A1330" s="37"/>
      <c r="B1330" s="37"/>
      <c r="C1330" s="37"/>
      <c r="D1330" s="37"/>
      <c r="E1330" s="37"/>
      <c r="F1330" s="37"/>
      <c r="G1330" s="37"/>
      <c r="H1330" s="40"/>
      <c r="I1330" s="40"/>
      <c r="J1330" s="40"/>
      <c r="K1330" s="37"/>
      <c r="L1330" s="37"/>
      <c r="M1330" s="37"/>
      <c r="N1330" s="37"/>
      <c r="O1330" s="37"/>
      <c r="P1330" s="37"/>
      <c r="Q1330" s="37"/>
      <c r="R1330" s="37"/>
      <c r="S1330" s="37"/>
      <c r="T1330" s="37"/>
      <c r="U1330" s="37"/>
      <c r="V1330" s="37"/>
      <c r="W1330" s="37"/>
      <c r="X1330" s="37"/>
      <c r="Y1330" s="37"/>
      <c r="Z1330" s="37"/>
      <c r="AA1330" s="37"/>
      <c r="AB1330" s="37"/>
      <c r="AC1330" s="37"/>
      <c r="AD1330" s="37"/>
      <c r="AE1330" s="37"/>
      <c r="AF1330" s="37"/>
      <c r="AG1330" s="37"/>
      <c r="AH1330" s="37"/>
      <c r="AI1330" s="37"/>
      <c r="AJ1330" s="37"/>
      <c r="AK1330" s="39"/>
      <c r="AL1330" s="37"/>
      <c r="AM1330" s="37"/>
      <c r="AN1330" s="37"/>
      <c r="AO1330" s="37"/>
    </row>
    <row r="1331" spans="1:41">
      <c r="A1331" s="37"/>
      <c r="B1331" s="37"/>
      <c r="C1331" s="37"/>
      <c r="D1331" s="37"/>
      <c r="E1331" s="37"/>
      <c r="F1331" s="37"/>
      <c r="G1331" s="37"/>
      <c r="H1331" s="40"/>
      <c r="I1331" s="40"/>
      <c r="J1331" s="40"/>
      <c r="K1331" s="37"/>
      <c r="L1331" s="37"/>
      <c r="M1331" s="37"/>
      <c r="N1331" s="37"/>
      <c r="O1331" s="37"/>
      <c r="P1331" s="37"/>
      <c r="Q1331" s="37"/>
      <c r="R1331" s="37"/>
      <c r="S1331" s="37"/>
      <c r="T1331" s="37"/>
      <c r="U1331" s="37"/>
      <c r="V1331" s="37"/>
      <c r="W1331" s="37"/>
      <c r="X1331" s="37"/>
      <c r="Y1331" s="37"/>
      <c r="Z1331" s="37"/>
      <c r="AA1331" s="37"/>
      <c r="AB1331" s="37"/>
      <c r="AC1331" s="37"/>
      <c r="AD1331" s="37"/>
      <c r="AE1331" s="37"/>
      <c r="AF1331" s="37"/>
      <c r="AG1331" s="37"/>
      <c r="AH1331" s="37"/>
      <c r="AI1331" s="37"/>
      <c r="AJ1331" s="37"/>
      <c r="AK1331" s="39"/>
      <c r="AL1331" s="37"/>
      <c r="AM1331" s="37"/>
      <c r="AN1331" s="37"/>
      <c r="AO1331" s="37"/>
    </row>
    <row r="1332" spans="1:41">
      <c r="A1332" s="37"/>
      <c r="B1332" s="37"/>
      <c r="C1332" s="37"/>
      <c r="D1332" s="37"/>
      <c r="E1332" s="37"/>
      <c r="F1332" s="37"/>
      <c r="G1332" s="37"/>
      <c r="H1332" s="40"/>
      <c r="I1332" s="40"/>
      <c r="J1332" s="40"/>
      <c r="K1332" s="37"/>
      <c r="L1332" s="37"/>
      <c r="M1332" s="37"/>
      <c r="N1332" s="37"/>
      <c r="O1332" s="37"/>
      <c r="P1332" s="37"/>
      <c r="Q1332" s="37"/>
      <c r="R1332" s="37"/>
      <c r="S1332" s="37"/>
      <c r="T1332" s="37"/>
      <c r="U1332" s="37"/>
      <c r="V1332" s="37"/>
      <c r="W1332" s="37"/>
      <c r="X1332" s="37"/>
      <c r="Y1332" s="37"/>
      <c r="Z1332" s="37"/>
      <c r="AA1332" s="37"/>
      <c r="AB1332" s="37"/>
      <c r="AC1332" s="37"/>
      <c r="AD1332" s="37"/>
      <c r="AE1332" s="37"/>
      <c r="AF1332" s="37"/>
      <c r="AG1332" s="37"/>
      <c r="AH1332" s="37"/>
      <c r="AI1332" s="37"/>
      <c r="AJ1332" s="37"/>
      <c r="AK1332" s="39"/>
      <c r="AL1332" s="37"/>
      <c r="AM1332" s="37"/>
      <c r="AN1332" s="37"/>
      <c r="AO1332" s="37"/>
    </row>
    <row r="1333" spans="1:41">
      <c r="A1333" s="37"/>
      <c r="B1333" s="37"/>
      <c r="C1333" s="37"/>
      <c r="D1333" s="37"/>
      <c r="E1333" s="37"/>
      <c r="F1333" s="37"/>
      <c r="G1333" s="37"/>
      <c r="H1333" s="40"/>
      <c r="I1333" s="40"/>
      <c r="J1333" s="40"/>
      <c r="K1333" s="37"/>
      <c r="L1333" s="37"/>
      <c r="M1333" s="37"/>
      <c r="N1333" s="37"/>
      <c r="O1333" s="37"/>
      <c r="P1333" s="37"/>
      <c r="Q1333" s="37"/>
      <c r="R1333" s="37"/>
      <c r="S1333" s="37"/>
      <c r="T1333" s="37"/>
      <c r="U1333" s="37"/>
      <c r="V1333" s="37"/>
      <c r="W1333" s="37"/>
      <c r="X1333" s="37"/>
      <c r="Y1333" s="37"/>
      <c r="Z1333" s="37"/>
      <c r="AA1333" s="37"/>
      <c r="AB1333" s="37"/>
      <c r="AC1333" s="37"/>
      <c r="AD1333" s="37"/>
      <c r="AE1333" s="37"/>
      <c r="AF1333" s="37"/>
      <c r="AG1333" s="37"/>
      <c r="AH1333" s="37"/>
      <c r="AI1333" s="37"/>
      <c r="AJ1333" s="37"/>
      <c r="AK1333" s="39"/>
      <c r="AL1333" s="37"/>
      <c r="AM1333" s="37"/>
      <c r="AN1333" s="37"/>
      <c r="AO1333" s="37"/>
    </row>
    <row r="1334" spans="1:41">
      <c r="A1334" s="37"/>
      <c r="B1334" s="37"/>
      <c r="C1334" s="37"/>
      <c r="D1334" s="37"/>
      <c r="E1334" s="37"/>
      <c r="F1334" s="37"/>
      <c r="G1334" s="37"/>
      <c r="H1334" s="40"/>
      <c r="I1334" s="40"/>
      <c r="J1334" s="40"/>
      <c r="K1334" s="37"/>
      <c r="L1334" s="37"/>
      <c r="M1334" s="37"/>
      <c r="N1334" s="37"/>
      <c r="O1334" s="37"/>
      <c r="P1334" s="37"/>
      <c r="Q1334" s="37"/>
      <c r="R1334" s="37"/>
      <c r="S1334" s="37"/>
      <c r="T1334" s="37"/>
      <c r="U1334" s="37"/>
      <c r="V1334" s="37"/>
      <c r="W1334" s="37"/>
      <c r="X1334" s="37"/>
      <c r="Y1334" s="37"/>
      <c r="Z1334" s="37"/>
      <c r="AA1334" s="37"/>
      <c r="AB1334" s="37"/>
      <c r="AC1334" s="37"/>
      <c r="AD1334" s="37"/>
      <c r="AE1334" s="37"/>
      <c r="AF1334" s="37"/>
      <c r="AG1334" s="37"/>
      <c r="AH1334" s="37"/>
      <c r="AI1334" s="37"/>
      <c r="AJ1334" s="37"/>
      <c r="AK1334" s="39"/>
      <c r="AL1334" s="37"/>
      <c r="AM1334" s="37"/>
      <c r="AN1334" s="37"/>
      <c r="AO1334" s="37"/>
    </row>
    <row r="1335" spans="1:41">
      <c r="A1335" s="37"/>
      <c r="B1335" s="37"/>
      <c r="C1335" s="37"/>
      <c r="D1335" s="37"/>
      <c r="E1335" s="37"/>
      <c r="F1335" s="37"/>
      <c r="G1335" s="37"/>
      <c r="H1335" s="40"/>
      <c r="I1335" s="40"/>
      <c r="J1335" s="40"/>
      <c r="K1335" s="37"/>
      <c r="L1335" s="37"/>
      <c r="M1335" s="37"/>
      <c r="N1335" s="37"/>
      <c r="O1335" s="37"/>
      <c r="P1335" s="37"/>
      <c r="Q1335" s="37"/>
      <c r="R1335" s="37"/>
      <c r="S1335" s="37"/>
      <c r="T1335" s="37"/>
      <c r="U1335" s="37"/>
      <c r="V1335" s="37"/>
      <c r="W1335" s="37"/>
      <c r="X1335" s="37"/>
      <c r="Y1335" s="37"/>
      <c r="Z1335" s="37"/>
      <c r="AA1335" s="37"/>
      <c r="AB1335" s="37"/>
      <c r="AC1335" s="37"/>
      <c r="AD1335" s="37"/>
      <c r="AE1335" s="37"/>
      <c r="AF1335" s="37"/>
      <c r="AG1335" s="37"/>
      <c r="AH1335" s="37"/>
      <c r="AI1335" s="37"/>
      <c r="AJ1335" s="37"/>
      <c r="AK1335" s="39"/>
      <c r="AL1335" s="37"/>
      <c r="AM1335" s="37"/>
      <c r="AN1335" s="37"/>
      <c r="AO1335" s="37"/>
    </row>
    <row r="1336" spans="1:41">
      <c r="A1336" s="37"/>
      <c r="B1336" s="37"/>
      <c r="C1336" s="37"/>
      <c r="D1336" s="37"/>
      <c r="E1336" s="37"/>
      <c r="F1336" s="37"/>
      <c r="G1336" s="37"/>
      <c r="H1336" s="40"/>
      <c r="I1336" s="40"/>
      <c r="J1336" s="40"/>
      <c r="K1336" s="37"/>
      <c r="L1336" s="37"/>
      <c r="M1336" s="37"/>
      <c r="N1336" s="37"/>
      <c r="O1336" s="37"/>
      <c r="P1336" s="37"/>
      <c r="Q1336" s="37"/>
      <c r="R1336" s="37"/>
      <c r="S1336" s="37"/>
      <c r="T1336" s="37"/>
      <c r="U1336" s="37"/>
      <c r="V1336" s="37"/>
      <c r="W1336" s="37"/>
      <c r="X1336" s="37"/>
      <c r="Y1336" s="37"/>
      <c r="Z1336" s="37"/>
      <c r="AA1336" s="37"/>
      <c r="AB1336" s="37"/>
      <c r="AC1336" s="37"/>
      <c r="AD1336" s="37"/>
      <c r="AE1336" s="37"/>
      <c r="AF1336" s="37"/>
      <c r="AG1336" s="37"/>
      <c r="AH1336" s="37"/>
      <c r="AI1336" s="37"/>
      <c r="AJ1336" s="37"/>
      <c r="AK1336" s="39"/>
      <c r="AL1336" s="37"/>
      <c r="AM1336" s="37"/>
      <c r="AN1336" s="37"/>
      <c r="AO1336" s="37"/>
    </row>
    <row r="1337" spans="1:41">
      <c r="A1337" s="37"/>
      <c r="B1337" s="37"/>
      <c r="C1337" s="37"/>
      <c r="D1337" s="37"/>
      <c r="E1337" s="37"/>
      <c r="F1337" s="37"/>
      <c r="G1337" s="37"/>
      <c r="H1337" s="40"/>
      <c r="I1337" s="40"/>
      <c r="J1337" s="40"/>
      <c r="K1337" s="37"/>
      <c r="L1337" s="37"/>
      <c r="M1337" s="37"/>
      <c r="N1337" s="37"/>
      <c r="O1337" s="37"/>
      <c r="P1337" s="37"/>
      <c r="Q1337" s="37"/>
      <c r="R1337" s="37"/>
      <c r="S1337" s="37"/>
      <c r="T1337" s="37"/>
      <c r="U1337" s="37"/>
      <c r="V1337" s="37"/>
      <c r="W1337" s="37"/>
      <c r="X1337" s="37"/>
      <c r="Y1337" s="37"/>
      <c r="Z1337" s="37"/>
      <c r="AA1337" s="37"/>
      <c r="AB1337" s="37"/>
      <c r="AC1337" s="37"/>
      <c r="AD1337" s="37"/>
      <c r="AE1337" s="37"/>
      <c r="AF1337" s="37"/>
      <c r="AG1337" s="37"/>
      <c r="AH1337" s="37"/>
      <c r="AI1337" s="37"/>
      <c r="AJ1337" s="37"/>
      <c r="AK1337" s="39"/>
      <c r="AL1337" s="37"/>
      <c r="AM1337" s="37"/>
      <c r="AN1337" s="37"/>
      <c r="AO1337" s="37"/>
    </row>
    <row r="1338" spans="1:41">
      <c r="A1338" s="37"/>
      <c r="B1338" s="37"/>
      <c r="C1338" s="37"/>
      <c r="D1338" s="37"/>
      <c r="E1338" s="37"/>
      <c r="F1338" s="37"/>
      <c r="G1338" s="37"/>
      <c r="H1338" s="40"/>
      <c r="I1338" s="40"/>
      <c r="J1338" s="40"/>
      <c r="K1338" s="37"/>
      <c r="L1338" s="37"/>
      <c r="M1338" s="37"/>
      <c r="N1338" s="37"/>
      <c r="O1338" s="37"/>
      <c r="P1338" s="37"/>
      <c r="Q1338" s="37"/>
      <c r="R1338" s="37"/>
      <c r="S1338" s="37"/>
      <c r="T1338" s="37"/>
      <c r="U1338" s="37"/>
      <c r="V1338" s="37"/>
      <c r="W1338" s="37"/>
      <c r="X1338" s="37"/>
      <c r="Y1338" s="37"/>
      <c r="Z1338" s="37"/>
      <c r="AA1338" s="37"/>
      <c r="AB1338" s="37"/>
      <c r="AC1338" s="37"/>
      <c r="AD1338" s="37"/>
      <c r="AE1338" s="37"/>
      <c r="AF1338" s="37"/>
      <c r="AG1338" s="37"/>
      <c r="AH1338" s="37"/>
      <c r="AI1338" s="37"/>
      <c r="AJ1338" s="37"/>
      <c r="AK1338" s="39"/>
      <c r="AL1338" s="37"/>
      <c r="AM1338" s="37"/>
      <c r="AN1338" s="37"/>
      <c r="AO1338" s="37"/>
    </row>
    <row r="1339" spans="1:41">
      <c r="A1339" s="37"/>
      <c r="B1339" s="37"/>
      <c r="C1339" s="37"/>
      <c r="D1339" s="37"/>
      <c r="E1339" s="37"/>
      <c r="F1339" s="37"/>
      <c r="G1339" s="37"/>
      <c r="H1339" s="40"/>
      <c r="I1339" s="40"/>
      <c r="J1339" s="40"/>
      <c r="K1339" s="37"/>
      <c r="L1339" s="37"/>
      <c r="M1339" s="37"/>
      <c r="N1339" s="37"/>
      <c r="O1339" s="37"/>
      <c r="P1339" s="37"/>
      <c r="Q1339" s="37"/>
      <c r="R1339" s="37"/>
      <c r="S1339" s="37"/>
      <c r="T1339" s="37"/>
      <c r="U1339" s="37"/>
      <c r="V1339" s="37"/>
      <c r="W1339" s="37"/>
      <c r="X1339" s="37"/>
      <c r="Y1339" s="37"/>
      <c r="Z1339" s="37"/>
      <c r="AA1339" s="37"/>
      <c r="AB1339" s="37"/>
      <c r="AC1339" s="37"/>
      <c r="AD1339" s="37"/>
      <c r="AE1339" s="37"/>
      <c r="AF1339" s="37"/>
      <c r="AG1339" s="37"/>
      <c r="AH1339" s="37"/>
      <c r="AI1339" s="37"/>
      <c r="AJ1339" s="37"/>
      <c r="AK1339" s="39"/>
      <c r="AL1339" s="37"/>
      <c r="AM1339" s="37"/>
      <c r="AN1339" s="37"/>
      <c r="AO1339" s="37"/>
    </row>
    <row r="1340" spans="1:41">
      <c r="A1340" s="37"/>
      <c r="B1340" s="37"/>
      <c r="C1340" s="37"/>
      <c r="D1340" s="37"/>
      <c r="E1340" s="37"/>
      <c r="F1340" s="37"/>
      <c r="G1340" s="37"/>
      <c r="H1340" s="40"/>
      <c r="I1340" s="40"/>
      <c r="J1340" s="40"/>
      <c r="K1340" s="37"/>
      <c r="L1340" s="37"/>
      <c r="M1340" s="37"/>
      <c r="N1340" s="37"/>
      <c r="O1340" s="37"/>
      <c r="P1340" s="37"/>
      <c r="Q1340" s="37"/>
      <c r="R1340" s="37"/>
      <c r="S1340" s="37"/>
      <c r="T1340" s="37"/>
      <c r="U1340" s="37"/>
      <c r="V1340" s="37"/>
      <c r="W1340" s="37"/>
      <c r="X1340" s="37"/>
      <c r="Y1340" s="37"/>
      <c r="Z1340" s="37"/>
      <c r="AA1340" s="37"/>
      <c r="AB1340" s="37"/>
      <c r="AC1340" s="37"/>
      <c r="AD1340" s="37"/>
      <c r="AE1340" s="37"/>
      <c r="AF1340" s="37"/>
      <c r="AG1340" s="37"/>
      <c r="AH1340" s="37"/>
      <c r="AI1340" s="37"/>
      <c r="AJ1340" s="37"/>
      <c r="AK1340" s="39"/>
      <c r="AL1340" s="37"/>
      <c r="AM1340" s="37"/>
      <c r="AN1340" s="37"/>
      <c r="AO1340" s="37"/>
    </row>
    <row r="1341" spans="1:41">
      <c r="A1341" s="37"/>
      <c r="B1341" s="37"/>
      <c r="C1341" s="37"/>
      <c r="D1341" s="37"/>
      <c r="E1341" s="37"/>
      <c r="F1341" s="37"/>
      <c r="G1341" s="37"/>
      <c r="H1341" s="40"/>
      <c r="I1341" s="40"/>
      <c r="J1341" s="40"/>
      <c r="K1341" s="37"/>
      <c r="L1341" s="37"/>
      <c r="M1341" s="37"/>
      <c r="N1341" s="37"/>
      <c r="O1341" s="37"/>
      <c r="P1341" s="37"/>
      <c r="Q1341" s="37"/>
      <c r="R1341" s="37"/>
      <c r="S1341" s="37"/>
      <c r="T1341" s="37"/>
      <c r="U1341" s="37"/>
      <c r="V1341" s="37"/>
      <c r="W1341" s="37"/>
      <c r="X1341" s="37"/>
      <c r="Y1341" s="37"/>
      <c r="Z1341" s="37"/>
      <c r="AA1341" s="37"/>
      <c r="AB1341" s="37"/>
      <c r="AC1341" s="37"/>
      <c r="AD1341" s="37"/>
      <c r="AE1341" s="37"/>
      <c r="AF1341" s="37"/>
      <c r="AG1341" s="37"/>
      <c r="AH1341" s="37"/>
      <c r="AI1341" s="37"/>
      <c r="AJ1341" s="37"/>
      <c r="AK1341" s="39"/>
      <c r="AL1341" s="37"/>
      <c r="AM1341" s="37"/>
      <c r="AN1341" s="37"/>
      <c r="AO1341" s="37"/>
    </row>
    <row r="1342" spans="1:41">
      <c r="A1342" s="37"/>
      <c r="B1342" s="37"/>
      <c r="C1342" s="37"/>
      <c r="D1342" s="37"/>
      <c r="E1342" s="37"/>
      <c r="F1342" s="37"/>
      <c r="G1342" s="37"/>
      <c r="H1342" s="40"/>
      <c r="I1342" s="40"/>
      <c r="J1342" s="40"/>
      <c r="K1342" s="37"/>
      <c r="L1342" s="37"/>
      <c r="M1342" s="37"/>
      <c r="N1342" s="37"/>
      <c r="O1342" s="37"/>
      <c r="P1342" s="37"/>
      <c r="Q1342" s="37"/>
      <c r="R1342" s="37"/>
      <c r="S1342" s="37"/>
      <c r="T1342" s="37"/>
      <c r="U1342" s="37"/>
      <c r="V1342" s="37"/>
      <c r="W1342" s="37"/>
      <c r="X1342" s="37"/>
      <c r="Y1342" s="37"/>
      <c r="Z1342" s="37"/>
      <c r="AA1342" s="37"/>
      <c r="AB1342" s="37"/>
      <c r="AC1342" s="37"/>
      <c r="AD1342" s="37"/>
      <c r="AE1342" s="37"/>
      <c r="AF1342" s="37"/>
      <c r="AG1342" s="37"/>
      <c r="AH1342" s="37"/>
      <c r="AI1342" s="37"/>
      <c r="AJ1342" s="37"/>
      <c r="AK1342" s="39"/>
      <c r="AL1342" s="37"/>
      <c r="AM1342" s="37"/>
      <c r="AN1342" s="37"/>
      <c r="AO1342" s="37"/>
    </row>
    <row r="1343" spans="1:41">
      <c r="A1343" s="37"/>
      <c r="B1343" s="37"/>
      <c r="C1343" s="37"/>
      <c r="D1343" s="37"/>
      <c r="E1343" s="37"/>
      <c r="F1343" s="37"/>
      <c r="G1343" s="37"/>
      <c r="H1343" s="40"/>
      <c r="I1343" s="40"/>
      <c r="J1343" s="40"/>
      <c r="K1343" s="37"/>
      <c r="L1343" s="37"/>
      <c r="M1343" s="37"/>
      <c r="N1343" s="37"/>
      <c r="O1343" s="37"/>
      <c r="P1343" s="37"/>
      <c r="Q1343" s="37"/>
      <c r="R1343" s="37"/>
      <c r="S1343" s="37"/>
      <c r="T1343" s="37"/>
      <c r="U1343" s="37"/>
      <c r="V1343" s="37"/>
      <c r="W1343" s="37"/>
      <c r="X1343" s="37"/>
      <c r="Y1343" s="37"/>
      <c r="Z1343" s="37"/>
      <c r="AA1343" s="37"/>
      <c r="AB1343" s="37"/>
      <c r="AC1343" s="37"/>
      <c r="AD1343" s="37"/>
      <c r="AE1343" s="37"/>
      <c r="AF1343" s="37"/>
      <c r="AG1343" s="37"/>
      <c r="AH1343" s="37"/>
      <c r="AI1343" s="37"/>
      <c r="AJ1343" s="37"/>
      <c r="AK1343" s="39"/>
      <c r="AL1343" s="37"/>
      <c r="AM1343" s="37"/>
      <c r="AN1343" s="37"/>
      <c r="AO1343" s="37"/>
    </row>
    <row r="1344" spans="1:41">
      <c r="A1344" s="37"/>
      <c r="B1344" s="37"/>
      <c r="C1344" s="37"/>
      <c r="D1344" s="37"/>
      <c r="E1344" s="37"/>
      <c r="F1344" s="37"/>
      <c r="G1344" s="37"/>
      <c r="H1344" s="40"/>
      <c r="I1344" s="40"/>
      <c r="J1344" s="40"/>
      <c r="K1344" s="37"/>
      <c r="L1344" s="37"/>
      <c r="M1344" s="37"/>
      <c r="N1344" s="37"/>
      <c r="O1344" s="37"/>
      <c r="P1344" s="37"/>
      <c r="Q1344" s="37"/>
      <c r="R1344" s="37"/>
      <c r="S1344" s="37"/>
      <c r="T1344" s="37"/>
      <c r="U1344" s="37"/>
      <c r="V1344" s="37"/>
      <c r="W1344" s="37"/>
      <c r="X1344" s="37"/>
      <c r="Y1344" s="37"/>
      <c r="Z1344" s="37"/>
      <c r="AA1344" s="37"/>
      <c r="AB1344" s="37"/>
      <c r="AC1344" s="37"/>
      <c r="AD1344" s="37"/>
      <c r="AE1344" s="37"/>
      <c r="AF1344" s="37"/>
      <c r="AG1344" s="37"/>
      <c r="AH1344" s="37"/>
      <c r="AI1344" s="37"/>
      <c r="AJ1344" s="37"/>
      <c r="AK1344" s="39"/>
      <c r="AL1344" s="37"/>
      <c r="AM1344" s="37"/>
      <c r="AN1344" s="37"/>
      <c r="AO1344" s="37"/>
    </row>
    <row r="1345" spans="1:41">
      <c r="A1345" s="37"/>
      <c r="B1345" s="37"/>
      <c r="C1345" s="37"/>
      <c r="D1345" s="37"/>
      <c r="E1345" s="37"/>
      <c r="F1345" s="37"/>
      <c r="G1345" s="37"/>
      <c r="H1345" s="40"/>
      <c r="I1345" s="40"/>
      <c r="J1345" s="40"/>
      <c r="K1345" s="37"/>
      <c r="L1345" s="37"/>
      <c r="M1345" s="37"/>
      <c r="N1345" s="37"/>
      <c r="O1345" s="37"/>
      <c r="P1345" s="37"/>
      <c r="Q1345" s="37"/>
      <c r="R1345" s="37"/>
      <c r="S1345" s="37"/>
      <c r="T1345" s="37"/>
      <c r="U1345" s="37"/>
      <c r="V1345" s="37"/>
      <c r="W1345" s="37"/>
      <c r="X1345" s="37"/>
      <c r="Y1345" s="37"/>
      <c r="Z1345" s="37"/>
      <c r="AA1345" s="37"/>
      <c r="AB1345" s="37"/>
      <c r="AC1345" s="37"/>
      <c r="AD1345" s="37"/>
      <c r="AE1345" s="37"/>
      <c r="AF1345" s="37"/>
      <c r="AG1345" s="37"/>
      <c r="AH1345" s="37"/>
      <c r="AI1345" s="37"/>
      <c r="AJ1345" s="37"/>
      <c r="AK1345" s="39"/>
      <c r="AL1345" s="37"/>
      <c r="AM1345" s="37"/>
      <c r="AN1345" s="37"/>
      <c r="AO1345" s="37"/>
    </row>
    <row r="1346" spans="1:41">
      <c r="A1346" s="37"/>
      <c r="B1346" s="37"/>
      <c r="C1346" s="37"/>
      <c r="D1346" s="37"/>
      <c r="E1346" s="37"/>
      <c r="F1346" s="37"/>
      <c r="G1346" s="37"/>
      <c r="H1346" s="40"/>
      <c r="I1346" s="40"/>
      <c r="J1346" s="40"/>
      <c r="K1346" s="37"/>
      <c r="L1346" s="37"/>
      <c r="M1346" s="37"/>
      <c r="N1346" s="37"/>
      <c r="O1346" s="37"/>
      <c r="P1346" s="37"/>
      <c r="Q1346" s="37"/>
      <c r="R1346" s="37"/>
      <c r="S1346" s="37"/>
      <c r="T1346" s="37"/>
      <c r="U1346" s="37"/>
      <c r="V1346" s="37"/>
      <c r="W1346" s="37"/>
      <c r="X1346" s="37"/>
      <c r="Y1346" s="37"/>
      <c r="Z1346" s="37"/>
      <c r="AA1346" s="37"/>
      <c r="AB1346" s="37"/>
      <c r="AC1346" s="37"/>
      <c r="AD1346" s="37"/>
      <c r="AE1346" s="37"/>
      <c r="AF1346" s="37"/>
      <c r="AG1346" s="37"/>
      <c r="AH1346" s="37"/>
      <c r="AI1346" s="37"/>
      <c r="AJ1346" s="37"/>
      <c r="AK1346" s="39"/>
      <c r="AL1346" s="37"/>
      <c r="AM1346" s="37"/>
      <c r="AN1346" s="37"/>
      <c r="AO1346" s="37"/>
    </row>
    <row r="1347" spans="1:41">
      <c r="A1347" s="37"/>
      <c r="B1347" s="37"/>
      <c r="C1347" s="37"/>
      <c r="D1347" s="37"/>
      <c r="E1347" s="37"/>
      <c r="F1347" s="37"/>
      <c r="G1347" s="37"/>
      <c r="H1347" s="40"/>
      <c r="I1347" s="40"/>
      <c r="J1347" s="40"/>
      <c r="K1347" s="37"/>
      <c r="L1347" s="37"/>
      <c r="M1347" s="37"/>
      <c r="N1347" s="37"/>
      <c r="O1347" s="37"/>
      <c r="P1347" s="37"/>
      <c r="Q1347" s="37"/>
      <c r="R1347" s="37"/>
      <c r="S1347" s="37"/>
      <c r="T1347" s="37"/>
      <c r="U1347" s="37"/>
      <c r="V1347" s="37"/>
      <c r="W1347" s="37"/>
      <c r="X1347" s="37"/>
      <c r="Y1347" s="37"/>
      <c r="Z1347" s="37"/>
      <c r="AA1347" s="37"/>
      <c r="AB1347" s="37"/>
      <c r="AC1347" s="37"/>
      <c r="AD1347" s="37"/>
      <c r="AE1347" s="37"/>
      <c r="AF1347" s="37"/>
      <c r="AG1347" s="37"/>
      <c r="AH1347" s="37"/>
      <c r="AI1347" s="37"/>
      <c r="AJ1347" s="37"/>
      <c r="AK1347" s="39"/>
      <c r="AL1347" s="37"/>
      <c r="AM1347" s="37"/>
      <c r="AN1347" s="37"/>
      <c r="AO1347" s="37"/>
    </row>
    <row r="1348" spans="1:41">
      <c r="A1348" s="37"/>
      <c r="B1348" s="37"/>
      <c r="C1348" s="37"/>
      <c r="D1348" s="37"/>
      <c r="E1348" s="37"/>
      <c r="F1348" s="37"/>
      <c r="G1348" s="37"/>
      <c r="H1348" s="40"/>
      <c r="I1348" s="40"/>
      <c r="J1348" s="40"/>
      <c r="K1348" s="37"/>
      <c r="L1348" s="37"/>
      <c r="M1348" s="37"/>
      <c r="N1348" s="37"/>
      <c r="O1348" s="37"/>
      <c r="P1348" s="37"/>
      <c r="Q1348" s="37"/>
      <c r="R1348" s="37"/>
      <c r="S1348" s="37"/>
      <c r="T1348" s="37"/>
      <c r="U1348" s="37"/>
      <c r="V1348" s="37"/>
      <c r="W1348" s="37"/>
      <c r="X1348" s="37"/>
      <c r="Y1348" s="37"/>
      <c r="Z1348" s="37"/>
      <c r="AA1348" s="37"/>
      <c r="AB1348" s="37"/>
      <c r="AC1348" s="37"/>
      <c r="AD1348" s="37"/>
      <c r="AE1348" s="37"/>
      <c r="AF1348" s="37"/>
      <c r="AG1348" s="37"/>
      <c r="AH1348" s="37"/>
      <c r="AI1348" s="37"/>
      <c r="AJ1348" s="37"/>
      <c r="AK1348" s="39"/>
      <c r="AL1348" s="37"/>
      <c r="AM1348" s="37"/>
      <c r="AN1348" s="37"/>
      <c r="AO1348" s="37"/>
    </row>
    <row r="1349" spans="1:41">
      <c r="A1349" s="37"/>
      <c r="B1349" s="37"/>
      <c r="C1349" s="37"/>
      <c r="D1349" s="37"/>
      <c r="E1349" s="37"/>
      <c r="F1349" s="37"/>
      <c r="G1349" s="37"/>
      <c r="H1349" s="40"/>
      <c r="I1349" s="40"/>
      <c r="J1349" s="40"/>
      <c r="K1349" s="37"/>
      <c r="L1349" s="37"/>
      <c r="M1349" s="37"/>
      <c r="N1349" s="37"/>
      <c r="O1349" s="37"/>
      <c r="P1349" s="37"/>
      <c r="Q1349" s="37"/>
      <c r="R1349" s="37"/>
      <c r="S1349" s="37"/>
      <c r="T1349" s="37"/>
      <c r="U1349" s="37"/>
      <c r="V1349" s="37"/>
      <c r="W1349" s="37"/>
      <c r="X1349" s="37"/>
      <c r="Y1349" s="37"/>
      <c r="Z1349" s="37"/>
      <c r="AA1349" s="37"/>
      <c r="AB1349" s="37"/>
      <c r="AC1349" s="37"/>
      <c r="AD1349" s="37"/>
      <c r="AE1349" s="37"/>
      <c r="AF1349" s="37"/>
      <c r="AG1349" s="37"/>
      <c r="AH1349" s="37"/>
      <c r="AI1349" s="37"/>
      <c r="AJ1349" s="37"/>
      <c r="AK1349" s="39"/>
      <c r="AL1349" s="37"/>
      <c r="AM1349" s="37"/>
      <c r="AN1349" s="37"/>
      <c r="AO1349" s="37"/>
    </row>
    <row r="1350" spans="1:41">
      <c r="A1350" s="37"/>
      <c r="B1350" s="37"/>
      <c r="C1350" s="37"/>
      <c r="D1350" s="37"/>
      <c r="E1350" s="37"/>
      <c r="F1350" s="37"/>
      <c r="G1350" s="37"/>
      <c r="H1350" s="40"/>
      <c r="I1350" s="40"/>
      <c r="J1350" s="40"/>
      <c r="K1350" s="37"/>
      <c r="L1350" s="37"/>
      <c r="M1350" s="37"/>
      <c r="N1350" s="37"/>
      <c r="O1350" s="37"/>
      <c r="P1350" s="37"/>
      <c r="Q1350" s="37"/>
      <c r="R1350" s="37"/>
      <c r="S1350" s="37"/>
      <c r="T1350" s="37"/>
      <c r="U1350" s="37"/>
      <c r="V1350" s="37"/>
      <c r="W1350" s="37"/>
      <c r="X1350" s="37"/>
      <c r="Y1350" s="37"/>
      <c r="Z1350" s="37"/>
      <c r="AA1350" s="37"/>
      <c r="AB1350" s="37"/>
      <c r="AC1350" s="37"/>
      <c r="AD1350" s="37"/>
      <c r="AE1350" s="37"/>
      <c r="AF1350" s="37"/>
      <c r="AG1350" s="37"/>
      <c r="AH1350" s="37"/>
      <c r="AI1350" s="37"/>
      <c r="AJ1350" s="37"/>
      <c r="AK1350" s="39"/>
      <c r="AL1350" s="37"/>
      <c r="AM1350" s="37"/>
      <c r="AN1350" s="37"/>
      <c r="AO1350" s="37"/>
    </row>
    <row r="1351" spans="1:41">
      <c r="A1351" s="37"/>
      <c r="B1351" s="37"/>
      <c r="C1351" s="37"/>
      <c r="D1351" s="37"/>
      <c r="E1351" s="37"/>
      <c r="F1351" s="37"/>
      <c r="G1351" s="37"/>
      <c r="H1351" s="40"/>
      <c r="I1351" s="40"/>
      <c r="J1351" s="40"/>
      <c r="K1351" s="37"/>
      <c r="L1351" s="37"/>
      <c r="M1351" s="37"/>
      <c r="N1351" s="37"/>
      <c r="O1351" s="37"/>
      <c r="P1351" s="37"/>
      <c r="Q1351" s="37"/>
      <c r="R1351" s="37"/>
      <c r="S1351" s="37"/>
      <c r="T1351" s="37"/>
      <c r="U1351" s="37"/>
      <c r="V1351" s="37"/>
      <c r="W1351" s="37"/>
      <c r="X1351" s="37"/>
      <c r="Y1351" s="37"/>
      <c r="Z1351" s="37"/>
      <c r="AA1351" s="37"/>
      <c r="AB1351" s="37"/>
      <c r="AC1351" s="37"/>
      <c r="AD1351" s="37"/>
      <c r="AE1351" s="37"/>
      <c r="AF1351" s="37"/>
      <c r="AG1351" s="37"/>
      <c r="AH1351" s="37"/>
      <c r="AI1351" s="37"/>
      <c r="AJ1351" s="37"/>
      <c r="AK1351" s="39"/>
      <c r="AL1351" s="37"/>
      <c r="AM1351" s="37"/>
      <c r="AN1351" s="37"/>
      <c r="AO1351" s="37"/>
    </row>
    <row r="1352" spans="1:41">
      <c r="A1352" s="37"/>
      <c r="B1352" s="37"/>
      <c r="C1352" s="37"/>
      <c r="D1352" s="37"/>
      <c r="E1352" s="37"/>
      <c r="F1352" s="37"/>
      <c r="G1352" s="37"/>
      <c r="H1352" s="40"/>
      <c r="I1352" s="40"/>
      <c r="J1352" s="40"/>
      <c r="K1352" s="37"/>
      <c r="L1352" s="37"/>
      <c r="M1352" s="37"/>
      <c r="N1352" s="37"/>
      <c r="O1352" s="37"/>
      <c r="P1352" s="37"/>
      <c r="Q1352" s="37"/>
      <c r="R1352" s="37"/>
      <c r="S1352" s="37"/>
      <c r="T1352" s="37"/>
      <c r="U1352" s="37"/>
      <c r="V1352" s="37"/>
      <c r="W1352" s="37"/>
      <c r="X1352" s="37"/>
      <c r="Y1352" s="37"/>
      <c r="Z1352" s="37"/>
      <c r="AA1352" s="37"/>
      <c r="AB1352" s="37"/>
      <c r="AC1352" s="37"/>
      <c r="AD1352" s="37"/>
      <c r="AE1352" s="37"/>
      <c r="AF1352" s="37"/>
      <c r="AG1352" s="37"/>
      <c r="AH1352" s="37"/>
      <c r="AI1352" s="37"/>
      <c r="AJ1352" s="37"/>
      <c r="AK1352" s="39"/>
      <c r="AL1352" s="37"/>
      <c r="AM1352" s="37"/>
      <c r="AN1352" s="37"/>
      <c r="AO1352" s="37"/>
    </row>
    <row r="1353" spans="1:41">
      <c r="A1353" s="37"/>
      <c r="B1353" s="37"/>
      <c r="C1353" s="37"/>
      <c r="D1353" s="37"/>
      <c r="E1353" s="37"/>
      <c r="F1353" s="37"/>
      <c r="G1353" s="37"/>
      <c r="H1353" s="40"/>
      <c r="I1353" s="40"/>
      <c r="J1353" s="40"/>
      <c r="K1353" s="37"/>
      <c r="L1353" s="37"/>
      <c r="M1353" s="37"/>
      <c r="N1353" s="37"/>
      <c r="O1353" s="37"/>
      <c r="P1353" s="37"/>
      <c r="Q1353" s="37"/>
      <c r="R1353" s="37"/>
      <c r="S1353" s="37"/>
      <c r="T1353" s="37"/>
      <c r="U1353" s="37"/>
      <c r="V1353" s="37"/>
      <c r="W1353" s="37"/>
      <c r="X1353" s="37"/>
      <c r="Y1353" s="37"/>
      <c r="Z1353" s="37"/>
      <c r="AA1353" s="37"/>
      <c r="AB1353" s="37"/>
      <c r="AC1353" s="37"/>
      <c r="AD1353" s="37"/>
      <c r="AE1353" s="37"/>
      <c r="AF1353" s="37"/>
      <c r="AG1353" s="37"/>
      <c r="AH1353" s="37"/>
      <c r="AI1353" s="37"/>
      <c r="AJ1353" s="37"/>
      <c r="AK1353" s="39"/>
      <c r="AL1353" s="37"/>
      <c r="AM1353" s="37"/>
      <c r="AN1353" s="37"/>
      <c r="AO1353" s="37"/>
    </row>
    <row r="1354" spans="1:41">
      <c r="A1354" s="37"/>
      <c r="B1354" s="37"/>
      <c r="C1354" s="37"/>
      <c r="D1354" s="37"/>
      <c r="E1354" s="37"/>
      <c r="F1354" s="37"/>
      <c r="G1354" s="37"/>
      <c r="H1354" s="40"/>
      <c r="I1354" s="40"/>
      <c r="J1354" s="40"/>
      <c r="K1354" s="37"/>
      <c r="L1354" s="37"/>
      <c r="M1354" s="37"/>
      <c r="N1354" s="37"/>
      <c r="O1354" s="37"/>
      <c r="P1354" s="37"/>
      <c r="Q1354" s="37"/>
      <c r="R1354" s="37"/>
      <c r="S1354" s="37"/>
      <c r="T1354" s="37"/>
      <c r="U1354" s="37"/>
      <c r="V1354" s="37"/>
      <c r="W1354" s="37"/>
      <c r="X1354" s="37"/>
      <c r="Y1354" s="37"/>
      <c r="Z1354" s="37"/>
      <c r="AA1354" s="37"/>
      <c r="AB1354" s="37"/>
      <c r="AC1354" s="37"/>
      <c r="AD1354" s="37"/>
      <c r="AE1354" s="37"/>
      <c r="AF1354" s="37"/>
      <c r="AG1354" s="37"/>
      <c r="AH1354" s="37"/>
      <c r="AI1354" s="37"/>
      <c r="AJ1354" s="37"/>
      <c r="AK1354" s="39"/>
      <c r="AL1354" s="37"/>
      <c r="AM1354" s="37"/>
      <c r="AN1354" s="37"/>
      <c r="AO1354" s="37"/>
    </row>
    <row r="1355" spans="1:41">
      <c r="A1355" s="37"/>
      <c r="B1355" s="37"/>
      <c r="C1355" s="37"/>
      <c r="D1355" s="37"/>
      <c r="E1355" s="37"/>
      <c r="F1355" s="37"/>
      <c r="G1355" s="37"/>
      <c r="H1355" s="40"/>
      <c r="I1355" s="40"/>
      <c r="J1355" s="40"/>
      <c r="K1355" s="37"/>
      <c r="L1355" s="37"/>
      <c r="M1355" s="37"/>
      <c r="N1355" s="37"/>
      <c r="O1355" s="37"/>
      <c r="P1355" s="37"/>
      <c r="Q1355" s="37"/>
      <c r="R1355" s="37"/>
      <c r="S1355" s="37"/>
      <c r="T1355" s="37"/>
      <c r="U1355" s="37"/>
      <c r="V1355" s="37"/>
      <c r="W1355" s="37"/>
      <c r="X1355" s="37"/>
      <c r="Y1355" s="37"/>
      <c r="Z1355" s="37"/>
      <c r="AA1355" s="37"/>
      <c r="AB1355" s="37"/>
      <c r="AC1355" s="37"/>
      <c r="AD1355" s="37"/>
      <c r="AE1355" s="37"/>
      <c r="AF1355" s="37"/>
      <c r="AG1355" s="37"/>
      <c r="AH1355" s="37"/>
      <c r="AI1355" s="37"/>
      <c r="AJ1355" s="37"/>
      <c r="AK1355" s="39"/>
      <c r="AL1355" s="37"/>
      <c r="AM1355" s="37"/>
      <c r="AN1355" s="37"/>
      <c r="AO1355" s="37"/>
    </row>
    <row r="1356" spans="1:41">
      <c r="A1356" s="37"/>
      <c r="B1356" s="37"/>
      <c r="C1356" s="37"/>
      <c r="D1356" s="37"/>
      <c r="E1356" s="37"/>
      <c r="F1356" s="37"/>
      <c r="G1356" s="37"/>
      <c r="H1356" s="40"/>
      <c r="I1356" s="40"/>
      <c r="J1356" s="40"/>
      <c r="K1356" s="37"/>
      <c r="L1356" s="37"/>
      <c r="M1356" s="37"/>
      <c r="N1356" s="37"/>
      <c r="O1356" s="37"/>
      <c r="P1356" s="37"/>
      <c r="Q1356" s="37"/>
      <c r="R1356" s="37"/>
      <c r="S1356" s="37"/>
      <c r="T1356" s="37"/>
      <c r="U1356" s="37"/>
      <c r="V1356" s="37"/>
      <c r="W1356" s="37"/>
      <c r="X1356" s="37"/>
      <c r="Y1356" s="37"/>
      <c r="Z1356" s="37"/>
      <c r="AA1356" s="37"/>
      <c r="AB1356" s="37"/>
      <c r="AC1356" s="37"/>
      <c r="AD1356" s="37"/>
      <c r="AE1356" s="37"/>
      <c r="AF1356" s="37"/>
      <c r="AG1356" s="37"/>
      <c r="AH1356" s="37"/>
      <c r="AI1356" s="37"/>
      <c r="AJ1356" s="37"/>
      <c r="AK1356" s="39"/>
      <c r="AL1356" s="37"/>
      <c r="AM1356" s="37"/>
      <c r="AN1356" s="37"/>
      <c r="AO1356" s="37"/>
    </row>
    <row r="1357" spans="1:41">
      <c r="A1357" s="37"/>
      <c r="B1357" s="37"/>
      <c r="C1357" s="37"/>
      <c r="D1357" s="37"/>
      <c r="E1357" s="37"/>
      <c r="F1357" s="37"/>
      <c r="G1357" s="37"/>
      <c r="H1357" s="40"/>
      <c r="I1357" s="40"/>
      <c r="J1357" s="40"/>
      <c r="K1357" s="37"/>
      <c r="L1357" s="37"/>
      <c r="M1357" s="37"/>
      <c r="N1357" s="37"/>
      <c r="O1357" s="37"/>
      <c r="P1357" s="37"/>
      <c r="Q1357" s="37"/>
      <c r="R1357" s="37"/>
      <c r="S1357" s="37"/>
      <c r="T1357" s="37"/>
      <c r="U1357" s="37"/>
      <c r="V1357" s="37"/>
      <c r="W1357" s="37"/>
      <c r="X1357" s="37"/>
      <c r="Y1357" s="37"/>
      <c r="Z1357" s="37"/>
      <c r="AA1357" s="37"/>
      <c r="AB1357" s="37"/>
      <c r="AC1357" s="37"/>
      <c r="AD1357" s="37"/>
      <c r="AE1357" s="37"/>
      <c r="AF1357" s="37"/>
      <c r="AG1357" s="37"/>
      <c r="AH1357" s="37"/>
      <c r="AI1357" s="37"/>
      <c r="AJ1357" s="37"/>
      <c r="AK1357" s="39"/>
      <c r="AL1357" s="37"/>
      <c r="AM1357" s="37"/>
      <c r="AN1357" s="37"/>
      <c r="AO1357" s="37"/>
    </row>
    <row r="1358" spans="1:41">
      <c r="A1358" s="37"/>
      <c r="B1358" s="37"/>
      <c r="C1358" s="37"/>
      <c r="D1358" s="37"/>
      <c r="E1358" s="37"/>
      <c r="F1358" s="37"/>
      <c r="G1358" s="37"/>
      <c r="H1358" s="40"/>
      <c r="I1358" s="40"/>
      <c r="J1358" s="40"/>
      <c r="K1358" s="37"/>
      <c r="L1358" s="37"/>
      <c r="M1358" s="37"/>
      <c r="N1358" s="37"/>
      <c r="O1358" s="37"/>
      <c r="P1358" s="37"/>
      <c r="Q1358" s="37"/>
      <c r="R1358" s="37"/>
      <c r="S1358" s="37"/>
      <c r="T1358" s="37"/>
      <c r="U1358" s="37"/>
      <c r="V1358" s="37"/>
      <c r="W1358" s="37"/>
      <c r="X1358" s="37"/>
      <c r="Y1358" s="37"/>
      <c r="Z1358" s="37"/>
      <c r="AA1358" s="37"/>
      <c r="AB1358" s="37"/>
      <c r="AC1358" s="37"/>
      <c r="AD1358" s="37"/>
      <c r="AE1358" s="37"/>
      <c r="AF1358" s="37"/>
      <c r="AG1358" s="37"/>
      <c r="AH1358" s="37"/>
      <c r="AI1358" s="37"/>
      <c r="AJ1358" s="37"/>
      <c r="AK1358" s="39"/>
      <c r="AL1358" s="37"/>
      <c r="AM1358" s="37"/>
      <c r="AN1358" s="37"/>
      <c r="AO1358" s="37"/>
    </row>
    <row r="1359" spans="1:41">
      <c r="A1359" s="37"/>
      <c r="B1359" s="37"/>
      <c r="C1359" s="37"/>
      <c r="D1359" s="37"/>
      <c r="E1359" s="37"/>
      <c r="F1359" s="37"/>
      <c r="G1359" s="37"/>
      <c r="H1359" s="40"/>
      <c r="I1359" s="40"/>
      <c r="J1359" s="40"/>
      <c r="K1359" s="37"/>
      <c r="L1359" s="37"/>
      <c r="M1359" s="37"/>
      <c r="N1359" s="37"/>
      <c r="O1359" s="37"/>
      <c r="P1359" s="37"/>
      <c r="Q1359" s="37"/>
      <c r="R1359" s="37"/>
      <c r="S1359" s="37"/>
      <c r="T1359" s="37"/>
      <c r="U1359" s="37"/>
      <c r="V1359" s="37"/>
      <c r="W1359" s="37"/>
      <c r="X1359" s="37"/>
      <c r="Y1359" s="37"/>
      <c r="Z1359" s="37"/>
      <c r="AA1359" s="37"/>
      <c r="AB1359" s="37"/>
      <c r="AC1359" s="37"/>
      <c r="AD1359" s="37"/>
      <c r="AE1359" s="37"/>
      <c r="AF1359" s="37"/>
      <c r="AG1359" s="37"/>
      <c r="AH1359" s="37"/>
      <c r="AI1359" s="37"/>
      <c r="AJ1359" s="37"/>
      <c r="AK1359" s="39"/>
      <c r="AL1359" s="37"/>
      <c r="AM1359" s="37"/>
      <c r="AN1359" s="37"/>
      <c r="AO1359" s="37"/>
    </row>
  </sheetData>
  <sheetProtection algorithmName="SHA-512" hashValue="UnWRjAAE3iyuQlJYC+TkpSumtOuA4jSGi+Tx0Yc1vdCHpJCd6tG1Z5J/L6p47ku8jZT5xC3SQ9zL2aQuuoOgHw==" saltValue="H0EsQ4IKHMCVM0wmkX3ukA==" spinCount="100000" sheet="1" objects="1" scenarios="1" selectLockedCells="1"/>
  <mergeCells count="2">
    <mergeCell ref="B2:S2"/>
    <mergeCell ref="U21:X21"/>
  </mergeCells>
  <phoneticPr fontId="18" type="noConversion"/>
  <pageMargins left="0.59055118110236227" right="0.59055118110236227" top="0.59055118110236227" bottom="0.59055118110236227" header="0.51181102362204722" footer="0.51181102362204722"/>
  <pageSetup paperSize="0" scale="106" orientation="landscape" horizontalDpi="4294967292" verticalDpi="4294967292"/>
  <colBreaks count="1" manualBreakCount="1">
    <brk id="12" max="239"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7">
    <tabColor rgb="FFFFC000"/>
    <pageSetUpPr fitToPage="1"/>
  </sheetPr>
  <dimension ref="A1:BC1448"/>
  <sheetViews>
    <sheetView showGridLines="0" showRowColHeaders="0" zoomScale="144" zoomScaleNormal="160" zoomScalePageLayoutView="160" workbookViewId="0">
      <selection activeCell="I83" sqref="I83"/>
    </sheetView>
  </sheetViews>
  <sheetFormatPr baseColWidth="10" defaultColWidth="10.875" defaultRowHeight="10.199999999999999"/>
  <cols>
    <col min="1" max="1" width="6.125" style="466" customWidth="1"/>
    <col min="2" max="2" width="31.375" style="466" customWidth="1"/>
    <col min="3" max="3" width="12" style="466" bestFit="1" customWidth="1"/>
    <col min="4" max="4" width="5.375" style="495" customWidth="1"/>
    <col min="5" max="15" width="5.375" style="466" customWidth="1"/>
    <col min="16" max="16" width="4.875" style="466" customWidth="1"/>
    <col min="17" max="16384" width="10.875" style="466"/>
  </cols>
  <sheetData>
    <row r="1" spans="1:55" s="22" customFormat="1">
      <c r="A1" s="48"/>
      <c r="B1" s="48"/>
      <c r="C1" s="48"/>
      <c r="D1" s="49"/>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row>
    <row r="2" spans="1:55" ht="19.2">
      <c r="A2" s="48"/>
      <c r="B2" s="1382" t="s">
        <v>261</v>
      </c>
      <c r="C2" s="1382"/>
      <c r="D2" s="1382"/>
      <c r="E2" s="1382"/>
      <c r="F2" s="1382"/>
      <c r="G2" s="1382"/>
      <c r="H2" s="1382"/>
      <c r="I2" s="1382"/>
      <c r="J2" s="1382"/>
      <c r="K2" s="1382"/>
      <c r="L2" s="1382"/>
      <c r="M2" s="1382"/>
      <c r="N2" s="1382"/>
      <c r="O2" s="1382"/>
      <c r="P2" s="1382"/>
      <c r="Q2" s="465"/>
      <c r="R2" s="465"/>
      <c r="S2" s="465"/>
      <c r="T2" s="465"/>
      <c r="U2" s="465"/>
      <c r="V2" s="465"/>
      <c r="W2" s="465"/>
      <c r="X2" s="465"/>
      <c r="Y2" s="465"/>
      <c r="Z2" s="465"/>
      <c r="AA2" s="465"/>
      <c r="AB2" s="465"/>
      <c r="AC2" s="465"/>
      <c r="AD2" s="465"/>
      <c r="AE2" s="465"/>
      <c r="AF2" s="465"/>
      <c r="AG2" s="465"/>
      <c r="AH2" s="465"/>
      <c r="AI2" s="465"/>
      <c r="AJ2" s="465"/>
      <c r="AK2" s="465"/>
      <c r="AL2" s="465"/>
      <c r="AM2" s="465"/>
      <c r="AN2" s="465"/>
      <c r="AO2" s="465"/>
      <c r="AP2" s="465"/>
      <c r="AQ2" s="465"/>
      <c r="AR2" s="465"/>
      <c r="AS2" s="465"/>
      <c r="AT2" s="465"/>
      <c r="AU2" s="465"/>
      <c r="AV2" s="465"/>
      <c r="AW2" s="465"/>
      <c r="AX2" s="465"/>
      <c r="AY2" s="465"/>
      <c r="AZ2" s="465"/>
      <c r="BA2" s="465"/>
      <c r="BB2" s="465"/>
      <c r="BC2" s="465"/>
    </row>
    <row r="3" spans="1:55">
      <c r="A3" s="465"/>
      <c r="B3" s="465"/>
      <c r="C3" s="465"/>
      <c r="D3" s="467"/>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5"/>
      <c r="AI3" s="465"/>
      <c r="AJ3" s="465"/>
      <c r="AK3" s="465"/>
      <c r="AL3" s="465"/>
      <c r="AM3" s="465"/>
      <c r="AN3" s="465"/>
      <c r="AO3" s="465"/>
      <c r="AP3" s="465"/>
      <c r="AQ3" s="465"/>
      <c r="AR3" s="465"/>
      <c r="AS3" s="465"/>
      <c r="AT3" s="465"/>
      <c r="AU3" s="465"/>
      <c r="AV3" s="465"/>
      <c r="AW3" s="465"/>
      <c r="AX3" s="465"/>
      <c r="AY3" s="465"/>
      <c r="AZ3" s="465"/>
      <c r="BA3" s="465"/>
      <c r="BB3" s="465"/>
      <c r="BC3" s="465"/>
    </row>
    <row r="4" spans="1:55" s="22" customFormat="1">
      <c r="A4" s="465"/>
      <c r="B4" s="468"/>
      <c r="C4" s="50"/>
      <c r="D4" s="51"/>
      <c r="E4" s="52"/>
      <c r="F4" s="52"/>
      <c r="G4" s="52"/>
      <c r="H4" s="52"/>
      <c r="I4" s="52"/>
      <c r="J4" s="52"/>
      <c r="K4" s="52"/>
      <c r="L4" s="52"/>
      <c r="M4" s="52"/>
      <c r="N4" s="52"/>
      <c r="O4" s="52"/>
      <c r="P4" s="53"/>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row>
    <row r="5" spans="1:55" s="22" customFormat="1" ht="16.8">
      <c r="A5" s="48"/>
      <c r="B5" s="48"/>
      <c r="C5" s="507" t="s">
        <v>634</v>
      </c>
      <c r="D5" s="508"/>
      <c r="E5" s="508"/>
      <c r="F5" s="508"/>
      <c r="G5" s="508"/>
      <c r="H5" s="508"/>
      <c r="I5" s="508"/>
      <c r="J5" s="509">
        <f>Nutzung!J32</f>
        <v>0</v>
      </c>
      <c r="K5" s="508" t="s">
        <v>635</v>
      </c>
      <c r="L5" s="508"/>
      <c r="M5" s="508"/>
      <c r="N5" s="508"/>
      <c r="O5" s="508"/>
      <c r="P5" s="510"/>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row>
    <row r="6" spans="1:55" s="22" customFormat="1" ht="16.8">
      <c r="A6" s="48"/>
      <c r="B6" s="48"/>
      <c r="C6" s="507" t="s">
        <v>696</v>
      </c>
      <c r="D6" s="508"/>
      <c r="E6" s="508"/>
      <c r="F6" s="508"/>
      <c r="G6" s="508"/>
      <c r="H6" s="508"/>
      <c r="I6" s="508"/>
      <c r="J6" s="509">
        <f>Nutzung!J33</f>
        <v>0</v>
      </c>
      <c r="K6" s="508" t="s">
        <v>635</v>
      </c>
      <c r="L6" s="508"/>
      <c r="M6" s="508"/>
      <c r="N6" s="508"/>
      <c r="O6" s="508"/>
      <c r="P6" s="510"/>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row>
    <row r="7" spans="1:55" s="22" customFormat="1" ht="13.2">
      <c r="A7" s="48"/>
      <c r="B7" s="48"/>
      <c r="C7" s="1383" t="s">
        <v>202</v>
      </c>
      <c r="D7" s="1384"/>
      <c r="E7" s="1384"/>
      <c r="F7" s="508">
        <f>Klima!E136</f>
        <v>0</v>
      </c>
      <c r="G7" s="508"/>
      <c r="H7" s="508"/>
      <c r="I7" s="508"/>
      <c r="J7" s="508">
        <f>Klima!D136</f>
        <v>0</v>
      </c>
      <c r="K7" s="508" t="s">
        <v>228</v>
      </c>
      <c r="L7" s="508"/>
      <c r="M7" s="508"/>
      <c r="N7" s="508"/>
      <c r="O7" s="508"/>
      <c r="P7" s="510"/>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row>
    <row r="8" spans="1:55" s="22" customFormat="1" ht="13.2">
      <c r="A8" s="48"/>
      <c r="B8" s="48"/>
      <c r="C8" s="1383" t="s">
        <v>429</v>
      </c>
      <c r="D8" s="1384"/>
      <c r="E8" s="1384"/>
      <c r="F8" s="1384"/>
      <c r="G8" s="1384"/>
      <c r="H8" s="508"/>
      <c r="I8" s="508"/>
      <c r="J8" s="511">
        <f>(1--1*(0.06*(9.4-J7)))</f>
        <v>1.5640000000000001</v>
      </c>
      <c r="K8" s="508" t="s">
        <v>372</v>
      </c>
      <c r="L8" s="508"/>
      <c r="M8" s="508"/>
      <c r="N8" s="508"/>
      <c r="O8" s="508"/>
      <c r="P8" s="510"/>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row>
    <row r="9" spans="1:55" s="22" customFormat="1" ht="13.2">
      <c r="A9" s="48"/>
      <c r="B9" s="48"/>
      <c r="C9" s="507"/>
      <c r="D9" s="512"/>
      <c r="E9" s="508"/>
      <c r="F9" s="508"/>
      <c r="G9" s="508"/>
      <c r="H9" s="508"/>
      <c r="I9" s="508"/>
      <c r="J9" s="508"/>
      <c r="K9" s="508"/>
      <c r="L9" s="508"/>
      <c r="M9" s="508"/>
      <c r="N9" s="508"/>
      <c r="O9" s="508"/>
      <c r="P9" s="510"/>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row>
    <row r="10" spans="1:55" s="22" customFormat="1" ht="16.8">
      <c r="A10" s="48"/>
      <c r="B10" s="48"/>
      <c r="C10" s="1383" t="s">
        <v>182</v>
      </c>
      <c r="D10" s="1384"/>
      <c r="E10" s="1384"/>
      <c r="F10" s="1384"/>
      <c r="G10" s="1384"/>
      <c r="H10" s="1384"/>
      <c r="I10" s="1387">
        <f>Bauteile!F1405</f>
        <v>0</v>
      </c>
      <c r="J10" s="1387"/>
      <c r="K10" s="508" t="s">
        <v>341</v>
      </c>
      <c r="L10" s="508"/>
      <c r="M10" s="508"/>
      <c r="N10" s="508"/>
      <c r="O10" s="508"/>
      <c r="P10" s="510"/>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row>
    <row r="11" spans="1:55" s="22" customFormat="1" ht="16.8">
      <c r="A11" s="48"/>
      <c r="B11" s="48"/>
      <c r="C11" s="507" t="s">
        <v>407</v>
      </c>
      <c r="D11" s="512"/>
      <c r="E11" s="508"/>
      <c r="F11" s="508"/>
      <c r="G11" s="508"/>
      <c r="H11" s="508"/>
      <c r="I11" s="1386">
        <f>EBF!F39</f>
        <v>1.0000000000000001E-31</v>
      </c>
      <c r="J11" s="1386"/>
      <c r="K11" s="508" t="s">
        <v>341</v>
      </c>
      <c r="L11" s="508"/>
      <c r="M11" s="508"/>
      <c r="N11" s="508"/>
      <c r="O11" s="508"/>
      <c r="P11" s="510"/>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c r="BA11" s="48"/>
      <c r="BB11" s="48"/>
      <c r="BC11" s="48"/>
    </row>
    <row r="12" spans="1:55" s="22" customFormat="1" ht="13.2">
      <c r="A12" s="48"/>
      <c r="B12" s="48"/>
      <c r="C12" s="507"/>
      <c r="D12" s="508"/>
      <c r="E12" s="508"/>
      <c r="F12" s="508"/>
      <c r="G12" s="508"/>
      <c r="H12" s="508"/>
      <c r="I12" s="508"/>
      <c r="J12" s="508"/>
      <c r="K12" s="508"/>
      <c r="L12" s="508"/>
      <c r="M12" s="508"/>
      <c r="N12" s="508"/>
      <c r="O12" s="508"/>
      <c r="P12" s="510"/>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c r="BB12" s="48"/>
      <c r="BC12" s="48"/>
    </row>
    <row r="13" spans="1:55" s="22" customFormat="1" ht="16.8">
      <c r="A13" s="48"/>
      <c r="B13" s="48"/>
      <c r="C13" s="507" t="s">
        <v>367</v>
      </c>
      <c r="F13" s="1385" t="str">
        <f>IF(Daten!$C$61=1,"Neubau","Umbau")</f>
        <v>Umbau</v>
      </c>
      <c r="G13" s="1385"/>
      <c r="H13" s="508"/>
      <c r="I13" s="508" t="s">
        <v>636</v>
      </c>
      <c r="J13" s="1064">
        <f>IF(Daten!$C$61=1,$J$8*($J$5+$J$6*($I$10/$I$11)),($J$8*($J$5+$J$6*($I$10/$I$11)))*1.5)</f>
        <v>0</v>
      </c>
      <c r="K13" s="508" t="s">
        <v>635</v>
      </c>
      <c r="L13" s="508"/>
      <c r="M13" s="508"/>
      <c r="N13" s="508"/>
      <c r="O13" s="508"/>
      <c r="P13" s="510"/>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row>
    <row r="14" spans="1:55" s="22" customFormat="1" ht="16.8">
      <c r="A14" s="48"/>
      <c r="B14" s="48"/>
      <c r="C14" s="507" t="s">
        <v>122</v>
      </c>
      <c r="E14" s="513"/>
      <c r="F14" s="1385" t="str">
        <f>IF(Daten!$C$61=1,"Neubau","Umbau")</f>
        <v>Umbau</v>
      </c>
      <c r="G14" s="1385"/>
      <c r="H14" s="508"/>
      <c r="I14" s="508" t="s">
        <v>637</v>
      </c>
      <c r="J14" s="1064">
        <f>IF(Daten!$C$61=1,0.7*J13,J13/1.5)</f>
        <v>0</v>
      </c>
      <c r="K14" s="508" t="s">
        <v>635</v>
      </c>
      <c r="L14" s="508"/>
      <c r="M14" s="508"/>
      <c r="N14" s="508"/>
      <c r="O14" s="508"/>
      <c r="P14" s="510"/>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row>
    <row r="15" spans="1:55" s="22" customFormat="1" ht="13.2">
      <c r="A15" s="48"/>
      <c r="B15" s="48"/>
      <c r="C15" s="507"/>
      <c r="D15" s="512"/>
      <c r="E15" s="508"/>
      <c r="F15" s="508"/>
      <c r="G15" s="508"/>
      <c r="H15" s="508"/>
      <c r="I15" s="508"/>
      <c r="J15" s="508"/>
      <c r="K15" s="508"/>
      <c r="L15" s="508"/>
      <c r="M15" s="508"/>
      <c r="N15" s="508"/>
      <c r="O15" s="508"/>
      <c r="P15" s="510"/>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row>
    <row r="16" spans="1:55" ht="15.6">
      <c r="A16" s="48"/>
      <c r="B16" s="48"/>
      <c r="C16" s="1380" t="s">
        <v>647</v>
      </c>
      <c r="D16" s="1381"/>
      <c r="E16" s="1381"/>
      <c r="F16" s="514" t="str">
        <f>IF(Komfortlüftung!I9=1,"Achtung mit WRG !","")</f>
        <v/>
      </c>
      <c r="G16" s="514"/>
      <c r="H16" s="514"/>
      <c r="I16" s="514"/>
      <c r="J16" s="1090">
        <f>(SUM(D58:O58))</f>
        <v>0</v>
      </c>
      <c r="K16" s="1089" t="s">
        <v>638</v>
      </c>
      <c r="L16" s="514"/>
      <c r="M16" s="515" t="str">
        <f>IF(I10=0,"0",J16/J13)</f>
        <v>0</v>
      </c>
      <c r="N16" s="508"/>
      <c r="O16" s="508"/>
      <c r="P16" s="510"/>
      <c r="Q16" s="465"/>
      <c r="R16" s="465"/>
      <c r="S16" s="465"/>
      <c r="T16" s="465"/>
      <c r="U16" s="465"/>
      <c r="V16" s="465"/>
      <c r="W16" s="465"/>
      <c r="X16" s="465"/>
      <c r="Y16" s="465"/>
      <c r="Z16" s="465"/>
      <c r="AA16" s="465"/>
      <c r="AB16" s="465"/>
      <c r="AC16" s="465"/>
      <c r="AD16" s="465"/>
      <c r="AE16" s="465"/>
      <c r="AF16" s="465"/>
      <c r="AG16" s="465"/>
      <c r="AH16" s="465"/>
      <c r="AI16" s="465"/>
      <c r="AJ16" s="465"/>
      <c r="AK16" s="465"/>
      <c r="AL16" s="465"/>
      <c r="AM16" s="465"/>
      <c r="AN16" s="465"/>
      <c r="AO16" s="465"/>
      <c r="AP16" s="465"/>
      <c r="AQ16" s="465"/>
      <c r="AR16" s="465"/>
      <c r="AS16" s="465"/>
      <c r="AT16" s="465"/>
      <c r="AU16" s="465"/>
      <c r="AV16" s="465"/>
      <c r="AW16" s="465"/>
      <c r="AX16" s="465"/>
      <c r="AY16" s="465"/>
      <c r="AZ16" s="465"/>
      <c r="BA16" s="465"/>
      <c r="BB16" s="465"/>
      <c r="BC16" s="465"/>
    </row>
    <row r="17" spans="1:55" ht="13.2">
      <c r="A17" s="465"/>
      <c r="B17" s="465"/>
      <c r="C17" s="516"/>
      <c r="D17" s="517"/>
      <c r="E17" s="518"/>
      <c r="F17" s="518"/>
      <c r="G17" s="518"/>
      <c r="H17" s="518"/>
      <c r="I17" s="518"/>
      <c r="J17" s="518"/>
      <c r="K17" s="518"/>
      <c r="L17" s="518"/>
      <c r="M17" s="519"/>
      <c r="N17" s="518"/>
      <c r="O17" s="518"/>
      <c r="P17" s="520"/>
      <c r="Q17" s="465"/>
      <c r="R17" s="465"/>
      <c r="S17" s="465"/>
      <c r="T17" s="465"/>
      <c r="U17" s="465"/>
      <c r="V17" s="465"/>
      <c r="W17" s="465"/>
      <c r="X17" s="465"/>
      <c r="Y17" s="465"/>
      <c r="Z17" s="465"/>
      <c r="AA17" s="465"/>
      <c r="AB17" s="465"/>
      <c r="AC17" s="465"/>
      <c r="AD17" s="465"/>
      <c r="AE17" s="465"/>
      <c r="AF17" s="465"/>
      <c r="AG17" s="465"/>
      <c r="AH17" s="465"/>
      <c r="AI17" s="465"/>
      <c r="AJ17" s="465"/>
      <c r="AK17" s="465"/>
      <c r="AL17" s="465"/>
      <c r="AM17" s="465"/>
      <c r="AN17" s="465"/>
      <c r="AO17" s="465"/>
      <c r="AP17" s="465"/>
      <c r="AQ17" s="465"/>
      <c r="AR17" s="465"/>
      <c r="AS17" s="465"/>
      <c r="AT17" s="465"/>
      <c r="AU17" s="465"/>
      <c r="AV17" s="465"/>
      <c r="AW17" s="465"/>
      <c r="AX17" s="465"/>
      <c r="AY17" s="465"/>
      <c r="AZ17" s="465"/>
      <c r="BA17" s="465"/>
      <c r="BB17" s="465"/>
      <c r="BC17" s="465"/>
    </row>
    <row r="18" spans="1:55">
      <c r="A18" s="465"/>
      <c r="B18" s="465"/>
      <c r="C18" s="465"/>
      <c r="D18" s="467"/>
      <c r="E18" s="465"/>
      <c r="F18" s="465"/>
      <c r="G18" s="465"/>
      <c r="H18" s="465"/>
      <c r="I18" s="465"/>
      <c r="J18" s="465"/>
      <c r="K18" s="465"/>
      <c r="L18" s="465"/>
      <c r="M18" s="465"/>
      <c r="N18" s="465"/>
      <c r="O18" s="465"/>
      <c r="P18" s="465"/>
      <c r="Q18" s="465"/>
      <c r="R18" s="465"/>
      <c r="S18" s="465"/>
      <c r="T18" s="465"/>
      <c r="U18" s="465"/>
      <c r="V18" s="465"/>
      <c r="W18" s="465"/>
      <c r="X18" s="465"/>
      <c r="Y18" s="465"/>
      <c r="Z18" s="465"/>
      <c r="AA18" s="465"/>
      <c r="AB18" s="465"/>
      <c r="AC18" s="465"/>
      <c r="AD18" s="465"/>
      <c r="AE18" s="465"/>
      <c r="AF18" s="465"/>
      <c r="AG18" s="465"/>
      <c r="AH18" s="465"/>
      <c r="AI18" s="465"/>
      <c r="AJ18" s="465"/>
      <c r="AK18" s="465"/>
      <c r="AL18" s="465"/>
      <c r="AM18" s="465"/>
      <c r="AN18" s="465"/>
      <c r="AO18" s="465"/>
      <c r="AP18" s="465"/>
      <c r="AQ18" s="465"/>
      <c r="AR18" s="465"/>
      <c r="AS18" s="465"/>
      <c r="AT18" s="465"/>
      <c r="AU18" s="465"/>
      <c r="AV18" s="465"/>
      <c r="AW18" s="465"/>
      <c r="AX18" s="465"/>
      <c r="AY18" s="465"/>
      <c r="AZ18" s="465"/>
      <c r="BA18" s="465"/>
      <c r="BB18" s="465"/>
      <c r="BC18" s="465"/>
    </row>
    <row r="19" spans="1:55" ht="6.75" customHeight="1" thickBot="1">
      <c r="A19" s="465"/>
      <c r="C19" s="474"/>
      <c r="D19" s="475"/>
      <c r="E19" s="476"/>
      <c r="F19" s="476"/>
      <c r="G19" s="476"/>
      <c r="H19" s="476"/>
      <c r="I19" s="476"/>
      <c r="J19" s="476"/>
      <c r="K19" s="476"/>
      <c r="L19" s="476"/>
      <c r="M19" s="476"/>
      <c r="N19" s="476"/>
      <c r="O19" s="476"/>
      <c r="P19" s="477"/>
      <c r="Q19" s="465"/>
      <c r="R19" s="465"/>
      <c r="S19" s="465"/>
      <c r="T19" s="465"/>
      <c r="U19" s="465"/>
      <c r="V19" s="465"/>
      <c r="W19" s="465"/>
      <c r="X19" s="465"/>
      <c r="Y19" s="465"/>
      <c r="Z19" s="465"/>
      <c r="AA19" s="465"/>
      <c r="AB19" s="465"/>
      <c r="AC19" s="465"/>
      <c r="AD19" s="465"/>
      <c r="AE19" s="465"/>
      <c r="AF19" s="465"/>
      <c r="AG19" s="465"/>
      <c r="AH19" s="465"/>
      <c r="AI19" s="465"/>
      <c r="AJ19" s="465"/>
      <c r="AK19" s="465"/>
      <c r="AL19" s="465"/>
      <c r="AM19" s="465"/>
      <c r="AN19" s="465"/>
      <c r="AO19" s="465"/>
      <c r="AP19" s="465"/>
      <c r="AQ19" s="465"/>
      <c r="AR19" s="465"/>
      <c r="AS19" s="465"/>
      <c r="AT19" s="465"/>
      <c r="AU19" s="465"/>
      <c r="AV19" s="465"/>
      <c r="AW19" s="465"/>
      <c r="AX19" s="465"/>
      <c r="AY19" s="465"/>
      <c r="AZ19" s="465"/>
      <c r="BA19" s="465"/>
      <c r="BB19" s="465"/>
      <c r="BC19" s="465"/>
    </row>
    <row r="20" spans="1:55" s="22" customFormat="1" ht="15.6">
      <c r="A20" s="465"/>
      <c r="B20" s="621" t="s">
        <v>640</v>
      </c>
      <c r="C20" s="478"/>
      <c r="D20" s="603" t="s">
        <v>305</v>
      </c>
      <c r="E20" s="604" t="s">
        <v>315</v>
      </c>
      <c r="F20" s="604" t="s">
        <v>64</v>
      </c>
      <c r="G20" s="604" t="s">
        <v>472</v>
      </c>
      <c r="H20" s="604" t="s">
        <v>410</v>
      </c>
      <c r="I20" s="604" t="s">
        <v>309</v>
      </c>
      <c r="J20" s="604" t="s">
        <v>41</v>
      </c>
      <c r="K20" s="604" t="s">
        <v>256</v>
      </c>
      <c r="L20" s="604" t="s">
        <v>518</v>
      </c>
      <c r="M20" s="604" t="s">
        <v>186</v>
      </c>
      <c r="N20" s="604" t="s">
        <v>284</v>
      </c>
      <c r="O20" s="605" t="s">
        <v>14</v>
      </c>
      <c r="P20" s="56"/>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row>
    <row r="21" spans="1:55" s="22" customFormat="1" ht="6" customHeight="1">
      <c r="A21" s="48"/>
      <c r="B21" s="521"/>
      <c r="C21" s="54"/>
      <c r="D21" s="172"/>
      <c r="E21" s="62"/>
      <c r="F21" s="62"/>
      <c r="G21" s="62"/>
      <c r="H21" s="62"/>
      <c r="I21" s="62"/>
      <c r="J21" s="62"/>
      <c r="K21" s="62"/>
      <c r="L21" s="62"/>
      <c r="M21" s="62"/>
      <c r="N21" s="62"/>
      <c r="O21" s="173"/>
      <c r="P21" s="56"/>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row>
    <row r="22" spans="1:55" s="22" customFormat="1" ht="10.95" customHeight="1">
      <c r="A22" s="48"/>
      <c r="B22" s="521" t="s">
        <v>203</v>
      </c>
      <c r="C22" s="479" t="s">
        <v>414</v>
      </c>
      <c r="D22" s="480">
        <f>IF(Bauteile!$J1375&lt;0,0,((Bauteile!$J1375)+(Bauteile!$J1375*Daten!I43)))</f>
        <v>0</v>
      </c>
      <c r="E22" s="481">
        <f>IF(Bauteile!$J1376&lt;0,0,((Bauteile!$J1376)+(Bauteile!$J1376*Daten!I43)))</f>
        <v>0</v>
      </c>
      <c r="F22" s="481">
        <f>IF(Bauteile!$J1377&lt;0,0,((Bauteile!$J1377)+(Bauteile!$J1377*Daten!I43)))</f>
        <v>0</v>
      </c>
      <c r="G22" s="481">
        <f>IF(Bauteile!$J1378&lt;0,0,((Bauteile!$J1378)+(Bauteile!$J1378*Daten!I43)))</f>
        <v>0</v>
      </c>
      <c r="H22" s="481">
        <f>IF(Bauteile!$J1379&lt;0,0,((Bauteile!$J1379)+(Bauteile!$J1379*Daten!I43)))</f>
        <v>0</v>
      </c>
      <c r="I22" s="481">
        <f>IF(Bauteile!$J1380&lt;0,0,((Bauteile!$J1380)+(Bauteile!$J1380*Daten!I43)))</f>
        <v>0</v>
      </c>
      <c r="J22" s="481">
        <f>IF(Bauteile!$J1381&lt;0,0,((Bauteile!$J1381)+(Bauteile!$J1381*Daten!I43)))</f>
        <v>0</v>
      </c>
      <c r="K22" s="481">
        <f>IF(Bauteile!$J1382&lt;0,0,((Bauteile!$J1382)+(Bauteile!$J1382*Daten!I43)))</f>
        <v>0</v>
      </c>
      <c r="L22" s="481">
        <f>IF(Bauteile!$J1383&lt;0,0,((Bauteile!$J1383)+(Bauteile!$J1383*Daten!I43)))</f>
        <v>0</v>
      </c>
      <c r="M22" s="481">
        <f>IF(Bauteile!$J1384&lt;0,0,((Bauteile!$J1384)+(Bauteile!$J1384*Daten!I43)))</f>
        <v>0</v>
      </c>
      <c r="N22" s="481">
        <f>IF(Bauteile!$J1385&lt;0,0,((Bauteile!$J1385)+(Bauteile!$J1385*Daten!I43)))</f>
        <v>0</v>
      </c>
      <c r="O22" s="482">
        <f>IF(Bauteile!$J1386&lt;0,0,((Bauteile!$J1386)+(Bauteile!$J1386*Daten!I43)))</f>
        <v>0</v>
      </c>
      <c r="P22" s="56"/>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c r="BA22" s="48"/>
      <c r="BB22" s="48"/>
      <c r="BC22" s="48"/>
    </row>
    <row r="23" spans="1:55" s="22" customFormat="1" ht="13.2">
      <c r="A23" s="48"/>
      <c r="B23" s="521"/>
      <c r="C23" s="479" t="s">
        <v>301</v>
      </c>
      <c r="D23" s="483">
        <f>IF(Bauteile!$J1388&lt;0,0,((Bauteile!$J1388)+(Bauteile!$J1388*Daten!I43)))</f>
        <v>0</v>
      </c>
      <c r="E23" s="484">
        <f>IF(Bauteile!$J1389&lt;0,0,((Bauteile!$J1389)+(Bauteile!$J1389*Daten!I43)))</f>
        <v>0</v>
      </c>
      <c r="F23" s="484">
        <f>IF(Bauteile!$J1390&lt;0,0,((Bauteile!$J1390)+(Bauteile!$J1390*Daten!I43)))</f>
        <v>0</v>
      </c>
      <c r="G23" s="484">
        <f>IF(Bauteile!$J1391&lt;0,0,((Bauteile!$J1391)+(Bauteile!$J1391*Daten!I43)))</f>
        <v>0</v>
      </c>
      <c r="H23" s="484">
        <f>IF(Bauteile!$J1392&lt;0,0,((Bauteile!$J1392)+(Bauteile!$J1392*Daten!I43)))</f>
        <v>0</v>
      </c>
      <c r="I23" s="484">
        <f>IF(Bauteile!$J1393&lt;0,0,((Bauteile!$J1393)+(Bauteile!$J1393*Daten!I43)))</f>
        <v>0</v>
      </c>
      <c r="J23" s="484">
        <f>IF(Bauteile!$J1394&lt;0,0,((Bauteile!$J1394)+(Bauteile!$J1394*Daten!I43)))</f>
        <v>0</v>
      </c>
      <c r="K23" s="484">
        <f>IF(Bauteile!$J1395&lt;0,0,((Bauteile!$J1395)+(Bauteile!$J1395*Daten!I43)))</f>
        <v>0</v>
      </c>
      <c r="L23" s="484">
        <f>IF(Bauteile!$J1396&lt;0,0,((Bauteile!$J1396)+(Bauteile!$J1396*Daten!I43)))</f>
        <v>0</v>
      </c>
      <c r="M23" s="484">
        <f>IF(Bauteile!$J1397&lt;0,0,((Bauteile!$J1397)+(Bauteile!$J1397*Daten!I43)))</f>
        <v>0</v>
      </c>
      <c r="N23" s="484">
        <f>IF(Bauteile!$J1398&lt;0,0,((Bauteile!$J1398)+(Bauteile!$J1398*Daten!I43)))</f>
        <v>0</v>
      </c>
      <c r="O23" s="485">
        <f>IF(Bauteile!$J1399&lt;0,0,((Bauteile!$J1399)+(Bauteile!$J1399*Daten!I43)))</f>
        <v>0</v>
      </c>
      <c r="P23" s="56"/>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row>
    <row r="24" spans="1:55" s="22" customFormat="1" ht="6" customHeight="1">
      <c r="A24" s="48"/>
      <c r="B24" s="521"/>
      <c r="C24" s="54"/>
      <c r="D24" s="480"/>
      <c r="E24" s="486"/>
      <c r="F24" s="486"/>
      <c r="G24" s="486"/>
      <c r="H24" s="486"/>
      <c r="I24" s="486"/>
      <c r="J24" s="486"/>
      <c r="K24" s="486"/>
      <c r="L24" s="486"/>
      <c r="M24" s="486"/>
      <c r="N24" s="486"/>
      <c r="O24" s="487"/>
      <c r="P24" s="56"/>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c r="BC24" s="48"/>
    </row>
    <row r="25" spans="1:55" s="22" customFormat="1" ht="10.95" customHeight="1">
      <c r="A25" s="48"/>
      <c r="B25" s="521" t="s">
        <v>365</v>
      </c>
      <c r="C25" s="54"/>
      <c r="D25" s="483">
        <f>IF(Lüftung!$E43&lt;0,0,Lüftung!$E43)</f>
        <v>0</v>
      </c>
      <c r="E25" s="484">
        <f>IF(Lüftung!$E44&lt;0,0,Lüftung!$E44)</f>
        <v>0</v>
      </c>
      <c r="F25" s="484">
        <f>IF(Lüftung!$E45&lt;0,0,Lüftung!$E45)</f>
        <v>0</v>
      </c>
      <c r="G25" s="484">
        <f>IF(Lüftung!$E46&lt;0,0,Lüftung!$E46)</f>
        <v>0</v>
      </c>
      <c r="H25" s="484">
        <f>IF(Lüftung!$E47&lt;0,0,Lüftung!$E47)</f>
        <v>0</v>
      </c>
      <c r="I25" s="484">
        <f>IF(Lüftung!$E48&lt;0,0,Lüftung!$E48)</f>
        <v>0</v>
      </c>
      <c r="J25" s="484">
        <f>IF(Lüftung!$H43&lt;0,0,Lüftung!$H43)</f>
        <v>0</v>
      </c>
      <c r="K25" s="484">
        <f>IF(Lüftung!$H44&lt;0,0,Lüftung!$H44)</f>
        <v>0</v>
      </c>
      <c r="L25" s="484">
        <f>IF(Lüftung!$H45&lt;0,0,Lüftung!$H45)</f>
        <v>0</v>
      </c>
      <c r="M25" s="484">
        <f>IF(Lüftung!$H46&lt;0,0,Lüftung!$H46)</f>
        <v>0</v>
      </c>
      <c r="N25" s="484">
        <f>IF(Lüftung!$H47&lt;0,0,Lüftung!$H47)</f>
        <v>0</v>
      </c>
      <c r="O25" s="485">
        <f>IF(Lüftung!$H48&lt;0,0,Lüftung!$H48)</f>
        <v>0</v>
      </c>
      <c r="P25" s="56"/>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row>
    <row r="26" spans="1:55" s="22" customFormat="1" ht="6" customHeight="1">
      <c r="A26" s="48"/>
      <c r="B26" s="521"/>
      <c r="C26" s="54"/>
      <c r="D26" s="480"/>
      <c r="E26" s="486"/>
      <c r="F26" s="486"/>
      <c r="G26" s="486"/>
      <c r="H26" s="486"/>
      <c r="I26" s="486"/>
      <c r="J26" s="486"/>
      <c r="K26" s="486"/>
      <c r="L26" s="486"/>
      <c r="M26" s="486"/>
      <c r="N26" s="486"/>
      <c r="O26" s="487"/>
      <c r="P26" s="56"/>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c r="BA26" s="48"/>
      <c r="BB26" s="48"/>
      <c r="BC26" s="48"/>
    </row>
    <row r="27" spans="1:55" s="22" customFormat="1" ht="10.95" customHeight="1">
      <c r="A27" s="48"/>
      <c r="B27" s="65" t="s">
        <v>639</v>
      </c>
      <c r="C27" s="478"/>
      <c r="D27" s="615">
        <f>IF(D22+D23+D25&lt;0,0,SUM(D22:D25))</f>
        <v>0</v>
      </c>
      <c r="E27" s="616">
        <f t="shared" ref="E27:O27" si="0">IF(E22+E23+E25&lt;0,0,SUM(E22:E25))</f>
        <v>0</v>
      </c>
      <c r="F27" s="616">
        <f t="shared" si="0"/>
        <v>0</v>
      </c>
      <c r="G27" s="616">
        <f t="shared" si="0"/>
        <v>0</v>
      </c>
      <c r="H27" s="616">
        <f t="shared" si="0"/>
        <v>0</v>
      </c>
      <c r="I27" s="616">
        <f t="shared" si="0"/>
        <v>0</v>
      </c>
      <c r="J27" s="616">
        <f t="shared" si="0"/>
        <v>0</v>
      </c>
      <c r="K27" s="616">
        <f t="shared" si="0"/>
        <v>0</v>
      </c>
      <c r="L27" s="616">
        <f t="shared" si="0"/>
        <v>0</v>
      </c>
      <c r="M27" s="616">
        <f t="shared" si="0"/>
        <v>0</v>
      </c>
      <c r="N27" s="616">
        <f t="shared" si="0"/>
        <v>0</v>
      </c>
      <c r="O27" s="617">
        <f t="shared" si="0"/>
        <v>0</v>
      </c>
      <c r="P27" s="56"/>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row>
    <row r="28" spans="1:55" s="22" customFormat="1" ht="6.75" customHeight="1">
      <c r="A28" s="48"/>
      <c r="B28" s="521"/>
      <c r="C28" s="58"/>
      <c r="D28" s="59"/>
      <c r="E28" s="60"/>
      <c r="F28" s="60"/>
      <c r="G28" s="60"/>
      <c r="H28" s="60"/>
      <c r="I28" s="60"/>
      <c r="J28" s="60"/>
      <c r="K28" s="60"/>
      <c r="L28" s="60"/>
      <c r="M28" s="60"/>
      <c r="N28" s="60"/>
      <c r="O28" s="60"/>
      <c r="P28" s="61"/>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c r="BC28" s="48"/>
    </row>
    <row r="29" spans="1:55" s="22" customFormat="1" ht="6.75" customHeight="1">
      <c r="A29" s="48"/>
      <c r="B29" s="521"/>
      <c r="C29" s="55"/>
      <c r="D29" s="57"/>
      <c r="E29" s="55"/>
      <c r="F29" s="55"/>
      <c r="G29" s="55"/>
      <c r="H29" s="55"/>
      <c r="I29" s="55"/>
      <c r="J29" s="55"/>
      <c r="K29" s="55"/>
      <c r="L29" s="55"/>
      <c r="M29" s="55"/>
      <c r="N29" s="55"/>
      <c r="O29" s="55"/>
      <c r="P29" s="55"/>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row>
    <row r="30" spans="1:55" s="22" customFormat="1" ht="6.75" customHeight="1" thickBot="1">
      <c r="A30" s="48"/>
      <c r="B30" s="521"/>
      <c r="C30" s="50"/>
      <c r="D30" s="51"/>
      <c r="E30" s="51"/>
      <c r="F30" s="51"/>
      <c r="G30" s="51"/>
      <c r="H30" s="51"/>
      <c r="I30" s="51"/>
      <c r="J30" s="51"/>
      <c r="K30" s="51"/>
      <c r="L30" s="51"/>
      <c r="M30" s="51"/>
      <c r="N30" s="51"/>
      <c r="O30" s="51"/>
      <c r="P30" s="53"/>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row>
    <row r="31" spans="1:55" s="22" customFormat="1" ht="10.95" customHeight="1">
      <c r="A31" s="48"/>
      <c r="B31" s="65" t="s">
        <v>641</v>
      </c>
      <c r="C31" s="54"/>
      <c r="D31" s="603" t="s">
        <v>305</v>
      </c>
      <c r="E31" s="604" t="s">
        <v>315</v>
      </c>
      <c r="F31" s="604" t="s">
        <v>64</v>
      </c>
      <c r="G31" s="604" t="s">
        <v>472</v>
      </c>
      <c r="H31" s="604" t="s">
        <v>410</v>
      </c>
      <c r="I31" s="604" t="s">
        <v>309</v>
      </c>
      <c r="J31" s="604" t="s">
        <v>41</v>
      </c>
      <c r="K31" s="604" t="s">
        <v>256</v>
      </c>
      <c r="L31" s="604" t="s">
        <v>518</v>
      </c>
      <c r="M31" s="604" t="s">
        <v>186</v>
      </c>
      <c r="N31" s="604" t="s">
        <v>284</v>
      </c>
      <c r="O31" s="605" t="s">
        <v>14</v>
      </c>
      <c r="P31" s="56"/>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row>
    <row r="32" spans="1:55" s="22" customFormat="1" ht="6" customHeight="1">
      <c r="A32" s="48"/>
      <c r="B32" s="521"/>
      <c r="C32" s="54"/>
      <c r="D32" s="174"/>
      <c r="E32" s="63"/>
      <c r="F32" s="63"/>
      <c r="G32" s="63"/>
      <c r="H32" s="63"/>
      <c r="I32" s="63"/>
      <c r="J32" s="63"/>
      <c r="K32" s="63"/>
      <c r="L32" s="63"/>
      <c r="M32" s="63"/>
      <c r="N32" s="63"/>
      <c r="O32" s="175"/>
      <c r="P32" s="56"/>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row>
    <row r="33" spans="1:55" s="22" customFormat="1" ht="10.95" customHeight="1">
      <c r="A33" s="48"/>
      <c r="B33" s="521" t="s">
        <v>642</v>
      </c>
      <c r="C33" s="54"/>
      <c r="D33" s="480">
        <f>(Einträge!$F$12)/12</f>
        <v>0</v>
      </c>
      <c r="E33" s="481">
        <f>(Einträge!$F$12)/12</f>
        <v>0</v>
      </c>
      <c r="F33" s="481">
        <f>(Einträge!$F$12)/12</f>
        <v>0</v>
      </c>
      <c r="G33" s="481">
        <f>(Einträge!$F$12)/12</f>
        <v>0</v>
      </c>
      <c r="H33" s="481">
        <f>(Einträge!$F$12)/12</f>
        <v>0</v>
      </c>
      <c r="I33" s="481">
        <f>(Einträge!$F$12)/12</f>
        <v>0</v>
      </c>
      <c r="J33" s="481">
        <f>(Einträge!$F$12)/12</f>
        <v>0</v>
      </c>
      <c r="K33" s="481">
        <f>(Einträge!$F$12)/12</f>
        <v>0</v>
      </c>
      <c r="L33" s="481">
        <f>(Einträge!$F$12)/12</f>
        <v>0</v>
      </c>
      <c r="M33" s="481">
        <f>(Einträge!$F$12)/12</f>
        <v>0</v>
      </c>
      <c r="N33" s="481">
        <f>(Einträge!$F$12)/12</f>
        <v>0</v>
      </c>
      <c r="O33" s="482">
        <f>(Einträge!$F$12)/12</f>
        <v>0</v>
      </c>
      <c r="P33" s="56"/>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row>
    <row r="34" spans="1:55" s="22" customFormat="1" ht="6" customHeight="1">
      <c r="A34" s="48"/>
      <c r="B34" s="521"/>
      <c r="C34" s="54"/>
      <c r="D34" s="483"/>
      <c r="E34" s="488"/>
      <c r="F34" s="488"/>
      <c r="G34" s="488"/>
      <c r="H34" s="488"/>
      <c r="I34" s="488"/>
      <c r="J34" s="488"/>
      <c r="K34" s="488"/>
      <c r="L34" s="488"/>
      <c r="M34" s="488"/>
      <c r="N34" s="488"/>
      <c r="O34" s="489"/>
      <c r="P34" s="56"/>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row>
    <row r="35" spans="1:55" s="22" customFormat="1" ht="10.95" customHeight="1">
      <c r="A35" s="48"/>
      <c r="B35" s="521" t="s">
        <v>643</v>
      </c>
      <c r="C35" s="54"/>
      <c r="D35" s="480">
        <f>(Einträge!$F$23)/12</f>
        <v>0</v>
      </c>
      <c r="E35" s="481">
        <f>(Einträge!$F$23)/12</f>
        <v>0</v>
      </c>
      <c r="F35" s="481">
        <f>(Einträge!$F$23)/12</f>
        <v>0</v>
      </c>
      <c r="G35" s="481">
        <f>(Einträge!$F$23)/12</f>
        <v>0</v>
      </c>
      <c r="H35" s="481">
        <f>(Einträge!$F$23)/12</f>
        <v>0</v>
      </c>
      <c r="I35" s="481">
        <f>(Einträge!$F$23)/12</f>
        <v>0</v>
      </c>
      <c r="J35" s="481">
        <f>(Einträge!$F$23)/12</f>
        <v>0</v>
      </c>
      <c r="K35" s="481">
        <f>(Einträge!$F$23)/12</f>
        <v>0</v>
      </c>
      <c r="L35" s="481">
        <f>(Einträge!$F$23)/12</f>
        <v>0</v>
      </c>
      <c r="M35" s="481">
        <f>(Einträge!$F$23)/12</f>
        <v>0</v>
      </c>
      <c r="N35" s="481">
        <f>(Einträge!$F$23)/12</f>
        <v>0</v>
      </c>
      <c r="O35" s="482">
        <f>(Einträge!$F$23)/12</f>
        <v>0</v>
      </c>
      <c r="P35" s="56"/>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row>
    <row r="36" spans="1:55" s="22" customFormat="1" ht="6" customHeight="1">
      <c r="A36" s="48"/>
      <c r="B36" s="521"/>
      <c r="C36" s="54"/>
      <c r="D36" s="483"/>
      <c r="E36" s="488"/>
      <c r="F36" s="488"/>
      <c r="G36" s="488"/>
      <c r="H36" s="488"/>
      <c r="I36" s="488"/>
      <c r="J36" s="488"/>
      <c r="K36" s="488"/>
      <c r="L36" s="488"/>
      <c r="M36" s="488"/>
      <c r="N36" s="488"/>
      <c r="O36" s="489"/>
      <c r="P36" s="56"/>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48"/>
      <c r="AY36" s="48"/>
      <c r="AZ36" s="48"/>
      <c r="BA36" s="48"/>
      <c r="BB36" s="48"/>
      <c r="BC36" s="48"/>
    </row>
    <row r="37" spans="1:55" s="22" customFormat="1" ht="10.95" customHeight="1">
      <c r="A37" s="48"/>
      <c r="B37" s="521" t="s">
        <v>650</v>
      </c>
      <c r="C37" s="54"/>
      <c r="D37" s="522">
        <f>Einträge!E30+Einträge!E43+Einträge!E56+Einträge!E69+Einträge!E82+Einträge!E95+Einträge!E108+Einträge!E121+Einträge!E134+Einträge!E147+Einträge!E160+Einträge!E173+Einträge!E186+Einträge!E199+Einträge!E212+Einträge!E225+Einträge!E238+Einträge!E251+Einträge!E264+Einträge!E277+Einträge!E291+Einträge!F304</f>
        <v>0</v>
      </c>
      <c r="E37" s="523">
        <f>Einträge!E31+Einträge!E44+Einträge!E57+Einträge!E70+Einträge!E83+Einträge!E96+Einträge!E109+Einträge!E122+Einträge!E135+Einträge!E148+Einträge!E161+Einträge!E174+Einträge!E187+Einträge!E200+Einträge!E213+Einträge!E226+Einträge!E239+Einträge!E252+Einträge!E265+Einträge!E278+Einträge!E292+Einträge!F305</f>
        <v>0</v>
      </c>
      <c r="F37" s="523">
        <f>Einträge!E32+Einträge!E45+Einträge!E58+Einträge!E71+Einträge!E84+Einträge!E97+Einträge!E110+Einträge!E123+Einträge!E136+Einträge!E149+Einträge!E162+Einträge!E175+Einträge!E188+Einträge!E201+Einträge!E214+Einträge!E227+Einträge!E240+Einträge!E253+Einträge!E266+Einträge!E279+Einträge!E293+Einträge!F306</f>
        <v>0</v>
      </c>
      <c r="G37" s="523">
        <f>Einträge!E33+Einträge!E46+Einträge!E59+Einträge!E72+Einträge!E85+Einträge!E98+Einträge!E111+Einträge!E124+Einträge!E137+Einträge!E150+Einträge!E163+Einträge!E176+Einträge!E189+Einträge!E202+Einträge!E215+Einträge!E228+Einträge!E241+Einträge!E254+Einträge!E267+Einträge!E280+Einträge!E294+Einträge!F307</f>
        <v>0</v>
      </c>
      <c r="H37" s="523">
        <f>Einträge!E34+Einträge!E47+Einträge!E60+Einträge!E73+Einträge!E86+Einträge!E99+Einträge!E112+Einträge!E125+Einträge!E138+Einträge!E151+Einträge!E164+Einträge!E177+Einträge!E190+Einträge!E203+Einträge!E216+Einträge!E229+Einträge!E242+Einträge!E255+Einträge!E268+Einträge!E281+Einträge!E295+Einträge!F308</f>
        <v>0</v>
      </c>
      <c r="I37" s="523">
        <f>Einträge!E35+Einträge!E48+Einträge!E61+Einträge!E74+Einträge!E87+Einträge!E100+Einträge!E113+Einträge!E126+Einträge!E139+Einträge!E152+Einträge!E165+Einträge!E178+Einträge!E191+Einträge!E204+Einträge!E217+Einträge!E230+Einträge!E243+Einträge!E256+Einträge!E269+Einträge!E282+Einträge!E296+Einträge!F309</f>
        <v>0</v>
      </c>
      <c r="J37" s="523">
        <f>Einträge!E36+Einträge!E49+Einträge!E62+Einträge!E75+Einträge!E88+Einträge!E101+Einträge!E114+Einträge!E127+Einträge!E140+Einträge!E153+Einträge!E166+Einträge!E179+Einträge!E192+Einträge!E205+Einträge!E218+Einträge!E231+Einträge!E244+Einträge!E257+Einträge!E270+Einträge!E283+Einträge!E297+Einträge!F310</f>
        <v>0</v>
      </c>
      <c r="K37" s="523">
        <f>Einträge!E37+Einträge!E50+Einträge!E63+Einträge!E76+Einträge!E89+Einträge!E102+Einträge!E115+Einträge!E128+Einträge!E141+Einträge!E154+Einträge!E167+Einträge!E180+Einträge!E193+Einträge!E206+Einträge!E219+Einträge!E232+Einträge!E245+Einträge!E258+Einträge!E271+Einträge!E284+Einträge!E298+Einträge!F311</f>
        <v>0</v>
      </c>
      <c r="L37" s="523">
        <f>Einträge!E38+Einträge!E51+Einträge!E64+Einträge!E77+Einträge!E90+Einträge!E103+Einträge!E116+Einträge!E129+Einträge!E142+Einträge!E155+Einträge!E168+Einträge!E181+Einträge!E194+Einträge!E207+Einträge!E220+Einträge!E233+Einträge!E246+Einträge!E259+Einträge!E272+Einträge!E285+Einträge!E299+Einträge!F312</f>
        <v>0</v>
      </c>
      <c r="M37" s="523">
        <f>Einträge!E39+Einträge!E52+Einträge!E65+Einträge!E78+Einträge!E91+Einträge!E104+Einträge!E117+Einträge!E130+Einträge!E143+Einträge!E156+Einträge!E169+Einträge!E182+Einträge!E195+Einträge!E208+Einträge!E221+Einträge!E234+Einträge!E247+Einträge!E260+Einträge!E273+Einträge!E286+Einträge!E300+Einträge!F313</f>
        <v>0</v>
      </c>
      <c r="N37" s="523">
        <f>Einträge!E40+Einträge!E53+Einträge!E66+Einträge!E79+Einträge!E92+Einträge!E105+Einträge!E118+Einträge!E131+Einträge!E144+Einträge!E157+Einträge!E170+Einträge!E183+Einträge!E196+Einträge!E209+Einträge!E222+Einträge!E235+Einträge!E248+Einträge!E261+Einträge!E274+Einträge!E287+Einträge!E301+Einträge!F314</f>
        <v>0</v>
      </c>
      <c r="O37" s="524">
        <f>Einträge!E41+Einträge!E54+Einträge!E67+Einträge!E80+Einträge!E93+Einträge!E106+Einträge!E119+Einträge!E132+Einträge!E145+Einträge!E158+Einträge!E171+Einträge!E184+Einträge!E197+Einträge!E210+Einträge!E223+Einträge!E236+Einträge!E249+Einträge!E262+Einträge!E275+Einträge!E288+Einträge!E302+Einträge!F315</f>
        <v>0</v>
      </c>
      <c r="P37" s="56"/>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row>
    <row r="38" spans="1:55" s="22" customFormat="1" ht="6" customHeight="1">
      <c r="A38" s="48"/>
      <c r="B38" s="521"/>
      <c r="C38" s="54"/>
      <c r="D38" s="490"/>
      <c r="E38" s="491"/>
      <c r="F38" s="491"/>
      <c r="G38" s="491"/>
      <c r="H38" s="491"/>
      <c r="I38" s="491"/>
      <c r="J38" s="491"/>
      <c r="K38" s="491"/>
      <c r="L38" s="491"/>
      <c r="M38" s="491"/>
      <c r="N38" s="491"/>
      <c r="O38" s="492"/>
      <c r="P38" s="56"/>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row>
    <row r="39" spans="1:55" s="22" customFormat="1" ht="10.95" customHeight="1">
      <c r="A39" s="48"/>
      <c r="B39" s="65" t="s">
        <v>644</v>
      </c>
      <c r="C39" s="478"/>
      <c r="D39" s="480">
        <f>SUM(D33:D37)</f>
        <v>0</v>
      </c>
      <c r="E39" s="481">
        <f t="shared" ref="E39:O39" si="1">SUM(E33:E37)</f>
        <v>0</v>
      </c>
      <c r="F39" s="481">
        <f t="shared" si="1"/>
        <v>0</v>
      </c>
      <c r="G39" s="481">
        <f t="shared" si="1"/>
        <v>0</v>
      </c>
      <c r="H39" s="481">
        <f t="shared" si="1"/>
        <v>0</v>
      </c>
      <c r="I39" s="481">
        <f t="shared" si="1"/>
        <v>0</v>
      </c>
      <c r="J39" s="481">
        <f t="shared" si="1"/>
        <v>0</v>
      </c>
      <c r="K39" s="481">
        <f t="shared" si="1"/>
        <v>0</v>
      </c>
      <c r="L39" s="481">
        <f t="shared" si="1"/>
        <v>0</v>
      </c>
      <c r="M39" s="481">
        <f t="shared" si="1"/>
        <v>0</v>
      </c>
      <c r="N39" s="481">
        <f t="shared" si="1"/>
        <v>0</v>
      </c>
      <c r="O39" s="482">
        <f t="shared" si="1"/>
        <v>0</v>
      </c>
      <c r="P39" s="56"/>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row>
    <row r="40" spans="1:55" s="22" customFormat="1" ht="6" customHeight="1">
      <c r="A40" s="48"/>
      <c r="B40" s="65"/>
      <c r="C40" s="478"/>
      <c r="D40" s="618"/>
      <c r="E40" s="619"/>
      <c r="F40" s="619"/>
      <c r="G40" s="619"/>
      <c r="H40" s="619"/>
      <c r="I40" s="619"/>
      <c r="J40" s="619"/>
      <c r="K40" s="619"/>
      <c r="L40" s="619"/>
      <c r="M40" s="619"/>
      <c r="N40" s="619"/>
      <c r="O40" s="620"/>
      <c r="P40" s="56"/>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row>
    <row r="41" spans="1:55" s="22" customFormat="1" ht="6.75" customHeight="1">
      <c r="A41" s="48"/>
      <c r="B41" s="521"/>
      <c r="C41" s="58"/>
      <c r="D41" s="59"/>
      <c r="E41" s="60"/>
      <c r="F41" s="60"/>
      <c r="G41" s="60"/>
      <c r="H41" s="60"/>
      <c r="I41" s="60"/>
      <c r="J41" s="60"/>
      <c r="K41" s="60"/>
      <c r="L41" s="60"/>
      <c r="M41" s="60"/>
      <c r="N41" s="60"/>
      <c r="O41" s="60"/>
      <c r="P41" s="61"/>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row>
    <row r="42" spans="1:55" s="22" customFormat="1" ht="6.75" customHeight="1">
      <c r="A42" s="48"/>
      <c r="B42" s="521"/>
      <c r="C42" s="55"/>
      <c r="D42" s="57"/>
      <c r="E42" s="55"/>
      <c r="F42" s="55"/>
      <c r="G42" s="55"/>
      <c r="H42" s="55"/>
      <c r="I42" s="55"/>
      <c r="J42" s="55"/>
      <c r="K42" s="55"/>
      <c r="L42" s="55"/>
      <c r="M42" s="55"/>
      <c r="N42" s="55"/>
      <c r="O42" s="55"/>
      <c r="P42" s="55"/>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row>
    <row r="43" spans="1:55" s="22" customFormat="1" ht="6.75" customHeight="1" thickBot="1">
      <c r="A43" s="48"/>
      <c r="B43" s="521"/>
      <c r="C43" s="50"/>
      <c r="D43" s="51"/>
      <c r="E43" s="52"/>
      <c r="F43" s="52"/>
      <c r="G43" s="52"/>
      <c r="H43" s="52"/>
      <c r="I43" s="52"/>
      <c r="J43" s="52"/>
      <c r="K43" s="52"/>
      <c r="L43" s="52"/>
      <c r="M43" s="52"/>
      <c r="N43" s="52"/>
      <c r="O43" s="52"/>
      <c r="P43" s="53"/>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row>
    <row r="44" spans="1:55" ht="13.2">
      <c r="A44" s="48"/>
      <c r="B44" s="521" t="s">
        <v>645</v>
      </c>
      <c r="C44" s="54"/>
      <c r="D44" s="603">
        <f>IF(D27=0,0,D39/D27)</f>
        <v>0</v>
      </c>
      <c r="E44" s="604">
        <f t="shared" ref="E44:O44" si="2">IF(E27=0,0,E39/E27)</f>
        <v>0</v>
      </c>
      <c r="F44" s="604">
        <f t="shared" si="2"/>
        <v>0</v>
      </c>
      <c r="G44" s="604">
        <f t="shared" si="2"/>
        <v>0</v>
      </c>
      <c r="H44" s="604">
        <f t="shared" si="2"/>
        <v>0</v>
      </c>
      <c r="I44" s="604">
        <f t="shared" si="2"/>
        <v>0</v>
      </c>
      <c r="J44" s="604">
        <f t="shared" si="2"/>
        <v>0</v>
      </c>
      <c r="K44" s="604">
        <f t="shared" si="2"/>
        <v>0</v>
      </c>
      <c r="L44" s="604">
        <f t="shared" si="2"/>
        <v>0</v>
      </c>
      <c r="M44" s="604">
        <f t="shared" si="2"/>
        <v>0</v>
      </c>
      <c r="N44" s="604">
        <f t="shared" si="2"/>
        <v>0</v>
      </c>
      <c r="O44" s="605">
        <f t="shared" si="2"/>
        <v>0</v>
      </c>
      <c r="P44" s="469"/>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5"/>
      <c r="AO44" s="465"/>
      <c r="AP44" s="465"/>
      <c r="AQ44" s="465"/>
      <c r="AR44" s="465"/>
      <c r="AS44" s="465"/>
      <c r="AT44" s="465"/>
      <c r="AU44" s="465"/>
      <c r="AV44" s="465"/>
      <c r="AW44" s="465"/>
      <c r="AX44" s="465"/>
      <c r="AY44" s="465"/>
      <c r="AZ44" s="465"/>
      <c r="BA44" s="465"/>
      <c r="BB44" s="465"/>
      <c r="BC44" s="465"/>
    </row>
    <row r="45" spans="1:55" ht="6" customHeight="1">
      <c r="A45" s="465"/>
      <c r="B45" s="521"/>
      <c r="C45" s="478"/>
      <c r="D45" s="172"/>
      <c r="E45" s="62"/>
      <c r="F45" s="62"/>
      <c r="G45" s="62"/>
      <c r="H45" s="62"/>
      <c r="I45" s="62"/>
      <c r="J45" s="62"/>
      <c r="K45" s="62"/>
      <c r="L45" s="62"/>
      <c r="M45" s="62"/>
      <c r="N45" s="62"/>
      <c r="O45" s="173"/>
      <c r="P45" s="469"/>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5"/>
      <c r="AO45" s="465"/>
      <c r="AP45" s="465"/>
      <c r="AQ45" s="465"/>
      <c r="AR45" s="465"/>
      <c r="AS45" s="465"/>
      <c r="AT45" s="465"/>
      <c r="AU45" s="465"/>
      <c r="AV45" s="465"/>
      <c r="AW45" s="465"/>
      <c r="AX45" s="465"/>
      <c r="AY45" s="465"/>
      <c r="AZ45" s="465"/>
      <c r="BA45" s="465"/>
      <c r="BB45" s="465"/>
      <c r="BC45" s="465"/>
    </row>
    <row r="46" spans="1:55" s="22" customFormat="1" ht="10.95" customHeight="1">
      <c r="A46" s="465"/>
      <c r="B46" s="521" t="s">
        <v>92</v>
      </c>
      <c r="C46" s="478"/>
      <c r="D46" s="480" t="e">
        <f>((Nutzung!$D$42)*(EBF!$F$39)*1000)/(((Bauteile!$U$127)+(Bauteile!$U$261)+(Bauteile!$U$575)+(Bauteile!$U$657)+(Bauteile!$U$700)+(Bauteile!$U$914)+(Bauteile!$U$970)+(Bauteile!$U$1028)+(Bauteile!$U$1149)+(Bauteile!$U$1257)+(Bauteile!$U$1300)+(Bauteile!$U$1356))+(Nutzung!$J$31)*(EBF!$F$39)*(Lüftung!$E$4))</f>
        <v>#VALUE!</v>
      </c>
      <c r="E46" s="481" t="e">
        <f>((Nutzung!$D$42)*(EBF!$F$39)*1000)/(((Bauteile!$U$127)+(Bauteile!$U$261)+(Bauteile!$U$575)+(Bauteile!$U$657)+(Bauteile!$U$700)+(Bauteile!$U$914)+(Bauteile!$U$970)+(Bauteile!$U$1028)+(Bauteile!$U$1149)+(Bauteile!$U$1257)+(Bauteile!$U$1300)+(Bauteile!$U$1356))+(Nutzung!$J$31)*(EBF!$F$39)*(Lüftung!$E$4))</f>
        <v>#VALUE!</v>
      </c>
      <c r="F46" s="481" t="e">
        <f>((Nutzung!$D$42)*(EBF!$F$39)*1000)/(((Bauteile!$U$127)+(Bauteile!$U$261)+(Bauteile!$U$575)+(Bauteile!$U$657)+(Bauteile!$U$700)+(Bauteile!$U$914)+(Bauteile!$U$970)+(Bauteile!$U$1028)+(Bauteile!$U$1149)+(Bauteile!$U$1257)+(Bauteile!$U$1300)+(Bauteile!$U$1356))+(Nutzung!$J$31)*(EBF!$F$39)*(Lüftung!$E$4))</f>
        <v>#VALUE!</v>
      </c>
      <c r="G46" s="481" t="e">
        <f>((Nutzung!$D$42)*(EBF!$F$39)*1000)/(((Bauteile!$U$127)+(Bauteile!$U$261)+(Bauteile!$U$575)+(Bauteile!$U$657)+(Bauteile!$U$700)+(Bauteile!$U$914)+(Bauteile!$U$970)+(Bauteile!$U$1028)+(Bauteile!$U$1149)+(Bauteile!$U$1257)+(Bauteile!$U$1300)+(Bauteile!$U$1356))+(Nutzung!$J$31)*(EBF!$F$39)*(Lüftung!$E$4))</f>
        <v>#VALUE!</v>
      </c>
      <c r="H46" s="481" t="e">
        <f>((Nutzung!$D$42)*(EBF!$F$39)*1000)/(((Bauteile!$U$127)+(Bauteile!$U$261)+(Bauteile!$U$575)+(Bauteile!$U$657)+(Bauteile!$U$700)+(Bauteile!$U$914)+(Bauteile!$U$970)+(Bauteile!$U$1028)+(Bauteile!$U$1149)+(Bauteile!$U$1257)+(Bauteile!$U$1300)+(Bauteile!$U$1356))+(Nutzung!$J$31)*(EBF!$F$39)*(Lüftung!$E$4))</f>
        <v>#VALUE!</v>
      </c>
      <c r="I46" s="481" t="e">
        <f>((Nutzung!$D$42)*(EBF!$F$39)*1000)/(((Bauteile!$U$127)+(Bauteile!$U$261)+(Bauteile!$U$575)+(Bauteile!$U$657)+(Bauteile!$U$700)+(Bauteile!$U$914)+(Bauteile!$U$970)+(Bauteile!$U$1028)+(Bauteile!$U$1149)+(Bauteile!$U$1257)+(Bauteile!$U$1300)+(Bauteile!$U$1356))+(Nutzung!$J$31)*(EBF!$F$39)*(Lüftung!$E$4))</f>
        <v>#VALUE!</v>
      </c>
      <c r="J46" s="481" t="e">
        <f>((Nutzung!$D$42)*(EBF!$F$39)*1000)/(((Bauteile!$U$127)+(Bauteile!$U$261)+(Bauteile!$U$575)+(Bauteile!$U$657)+(Bauteile!$U$700)+(Bauteile!$U$914)+(Bauteile!$U$970)+(Bauteile!$U$1028)+(Bauteile!$U$1149)+(Bauteile!$U$1257)+(Bauteile!$U$1300)+(Bauteile!$U$1356))+(Nutzung!$J$31)*(EBF!$F$39)*(Lüftung!$E$4))</f>
        <v>#VALUE!</v>
      </c>
      <c r="K46" s="481" t="e">
        <f>((Nutzung!$D$42)*(EBF!$F$39)*1000)/(((Bauteile!$U$127)+(Bauteile!$U$261)+(Bauteile!$U$575)+(Bauteile!$U$657)+(Bauteile!$U$700)+(Bauteile!$U$914)+(Bauteile!$U$970)+(Bauteile!$U$1028)+(Bauteile!$U$1149)+(Bauteile!$U$1257)+(Bauteile!$U$1300)+(Bauteile!$U$1356))+(Nutzung!$J$31)*(EBF!$F$39)*(Lüftung!$E$4))</f>
        <v>#VALUE!</v>
      </c>
      <c r="L46" s="481" t="e">
        <f>((Nutzung!$D$42)*(EBF!$F$39)*1000)/(((Bauteile!$U$127)+(Bauteile!$U$261)+(Bauteile!$U$575)+(Bauteile!$U$657)+(Bauteile!$U$700)+(Bauteile!$U$914)+(Bauteile!$U$970)+(Bauteile!$U$1028)+(Bauteile!$U$1149)+(Bauteile!$U$1257)+(Bauteile!$U$1300)+(Bauteile!$U$1356))+(Nutzung!$J$31)*(EBF!$F$39)*(Lüftung!$E$4))</f>
        <v>#VALUE!</v>
      </c>
      <c r="M46" s="481" t="e">
        <f>((Nutzung!$D$42)*(EBF!$F$39)*1000)/(((Bauteile!$U$127)+(Bauteile!$U$261)+(Bauteile!$U$575)+(Bauteile!$U$657)+(Bauteile!$U$700)+(Bauteile!$U$914)+(Bauteile!$U$970)+(Bauteile!$U$1028)+(Bauteile!$U$1149)+(Bauteile!$U$1257)+(Bauteile!$U$1300)+(Bauteile!$U$1356))+(Nutzung!$J$31)*(EBF!$F$39)*(Lüftung!$E$4))</f>
        <v>#VALUE!</v>
      </c>
      <c r="N46" s="481" t="e">
        <f>((Nutzung!$D$42)*(EBF!$F$39)*1000)/(((Bauteile!$U$127)+(Bauteile!$U$261)+(Bauteile!$U$575)+(Bauteile!$U$657)+(Bauteile!$U$700)+(Bauteile!$U$914)+(Bauteile!$U$970)+(Bauteile!$U$1028)+(Bauteile!$U$1149)+(Bauteile!$U$1257)+(Bauteile!$U$1300)+(Bauteile!$U$1356))+(Nutzung!$J$31)*(EBF!$F$39)*(Lüftung!$E$4))</f>
        <v>#VALUE!</v>
      </c>
      <c r="O46" s="482" t="e">
        <f>((Nutzung!$D$42)*(EBF!$F$39)*1000)/(((Bauteile!$U$127)+(Bauteile!$U$261)+(Bauteile!$U$575)+(Bauteile!$U$657)+(Bauteile!$U$700)+(Bauteile!$U$914)+(Bauteile!$U$970)+(Bauteile!$U$1028)+(Bauteile!$U$1149)+(Bauteile!$U$1257)+(Bauteile!$U$1300)+(Bauteile!$U$1356))+(Nutzung!$J$31)*(EBF!$F$39)*(Lüftung!$E$4))</f>
        <v>#VALUE!</v>
      </c>
      <c r="P46" s="56"/>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row>
    <row r="47" spans="1:55" s="22" customFormat="1" ht="6" customHeight="1">
      <c r="A47" s="465"/>
      <c r="B47" s="521"/>
      <c r="C47" s="478"/>
      <c r="D47" s="493"/>
      <c r="E47" s="62"/>
      <c r="F47" s="62"/>
      <c r="G47" s="62"/>
      <c r="H47" s="62"/>
      <c r="I47" s="62"/>
      <c r="J47" s="62"/>
      <c r="K47" s="62"/>
      <c r="L47" s="62"/>
      <c r="M47" s="62"/>
      <c r="N47" s="62"/>
      <c r="O47" s="173"/>
      <c r="P47" s="56"/>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row>
    <row r="48" spans="1:55" s="22" customFormat="1" ht="10.95" customHeight="1">
      <c r="A48" s="465"/>
      <c r="B48" s="521" t="s">
        <v>209</v>
      </c>
      <c r="C48" s="478"/>
      <c r="D48" s="606">
        <f>((Bauteile!$K$1433+Bauteile!$K$1434)+(Nutzung!$J$31*EBF!$F$39*Lüftung!$E$4/3600))*(1+Daten!I43)</f>
        <v>0</v>
      </c>
      <c r="E48" s="607">
        <f>((Bauteile!$K$1433+Bauteile!$K$1434)+(Nutzung!$J$31*EBF!$F$39*Lüftung!$E$4/3600))*(1+Daten!I43)</f>
        <v>0</v>
      </c>
      <c r="F48" s="607">
        <f>((Bauteile!$K$1433+Bauteile!$K$1434)+(Nutzung!$J$31*EBF!$F$39*Lüftung!$E$4/3600))*(1+Daten!I43)</f>
        <v>0</v>
      </c>
      <c r="G48" s="607">
        <f>((Bauteile!$K$1433+Bauteile!$K$1434)+(Nutzung!$J$31*EBF!$F$39*Lüftung!$E$4/3600))*(1+Daten!I43)</f>
        <v>0</v>
      </c>
      <c r="H48" s="607">
        <f>((Bauteile!$K$1433+Bauteile!$K$1434)+(Nutzung!$J$31*EBF!$F$39*Lüftung!$E$4/3600))*(1+Daten!I43)</f>
        <v>0</v>
      </c>
      <c r="I48" s="607">
        <f>((Bauteile!$K$1433+Bauteile!$K$1434)+(Nutzung!$J$31*EBF!$F$39*Lüftung!$E$4/3600))*(1+Daten!I43)</f>
        <v>0</v>
      </c>
      <c r="J48" s="608">
        <f>((Bauteile!$K$1433+Bauteile!$K$1434)+(Nutzung!$J$31*EBF!$F$39*Lüftung!$E$4/3600))*(1+Daten!I43)</f>
        <v>0</v>
      </c>
      <c r="K48" s="609">
        <f>((Bauteile!$K$1433+Bauteile!$K$1434)+(Nutzung!$J$31*EBF!$F$39*Lüftung!$E$4/3600))*(1+Daten!I43)</f>
        <v>0</v>
      </c>
      <c r="L48" s="609">
        <f>((Bauteile!$K$1433+Bauteile!$K$1434)+(Nutzung!$J$31*EBF!$F$39*Lüftung!$E$4/3600))*(1+Daten!I43)</f>
        <v>0</v>
      </c>
      <c r="M48" s="609">
        <f>((Bauteile!$K$1433+Bauteile!$K$1434)+(Nutzung!$J$31*EBF!$F$39*Lüftung!$E$4/3600))*(1+Daten!I43)</f>
        <v>0</v>
      </c>
      <c r="N48" s="609">
        <f>((Bauteile!$K$1433+Bauteile!$K$1434)+(Nutzung!$J$31*EBF!$F$39*Lüftung!$E$4/3600))*(1+Daten!I43)</f>
        <v>0</v>
      </c>
      <c r="O48" s="610">
        <f>((Bauteile!$K$1433+Bauteile!$K$1434)+(Nutzung!$J$31*EBF!$F$39*Lüftung!$E$4/3600))*(1+Daten!I43)</f>
        <v>0</v>
      </c>
      <c r="P48" s="56"/>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row>
    <row r="49" spans="1:55" s="22" customFormat="1" ht="6" customHeight="1">
      <c r="A49" s="48"/>
      <c r="B49" s="521"/>
      <c r="C49" s="54"/>
      <c r="D49" s="172"/>
      <c r="E49" s="62"/>
      <c r="F49" s="62"/>
      <c r="G49" s="62"/>
      <c r="H49" s="62"/>
      <c r="I49" s="62"/>
      <c r="J49" s="62"/>
      <c r="K49" s="62"/>
      <c r="L49" s="62"/>
      <c r="M49" s="62"/>
      <c r="N49" s="62"/>
      <c r="O49" s="173"/>
      <c r="P49" s="56"/>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row>
    <row r="50" spans="1:55" ht="13.2">
      <c r="A50" s="48"/>
      <c r="B50" s="521" t="s">
        <v>550</v>
      </c>
      <c r="C50" s="54"/>
      <c r="D50" s="611" t="e">
        <f>Nutzung!$J$34+(Bilanz!D46/Nutzung!$G$34)</f>
        <v>#VALUE!</v>
      </c>
      <c r="E50" s="481" t="e">
        <f>Nutzung!$J$34+(Bilanz!E46/Nutzung!$G$34)</f>
        <v>#VALUE!</v>
      </c>
      <c r="F50" s="481" t="e">
        <f>Nutzung!$J$34+(Bilanz!F46/Nutzung!$G$34)</f>
        <v>#VALUE!</v>
      </c>
      <c r="G50" s="481" t="e">
        <f>Nutzung!$J$34+(Bilanz!G46/Nutzung!$G$34)</f>
        <v>#VALUE!</v>
      </c>
      <c r="H50" s="481" t="e">
        <f>Nutzung!$J$34+(Bilanz!H46/Nutzung!$G$34)</f>
        <v>#VALUE!</v>
      </c>
      <c r="I50" s="481" t="e">
        <f>Nutzung!$J$34+(Bilanz!I46/Nutzung!$G$34)</f>
        <v>#VALUE!</v>
      </c>
      <c r="J50" s="481" t="e">
        <f>Nutzung!$J$34+(Bilanz!J46/Nutzung!$G$34)</f>
        <v>#VALUE!</v>
      </c>
      <c r="K50" s="481" t="e">
        <f>Nutzung!$J$34+(Bilanz!K46/Nutzung!$G$34)</f>
        <v>#VALUE!</v>
      </c>
      <c r="L50" s="481" t="e">
        <f>Nutzung!$J$34+(Bilanz!L46/Nutzung!$G$34)</f>
        <v>#VALUE!</v>
      </c>
      <c r="M50" s="481" t="e">
        <f>Nutzung!$J$34+(Bilanz!M46/Nutzung!$G$34)</f>
        <v>#VALUE!</v>
      </c>
      <c r="N50" s="481" t="e">
        <f>Nutzung!$J$34+(Bilanz!N46/Nutzung!$G$34)</f>
        <v>#VALUE!</v>
      </c>
      <c r="O50" s="610" t="e">
        <f>Nutzung!$J$34+(Bilanz!O46/Nutzung!$G$34)</f>
        <v>#VALUE!</v>
      </c>
      <c r="P50" s="469"/>
      <c r="Q50" s="465"/>
      <c r="R50" s="465"/>
      <c r="S50" s="465"/>
      <c r="T50" s="465"/>
      <c r="U50" s="465"/>
      <c r="V50" s="465"/>
      <c r="W50" s="465"/>
      <c r="X50" s="465"/>
      <c r="Y50" s="465"/>
      <c r="Z50" s="465"/>
      <c r="AA50" s="465"/>
      <c r="AB50" s="465"/>
      <c r="AC50" s="465"/>
      <c r="AD50" s="465"/>
      <c r="AE50" s="465"/>
      <c r="AF50" s="465"/>
      <c r="AG50" s="465"/>
      <c r="AH50" s="465"/>
      <c r="AI50" s="465"/>
      <c r="AJ50" s="465"/>
      <c r="AK50" s="465"/>
      <c r="AL50" s="465"/>
      <c r="AM50" s="465"/>
      <c r="AN50" s="465"/>
      <c r="AO50" s="465"/>
      <c r="AP50" s="465"/>
      <c r="AQ50" s="465"/>
      <c r="AR50" s="465"/>
      <c r="AS50" s="465"/>
      <c r="AT50" s="465"/>
      <c r="AU50" s="465"/>
      <c r="AV50" s="465"/>
      <c r="AW50" s="465"/>
      <c r="AX50" s="465"/>
      <c r="AY50" s="465"/>
      <c r="AZ50" s="465"/>
      <c r="BA50" s="465"/>
      <c r="BB50" s="465"/>
      <c r="BC50" s="465"/>
    </row>
    <row r="51" spans="1:55" s="22" customFormat="1" ht="6" customHeight="1">
      <c r="A51" s="465"/>
      <c r="B51" s="521"/>
      <c r="C51" s="478"/>
      <c r="D51" s="493"/>
      <c r="E51" s="62"/>
      <c r="F51" s="62"/>
      <c r="G51" s="62"/>
      <c r="H51" s="62"/>
      <c r="I51" s="62"/>
      <c r="J51" s="62"/>
      <c r="K51" s="62"/>
      <c r="L51" s="62"/>
      <c r="M51" s="62"/>
      <c r="N51" s="62"/>
      <c r="O51" s="173"/>
      <c r="P51" s="56"/>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row>
    <row r="52" spans="1:55" s="22" customFormat="1" ht="10.95" customHeight="1">
      <c r="A52" s="48"/>
      <c r="B52" s="521" t="s">
        <v>646</v>
      </c>
      <c r="C52" s="494" t="s">
        <v>102</v>
      </c>
      <c r="D52" s="480">
        <f t="shared" ref="D52:O52" si="3">IF(SUM(D22:D25)&lt;=0,0,1)</f>
        <v>0</v>
      </c>
      <c r="E52" s="481">
        <f t="shared" si="3"/>
        <v>0</v>
      </c>
      <c r="F52" s="481">
        <f t="shared" si="3"/>
        <v>0</v>
      </c>
      <c r="G52" s="481">
        <f t="shared" si="3"/>
        <v>0</v>
      </c>
      <c r="H52" s="481">
        <f t="shared" si="3"/>
        <v>0</v>
      </c>
      <c r="I52" s="481">
        <f t="shared" si="3"/>
        <v>0</v>
      </c>
      <c r="J52" s="481">
        <f t="shared" si="3"/>
        <v>0</v>
      </c>
      <c r="K52" s="481">
        <f t="shared" si="3"/>
        <v>0</v>
      </c>
      <c r="L52" s="481">
        <f t="shared" si="3"/>
        <v>0</v>
      </c>
      <c r="M52" s="481">
        <f t="shared" si="3"/>
        <v>0</v>
      </c>
      <c r="N52" s="481">
        <f t="shared" si="3"/>
        <v>0</v>
      </c>
      <c r="O52" s="482">
        <f t="shared" si="3"/>
        <v>0</v>
      </c>
      <c r="P52" s="56"/>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8"/>
      <c r="AZ52" s="48"/>
      <c r="BA52" s="48"/>
      <c r="BB52" s="48"/>
      <c r="BC52" s="48"/>
    </row>
    <row r="53" spans="1:55" s="22" customFormat="1" ht="13.2">
      <c r="A53" s="48"/>
      <c r="B53" s="521"/>
      <c r="C53" s="494" t="s">
        <v>103</v>
      </c>
      <c r="D53" s="577" t="e">
        <f>IF(D$44=1,Nutzung!J34/(Nutzung!J34+1),(((1-(D$44^D$50))/(1-((D$44)^(D$50+1))))))</f>
        <v>#VALUE!</v>
      </c>
      <c r="E53" s="578" t="e">
        <f>IF(E$44=1,Nutzung!#REF!/(Nutzung!#REF!+1),(((1-(E$44^E$50))/(1-((E$44)^(E$50+1))))))</f>
        <v>#VALUE!</v>
      </c>
      <c r="F53" s="578" t="e">
        <f>IF(F$44=1,Nutzung!K35/(Nutzung!K35+1),(((1-(F$44^F$50))/(1-((F$44)^(F$50+1))))))</f>
        <v>#VALUE!</v>
      </c>
      <c r="G53" s="578" t="e">
        <f>IF(G$44=1,Nutzung!L35/(Nutzung!L35+1),(((1-(G$44^G$50))/(1-((G$44)^(G$50+1))))))</f>
        <v>#VALUE!</v>
      </c>
      <c r="H53" s="578" t="e">
        <f>IF(H$44=1,Nutzung!M35/(Nutzung!M35+1),(((1-(H$44^H$50))/(1-((H$44)^(H$50+1))))))</f>
        <v>#VALUE!</v>
      </c>
      <c r="I53" s="578" t="e">
        <f>IF(I$44=1,Nutzung!N35/(Nutzung!N35+1),(((1-(I$44^I$50))/(1-((I$44)^(I$50+1))))))</f>
        <v>#VALUE!</v>
      </c>
      <c r="J53" s="578" t="e">
        <f>IF(J$44=1,Nutzung!O35/(Nutzung!O35+1),(((1-(J$44^J$50))/(1-((J$44)^(J$50+1))))))</f>
        <v>#VALUE!</v>
      </c>
      <c r="K53" s="578" t="e">
        <f>IF(K$44=1,Nutzung!P35/(Nutzung!P35+1),(((1-(K$44^K$50))/(1-((K$44)^(K$50+1))))))</f>
        <v>#VALUE!</v>
      </c>
      <c r="L53" s="578" t="e">
        <f>IF(L$44=1,Nutzung!Q35/(Nutzung!Q35+1),(((1-(L$44^L$50))/(1-((L$44)^(L$50+1))))))</f>
        <v>#VALUE!</v>
      </c>
      <c r="M53" s="578" t="e">
        <f>IF(M$44=1,Nutzung!R35/(Nutzung!R35+1),(((1-(M$44^M$50))/(1-((M$44)^(M$50+1))))))</f>
        <v>#VALUE!</v>
      </c>
      <c r="N53" s="578" t="e">
        <f>IF(N$44=1,Nutzung!S35/(Nutzung!S35+1),(((1-(N$44^N$50))/(1-((N$44)^(N$50+1))))))</f>
        <v>#VALUE!</v>
      </c>
      <c r="O53" s="579" t="e">
        <f>IF(O$44=1,Nutzung!T35/(Nutzung!T35+1),(((1-(O$44^O$50))/(1-((O$44)^(O$50+1))))))</f>
        <v>#VALUE!</v>
      </c>
      <c r="P53" s="56"/>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8"/>
      <c r="BB53" s="48"/>
      <c r="BC53" s="48"/>
    </row>
    <row r="54" spans="1:55" ht="13.2">
      <c r="A54" s="48"/>
      <c r="B54" s="521"/>
      <c r="C54" s="494" t="s">
        <v>104</v>
      </c>
      <c r="D54" s="612">
        <f>IF((D52)=0,0,D53)</f>
        <v>0</v>
      </c>
      <c r="E54" s="613">
        <f t="shared" ref="E54:O54" si="4">IF((E52)=0,0,E53)</f>
        <v>0</v>
      </c>
      <c r="F54" s="613">
        <f t="shared" si="4"/>
        <v>0</v>
      </c>
      <c r="G54" s="613">
        <f t="shared" si="4"/>
        <v>0</v>
      </c>
      <c r="H54" s="613">
        <f t="shared" si="4"/>
        <v>0</v>
      </c>
      <c r="I54" s="613">
        <f t="shared" si="4"/>
        <v>0</v>
      </c>
      <c r="J54" s="613">
        <f t="shared" si="4"/>
        <v>0</v>
      </c>
      <c r="K54" s="613">
        <f t="shared" si="4"/>
        <v>0</v>
      </c>
      <c r="L54" s="613">
        <f t="shared" si="4"/>
        <v>0</v>
      </c>
      <c r="M54" s="613">
        <f t="shared" si="4"/>
        <v>0</v>
      </c>
      <c r="N54" s="613">
        <f t="shared" si="4"/>
        <v>0</v>
      </c>
      <c r="O54" s="614">
        <f t="shared" si="4"/>
        <v>0</v>
      </c>
      <c r="P54" s="469"/>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5"/>
      <c r="AO54" s="465"/>
      <c r="AP54" s="465"/>
      <c r="AQ54" s="465"/>
      <c r="AR54" s="465"/>
      <c r="AS54" s="465"/>
      <c r="AT54" s="465"/>
      <c r="AU54" s="465"/>
      <c r="AV54" s="465"/>
      <c r="AW54" s="465"/>
      <c r="AX54" s="465"/>
      <c r="AY54" s="465"/>
      <c r="AZ54" s="465"/>
      <c r="BA54" s="465"/>
      <c r="BB54" s="465"/>
      <c r="BC54" s="465"/>
    </row>
    <row r="55" spans="1:55" ht="6" customHeight="1">
      <c r="A55" s="465"/>
      <c r="B55" s="521"/>
      <c r="C55" s="478"/>
      <c r="D55" s="176"/>
      <c r="E55" s="64"/>
      <c r="F55" s="64"/>
      <c r="G55" s="64"/>
      <c r="H55" s="64"/>
      <c r="I55" s="64"/>
      <c r="J55" s="64"/>
      <c r="K55" s="64"/>
      <c r="L55" s="64"/>
      <c r="M55" s="64"/>
      <c r="N55" s="64"/>
      <c r="O55" s="177"/>
      <c r="P55" s="469"/>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5"/>
      <c r="AO55" s="465"/>
      <c r="AP55" s="465"/>
      <c r="AQ55" s="465"/>
      <c r="AR55" s="465"/>
      <c r="AS55" s="465"/>
      <c r="AT55" s="465"/>
      <c r="AU55" s="465"/>
      <c r="AV55" s="465"/>
      <c r="AW55" s="465"/>
      <c r="AX55" s="465"/>
      <c r="AY55" s="465"/>
      <c r="AZ55" s="465"/>
      <c r="BA55" s="465"/>
      <c r="BB55" s="465"/>
      <c r="BC55" s="465"/>
    </row>
    <row r="56" spans="1:55" s="22" customFormat="1" ht="10.95" customHeight="1">
      <c r="A56" s="465"/>
      <c r="B56" s="521" t="s">
        <v>648</v>
      </c>
      <c r="C56" s="478"/>
      <c r="D56" s="483">
        <f t="shared" ref="D56:O56" si="5">D39*D54</f>
        <v>0</v>
      </c>
      <c r="E56" s="484">
        <f t="shared" si="5"/>
        <v>0</v>
      </c>
      <c r="F56" s="484">
        <f t="shared" si="5"/>
        <v>0</v>
      </c>
      <c r="G56" s="484">
        <f t="shared" si="5"/>
        <v>0</v>
      </c>
      <c r="H56" s="484">
        <f t="shared" si="5"/>
        <v>0</v>
      </c>
      <c r="I56" s="484">
        <f t="shared" si="5"/>
        <v>0</v>
      </c>
      <c r="J56" s="484">
        <f t="shared" si="5"/>
        <v>0</v>
      </c>
      <c r="K56" s="484">
        <f t="shared" si="5"/>
        <v>0</v>
      </c>
      <c r="L56" s="484">
        <f t="shared" si="5"/>
        <v>0</v>
      </c>
      <c r="M56" s="484">
        <f t="shared" si="5"/>
        <v>0</v>
      </c>
      <c r="N56" s="484">
        <f t="shared" si="5"/>
        <v>0</v>
      </c>
      <c r="O56" s="485">
        <f t="shared" si="5"/>
        <v>0</v>
      </c>
      <c r="P56" s="622">
        <f>SUM(D56:O56)</f>
        <v>0</v>
      </c>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48"/>
      <c r="BA56" s="48"/>
      <c r="BB56" s="48"/>
      <c r="BC56" s="48"/>
    </row>
    <row r="57" spans="1:55" s="22" customFormat="1" ht="6" customHeight="1">
      <c r="A57" s="48"/>
      <c r="B57" s="521"/>
      <c r="C57" s="54"/>
      <c r="D57" s="176"/>
      <c r="E57" s="64"/>
      <c r="F57" s="64"/>
      <c r="G57" s="64"/>
      <c r="H57" s="64"/>
      <c r="I57" s="64"/>
      <c r="J57" s="64"/>
      <c r="K57" s="64"/>
      <c r="L57" s="64"/>
      <c r="M57" s="64"/>
      <c r="N57" s="64"/>
      <c r="O57" s="177"/>
      <c r="P57" s="56"/>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48"/>
      <c r="AZ57" s="48"/>
      <c r="BA57" s="48"/>
      <c r="BB57" s="48"/>
      <c r="BC57" s="48"/>
    </row>
    <row r="58" spans="1:55" s="23" customFormat="1" ht="13.95" customHeight="1">
      <c r="A58" s="65"/>
      <c r="B58" s="65" t="s">
        <v>649</v>
      </c>
      <c r="C58" s="66"/>
      <c r="D58" s="615">
        <f t="shared" ref="D58:O58" si="6">D27-D56</f>
        <v>0</v>
      </c>
      <c r="E58" s="616">
        <f t="shared" si="6"/>
        <v>0</v>
      </c>
      <c r="F58" s="616">
        <f t="shared" si="6"/>
        <v>0</v>
      </c>
      <c r="G58" s="616">
        <f t="shared" si="6"/>
        <v>0</v>
      </c>
      <c r="H58" s="616">
        <f t="shared" si="6"/>
        <v>0</v>
      </c>
      <c r="I58" s="616">
        <f t="shared" si="6"/>
        <v>0</v>
      </c>
      <c r="J58" s="616">
        <f t="shared" si="6"/>
        <v>0</v>
      </c>
      <c r="K58" s="616">
        <f t="shared" si="6"/>
        <v>0</v>
      </c>
      <c r="L58" s="616">
        <f t="shared" si="6"/>
        <v>0</v>
      </c>
      <c r="M58" s="616">
        <f t="shared" si="6"/>
        <v>0</v>
      </c>
      <c r="N58" s="616">
        <f t="shared" si="6"/>
        <v>0</v>
      </c>
      <c r="O58" s="617">
        <f t="shared" si="6"/>
        <v>0</v>
      </c>
      <c r="P58" s="67"/>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row>
    <row r="59" spans="1:55" ht="6.75" customHeight="1">
      <c r="A59" s="465"/>
      <c r="B59" s="465"/>
      <c r="C59" s="470"/>
      <c r="D59" s="471"/>
      <c r="E59" s="472"/>
      <c r="F59" s="472"/>
      <c r="G59" s="472"/>
      <c r="H59" s="472"/>
      <c r="I59" s="472"/>
      <c r="J59" s="472"/>
      <c r="K59" s="472"/>
      <c r="L59" s="472"/>
      <c r="M59" s="472"/>
      <c r="N59" s="472"/>
      <c r="O59" s="472"/>
      <c r="P59" s="473"/>
      <c r="Q59" s="465"/>
      <c r="R59" s="465"/>
      <c r="S59" s="465"/>
      <c r="T59" s="465"/>
      <c r="U59" s="465"/>
      <c r="V59" s="465"/>
      <c r="W59" s="465"/>
      <c r="X59" s="465"/>
      <c r="Y59" s="465"/>
      <c r="Z59" s="465"/>
      <c r="AA59" s="465"/>
      <c r="AB59" s="465"/>
      <c r="AC59" s="465"/>
      <c r="AD59" s="465"/>
      <c r="AE59" s="465"/>
      <c r="AF59" s="465"/>
      <c r="AG59" s="465"/>
      <c r="AH59" s="465"/>
      <c r="AI59" s="465"/>
      <c r="AJ59" s="465"/>
      <c r="AK59" s="465"/>
      <c r="AL59" s="465"/>
      <c r="AM59" s="465"/>
      <c r="AN59" s="465"/>
      <c r="AO59" s="465"/>
      <c r="AP59" s="465"/>
      <c r="AQ59" s="465"/>
      <c r="AR59" s="465"/>
      <c r="AS59" s="465"/>
      <c r="AT59" s="465"/>
      <c r="AU59" s="465"/>
      <c r="AV59" s="465"/>
      <c r="AW59" s="465"/>
      <c r="AX59" s="465"/>
      <c r="AY59" s="465"/>
      <c r="AZ59" s="465"/>
      <c r="BA59" s="465"/>
      <c r="BB59" s="465"/>
      <c r="BC59" s="465"/>
    </row>
    <row r="60" spans="1:55">
      <c r="A60" s="465"/>
      <c r="B60" s="465"/>
      <c r="C60" s="465"/>
      <c r="D60" s="467"/>
      <c r="E60" s="465"/>
      <c r="F60" s="465"/>
      <c r="G60" s="465"/>
      <c r="H60" s="465"/>
      <c r="I60" s="465"/>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c r="AI60" s="465"/>
      <c r="AJ60" s="465"/>
      <c r="AK60" s="465"/>
      <c r="AL60" s="465"/>
      <c r="AM60" s="465"/>
      <c r="AN60" s="465"/>
      <c r="AO60" s="465"/>
      <c r="AP60" s="465"/>
      <c r="AQ60" s="465"/>
      <c r="AR60" s="465"/>
      <c r="AS60" s="465"/>
      <c r="AT60" s="465"/>
      <c r="AU60" s="465"/>
      <c r="AV60" s="465"/>
      <c r="AW60" s="465"/>
      <c r="AX60" s="465"/>
      <c r="AY60" s="465"/>
      <c r="AZ60" s="465"/>
      <c r="BA60" s="465"/>
      <c r="BB60" s="465"/>
      <c r="BC60" s="465"/>
    </row>
    <row r="61" spans="1:55">
      <c r="A61" s="465"/>
      <c r="B61" s="465"/>
      <c r="C61" s="465"/>
      <c r="D61" s="467"/>
      <c r="E61" s="465"/>
      <c r="F61" s="465"/>
      <c r="G61" s="465"/>
      <c r="H61" s="465"/>
      <c r="I61" s="465"/>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c r="AI61" s="465"/>
      <c r="AJ61" s="465"/>
      <c r="AK61" s="465"/>
      <c r="AL61" s="465"/>
      <c r="AM61" s="465"/>
      <c r="AN61" s="465"/>
      <c r="AO61" s="465"/>
      <c r="AP61" s="465"/>
      <c r="AQ61" s="465"/>
      <c r="AR61" s="465"/>
      <c r="AS61" s="465"/>
      <c r="AT61" s="465"/>
      <c r="AU61" s="465"/>
      <c r="AV61" s="465"/>
      <c r="AW61" s="465"/>
      <c r="AX61" s="465"/>
      <c r="AY61" s="465"/>
      <c r="AZ61" s="465"/>
      <c r="BA61" s="465"/>
      <c r="BB61" s="465"/>
      <c r="BC61" s="465"/>
    </row>
    <row r="62" spans="1:55">
      <c r="A62" s="465"/>
      <c r="B62" s="465"/>
      <c r="C62" s="465"/>
      <c r="D62" s="467"/>
      <c r="E62" s="465"/>
      <c r="F62" s="465"/>
      <c r="G62" s="465"/>
      <c r="H62" s="465"/>
      <c r="I62" s="465"/>
      <c r="J62" s="465"/>
      <c r="K62" s="465"/>
      <c r="L62" s="465"/>
      <c r="M62" s="465"/>
      <c r="N62" s="465"/>
      <c r="O62" s="465"/>
      <c r="P62" s="465"/>
      <c r="Q62" s="465"/>
      <c r="R62" s="465"/>
      <c r="S62" s="465"/>
      <c r="T62" s="465"/>
      <c r="U62" s="465"/>
      <c r="V62" s="465"/>
      <c r="W62" s="465"/>
      <c r="X62" s="465"/>
      <c r="Y62" s="465"/>
      <c r="Z62" s="465"/>
      <c r="AA62" s="465"/>
      <c r="AB62" s="465"/>
      <c r="AC62" s="465"/>
      <c r="AD62" s="465"/>
      <c r="AE62" s="465"/>
      <c r="AF62" s="465"/>
      <c r="AG62" s="465"/>
      <c r="AH62" s="465"/>
      <c r="AI62" s="465"/>
      <c r="AJ62" s="465"/>
      <c r="AK62" s="465"/>
      <c r="AL62" s="465"/>
      <c r="AM62" s="465"/>
      <c r="AN62" s="465"/>
      <c r="AO62" s="465"/>
      <c r="AP62" s="465"/>
      <c r="AQ62" s="465"/>
      <c r="AR62" s="465"/>
      <c r="AS62" s="465"/>
      <c r="AT62" s="465"/>
      <c r="AU62" s="465"/>
      <c r="AV62" s="465"/>
      <c r="AW62" s="465"/>
      <c r="AX62" s="465"/>
      <c r="AY62" s="465"/>
      <c r="AZ62" s="465"/>
      <c r="BA62" s="465"/>
      <c r="BB62" s="465"/>
      <c r="BC62" s="465"/>
    </row>
    <row r="63" spans="1:55">
      <c r="A63" s="465"/>
      <c r="B63" s="465"/>
      <c r="C63" s="465"/>
      <c r="D63" s="467"/>
      <c r="E63" s="465"/>
      <c r="F63" s="465"/>
      <c r="G63" s="465"/>
      <c r="H63" s="465"/>
      <c r="I63" s="465"/>
      <c r="J63" s="465"/>
      <c r="K63" s="465"/>
      <c r="L63" s="465"/>
      <c r="M63" s="465"/>
      <c r="N63" s="465"/>
      <c r="O63" s="465"/>
      <c r="P63" s="465"/>
      <c r="Q63" s="465"/>
      <c r="R63" s="465"/>
      <c r="S63" s="465"/>
      <c r="T63" s="465"/>
      <c r="U63" s="465"/>
      <c r="V63" s="465"/>
      <c r="W63" s="465"/>
      <c r="X63" s="465"/>
      <c r="Y63" s="465"/>
      <c r="Z63" s="465"/>
      <c r="AA63" s="465"/>
      <c r="AB63" s="465"/>
      <c r="AC63" s="465"/>
      <c r="AD63" s="465"/>
      <c r="AE63" s="465"/>
      <c r="AF63" s="465"/>
      <c r="AG63" s="465"/>
      <c r="AH63" s="465"/>
      <c r="AI63" s="465"/>
      <c r="AJ63" s="465"/>
      <c r="AK63" s="465"/>
      <c r="AL63" s="465"/>
      <c r="AM63" s="465"/>
      <c r="AN63" s="465"/>
      <c r="AO63" s="465"/>
      <c r="AP63" s="465"/>
      <c r="AQ63" s="465"/>
      <c r="AR63" s="465"/>
      <c r="AS63" s="465"/>
      <c r="AT63" s="465"/>
      <c r="AU63" s="465"/>
      <c r="AV63" s="465"/>
      <c r="AW63" s="465"/>
      <c r="AX63" s="465"/>
      <c r="AY63" s="465"/>
      <c r="AZ63" s="465"/>
      <c r="BA63" s="465"/>
      <c r="BB63" s="465"/>
      <c r="BC63" s="465"/>
    </row>
    <row r="64" spans="1:55">
      <c r="A64" s="465"/>
      <c r="B64" s="465"/>
      <c r="C64" s="465"/>
      <c r="D64" s="467"/>
      <c r="E64" s="465"/>
      <c r="F64" s="465"/>
      <c r="G64" s="465"/>
      <c r="H64" s="465"/>
      <c r="I64" s="465"/>
      <c r="J64" s="465"/>
      <c r="K64" s="465"/>
      <c r="L64" s="465"/>
      <c r="M64" s="465"/>
      <c r="N64" s="465"/>
      <c r="O64" s="465"/>
      <c r="P64" s="465"/>
      <c r="Q64" s="465"/>
      <c r="R64" s="465"/>
      <c r="S64" s="465"/>
      <c r="T64" s="465"/>
      <c r="U64" s="465"/>
      <c r="V64" s="465"/>
      <c r="W64" s="465"/>
      <c r="X64" s="465"/>
      <c r="Y64" s="465"/>
      <c r="Z64" s="465"/>
      <c r="AA64" s="465"/>
      <c r="AB64" s="465"/>
      <c r="AC64" s="465"/>
      <c r="AD64" s="465"/>
      <c r="AE64" s="465"/>
      <c r="AF64" s="465"/>
      <c r="AG64" s="465"/>
      <c r="AH64" s="465"/>
      <c r="AI64" s="465"/>
      <c r="AJ64" s="465"/>
      <c r="AK64" s="465"/>
      <c r="AL64" s="465"/>
      <c r="AM64" s="465"/>
      <c r="AN64" s="465"/>
      <c r="AO64" s="465"/>
      <c r="AP64" s="465"/>
      <c r="AQ64" s="465"/>
      <c r="AR64" s="465"/>
      <c r="AS64" s="465"/>
      <c r="AT64" s="465"/>
      <c r="AU64" s="465"/>
      <c r="AV64" s="465"/>
      <c r="AW64" s="465"/>
      <c r="AX64" s="465"/>
      <c r="AY64" s="465"/>
      <c r="AZ64" s="465"/>
      <c r="BA64" s="465"/>
      <c r="BB64" s="465"/>
      <c r="BC64" s="465"/>
    </row>
    <row r="65" spans="1:55">
      <c r="A65" s="465"/>
      <c r="B65" s="465"/>
      <c r="C65" s="465"/>
      <c r="D65" s="467"/>
      <c r="E65" s="465"/>
      <c r="F65" s="465"/>
      <c r="G65" s="465"/>
      <c r="H65" s="465"/>
      <c r="I65" s="465"/>
      <c r="J65" s="465"/>
      <c r="K65" s="465"/>
      <c r="L65" s="465"/>
      <c r="M65" s="465"/>
      <c r="N65" s="465"/>
      <c r="O65" s="465"/>
      <c r="P65" s="465"/>
      <c r="Q65" s="465"/>
      <c r="R65" s="465"/>
      <c r="S65" s="465"/>
      <c r="T65" s="465"/>
      <c r="U65" s="465"/>
      <c r="V65" s="465"/>
      <c r="W65" s="465"/>
      <c r="X65" s="465"/>
      <c r="Y65" s="465"/>
      <c r="Z65" s="465"/>
      <c r="AA65" s="465"/>
      <c r="AB65" s="465"/>
      <c r="AC65" s="465"/>
      <c r="AD65" s="465"/>
      <c r="AE65" s="465"/>
      <c r="AF65" s="465"/>
      <c r="AG65" s="465"/>
      <c r="AH65" s="465"/>
      <c r="AI65" s="465"/>
      <c r="AJ65" s="465"/>
      <c r="AK65" s="465"/>
      <c r="AL65" s="465"/>
      <c r="AM65" s="465"/>
      <c r="AN65" s="465"/>
      <c r="AO65" s="465"/>
      <c r="AP65" s="465"/>
      <c r="AQ65" s="465"/>
      <c r="AR65" s="465"/>
      <c r="AS65" s="465"/>
      <c r="AT65" s="465"/>
      <c r="AU65" s="465"/>
      <c r="AV65" s="465"/>
      <c r="AW65" s="465"/>
      <c r="AX65" s="465"/>
      <c r="AY65" s="465"/>
      <c r="AZ65" s="465"/>
      <c r="BA65" s="465"/>
      <c r="BB65" s="465"/>
      <c r="BC65" s="465"/>
    </row>
    <row r="66" spans="1:55">
      <c r="A66" s="465"/>
      <c r="B66" s="465"/>
      <c r="C66" s="465"/>
      <c r="D66" s="467"/>
      <c r="E66" s="465"/>
      <c r="F66" s="465"/>
      <c r="G66" s="465"/>
      <c r="H66" s="465"/>
      <c r="I66" s="465"/>
      <c r="J66" s="465"/>
      <c r="K66" s="465"/>
      <c r="L66" s="465"/>
      <c r="M66" s="465"/>
      <c r="N66" s="465"/>
      <c r="O66" s="465"/>
      <c r="P66" s="465"/>
      <c r="Q66" s="465"/>
      <c r="R66" s="465"/>
      <c r="S66" s="465"/>
      <c r="T66" s="465"/>
      <c r="U66" s="465"/>
      <c r="V66" s="465"/>
      <c r="W66" s="465"/>
      <c r="X66" s="465"/>
      <c r="Y66" s="465"/>
      <c r="Z66" s="465"/>
      <c r="AA66" s="465"/>
      <c r="AB66" s="465"/>
      <c r="AC66" s="465"/>
      <c r="AD66" s="465"/>
      <c r="AE66" s="465"/>
      <c r="AF66" s="465"/>
      <c r="AG66" s="465"/>
      <c r="AH66" s="465"/>
      <c r="AI66" s="465"/>
      <c r="AJ66" s="465"/>
      <c r="AK66" s="465"/>
      <c r="AL66" s="465"/>
      <c r="AM66" s="465"/>
      <c r="AN66" s="465"/>
      <c r="AO66" s="465"/>
      <c r="AP66" s="465"/>
      <c r="AQ66" s="465"/>
      <c r="AR66" s="465"/>
      <c r="AS66" s="465"/>
      <c r="AT66" s="465"/>
      <c r="AU66" s="465"/>
      <c r="AV66" s="465"/>
      <c r="AW66" s="465"/>
      <c r="AX66" s="465"/>
      <c r="AY66" s="465"/>
      <c r="AZ66" s="465"/>
      <c r="BA66" s="465"/>
      <c r="BB66" s="465"/>
      <c r="BC66" s="465"/>
    </row>
    <row r="67" spans="1:55">
      <c r="A67" s="465"/>
      <c r="B67" s="465"/>
      <c r="C67" s="465"/>
      <c r="D67" s="467"/>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5"/>
      <c r="AL67" s="465"/>
      <c r="AM67" s="465"/>
      <c r="AN67" s="465"/>
      <c r="AO67" s="465"/>
      <c r="AP67" s="465"/>
      <c r="AQ67" s="465"/>
      <c r="AR67" s="465"/>
      <c r="AS67" s="465"/>
      <c r="AT67" s="465"/>
      <c r="AU67" s="465"/>
      <c r="AV67" s="465"/>
      <c r="AW67" s="465"/>
      <c r="AX67" s="465"/>
      <c r="AY67" s="465"/>
      <c r="AZ67" s="465"/>
      <c r="BA67" s="465"/>
      <c r="BB67" s="465"/>
      <c r="BC67" s="465"/>
    </row>
    <row r="68" spans="1:55">
      <c r="A68" s="465"/>
      <c r="B68" s="465"/>
      <c r="C68" s="465"/>
      <c r="D68" s="467"/>
      <c r="E68" s="465"/>
      <c r="F68" s="465"/>
      <c r="G68" s="465"/>
      <c r="H68" s="465"/>
      <c r="I68" s="465"/>
      <c r="J68" s="465"/>
      <c r="K68" s="465"/>
      <c r="L68" s="465"/>
      <c r="M68" s="465"/>
      <c r="N68" s="465"/>
      <c r="O68" s="465"/>
      <c r="P68" s="465"/>
      <c r="Q68" s="465"/>
      <c r="R68" s="465"/>
      <c r="S68" s="465"/>
      <c r="T68" s="465"/>
      <c r="U68" s="465"/>
      <c r="V68" s="465"/>
      <c r="W68" s="465"/>
      <c r="X68" s="465"/>
      <c r="Y68" s="465"/>
      <c r="Z68" s="465"/>
      <c r="AA68" s="465"/>
      <c r="AB68" s="465"/>
      <c r="AC68" s="465"/>
      <c r="AD68" s="465"/>
      <c r="AE68" s="465"/>
      <c r="AF68" s="465"/>
      <c r="AG68" s="465"/>
      <c r="AH68" s="465"/>
      <c r="AI68" s="465"/>
      <c r="AJ68" s="465"/>
      <c r="AK68" s="465"/>
      <c r="AL68" s="465"/>
      <c r="AM68" s="465"/>
      <c r="AN68" s="465"/>
      <c r="AO68" s="465"/>
      <c r="AP68" s="465"/>
      <c r="AQ68" s="465"/>
      <c r="AR68" s="465"/>
      <c r="AS68" s="465"/>
      <c r="AT68" s="465"/>
      <c r="AU68" s="465"/>
      <c r="AV68" s="465"/>
      <c r="AW68" s="465"/>
      <c r="AX68" s="465"/>
      <c r="AY68" s="465"/>
      <c r="AZ68" s="465"/>
      <c r="BA68" s="465"/>
      <c r="BB68" s="465"/>
      <c r="BC68" s="465"/>
    </row>
    <row r="69" spans="1:55">
      <c r="A69" s="465"/>
      <c r="B69" s="465"/>
      <c r="C69" s="465"/>
      <c r="D69" s="467"/>
      <c r="E69" s="465"/>
      <c r="F69" s="465"/>
      <c r="G69" s="465"/>
      <c r="H69" s="465"/>
      <c r="I69" s="465"/>
      <c r="J69" s="465"/>
      <c r="K69" s="465"/>
      <c r="L69" s="465"/>
      <c r="M69" s="465"/>
      <c r="N69" s="465"/>
      <c r="O69" s="465"/>
      <c r="P69" s="465"/>
      <c r="Q69" s="465"/>
      <c r="R69" s="465"/>
      <c r="S69" s="465"/>
      <c r="T69" s="465"/>
      <c r="U69" s="465"/>
      <c r="V69" s="465"/>
      <c r="W69" s="465"/>
      <c r="X69" s="465"/>
      <c r="Y69" s="465"/>
      <c r="Z69" s="465"/>
      <c r="AA69" s="465"/>
      <c r="AB69" s="465"/>
      <c r="AC69" s="465"/>
      <c r="AD69" s="465"/>
      <c r="AE69" s="465"/>
      <c r="AF69" s="465"/>
      <c r="AG69" s="465"/>
      <c r="AH69" s="465"/>
      <c r="AI69" s="465"/>
      <c r="AJ69" s="465"/>
      <c r="AK69" s="465"/>
      <c r="AL69" s="465"/>
      <c r="AM69" s="465"/>
      <c r="AN69" s="465"/>
      <c r="AO69" s="465"/>
      <c r="AP69" s="465"/>
      <c r="AQ69" s="465"/>
      <c r="AR69" s="465"/>
      <c r="AS69" s="465"/>
      <c r="AT69" s="465"/>
      <c r="AU69" s="465"/>
      <c r="AV69" s="465"/>
      <c r="AW69" s="465"/>
      <c r="AX69" s="465"/>
      <c r="AY69" s="465"/>
      <c r="AZ69" s="465"/>
      <c r="BA69" s="465"/>
      <c r="BB69" s="465"/>
      <c r="BC69" s="465"/>
    </row>
    <row r="70" spans="1:55">
      <c r="A70" s="465"/>
      <c r="B70" s="465"/>
      <c r="C70" s="465"/>
      <c r="D70" s="467"/>
      <c r="E70" s="465"/>
      <c r="F70" s="465"/>
      <c r="G70" s="465"/>
      <c r="H70" s="465"/>
      <c r="I70" s="465"/>
      <c r="J70" s="465"/>
      <c r="K70" s="465"/>
      <c r="L70" s="465"/>
      <c r="M70" s="465"/>
      <c r="N70" s="465"/>
      <c r="O70" s="465"/>
      <c r="P70" s="465"/>
      <c r="Q70" s="465"/>
      <c r="R70" s="465"/>
      <c r="S70" s="465"/>
      <c r="T70" s="465"/>
      <c r="U70" s="465"/>
      <c r="V70" s="465"/>
      <c r="W70" s="465"/>
      <c r="X70" s="465"/>
      <c r="Y70" s="465"/>
      <c r="Z70" s="465"/>
      <c r="AA70" s="465"/>
      <c r="AB70" s="465"/>
      <c r="AC70" s="465"/>
      <c r="AD70" s="465"/>
      <c r="AE70" s="465"/>
      <c r="AF70" s="465"/>
      <c r="AG70" s="465"/>
      <c r="AH70" s="465"/>
      <c r="AI70" s="465"/>
      <c r="AJ70" s="465"/>
      <c r="AK70" s="465"/>
      <c r="AL70" s="465"/>
      <c r="AM70" s="465"/>
      <c r="AN70" s="465"/>
      <c r="AO70" s="465"/>
      <c r="AP70" s="465"/>
      <c r="AQ70" s="465"/>
      <c r="AR70" s="465"/>
      <c r="AS70" s="465"/>
      <c r="AT70" s="465"/>
      <c r="AU70" s="465"/>
      <c r="AV70" s="465"/>
      <c r="AW70" s="465"/>
      <c r="AX70" s="465"/>
      <c r="AY70" s="465"/>
      <c r="AZ70" s="465"/>
      <c r="BA70" s="465"/>
      <c r="BB70" s="465"/>
      <c r="BC70" s="465"/>
    </row>
    <row r="71" spans="1:55">
      <c r="A71" s="465"/>
      <c r="B71" s="465"/>
      <c r="C71" s="465"/>
      <c r="D71" s="467"/>
      <c r="E71" s="465"/>
      <c r="F71" s="465"/>
      <c r="G71" s="465"/>
      <c r="H71" s="465"/>
      <c r="I71" s="465"/>
      <c r="J71" s="465"/>
      <c r="K71" s="465"/>
      <c r="L71" s="465"/>
      <c r="M71" s="465"/>
      <c r="N71" s="465"/>
      <c r="O71" s="465"/>
      <c r="P71" s="465"/>
      <c r="Q71" s="465"/>
      <c r="R71" s="465"/>
      <c r="S71" s="465"/>
      <c r="T71" s="465"/>
      <c r="U71" s="465"/>
      <c r="V71" s="465"/>
      <c r="W71" s="465"/>
      <c r="X71" s="465"/>
      <c r="Y71" s="465"/>
      <c r="Z71" s="465"/>
      <c r="AA71" s="465"/>
      <c r="AB71" s="465"/>
      <c r="AC71" s="465"/>
      <c r="AD71" s="465"/>
      <c r="AE71" s="465"/>
      <c r="AF71" s="465"/>
      <c r="AG71" s="465"/>
      <c r="AH71" s="465"/>
      <c r="AI71" s="465"/>
      <c r="AJ71" s="465"/>
      <c r="AK71" s="465"/>
      <c r="AL71" s="465"/>
      <c r="AM71" s="465"/>
      <c r="AN71" s="465"/>
      <c r="AO71" s="465"/>
      <c r="AP71" s="465"/>
      <c r="AQ71" s="465"/>
      <c r="AR71" s="465"/>
      <c r="AS71" s="465"/>
      <c r="AT71" s="465"/>
      <c r="AU71" s="465"/>
      <c r="AV71" s="465"/>
      <c r="AW71" s="465"/>
      <c r="AX71" s="465"/>
      <c r="AY71" s="465"/>
      <c r="AZ71" s="465"/>
      <c r="BA71" s="465"/>
      <c r="BB71" s="465"/>
      <c r="BC71" s="465"/>
    </row>
    <row r="72" spans="1:55">
      <c r="A72" s="465"/>
      <c r="B72" s="465"/>
      <c r="C72" s="465"/>
      <c r="D72" s="467"/>
      <c r="E72" s="465"/>
      <c r="F72" s="465"/>
      <c r="G72" s="465"/>
      <c r="H72" s="465"/>
      <c r="I72" s="465"/>
      <c r="J72" s="465"/>
      <c r="K72" s="465"/>
      <c r="L72" s="465"/>
      <c r="M72" s="465"/>
      <c r="N72" s="465"/>
      <c r="O72" s="465"/>
      <c r="P72" s="465"/>
      <c r="Q72" s="465"/>
      <c r="R72" s="465"/>
      <c r="S72" s="465"/>
      <c r="T72" s="465"/>
      <c r="U72" s="465"/>
      <c r="V72" s="465"/>
      <c r="W72" s="465"/>
      <c r="X72" s="465"/>
      <c r="Y72" s="465"/>
      <c r="Z72" s="465"/>
      <c r="AA72" s="465"/>
      <c r="AB72" s="465"/>
      <c r="AC72" s="465"/>
      <c r="AD72" s="465"/>
      <c r="AE72" s="465"/>
      <c r="AF72" s="465"/>
      <c r="AG72" s="465"/>
      <c r="AH72" s="465"/>
      <c r="AI72" s="465"/>
      <c r="AJ72" s="465"/>
      <c r="AK72" s="465"/>
      <c r="AL72" s="465"/>
      <c r="AM72" s="465"/>
      <c r="AN72" s="465"/>
      <c r="AO72" s="465"/>
      <c r="AP72" s="465"/>
      <c r="AQ72" s="465"/>
      <c r="AR72" s="465"/>
      <c r="AS72" s="465"/>
      <c r="AT72" s="465"/>
      <c r="AU72" s="465"/>
      <c r="AV72" s="465"/>
      <c r="AW72" s="465"/>
      <c r="AX72" s="465"/>
      <c r="AY72" s="465"/>
      <c r="AZ72" s="465"/>
      <c r="BA72" s="465"/>
      <c r="BB72" s="465"/>
      <c r="BC72" s="465"/>
    </row>
    <row r="73" spans="1:55">
      <c r="A73" s="465"/>
      <c r="B73" s="465"/>
      <c r="C73" s="465"/>
      <c r="D73" s="467"/>
      <c r="E73" s="465"/>
      <c r="F73" s="465"/>
      <c r="G73" s="465"/>
      <c r="H73" s="465"/>
      <c r="I73" s="465"/>
      <c r="J73" s="465"/>
      <c r="K73" s="465"/>
      <c r="L73" s="465"/>
      <c r="M73" s="465"/>
      <c r="N73" s="465"/>
      <c r="O73" s="465"/>
      <c r="P73" s="465"/>
      <c r="Q73" s="465"/>
      <c r="R73" s="465"/>
      <c r="S73" s="465"/>
      <c r="T73" s="465"/>
      <c r="U73" s="465"/>
      <c r="V73" s="465"/>
      <c r="W73" s="465"/>
      <c r="X73" s="465"/>
      <c r="Y73" s="465"/>
      <c r="Z73" s="465"/>
      <c r="AA73" s="465"/>
      <c r="AB73" s="465"/>
      <c r="AC73" s="465"/>
      <c r="AD73" s="465"/>
      <c r="AE73" s="465"/>
      <c r="AF73" s="465"/>
      <c r="AG73" s="465"/>
      <c r="AH73" s="465"/>
      <c r="AI73" s="465"/>
      <c r="AJ73" s="465"/>
      <c r="AK73" s="465"/>
      <c r="AL73" s="465"/>
      <c r="AM73" s="465"/>
      <c r="AN73" s="465"/>
      <c r="AO73" s="465"/>
      <c r="AP73" s="465"/>
      <c r="AQ73" s="465"/>
      <c r="AR73" s="465"/>
      <c r="AS73" s="465"/>
      <c r="AT73" s="465"/>
      <c r="AU73" s="465"/>
      <c r="AV73" s="465"/>
      <c r="AW73" s="465"/>
      <c r="AX73" s="465"/>
      <c r="AY73" s="465"/>
      <c r="AZ73" s="465"/>
      <c r="BA73" s="465"/>
      <c r="BB73" s="465"/>
      <c r="BC73" s="465"/>
    </row>
    <row r="74" spans="1:55">
      <c r="A74" s="465"/>
      <c r="B74" s="465"/>
      <c r="C74" s="465"/>
      <c r="D74" s="467"/>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5"/>
      <c r="AL74" s="465"/>
      <c r="AM74" s="465"/>
      <c r="AN74" s="465"/>
      <c r="AO74" s="465"/>
      <c r="AP74" s="465"/>
      <c r="AQ74" s="465"/>
      <c r="AR74" s="465"/>
      <c r="AS74" s="465"/>
      <c r="AT74" s="465"/>
      <c r="AU74" s="465"/>
      <c r="AV74" s="465"/>
      <c r="AW74" s="465"/>
      <c r="AX74" s="465"/>
      <c r="AY74" s="465"/>
      <c r="AZ74" s="465"/>
      <c r="BA74" s="465"/>
      <c r="BB74" s="465"/>
      <c r="BC74" s="465"/>
    </row>
    <row r="75" spans="1:55">
      <c r="A75" s="465"/>
      <c r="B75" s="465"/>
      <c r="C75" s="465"/>
      <c r="D75" s="467"/>
      <c r="E75" s="465"/>
      <c r="F75" s="465"/>
      <c r="G75" s="465"/>
      <c r="H75" s="465"/>
      <c r="I75" s="465"/>
      <c r="J75" s="465"/>
      <c r="K75" s="465"/>
      <c r="L75" s="465"/>
      <c r="M75" s="465"/>
      <c r="N75" s="465"/>
      <c r="O75" s="465"/>
      <c r="P75" s="465"/>
      <c r="Q75" s="465"/>
      <c r="R75" s="465"/>
      <c r="S75" s="465"/>
      <c r="T75" s="465"/>
      <c r="U75" s="465"/>
      <c r="V75" s="465"/>
      <c r="W75" s="465"/>
      <c r="X75" s="465"/>
      <c r="Y75" s="465"/>
      <c r="Z75" s="465"/>
      <c r="AA75" s="465"/>
      <c r="AB75" s="465"/>
      <c r="AC75" s="465"/>
      <c r="AD75" s="465"/>
      <c r="AE75" s="465"/>
      <c r="AF75" s="465"/>
      <c r="AG75" s="465"/>
      <c r="AH75" s="465"/>
      <c r="AI75" s="465"/>
      <c r="AJ75" s="465"/>
      <c r="AK75" s="465"/>
      <c r="AL75" s="465"/>
      <c r="AM75" s="465"/>
      <c r="AN75" s="465"/>
      <c r="AO75" s="465"/>
      <c r="AP75" s="465"/>
      <c r="AQ75" s="465"/>
      <c r="AR75" s="465"/>
      <c r="AS75" s="465"/>
      <c r="AT75" s="465"/>
      <c r="AU75" s="465"/>
      <c r="AV75" s="465"/>
      <c r="AW75" s="465"/>
      <c r="AX75" s="465"/>
      <c r="AY75" s="465"/>
      <c r="AZ75" s="465"/>
      <c r="BA75" s="465"/>
      <c r="BB75" s="465"/>
      <c r="BC75" s="465"/>
    </row>
    <row r="76" spans="1:55">
      <c r="A76" s="465"/>
      <c r="B76" s="465"/>
      <c r="C76" s="465"/>
      <c r="D76" s="467"/>
      <c r="E76" s="465"/>
      <c r="F76" s="465"/>
      <c r="G76" s="465"/>
      <c r="H76" s="465"/>
      <c r="I76" s="465"/>
      <c r="J76" s="465"/>
      <c r="K76" s="465"/>
      <c r="L76" s="465"/>
      <c r="M76" s="465"/>
      <c r="N76" s="465"/>
      <c r="O76" s="465"/>
      <c r="P76" s="465"/>
      <c r="Q76" s="465"/>
      <c r="R76" s="465"/>
      <c r="S76" s="465"/>
      <c r="T76" s="465"/>
      <c r="U76" s="465"/>
      <c r="V76" s="465"/>
      <c r="W76" s="465"/>
      <c r="X76" s="465"/>
      <c r="Y76" s="465"/>
      <c r="Z76" s="465"/>
      <c r="AA76" s="465"/>
      <c r="AB76" s="465"/>
      <c r="AC76" s="465"/>
      <c r="AD76" s="465"/>
      <c r="AE76" s="465"/>
      <c r="AF76" s="465"/>
      <c r="AG76" s="465"/>
      <c r="AH76" s="465"/>
      <c r="AI76" s="465"/>
      <c r="AJ76" s="465"/>
      <c r="AK76" s="465"/>
      <c r="AL76" s="465"/>
      <c r="AM76" s="465"/>
      <c r="AN76" s="465"/>
      <c r="AO76" s="465"/>
      <c r="AP76" s="465"/>
      <c r="AQ76" s="465"/>
      <c r="AR76" s="465"/>
      <c r="AS76" s="465"/>
      <c r="AT76" s="465"/>
      <c r="AU76" s="465"/>
      <c r="AV76" s="465"/>
      <c r="AW76" s="465"/>
      <c r="AX76" s="465"/>
      <c r="AY76" s="465"/>
      <c r="AZ76" s="465"/>
      <c r="BA76" s="465"/>
      <c r="BB76" s="465"/>
      <c r="BC76" s="465"/>
    </row>
    <row r="77" spans="1:55">
      <c r="A77" s="465"/>
      <c r="B77" s="465"/>
      <c r="C77" s="465"/>
      <c r="D77" s="467"/>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5"/>
      <c r="AL77" s="465"/>
      <c r="AM77" s="465"/>
      <c r="AN77" s="465"/>
      <c r="AO77" s="465"/>
      <c r="AP77" s="465"/>
      <c r="AQ77" s="465"/>
      <c r="AR77" s="465"/>
      <c r="AS77" s="465"/>
      <c r="AT77" s="465"/>
      <c r="AU77" s="465"/>
      <c r="AV77" s="465"/>
      <c r="AW77" s="465"/>
      <c r="AX77" s="465"/>
      <c r="AY77" s="465"/>
      <c r="AZ77" s="465"/>
      <c r="BA77" s="465"/>
      <c r="BB77" s="465"/>
      <c r="BC77" s="465"/>
    </row>
    <row r="78" spans="1:55">
      <c r="A78" s="465"/>
      <c r="B78" s="465"/>
      <c r="C78" s="465"/>
      <c r="D78" s="467"/>
      <c r="E78" s="465"/>
      <c r="F78" s="465"/>
      <c r="G78" s="465"/>
      <c r="H78" s="465"/>
      <c r="I78" s="465"/>
      <c r="J78" s="465"/>
      <c r="K78" s="465"/>
      <c r="L78" s="465"/>
      <c r="M78" s="465"/>
      <c r="N78" s="465"/>
      <c r="O78" s="465"/>
      <c r="P78" s="465"/>
      <c r="Q78" s="465"/>
      <c r="R78" s="465"/>
      <c r="S78" s="465"/>
      <c r="T78" s="465"/>
      <c r="U78" s="465"/>
      <c r="V78" s="465"/>
      <c r="W78" s="465"/>
      <c r="X78" s="465"/>
      <c r="Y78" s="465"/>
      <c r="Z78" s="465"/>
      <c r="AA78" s="465"/>
      <c r="AB78" s="465"/>
      <c r="AC78" s="465"/>
      <c r="AD78" s="465"/>
      <c r="AE78" s="465"/>
      <c r="AF78" s="465"/>
      <c r="AG78" s="465"/>
      <c r="AH78" s="465"/>
      <c r="AI78" s="465"/>
      <c r="AJ78" s="465"/>
      <c r="AK78" s="465"/>
      <c r="AL78" s="465"/>
      <c r="AM78" s="465"/>
      <c r="AN78" s="465"/>
      <c r="AO78" s="465"/>
      <c r="AP78" s="465"/>
      <c r="AQ78" s="465"/>
      <c r="AR78" s="465"/>
      <c r="AS78" s="465"/>
      <c r="AT78" s="465"/>
      <c r="AU78" s="465"/>
      <c r="AV78" s="465"/>
      <c r="AW78" s="465"/>
      <c r="AX78" s="465"/>
      <c r="AY78" s="465"/>
      <c r="AZ78" s="465"/>
      <c r="BA78" s="465"/>
      <c r="BB78" s="465"/>
      <c r="BC78" s="465"/>
    </row>
    <row r="79" spans="1:55">
      <c r="A79" s="465"/>
      <c r="B79" s="465"/>
      <c r="C79" s="465"/>
      <c r="D79" s="467"/>
      <c r="E79" s="465"/>
      <c r="F79" s="465"/>
      <c r="G79" s="465"/>
      <c r="H79" s="465"/>
      <c r="I79" s="465"/>
      <c r="J79" s="465"/>
      <c r="K79" s="465"/>
      <c r="L79" s="465"/>
      <c r="M79" s="465"/>
      <c r="N79" s="465"/>
      <c r="O79" s="465"/>
      <c r="P79" s="465"/>
      <c r="Q79" s="465"/>
      <c r="R79" s="465"/>
      <c r="S79" s="465"/>
      <c r="T79" s="465"/>
      <c r="U79" s="465"/>
      <c r="V79" s="465"/>
      <c r="W79" s="465"/>
      <c r="X79" s="465"/>
      <c r="Y79" s="465"/>
      <c r="Z79" s="465"/>
      <c r="AA79" s="465"/>
      <c r="AB79" s="465"/>
      <c r="AC79" s="465"/>
      <c r="AD79" s="465"/>
      <c r="AE79" s="465"/>
      <c r="AF79" s="465"/>
      <c r="AG79" s="465"/>
      <c r="AH79" s="465"/>
      <c r="AI79" s="465"/>
      <c r="AJ79" s="465"/>
      <c r="AK79" s="465"/>
      <c r="AL79" s="465"/>
      <c r="AM79" s="465"/>
      <c r="AN79" s="465"/>
      <c r="AO79" s="465"/>
      <c r="AP79" s="465"/>
      <c r="AQ79" s="465"/>
      <c r="AR79" s="465"/>
      <c r="AS79" s="465"/>
      <c r="AT79" s="465"/>
      <c r="AU79" s="465"/>
      <c r="AV79" s="465"/>
      <c r="AW79" s="465"/>
      <c r="AX79" s="465"/>
      <c r="AY79" s="465"/>
      <c r="AZ79" s="465"/>
      <c r="BA79" s="465"/>
      <c r="BB79" s="465"/>
      <c r="BC79" s="465"/>
    </row>
    <row r="80" spans="1:55">
      <c r="A80" s="465"/>
      <c r="B80" s="465"/>
      <c r="C80" s="465"/>
      <c r="D80" s="467"/>
      <c r="E80" s="465"/>
      <c r="F80" s="465"/>
      <c r="G80" s="465"/>
      <c r="H80" s="465"/>
      <c r="I80" s="465"/>
      <c r="J80" s="465"/>
      <c r="K80" s="465"/>
      <c r="L80" s="465"/>
      <c r="M80" s="465"/>
      <c r="N80" s="465"/>
      <c r="O80" s="465"/>
      <c r="P80" s="465"/>
      <c r="Q80" s="465"/>
      <c r="R80" s="465"/>
      <c r="S80" s="465"/>
      <c r="T80" s="465"/>
      <c r="U80" s="465"/>
      <c r="V80" s="465"/>
      <c r="W80" s="465"/>
      <c r="X80" s="465"/>
      <c r="Y80" s="465"/>
      <c r="Z80" s="465"/>
      <c r="AA80" s="465"/>
      <c r="AB80" s="465"/>
      <c r="AC80" s="465"/>
      <c r="AD80" s="465"/>
      <c r="AE80" s="465"/>
      <c r="AF80" s="465"/>
      <c r="AG80" s="465"/>
      <c r="AH80" s="465"/>
      <c r="AI80" s="465"/>
      <c r="AJ80" s="465"/>
      <c r="AK80" s="465"/>
      <c r="AL80" s="465"/>
      <c r="AM80" s="465"/>
      <c r="AN80" s="465"/>
      <c r="AO80" s="465"/>
      <c r="AP80" s="465"/>
      <c r="AQ80" s="465"/>
      <c r="AR80" s="465"/>
      <c r="AS80" s="465"/>
      <c r="AT80" s="465"/>
      <c r="AU80" s="465"/>
      <c r="AV80" s="465"/>
      <c r="AW80" s="465"/>
      <c r="AX80" s="465"/>
      <c r="AY80" s="465"/>
      <c r="AZ80" s="465"/>
      <c r="BA80" s="465"/>
      <c r="BB80" s="465"/>
      <c r="BC80" s="465"/>
    </row>
    <row r="81" spans="1:55">
      <c r="A81" s="465"/>
      <c r="B81" s="465"/>
      <c r="C81" s="465"/>
      <c r="D81" s="467"/>
      <c r="E81" s="465"/>
      <c r="F81" s="465"/>
      <c r="G81" s="465"/>
      <c r="H81" s="465"/>
      <c r="I81" s="465"/>
      <c r="J81" s="465"/>
      <c r="K81" s="465"/>
      <c r="L81" s="465"/>
      <c r="M81" s="465"/>
      <c r="N81" s="465"/>
      <c r="O81" s="465"/>
      <c r="P81" s="465"/>
      <c r="Q81" s="465"/>
      <c r="R81" s="465"/>
      <c r="S81" s="465"/>
      <c r="T81" s="465"/>
      <c r="U81" s="465"/>
      <c r="V81" s="465"/>
      <c r="W81" s="465"/>
      <c r="X81" s="465"/>
      <c r="Y81" s="465"/>
      <c r="Z81" s="465"/>
      <c r="AA81" s="465"/>
      <c r="AB81" s="465"/>
      <c r="AC81" s="465"/>
      <c r="AD81" s="465"/>
      <c r="AE81" s="465"/>
      <c r="AF81" s="465"/>
      <c r="AG81" s="465"/>
      <c r="AH81" s="465"/>
      <c r="AI81" s="465"/>
      <c r="AJ81" s="465"/>
      <c r="AK81" s="465"/>
      <c r="AL81" s="465"/>
      <c r="AM81" s="465"/>
      <c r="AN81" s="465"/>
      <c r="AO81" s="465"/>
      <c r="AP81" s="465"/>
      <c r="AQ81" s="465"/>
      <c r="AR81" s="465"/>
      <c r="AS81" s="465"/>
      <c r="AT81" s="465"/>
      <c r="AU81" s="465"/>
      <c r="AV81" s="465"/>
      <c r="AW81" s="465"/>
      <c r="AX81" s="465"/>
      <c r="AY81" s="465"/>
      <c r="AZ81" s="465"/>
      <c r="BA81" s="465"/>
      <c r="BB81" s="465"/>
      <c r="BC81" s="465"/>
    </row>
    <row r="82" spans="1:55">
      <c r="A82" s="465"/>
      <c r="B82" s="465"/>
      <c r="C82" s="465"/>
      <c r="D82" s="467"/>
      <c r="E82" s="465"/>
      <c r="F82" s="465"/>
      <c r="G82" s="465"/>
      <c r="H82" s="465"/>
      <c r="I82" s="465"/>
      <c r="J82" s="465"/>
      <c r="K82" s="465"/>
      <c r="L82" s="465"/>
      <c r="M82" s="465"/>
      <c r="N82" s="465"/>
      <c r="O82" s="465"/>
      <c r="P82" s="465"/>
      <c r="Q82" s="465"/>
      <c r="R82" s="465"/>
      <c r="S82" s="465"/>
      <c r="T82" s="465"/>
      <c r="U82" s="465"/>
      <c r="V82" s="465"/>
      <c r="W82" s="465"/>
      <c r="X82" s="465"/>
      <c r="Y82" s="465"/>
      <c r="Z82" s="465"/>
      <c r="AA82" s="465"/>
      <c r="AB82" s="465"/>
      <c r="AC82" s="465"/>
      <c r="AD82" s="465"/>
      <c r="AE82" s="465"/>
      <c r="AF82" s="465"/>
      <c r="AG82" s="465"/>
      <c r="AH82" s="465"/>
      <c r="AI82" s="465"/>
      <c r="AJ82" s="465"/>
      <c r="AK82" s="465"/>
      <c r="AL82" s="465"/>
      <c r="AM82" s="465"/>
      <c r="AN82" s="465"/>
      <c r="AO82" s="465"/>
      <c r="AP82" s="465"/>
      <c r="AQ82" s="465"/>
      <c r="AR82" s="465"/>
      <c r="AS82" s="465"/>
      <c r="AT82" s="465"/>
      <c r="AU82" s="465"/>
      <c r="AV82" s="465"/>
      <c r="AW82" s="465"/>
      <c r="AX82" s="465"/>
      <c r="AY82" s="465"/>
      <c r="AZ82" s="465"/>
      <c r="BA82" s="465"/>
      <c r="BB82" s="465"/>
      <c r="BC82" s="465"/>
    </row>
    <row r="83" spans="1:55">
      <c r="A83" s="465"/>
      <c r="B83" s="465"/>
      <c r="C83" s="465"/>
      <c r="D83" s="467"/>
      <c r="E83" s="465"/>
      <c r="F83" s="465"/>
      <c r="G83" s="465"/>
      <c r="H83" s="465"/>
      <c r="I83" s="465"/>
      <c r="J83" s="465"/>
      <c r="K83" s="465"/>
      <c r="L83" s="465"/>
      <c r="M83" s="465"/>
      <c r="N83" s="465"/>
      <c r="O83" s="465"/>
      <c r="P83" s="465"/>
      <c r="Q83" s="465"/>
      <c r="R83" s="465"/>
      <c r="S83" s="465"/>
      <c r="T83" s="465"/>
      <c r="U83" s="465"/>
      <c r="V83" s="465"/>
      <c r="W83" s="465"/>
      <c r="X83" s="465"/>
      <c r="Y83" s="465"/>
      <c r="Z83" s="465"/>
      <c r="AA83" s="465"/>
      <c r="AB83" s="465"/>
      <c r="AC83" s="465"/>
      <c r="AD83" s="465"/>
      <c r="AE83" s="465"/>
      <c r="AF83" s="465"/>
      <c r="AG83" s="465"/>
      <c r="AH83" s="465"/>
      <c r="AI83" s="465"/>
      <c r="AJ83" s="465"/>
      <c r="AK83" s="465"/>
      <c r="AL83" s="465"/>
      <c r="AM83" s="465"/>
      <c r="AN83" s="465"/>
      <c r="AO83" s="465"/>
      <c r="AP83" s="465"/>
      <c r="AQ83" s="465"/>
      <c r="AR83" s="465"/>
      <c r="AS83" s="465"/>
      <c r="AT83" s="465"/>
      <c r="AU83" s="465"/>
      <c r="AV83" s="465"/>
      <c r="AW83" s="465"/>
      <c r="AX83" s="465"/>
      <c r="AY83" s="465"/>
      <c r="AZ83" s="465"/>
      <c r="BA83" s="465"/>
      <c r="BB83" s="465"/>
      <c r="BC83" s="465"/>
    </row>
    <row r="84" spans="1:55">
      <c r="A84" s="465"/>
      <c r="B84" s="465"/>
      <c r="C84" s="465"/>
      <c r="D84" s="467"/>
      <c r="E84" s="465"/>
      <c r="F84" s="465"/>
      <c r="G84" s="465"/>
      <c r="H84" s="465"/>
      <c r="I84" s="465"/>
      <c r="J84" s="465"/>
      <c r="K84" s="465"/>
      <c r="L84" s="465"/>
      <c r="M84" s="465"/>
      <c r="N84" s="465"/>
      <c r="O84" s="465"/>
      <c r="P84" s="465"/>
      <c r="Q84" s="465"/>
      <c r="R84" s="465"/>
      <c r="S84" s="465"/>
      <c r="T84" s="465"/>
      <c r="U84" s="465"/>
      <c r="V84" s="465"/>
      <c r="W84" s="465"/>
      <c r="X84" s="465"/>
      <c r="Y84" s="465"/>
      <c r="Z84" s="465"/>
      <c r="AA84" s="465"/>
      <c r="AB84" s="465"/>
      <c r="AC84" s="465"/>
      <c r="AD84" s="465"/>
      <c r="AE84" s="465"/>
      <c r="AF84" s="465"/>
      <c r="AG84" s="465"/>
      <c r="AH84" s="465"/>
      <c r="AI84" s="465"/>
      <c r="AJ84" s="465"/>
      <c r="AK84" s="465"/>
      <c r="AL84" s="465"/>
      <c r="AM84" s="465"/>
      <c r="AN84" s="465"/>
      <c r="AO84" s="465"/>
      <c r="AP84" s="465"/>
      <c r="AQ84" s="465"/>
      <c r="AR84" s="465"/>
      <c r="AS84" s="465"/>
      <c r="AT84" s="465"/>
      <c r="AU84" s="465"/>
      <c r="AV84" s="465"/>
      <c r="AW84" s="465"/>
      <c r="AX84" s="465"/>
      <c r="AY84" s="465"/>
      <c r="AZ84" s="465"/>
      <c r="BA84" s="465"/>
      <c r="BB84" s="465"/>
      <c r="BC84" s="465"/>
    </row>
    <row r="85" spans="1:55">
      <c r="A85" s="465"/>
      <c r="B85" s="465"/>
      <c r="C85" s="465"/>
      <c r="D85" s="467"/>
      <c r="E85" s="465"/>
      <c r="F85" s="465"/>
      <c r="G85" s="465"/>
      <c r="H85" s="465"/>
      <c r="I85" s="465"/>
      <c r="J85" s="465"/>
      <c r="K85" s="465"/>
      <c r="L85" s="465"/>
      <c r="M85" s="465"/>
      <c r="N85" s="465"/>
      <c r="O85" s="465"/>
      <c r="P85" s="465"/>
      <c r="Q85" s="465"/>
      <c r="R85" s="465"/>
      <c r="S85" s="465"/>
      <c r="T85" s="465"/>
      <c r="U85" s="465"/>
      <c r="V85" s="465"/>
      <c r="W85" s="465"/>
      <c r="X85" s="465"/>
      <c r="Y85" s="465"/>
      <c r="Z85" s="465"/>
      <c r="AA85" s="465"/>
      <c r="AB85" s="465"/>
      <c r="AC85" s="465"/>
      <c r="AD85" s="465"/>
      <c r="AE85" s="465"/>
      <c r="AF85" s="465"/>
      <c r="AG85" s="465"/>
      <c r="AH85" s="465"/>
      <c r="AI85" s="465"/>
      <c r="AJ85" s="465"/>
      <c r="AK85" s="465"/>
      <c r="AL85" s="465"/>
      <c r="AM85" s="465"/>
      <c r="AN85" s="465"/>
      <c r="AO85" s="465"/>
      <c r="AP85" s="465"/>
      <c r="AQ85" s="465"/>
      <c r="AR85" s="465"/>
      <c r="AS85" s="465"/>
      <c r="AT85" s="465"/>
      <c r="AU85" s="465"/>
      <c r="AV85" s="465"/>
      <c r="AW85" s="465"/>
      <c r="AX85" s="465"/>
      <c r="AY85" s="465"/>
      <c r="AZ85" s="465"/>
      <c r="BA85" s="465"/>
      <c r="BB85" s="465"/>
      <c r="BC85" s="465"/>
    </row>
    <row r="86" spans="1:55">
      <c r="A86" s="465"/>
      <c r="B86" s="465"/>
      <c r="C86" s="465"/>
      <c r="D86" s="467"/>
      <c r="E86" s="465"/>
      <c r="F86" s="465"/>
      <c r="G86" s="465"/>
      <c r="H86" s="465"/>
      <c r="I86" s="465"/>
      <c r="J86" s="465"/>
      <c r="K86" s="465"/>
      <c r="L86" s="465"/>
      <c r="M86" s="465"/>
      <c r="N86" s="465"/>
      <c r="O86" s="465"/>
      <c r="P86" s="465"/>
      <c r="Q86" s="465"/>
      <c r="R86" s="465"/>
      <c r="S86" s="465"/>
      <c r="T86" s="465"/>
      <c r="U86" s="465"/>
      <c r="V86" s="465"/>
      <c r="W86" s="465"/>
      <c r="X86" s="465"/>
      <c r="Y86" s="465"/>
      <c r="Z86" s="465"/>
      <c r="AA86" s="465"/>
      <c r="AB86" s="465"/>
      <c r="AC86" s="465"/>
      <c r="AD86" s="465"/>
      <c r="AE86" s="465"/>
      <c r="AF86" s="465"/>
      <c r="AG86" s="465"/>
      <c r="AH86" s="465"/>
      <c r="AI86" s="465"/>
      <c r="AJ86" s="465"/>
      <c r="AK86" s="465"/>
      <c r="AL86" s="465"/>
      <c r="AM86" s="465"/>
      <c r="AN86" s="465"/>
      <c r="AO86" s="465"/>
      <c r="AP86" s="465"/>
      <c r="AQ86" s="465"/>
      <c r="AR86" s="465"/>
      <c r="AS86" s="465"/>
      <c r="AT86" s="465"/>
      <c r="AU86" s="465"/>
      <c r="AV86" s="465"/>
      <c r="AW86" s="465"/>
      <c r="AX86" s="465"/>
      <c r="AY86" s="465"/>
      <c r="AZ86" s="465"/>
      <c r="BA86" s="465"/>
      <c r="BB86" s="465"/>
      <c r="BC86" s="465"/>
    </row>
    <row r="87" spans="1:55">
      <c r="A87" s="465"/>
      <c r="B87" s="465"/>
      <c r="C87" s="465"/>
      <c r="D87" s="467"/>
      <c r="E87" s="465"/>
      <c r="F87" s="465"/>
      <c r="G87" s="465"/>
      <c r="H87" s="465"/>
      <c r="I87" s="465"/>
      <c r="J87" s="465"/>
      <c r="K87" s="465"/>
      <c r="L87" s="465"/>
      <c r="M87" s="465"/>
      <c r="N87" s="465"/>
      <c r="O87" s="465"/>
      <c r="P87" s="465"/>
      <c r="Q87" s="465"/>
      <c r="R87" s="465"/>
      <c r="S87" s="465"/>
      <c r="T87" s="465"/>
      <c r="U87" s="465"/>
      <c r="V87" s="465"/>
      <c r="W87" s="465"/>
      <c r="X87" s="465"/>
      <c r="Y87" s="465"/>
      <c r="Z87" s="465"/>
      <c r="AA87" s="465"/>
      <c r="AB87" s="465"/>
      <c r="AC87" s="465"/>
      <c r="AD87" s="465"/>
      <c r="AE87" s="465"/>
      <c r="AF87" s="465"/>
      <c r="AG87" s="465"/>
      <c r="AH87" s="465"/>
      <c r="AI87" s="465"/>
      <c r="AJ87" s="465"/>
      <c r="AK87" s="465"/>
      <c r="AL87" s="465"/>
      <c r="AM87" s="465"/>
      <c r="AN87" s="465"/>
      <c r="AO87" s="465"/>
      <c r="AP87" s="465"/>
      <c r="AQ87" s="465"/>
      <c r="AR87" s="465"/>
      <c r="AS87" s="465"/>
      <c r="AT87" s="465"/>
      <c r="AU87" s="465"/>
      <c r="AV87" s="465"/>
      <c r="AW87" s="465"/>
      <c r="AX87" s="465"/>
      <c r="AY87" s="465"/>
      <c r="AZ87" s="465"/>
      <c r="BA87" s="465"/>
      <c r="BB87" s="465"/>
      <c r="BC87" s="465"/>
    </row>
    <row r="88" spans="1:55">
      <c r="A88" s="465"/>
      <c r="B88" s="465"/>
      <c r="C88" s="465"/>
      <c r="D88" s="467"/>
      <c r="E88" s="465"/>
      <c r="F88" s="465"/>
      <c r="G88" s="465"/>
      <c r="H88" s="465"/>
      <c r="I88" s="465"/>
      <c r="J88" s="465"/>
      <c r="K88" s="465"/>
      <c r="L88" s="465"/>
      <c r="M88" s="465"/>
      <c r="N88" s="465"/>
      <c r="O88" s="465"/>
      <c r="P88" s="465"/>
      <c r="Q88" s="465"/>
      <c r="R88" s="465"/>
      <c r="S88" s="465"/>
      <c r="T88" s="465"/>
      <c r="U88" s="465"/>
      <c r="V88" s="465"/>
      <c r="W88" s="465"/>
      <c r="X88" s="465"/>
      <c r="Y88" s="465"/>
      <c r="Z88" s="465"/>
      <c r="AA88" s="465"/>
      <c r="AB88" s="465"/>
      <c r="AC88" s="465"/>
      <c r="AD88" s="465"/>
      <c r="AE88" s="465"/>
      <c r="AF88" s="465"/>
      <c r="AG88" s="465"/>
      <c r="AH88" s="465"/>
      <c r="AI88" s="465"/>
      <c r="AJ88" s="465"/>
      <c r="AK88" s="465"/>
      <c r="AL88" s="465"/>
      <c r="AM88" s="465"/>
      <c r="AN88" s="465"/>
      <c r="AO88" s="465"/>
      <c r="AP88" s="465"/>
      <c r="AQ88" s="465"/>
      <c r="AR88" s="465"/>
      <c r="AS88" s="465"/>
      <c r="AT88" s="465"/>
      <c r="AU88" s="465"/>
      <c r="AV88" s="465"/>
      <c r="AW88" s="465"/>
      <c r="AX88" s="465"/>
      <c r="AY88" s="465"/>
      <c r="AZ88" s="465"/>
      <c r="BA88" s="465"/>
      <c r="BB88" s="465"/>
      <c r="BC88" s="465"/>
    </row>
    <row r="89" spans="1:55">
      <c r="A89" s="465"/>
      <c r="B89" s="465"/>
      <c r="C89" s="465"/>
      <c r="D89" s="467"/>
      <c r="E89" s="465"/>
      <c r="F89" s="465"/>
      <c r="G89" s="465"/>
      <c r="H89" s="465"/>
      <c r="I89" s="465"/>
      <c r="J89" s="465"/>
      <c r="K89" s="465"/>
      <c r="L89" s="465"/>
      <c r="M89" s="465"/>
      <c r="N89" s="465"/>
      <c r="O89" s="465"/>
      <c r="P89" s="465"/>
      <c r="Q89" s="465"/>
      <c r="R89" s="465"/>
      <c r="S89" s="465"/>
      <c r="T89" s="465"/>
      <c r="U89" s="465"/>
      <c r="V89" s="465"/>
      <c r="W89" s="465"/>
      <c r="X89" s="465"/>
      <c r="Y89" s="465"/>
      <c r="Z89" s="465"/>
      <c r="AA89" s="465"/>
      <c r="AB89" s="465"/>
      <c r="AC89" s="465"/>
      <c r="AD89" s="465"/>
      <c r="AE89" s="465"/>
      <c r="AF89" s="465"/>
      <c r="AG89" s="465"/>
      <c r="AH89" s="465"/>
      <c r="AI89" s="465"/>
      <c r="AJ89" s="465"/>
      <c r="AK89" s="465"/>
      <c r="AL89" s="465"/>
      <c r="AM89" s="465"/>
      <c r="AN89" s="465"/>
      <c r="AO89" s="465"/>
      <c r="AP89" s="465"/>
      <c r="AQ89" s="465"/>
      <c r="AR89" s="465"/>
      <c r="AS89" s="465"/>
      <c r="AT89" s="465"/>
      <c r="AU89" s="465"/>
      <c r="AV89" s="465"/>
      <c r="AW89" s="465"/>
      <c r="AX89" s="465"/>
      <c r="AY89" s="465"/>
      <c r="AZ89" s="465"/>
      <c r="BA89" s="465"/>
      <c r="BB89" s="465"/>
      <c r="BC89" s="465"/>
    </row>
    <row r="90" spans="1:55">
      <c r="A90" s="465"/>
      <c r="B90" s="465"/>
      <c r="C90" s="465"/>
      <c r="D90" s="467"/>
      <c r="E90" s="465"/>
      <c r="F90" s="465"/>
      <c r="G90" s="465"/>
      <c r="H90" s="465"/>
      <c r="I90" s="465"/>
      <c r="J90" s="465"/>
      <c r="K90" s="465"/>
      <c r="L90" s="465"/>
      <c r="M90" s="465"/>
      <c r="N90" s="465"/>
      <c r="O90" s="465"/>
      <c r="P90" s="465"/>
      <c r="Q90" s="465"/>
      <c r="R90" s="465"/>
      <c r="S90" s="465"/>
      <c r="T90" s="465"/>
      <c r="U90" s="465"/>
      <c r="V90" s="465"/>
      <c r="W90" s="465"/>
      <c r="X90" s="465"/>
      <c r="Y90" s="465"/>
      <c r="Z90" s="465"/>
      <c r="AA90" s="465"/>
      <c r="AB90" s="465"/>
      <c r="AC90" s="465"/>
      <c r="AD90" s="465"/>
      <c r="AE90" s="465"/>
      <c r="AF90" s="465"/>
      <c r="AG90" s="465"/>
      <c r="AH90" s="465"/>
      <c r="AI90" s="465"/>
      <c r="AJ90" s="465"/>
      <c r="AK90" s="465"/>
      <c r="AL90" s="465"/>
      <c r="AM90" s="465"/>
      <c r="AN90" s="465"/>
      <c r="AO90" s="465"/>
      <c r="AP90" s="465"/>
      <c r="AQ90" s="465"/>
      <c r="AR90" s="465"/>
      <c r="AS90" s="465"/>
      <c r="AT90" s="465"/>
      <c r="AU90" s="465"/>
      <c r="AV90" s="465"/>
      <c r="AW90" s="465"/>
      <c r="AX90" s="465"/>
      <c r="AY90" s="465"/>
      <c r="AZ90" s="465"/>
      <c r="BA90" s="465"/>
      <c r="BB90" s="465"/>
      <c r="BC90" s="465"/>
    </row>
    <row r="91" spans="1:55">
      <c r="A91" s="465"/>
      <c r="B91" s="465"/>
      <c r="C91" s="465"/>
      <c r="D91" s="467"/>
      <c r="E91" s="465"/>
      <c r="F91" s="465"/>
      <c r="G91" s="465"/>
      <c r="H91" s="465"/>
      <c r="I91" s="465"/>
      <c r="J91" s="465"/>
      <c r="K91" s="465"/>
      <c r="L91" s="465"/>
      <c r="M91" s="465"/>
      <c r="N91" s="465"/>
      <c r="O91" s="465"/>
      <c r="P91" s="465"/>
      <c r="Q91" s="465"/>
      <c r="R91" s="465"/>
      <c r="S91" s="465"/>
      <c r="T91" s="465"/>
      <c r="U91" s="465"/>
      <c r="V91" s="465"/>
      <c r="W91" s="465"/>
      <c r="X91" s="465"/>
      <c r="Y91" s="465"/>
      <c r="Z91" s="465"/>
      <c r="AA91" s="465"/>
      <c r="AB91" s="465"/>
      <c r="AC91" s="465"/>
      <c r="AD91" s="465"/>
      <c r="AE91" s="465"/>
      <c r="AF91" s="465"/>
      <c r="AG91" s="465"/>
      <c r="AH91" s="465"/>
      <c r="AI91" s="465"/>
      <c r="AJ91" s="465"/>
      <c r="AK91" s="465"/>
      <c r="AL91" s="465"/>
      <c r="AM91" s="465"/>
      <c r="AN91" s="465"/>
      <c r="AO91" s="465"/>
      <c r="AP91" s="465"/>
      <c r="AQ91" s="465"/>
      <c r="AR91" s="465"/>
      <c r="AS91" s="465"/>
      <c r="AT91" s="465"/>
      <c r="AU91" s="465"/>
      <c r="AV91" s="465"/>
      <c r="AW91" s="465"/>
      <c r="AX91" s="465"/>
      <c r="AY91" s="465"/>
      <c r="AZ91" s="465"/>
      <c r="BA91" s="465"/>
      <c r="BB91" s="465"/>
      <c r="BC91" s="465"/>
    </row>
    <row r="92" spans="1:55">
      <c r="A92" s="465"/>
      <c r="B92" s="465"/>
      <c r="C92" s="465"/>
      <c r="D92" s="467"/>
      <c r="E92" s="465"/>
      <c r="F92" s="465"/>
      <c r="G92" s="465"/>
      <c r="H92" s="465"/>
      <c r="I92" s="465"/>
      <c r="J92" s="465"/>
      <c r="K92" s="465"/>
      <c r="L92" s="465"/>
      <c r="M92" s="465"/>
      <c r="N92" s="465"/>
      <c r="O92" s="465"/>
      <c r="P92" s="465"/>
      <c r="Q92" s="465"/>
      <c r="R92" s="465"/>
      <c r="S92" s="465"/>
      <c r="T92" s="465"/>
      <c r="U92" s="465"/>
      <c r="V92" s="465"/>
      <c r="W92" s="465"/>
      <c r="X92" s="465"/>
      <c r="Y92" s="465"/>
      <c r="Z92" s="465"/>
      <c r="AA92" s="465"/>
      <c r="AB92" s="465"/>
      <c r="AC92" s="465"/>
      <c r="AD92" s="465"/>
      <c r="AE92" s="465"/>
      <c r="AF92" s="465"/>
      <c r="AG92" s="465"/>
      <c r="AH92" s="465"/>
      <c r="AI92" s="465"/>
      <c r="AJ92" s="465"/>
      <c r="AK92" s="465"/>
      <c r="AL92" s="465"/>
      <c r="AM92" s="465"/>
      <c r="AN92" s="465"/>
      <c r="AO92" s="465"/>
      <c r="AP92" s="465"/>
      <c r="AQ92" s="465"/>
      <c r="AR92" s="465"/>
      <c r="AS92" s="465"/>
      <c r="AT92" s="465"/>
      <c r="AU92" s="465"/>
      <c r="AV92" s="465"/>
      <c r="AW92" s="465"/>
      <c r="AX92" s="465"/>
      <c r="AY92" s="465"/>
      <c r="AZ92" s="465"/>
      <c r="BA92" s="465"/>
      <c r="BB92" s="465"/>
      <c r="BC92" s="465"/>
    </row>
    <row r="93" spans="1:55">
      <c r="A93" s="465"/>
      <c r="B93" s="465"/>
      <c r="C93" s="465"/>
      <c r="D93" s="467"/>
      <c r="E93" s="465"/>
      <c r="F93" s="465"/>
      <c r="G93" s="465"/>
      <c r="H93" s="465"/>
      <c r="I93" s="465"/>
      <c r="J93" s="465"/>
      <c r="K93" s="465"/>
      <c r="L93" s="465"/>
      <c r="M93" s="465"/>
      <c r="N93" s="465"/>
      <c r="O93" s="465"/>
      <c r="P93" s="465"/>
      <c r="Q93" s="465"/>
      <c r="R93" s="465"/>
      <c r="S93" s="465"/>
      <c r="T93" s="465"/>
      <c r="U93" s="465"/>
      <c r="V93" s="465"/>
      <c r="W93" s="465"/>
      <c r="X93" s="465"/>
      <c r="Y93" s="465"/>
      <c r="Z93" s="465"/>
      <c r="AA93" s="465"/>
      <c r="AB93" s="465"/>
      <c r="AC93" s="465"/>
      <c r="AD93" s="465"/>
      <c r="AE93" s="465"/>
      <c r="AF93" s="465"/>
      <c r="AG93" s="465"/>
      <c r="AH93" s="465"/>
      <c r="AI93" s="465"/>
      <c r="AJ93" s="465"/>
      <c r="AK93" s="465"/>
      <c r="AL93" s="465"/>
      <c r="AM93" s="465"/>
      <c r="AN93" s="465"/>
      <c r="AO93" s="465"/>
      <c r="AP93" s="465"/>
      <c r="AQ93" s="465"/>
      <c r="AR93" s="465"/>
      <c r="AS93" s="465"/>
      <c r="AT93" s="465"/>
      <c r="AU93" s="465"/>
      <c r="AV93" s="465"/>
      <c r="AW93" s="465"/>
      <c r="AX93" s="465"/>
      <c r="AY93" s="465"/>
      <c r="AZ93" s="465"/>
      <c r="BA93" s="465"/>
      <c r="BB93" s="465"/>
      <c r="BC93" s="465"/>
    </row>
    <row r="94" spans="1:55">
      <c r="A94" s="465"/>
      <c r="B94" s="465"/>
      <c r="C94" s="465"/>
      <c r="D94" s="467"/>
      <c r="E94" s="465"/>
      <c r="F94" s="465"/>
      <c r="G94" s="465"/>
      <c r="H94" s="465"/>
      <c r="I94" s="465"/>
      <c r="J94" s="465"/>
      <c r="K94" s="465"/>
      <c r="L94" s="465"/>
      <c r="M94" s="465"/>
      <c r="N94" s="465"/>
      <c r="O94" s="465"/>
      <c r="P94" s="465"/>
      <c r="Q94" s="465"/>
      <c r="R94" s="465"/>
      <c r="S94" s="465"/>
      <c r="T94" s="465"/>
      <c r="U94" s="465"/>
      <c r="V94" s="465"/>
      <c r="W94" s="465"/>
      <c r="X94" s="465"/>
      <c r="Y94" s="465"/>
      <c r="Z94" s="465"/>
      <c r="AA94" s="465"/>
      <c r="AB94" s="465"/>
      <c r="AC94" s="465"/>
      <c r="AD94" s="465"/>
      <c r="AE94" s="465"/>
      <c r="AF94" s="465"/>
      <c r="AG94" s="465"/>
      <c r="AH94" s="465"/>
      <c r="AI94" s="465"/>
      <c r="AJ94" s="465"/>
      <c r="AK94" s="465"/>
      <c r="AL94" s="465"/>
      <c r="AM94" s="465"/>
      <c r="AN94" s="465"/>
      <c r="AO94" s="465"/>
      <c r="AP94" s="465"/>
      <c r="AQ94" s="465"/>
      <c r="AR94" s="465"/>
      <c r="AS94" s="465"/>
      <c r="AT94" s="465"/>
      <c r="AU94" s="465"/>
      <c r="AV94" s="465"/>
      <c r="AW94" s="465"/>
      <c r="AX94" s="465"/>
      <c r="AY94" s="465"/>
      <c r="AZ94" s="465"/>
      <c r="BA94" s="465"/>
      <c r="BB94" s="465"/>
      <c r="BC94" s="465"/>
    </row>
    <row r="95" spans="1:55">
      <c r="A95" s="465"/>
      <c r="B95" s="465"/>
      <c r="C95" s="465"/>
      <c r="D95" s="467"/>
      <c r="E95" s="465"/>
      <c r="F95" s="465"/>
      <c r="G95" s="465"/>
      <c r="H95" s="465"/>
      <c r="I95" s="465"/>
      <c r="J95" s="465"/>
      <c r="K95" s="465"/>
      <c r="L95" s="465"/>
      <c r="M95" s="465"/>
      <c r="N95" s="465"/>
      <c r="O95" s="465"/>
      <c r="P95" s="465"/>
      <c r="Q95" s="465"/>
      <c r="R95" s="465"/>
      <c r="S95" s="465"/>
      <c r="T95" s="465"/>
      <c r="U95" s="465"/>
      <c r="V95" s="465"/>
      <c r="W95" s="465"/>
      <c r="X95" s="465"/>
      <c r="Y95" s="465"/>
      <c r="Z95" s="465"/>
      <c r="AA95" s="465"/>
      <c r="AB95" s="465"/>
      <c r="AC95" s="465"/>
      <c r="AD95" s="465"/>
      <c r="AE95" s="465"/>
      <c r="AF95" s="465"/>
      <c r="AG95" s="465"/>
      <c r="AH95" s="465"/>
      <c r="AI95" s="465"/>
      <c r="AJ95" s="465"/>
      <c r="AK95" s="465"/>
      <c r="AL95" s="465"/>
      <c r="AM95" s="465"/>
      <c r="AN95" s="465"/>
      <c r="AO95" s="465"/>
      <c r="AP95" s="465"/>
      <c r="AQ95" s="465"/>
      <c r="AR95" s="465"/>
      <c r="AS95" s="465"/>
      <c r="AT95" s="465"/>
      <c r="AU95" s="465"/>
      <c r="AV95" s="465"/>
      <c r="AW95" s="465"/>
      <c r="AX95" s="465"/>
      <c r="AY95" s="465"/>
      <c r="AZ95" s="465"/>
      <c r="BA95" s="465"/>
      <c r="BB95" s="465"/>
      <c r="BC95" s="465"/>
    </row>
    <row r="96" spans="1:55">
      <c r="A96" s="465"/>
      <c r="B96" s="465"/>
      <c r="C96" s="465"/>
      <c r="D96" s="467"/>
      <c r="E96" s="465"/>
      <c r="F96" s="465"/>
      <c r="G96" s="465"/>
      <c r="H96" s="465"/>
      <c r="I96" s="465"/>
      <c r="J96" s="465"/>
      <c r="K96" s="465"/>
      <c r="L96" s="465"/>
      <c r="M96" s="465"/>
      <c r="N96" s="465"/>
      <c r="O96" s="465"/>
      <c r="P96" s="465"/>
      <c r="Q96" s="465"/>
      <c r="R96" s="465"/>
      <c r="S96" s="465"/>
      <c r="T96" s="465"/>
      <c r="U96" s="465"/>
      <c r="V96" s="465"/>
      <c r="W96" s="465"/>
      <c r="X96" s="465"/>
      <c r="Y96" s="465"/>
      <c r="Z96" s="465"/>
      <c r="AA96" s="465"/>
      <c r="AB96" s="465"/>
      <c r="AC96" s="465"/>
      <c r="AD96" s="465"/>
      <c r="AE96" s="465"/>
      <c r="AF96" s="465"/>
      <c r="AG96" s="465"/>
      <c r="AH96" s="465"/>
      <c r="AI96" s="465"/>
      <c r="AJ96" s="465"/>
      <c r="AK96" s="465"/>
      <c r="AL96" s="465"/>
      <c r="AM96" s="465"/>
      <c r="AN96" s="465"/>
      <c r="AO96" s="465"/>
      <c r="AP96" s="465"/>
      <c r="AQ96" s="465"/>
      <c r="AR96" s="465"/>
      <c r="AS96" s="465"/>
      <c r="AT96" s="465"/>
      <c r="AU96" s="465"/>
      <c r="AV96" s="465"/>
      <c r="AW96" s="465"/>
      <c r="AX96" s="465"/>
      <c r="AY96" s="465"/>
      <c r="AZ96" s="465"/>
      <c r="BA96" s="465"/>
      <c r="BB96" s="465"/>
      <c r="BC96" s="465"/>
    </row>
    <row r="97" spans="1:55">
      <c r="A97" s="465"/>
      <c r="B97" s="465"/>
      <c r="C97" s="465"/>
      <c r="D97" s="467"/>
      <c r="E97" s="465"/>
      <c r="F97" s="465"/>
      <c r="G97" s="465"/>
      <c r="H97" s="465"/>
      <c r="I97" s="465"/>
      <c r="J97" s="465"/>
      <c r="K97" s="465"/>
      <c r="L97" s="465"/>
      <c r="M97" s="465"/>
      <c r="N97" s="465"/>
      <c r="O97" s="465"/>
      <c r="P97" s="465"/>
      <c r="Q97" s="465"/>
      <c r="R97" s="465"/>
      <c r="S97" s="465"/>
      <c r="T97" s="465"/>
      <c r="U97" s="465"/>
      <c r="V97" s="465"/>
      <c r="W97" s="465"/>
      <c r="X97" s="465"/>
      <c r="Y97" s="465"/>
      <c r="Z97" s="465"/>
      <c r="AA97" s="465"/>
      <c r="AB97" s="465"/>
      <c r="AC97" s="465"/>
      <c r="AD97" s="465"/>
      <c r="AE97" s="465"/>
      <c r="AF97" s="465"/>
      <c r="AG97" s="465"/>
      <c r="AH97" s="465"/>
      <c r="AI97" s="465"/>
      <c r="AJ97" s="465"/>
      <c r="AK97" s="465"/>
      <c r="AL97" s="465"/>
      <c r="AM97" s="465"/>
      <c r="AN97" s="465"/>
      <c r="AO97" s="465"/>
      <c r="AP97" s="465"/>
      <c r="AQ97" s="465"/>
      <c r="AR97" s="465"/>
      <c r="AS97" s="465"/>
      <c r="AT97" s="465"/>
      <c r="AU97" s="465"/>
      <c r="AV97" s="465"/>
      <c r="AW97" s="465"/>
      <c r="AX97" s="465"/>
      <c r="AY97" s="465"/>
      <c r="AZ97" s="465"/>
      <c r="BA97" s="465"/>
      <c r="BB97" s="465"/>
      <c r="BC97" s="465"/>
    </row>
    <row r="98" spans="1:55">
      <c r="A98" s="465"/>
      <c r="B98" s="465"/>
      <c r="C98" s="465"/>
      <c r="D98" s="467"/>
      <c r="E98" s="465"/>
      <c r="F98" s="465"/>
      <c r="G98" s="465"/>
      <c r="H98" s="465"/>
      <c r="I98" s="465"/>
      <c r="J98" s="465"/>
      <c r="K98" s="465"/>
      <c r="L98" s="465"/>
      <c r="M98" s="465"/>
      <c r="N98" s="465"/>
      <c r="O98" s="465"/>
      <c r="P98" s="465"/>
      <c r="Q98" s="465"/>
      <c r="R98" s="465"/>
      <c r="S98" s="465"/>
      <c r="T98" s="465"/>
      <c r="U98" s="465"/>
      <c r="V98" s="465"/>
      <c r="W98" s="465"/>
      <c r="X98" s="465"/>
      <c r="Y98" s="465"/>
      <c r="Z98" s="465"/>
      <c r="AA98" s="465"/>
      <c r="AB98" s="465"/>
      <c r="AC98" s="465"/>
      <c r="AD98" s="465"/>
      <c r="AE98" s="465"/>
      <c r="AF98" s="465"/>
      <c r="AG98" s="465"/>
      <c r="AH98" s="465"/>
      <c r="AI98" s="465"/>
      <c r="AJ98" s="465"/>
      <c r="AK98" s="465"/>
      <c r="AL98" s="465"/>
      <c r="AM98" s="465"/>
      <c r="AN98" s="465"/>
      <c r="AO98" s="465"/>
      <c r="AP98" s="465"/>
      <c r="AQ98" s="465"/>
      <c r="AR98" s="465"/>
      <c r="AS98" s="465"/>
      <c r="AT98" s="465"/>
      <c r="AU98" s="465"/>
      <c r="AV98" s="465"/>
      <c r="AW98" s="465"/>
      <c r="AX98" s="465"/>
      <c r="AY98" s="465"/>
      <c r="AZ98" s="465"/>
      <c r="BA98" s="465"/>
      <c r="BB98" s="465"/>
      <c r="BC98" s="465"/>
    </row>
    <row r="99" spans="1:55">
      <c r="A99" s="465"/>
      <c r="B99" s="465"/>
      <c r="C99" s="465"/>
      <c r="D99" s="467"/>
      <c r="E99" s="465"/>
      <c r="F99" s="465"/>
      <c r="G99" s="465"/>
      <c r="H99" s="465"/>
      <c r="I99" s="465"/>
      <c r="J99" s="465"/>
      <c r="K99" s="465"/>
      <c r="L99" s="465"/>
      <c r="M99" s="465"/>
      <c r="N99" s="465"/>
      <c r="O99" s="465"/>
      <c r="P99" s="465"/>
      <c r="Q99" s="465"/>
      <c r="R99" s="465"/>
      <c r="S99" s="465"/>
      <c r="T99" s="465"/>
      <c r="U99" s="465"/>
      <c r="V99" s="465"/>
      <c r="W99" s="465"/>
      <c r="X99" s="465"/>
      <c r="Y99" s="465"/>
      <c r="Z99" s="465"/>
      <c r="AA99" s="465"/>
      <c r="AB99" s="465"/>
      <c r="AC99" s="465"/>
      <c r="AD99" s="465"/>
      <c r="AE99" s="465"/>
      <c r="AF99" s="465"/>
      <c r="AG99" s="465"/>
      <c r="AH99" s="465"/>
      <c r="AI99" s="465"/>
      <c r="AJ99" s="465"/>
      <c r="AK99" s="465"/>
      <c r="AL99" s="465"/>
      <c r="AM99" s="465"/>
      <c r="AN99" s="465"/>
      <c r="AO99" s="465"/>
      <c r="AP99" s="465"/>
      <c r="AQ99" s="465"/>
      <c r="AR99" s="465"/>
      <c r="AS99" s="465"/>
      <c r="AT99" s="465"/>
      <c r="AU99" s="465"/>
      <c r="AV99" s="465"/>
      <c r="AW99" s="465"/>
      <c r="AX99" s="465"/>
      <c r="AY99" s="465"/>
      <c r="AZ99" s="465"/>
      <c r="BA99" s="465"/>
      <c r="BB99" s="465"/>
      <c r="BC99" s="465"/>
    </row>
    <row r="100" spans="1:55">
      <c r="A100" s="465"/>
      <c r="B100" s="465"/>
      <c r="C100" s="465"/>
      <c r="D100" s="467"/>
      <c r="E100" s="465"/>
      <c r="F100" s="465"/>
      <c r="G100" s="465"/>
      <c r="H100" s="465"/>
      <c r="I100" s="465"/>
      <c r="J100" s="465"/>
      <c r="K100" s="465"/>
      <c r="L100" s="465"/>
      <c r="M100" s="465"/>
      <c r="N100" s="465"/>
      <c r="O100" s="465"/>
      <c r="P100" s="465"/>
      <c r="Q100" s="465"/>
      <c r="R100" s="465"/>
      <c r="S100" s="465"/>
      <c r="T100" s="465"/>
      <c r="U100" s="465"/>
      <c r="V100" s="465"/>
      <c r="W100" s="465"/>
      <c r="X100" s="465"/>
      <c r="Y100" s="465"/>
      <c r="Z100" s="465"/>
      <c r="AA100" s="465"/>
      <c r="AB100" s="465"/>
      <c r="AC100" s="465"/>
      <c r="AD100" s="465"/>
      <c r="AE100" s="465"/>
      <c r="AF100" s="465"/>
      <c r="AG100" s="465"/>
      <c r="AH100" s="465"/>
      <c r="AI100" s="465"/>
      <c r="AJ100" s="465"/>
      <c r="AK100" s="465"/>
      <c r="AL100" s="465"/>
      <c r="AM100" s="465"/>
      <c r="AN100" s="465"/>
      <c r="AO100" s="465"/>
      <c r="AP100" s="465"/>
      <c r="AQ100" s="465"/>
      <c r="AR100" s="465"/>
      <c r="AS100" s="465"/>
      <c r="AT100" s="465"/>
      <c r="AU100" s="465"/>
      <c r="AV100" s="465"/>
      <c r="AW100" s="465"/>
      <c r="AX100" s="465"/>
      <c r="AY100" s="465"/>
      <c r="AZ100" s="465"/>
      <c r="BA100" s="465"/>
      <c r="BB100" s="465"/>
      <c r="BC100" s="465"/>
    </row>
    <row r="101" spans="1:55">
      <c r="A101" s="465"/>
      <c r="B101" s="465"/>
      <c r="C101" s="465"/>
      <c r="D101" s="467"/>
      <c r="E101" s="465"/>
      <c r="F101" s="465"/>
      <c r="G101" s="465"/>
      <c r="H101" s="465"/>
      <c r="I101" s="465"/>
      <c r="J101" s="465"/>
      <c r="K101" s="465"/>
      <c r="L101" s="465"/>
      <c r="M101" s="465"/>
      <c r="N101" s="465"/>
      <c r="O101" s="465"/>
      <c r="P101" s="465"/>
      <c r="Q101" s="465"/>
      <c r="R101" s="465"/>
      <c r="S101" s="465"/>
      <c r="T101" s="465"/>
      <c r="U101" s="465"/>
      <c r="V101" s="465"/>
      <c r="W101" s="465"/>
      <c r="X101" s="465"/>
      <c r="Y101" s="465"/>
      <c r="Z101" s="465"/>
      <c r="AA101" s="465"/>
      <c r="AB101" s="465"/>
      <c r="AC101" s="465"/>
      <c r="AD101" s="465"/>
      <c r="AE101" s="465"/>
      <c r="AF101" s="465"/>
      <c r="AG101" s="465"/>
      <c r="AH101" s="465"/>
      <c r="AI101" s="465"/>
      <c r="AJ101" s="465"/>
      <c r="AK101" s="465"/>
      <c r="AL101" s="465"/>
      <c r="AM101" s="465"/>
      <c r="AN101" s="465"/>
      <c r="AO101" s="465"/>
      <c r="AP101" s="465"/>
      <c r="AQ101" s="465"/>
      <c r="AR101" s="465"/>
      <c r="AS101" s="465"/>
      <c r="AT101" s="465"/>
      <c r="AU101" s="465"/>
      <c r="AV101" s="465"/>
      <c r="AW101" s="465"/>
      <c r="AX101" s="465"/>
      <c r="AY101" s="465"/>
      <c r="AZ101" s="465"/>
      <c r="BA101" s="465"/>
      <c r="BB101" s="465"/>
      <c r="BC101" s="465"/>
    </row>
    <row r="102" spans="1:55">
      <c r="A102" s="465"/>
      <c r="B102" s="465"/>
      <c r="C102" s="465"/>
      <c r="D102" s="467"/>
      <c r="E102" s="465"/>
      <c r="F102" s="465"/>
      <c r="G102" s="465"/>
      <c r="H102" s="465"/>
      <c r="I102" s="465"/>
      <c r="J102" s="465"/>
      <c r="K102" s="465"/>
      <c r="L102" s="465"/>
      <c r="M102" s="465"/>
      <c r="N102" s="465"/>
      <c r="O102" s="465"/>
      <c r="P102" s="465"/>
      <c r="Q102" s="465"/>
      <c r="R102" s="465"/>
      <c r="S102" s="465"/>
      <c r="T102" s="465"/>
      <c r="U102" s="465"/>
      <c r="V102" s="465"/>
      <c r="W102" s="465"/>
      <c r="X102" s="465"/>
      <c r="Y102" s="465"/>
      <c r="Z102" s="465"/>
      <c r="AA102" s="465"/>
      <c r="AB102" s="465"/>
      <c r="AC102" s="465"/>
      <c r="AD102" s="465"/>
      <c r="AE102" s="465"/>
      <c r="AF102" s="465"/>
      <c r="AG102" s="465"/>
      <c r="AH102" s="465"/>
      <c r="AI102" s="465"/>
      <c r="AJ102" s="465"/>
      <c r="AK102" s="465"/>
      <c r="AL102" s="465"/>
      <c r="AM102" s="465"/>
      <c r="AN102" s="465"/>
      <c r="AO102" s="465"/>
      <c r="AP102" s="465"/>
      <c r="AQ102" s="465"/>
      <c r="AR102" s="465"/>
      <c r="AS102" s="465"/>
      <c r="AT102" s="465"/>
      <c r="AU102" s="465"/>
      <c r="AV102" s="465"/>
      <c r="AW102" s="465"/>
      <c r="AX102" s="465"/>
      <c r="AY102" s="465"/>
      <c r="AZ102" s="465"/>
      <c r="BA102" s="465"/>
      <c r="BB102" s="465"/>
      <c r="BC102" s="465"/>
    </row>
    <row r="103" spans="1:55">
      <c r="A103" s="465"/>
      <c r="B103" s="465"/>
      <c r="C103" s="465"/>
      <c r="D103" s="467"/>
      <c r="E103" s="465"/>
      <c r="F103" s="465"/>
      <c r="G103" s="465"/>
      <c r="H103" s="465"/>
      <c r="I103" s="465"/>
      <c r="J103" s="465"/>
      <c r="K103" s="465"/>
      <c r="L103" s="465"/>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c r="AI103" s="465"/>
      <c r="AJ103" s="465"/>
      <c r="AK103" s="465"/>
      <c r="AL103" s="465"/>
      <c r="AM103" s="465"/>
      <c r="AN103" s="465"/>
      <c r="AO103" s="465"/>
      <c r="AP103" s="465"/>
      <c r="AQ103" s="465"/>
      <c r="AR103" s="465"/>
      <c r="AS103" s="465"/>
      <c r="AT103" s="465"/>
      <c r="AU103" s="465"/>
      <c r="AV103" s="465"/>
      <c r="AW103" s="465"/>
      <c r="AX103" s="465"/>
      <c r="AY103" s="465"/>
      <c r="AZ103" s="465"/>
      <c r="BA103" s="465"/>
      <c r="BB103" s="465"/>
      <c r="BC103" s="465"/>
    </row>
    <row r="104" spans="1:55">
      <c r="A104" s="465"/>
      <c r="B104" s="465"/>
      <c r="C104" s="465"/>
      <c r="D104" s="467"/>
      <c r="E104" s="465"/>
      <c r="F104" s="465"/>
      <c r="G104" s="465"/>
      <c r="H104" s="465"/>
      <c r="I104" s="465"/>
      <c r="J104" s="465"/>
      <c r="K104" s="465"/>
      <c r="L104" s="465"/>
      <c r="M104" s="465"/>
      <c r="N104" s="465"/>
      <c r="O104" s="465"/>
      <c r="P104" s="465"/>
      <c r="Q104" s="465"/>
      <c r="R104" s="465"/>
      <c r="S104" s="465"/>
      <c r="T104" s="465"/>
      <c r="U104" s="465"/>
      <c r="V104" s="465"/>
      <c r="W104" s="465"/>
      <c r="X104" s="465"/>
      <c r="Y104" s="465"/>
      <c r="Z104" s="465"/>
      <c r="AA104" s="465"/>
      <c r="AB104" s="465"/>
      <c r="AC104" s="465"/>
      <c r="AD104" s="465"/>
      <c r="AE104" s="465"/>
      <c r="AF104" s="465"/>
      <c r="AG104" s="465"/>
      <c r="AH104" s="465"/>
      <c r="AI104" s="465"/>
      <c r="AJ104" s="465"/>
      <c r="AK104" s="465"/>
      <c r="AL104" s="465"/>
      <c r="AM104" s="465"/>
      <c r="AN104" s="465"/>
      <c r="AO104" s="465"/>
      <c r="AP104" s="465"/>
      <c r="AQ104" s="465"/>
      <c r="AR104" s="465"/>
      <c r="AS104" s="465"/>
      <c r="AT104" s="465"/>
      <c r="AU104" s="465"/>
      <c r="AV104" s="465"/>
      <c r="AW104" s="465"/>
      <c r="AX104" s="465"/>
      <c r="AY104" s="465"/>
      <c r="AZ104" s="465"/>
      <c r="BA104" s="465"/>
      <c r="BB104" s="465"/>
      <c r="BC104" s="465"/>
    </row>
    <row r="105" spans="1:55">
      <c r="A105" s="465"/>
      <c r="B105" s="465"/>
      <c r="C105" s="465"/>
      <c r="D105" s="467"/>
      <c r="E105" s="465"/>
      <c r="F105" s="465"/>
      <c r="G105" s="465"/>
      <c r="H105" s="465"/>
      <c r="I105" s="465"/>
      <c r="J105" s="465"/>
      <c r="K105" s="465"/>
      <c r="L105" s="465"/>
      <c r="M105" s="465"/>
      <c r="N105" s="465"/>
      <c r="O105" s="465"/>
      <c r="P105" s="465"/>
      <c r="Q105" s="465"/>
      <c r="R105" s="465"/>
      <c r="S105" s="465"/>
      <c r="T105" s="465"/>
      <c r="U105" s="465"/>
      <c r="V105" s="465"/>
      <c r="W105" s="465"/>
      <c r="X105" s="465"/>
      <c r="Y105" s="465"/>
      <c r="Z105" s="465"/>
      <c r="AA105" s="465"/>
      <c r="AB105" s="465"/>
      <c r="AC105" s="465"/>
      <c r="AD105" s="465"/>
      <c r="AE105" s="465"/>
      <c r="AF105" s="465"/>
      <c r="AG105" s="465"/>
      <c r="AH105" s="465"/>
      <c r="AI105" s="465"/>
      <c r="AJ105" s="465"/>
      <c r="AK105" s="465"/>
      <c r="AL105" s="465"/>
      <c r="AM105" s="465"/>
      <c r="AN105" s="465"/>
      <c r="AO105" s="465"/>
      <c r="AP105" s="465"/>
      <c r="AQ105" s="465"/>
      <c r="AR105" s="465"/>
      <c r="AS105" s="465"/>
      <c r="AT105" s="465"/>
      <c r="AU105" s="465"/>
      <c r="AV105" s="465"/>
      <c r="AW105" s="465"/>
      <c r="AX105" s="465"/>
      <c r="AY105" s="465"/>
      <c r="AZ105" s="465"/>
      <c r="BA105" s="465"/>
      <c r="BB105" s="465"/>
      <c r="BC105" s="465"/>
    </row>
    <row r="106" spans="1:55">
      <c r="A106" s="465"/>
      <c r="B106" s="465"/>
      <c r="C106" s="465"/>
      <c r="D106" s="467"/>
      <c r="E106" s="465"/>
      <c r="F106" s="465"/>
      <c r="G106" s="465"/>
      <c r="H106" s="465"/>
      <c r="I106" s="465"/>
      <c r="J106" s="465"/>
      <c r="K106" s="465"/>
      <c r="L106" s="465"/>
      <c r="M106" s="465"/>
      <c r="N106" s="465"/>
      <c r="O106" s="465"/>
      <c r="P106" s="465"/>
      <c r="Q106" s="465"/>
      <c r="R106" s="465"/>
      <c r="S106" s="465"/>
      <c r="T106" s="465"/>
      <c r="U106" s="465"/>
      <c r="V106" s="465"/>
      <c r="W106" s="465"/>
      <c r="X106" s="465"/>
      <c r="Y106" s="465"/>
      <c r="Z106" s="465"/>
      <c r="AA106" s="465"/>
      <c r="AB106" s="465"/>
      <c r="AC106" s="465"/>
      <c r="AD106" s="465"/>
      <c r="AE106" s="465"/>
      <c r="AF106" s="465"/>
      <c r="AG106" s="465"/>
      <c r="AH106" s="465"/>
      <c r="AI106" s="465"/>
      <c r="AJ106" s="465"/>
      <c r="AK106" s="465"/>
      <c r="AL106" s="465"/>
      <c r="AM106" s="465"/>
      <c r="AN106" s="465"/>
      <c r="AO106" s="465"/>
      <c r="AP106" s="465"/>
      <c r="AQ106" s="465"/>
      <c r="AR106" s="465"/>
      <c r="AS106" s="465"/>
      <c r="AT106" s="465"/>
      <c r="AU106" s="465"/>
      <c r="AV106" s="465"/>
      <c r="AW106" s="465"/>
      <c r="AX106" s="465"/>
      <c r="AY106" s="465"/>
      <c r="AZ106" s="465"/>
      <c r="BA106" s="465"/>
      <c r="BB106" s="465"/>
      <c r="BC106" s="465"/>
    </row>
    <row r="107" spans="1:55">
      <c r="A107" s="465"/>
      <c r="B107" s="465"/>
      <c r="C107" s="465"/>
      <c r="D107" s="467"/>
      <c r="E107" s="465"/>
      <c r="F107" s="465"/>
      <c r="G107" s="465"/>
      <c r="H107" s="465"/>
      <c r="I107" s="465"/>
      <c r="J107" s="465"/>
      <c r="K107" s="465"/>
      <c r="L107" s="465"/>
      <c r="M107" s="465"/>
      <c r="N107" s="465"/>
      <c r="O107" s="465"/>
      <c r="P107" s="465"/>
      <c r="Q107" s="465"/>
      <c r="R107" s="465"/>
      <c r="S107" s="465"/>
      <c r="T107" s="465"/>
      <c r="U107" s="465"/>
      <c r="V107" s="465"/>
      <c r="W107" s="465"/>
      <c r="X107" s="465"/>
      <c r="Y107" s="465"/>
      <c r="Z107" s="465"/>
      <c r="AA107" s="465"/>
      <c r="AB107" s="465"/>
      <c r="AC107" s="465"/>
      <c r="AD107" s="465"/>
      <c r="AE107" s="465"/>
      <c r="AF107" s="465"/>
      <c r="AG107" s="465"/>
      <c r="AH107" s="465"/>
      <c r="AI107" s="465"/>
      <c r="AJ107" s="465"/>
      <c r="AK107" s="465"/>
      <c r="AL107" s="465"/>
      <c r="AM107" s="465"/>
      <c r="AN107" s="465"/>
      <c r="AO107" s="465"/>
      <c r="AP107" s="465"/>
      <c r="AQ107" s="465"/>
      <c r="AR107" s="465"/>
      <c r="AS107" s="465"/>
      <c r="AT107" s="465"/>
      <c r="AU107" s="465"/>
      <c r="AV107" s="465"/>
      <c r="AW107" s="465"/>
      <c r="AX107" s="465"/>
      <c r="AY107" s="465"/>
      <c r="AZ107" s="465"/>
      <c r="BA107" s="465"/>
      <c r="BB107" s="465"/>
      <c r="BC107" s="465"/>
    </row>
    <row r="108" spans="1:55">
      <c r="A108" s="465"/>
      <c r="B108" s="465"/>
      <c r="C108" s="465"/>
      <c r="D108" s="467"/>
      <c r="E108" s="465"/>
      <c r="F108" s="465"/>
      <c r="G108" s="465"/>
      <c r="H108" s="465"/>
      <c r="I108" s="465"/>
      <c r="J108" s="465"/>
      <c r="K108" s="465"/>
      <c r="L108" s="465"/>
      <c r="M108" s="465"/>
      <c r="N108" s="465"/>
      <c r="O108" s="465"/>
      <c r="P108" s="465"/>
      <c r="Q108" s="465"/>
      <c r="R108" s="465"/>
      <c r="S108" s="465"/>
      <c r="T108" s="465"/>
      <c r="U108" s="465"/>
      <c r="V108" s="465"/>
      <c r="W108" s="465"/>
      <c r="X108" s="465"/>
      <c r="Y108" s="465"/>
      <c r="Z108" s="465"/>
      <c r="AA108" s="465"/>
      <c r="AB108" s="465"/>
      <c r="AC108" s="465"/>
      <c r="AD108" s="465"/>
      <c r="AE108" s="465"/>
      <c r="AF108" s="465"/>
      <c r="AG108" s="465"/>
      <c r="AH108" s="465"/>
      <c r="AI108" s="465"/>
      <c r="AJ108" s="465"/>
      <c r="AK108" s="465"/>
      <c r="AL108" s="465"/>
      <c r="AM108" s="465"/>
      <c r="AN108" s="465"/>
      <c r="AO108" s="465"/>
      <c r="AP108" s="465"/>
      <c r="AQ108" s="465"/>
      <c r="AR108" s="465"/>
      <c r="AS108" s="465"/>
      <c r="AT108" s="465"/>
      <c r="AU108" s="465"/>
      <c r="AV108" s="465"/>
      <c r="AW108" s="465"/>
      <c r="AX108" s="465"/>
      <c r="AY108" s="465"/>
      <c r="AZ108" s="465"/>
      <c r="BA108" s="465"/>
      <c r="BB108" s="465"/>
      <c r="BC108" s="465"/>
    </row>
    <row r="109" spans="1:55">
      <c r="A109" s="465"/>
      <c r="B109" s="465"/>
      <c r="C109" s="465"/>
      <c r="D109" s="467"/>
      <c r="E109" s="465"/>
      <c r="F109" s="465"/>
      <c r="G109" s="465"/>
      <c r="H109" s="465"/>
      <c r="I109" s="465"/>
      <c r="J109" s="465"/>
      <c r="K109" s="465"/>
      <c r="L109" s="465"/>
      <c r="M109" s="465"/>
      <c r="N109" s="465"/>
      <c r="O109" s="465"/>
      <c r="P109" s="465"/>
      <c r="Q109" s="465"/>
      <c r="R109" s="465"/>
      <c r="S109" s="465"/>
      <c r="T109" s="465"/>
      <c r="U109" s="465"/>
      <c r="V109" s="465"/>
      <c r="W109" s="465"/>
      <c r="X109" s="465"/>
      <c r="Y109" s="465"/>
      <c r="Z109" s="465"/>
      <c r="AA109" s="465"/>
      <c r="AB109" s="465"/>
      <c r="AC109" s="465"/>
      <c r="AD109" s="465"/>
      <c r="AE109" s="465"/>
      <c r="AF109" s="465"/>
      <c r="AG109" s="465"/>
      <c r="AH109" s="465"/>
      <c r="AI109" s="465"/>
      <c r="AJ109" s="465"/>
      <c r="AK109" s="465"/>
      <c r="AL109" s="465"/>
      <c r="AM109" s="465"/>
      <c r="AN109" s="465"/>
      <c r="AO109" s="465"/>
      <c r="AP109" s="465"/>
      <c r="AQ109" s="465"/>
      <c r="AR109" s="465"/>
      <c r="AS109" s="465"/>
      <c r="AT109" s="465"/>
      <c r="AU109" s="465"/>
      <c r="AV109" s="465"/>
      <c r="AW109" s="465"/>
      <c r="AX109" s="465"/>
      <c r="AY109" s="465"/>
      <c r="AZ109" s="465"/>
      <c r="BA109" s="465"/>
      <c r="BB109" s="465"/>
      <c r="BC109" s="465"/>
    </row>
    <row r="110" spans="1:55">
      <c r="A110" s="465"/>
      <c r="B110" s="465"/>
      <c r="C110" s="465"/>
      <c r="D110" s="467"/>
      <c r="E110" s="465"/>
      <c r="F110" s="465"/>
      <c r="G110" s="465"/>
      <c r="H110" s="465"/>
      <c r="I110" s="465"/>
      <c r="J110" s="465"/>
      <c r="K110" s="465"/>
      <c r="L110" s="465"/>
      <c r="M110" s="465"/>
      <c r="N110" s="465"/>
      <c r="O110" s="465"/>
      <c r="P110" s="465"/>
      <c r="Q110" s="465"/>
      <c r="R110" s="465"/>
      <c r="S110" s="465"/>
      <c r="T110" s="465"/>
      <c r="U110" s="465"/>
      <c r="V110" s="465"/>
      <c r="W110" s="465"/>
      <c r="X110" s="465"/>
      <c r="Y110" s="465"/>
      <c r="Z110" s="465"/>
      <c r="AA110" s="465"/>
      <c r="AB110" s="465"/>
      <c r="AC110" s="465"/>
      <c r="AD110" s="465"/>
      <c r="AE110" s="465"/>
      <c r="AF110" s="465"/>
      <c r="AG110" s="465"/>
      <c r="AH110" s="465"/>
      <c r="AI110" s="465"/>
      <c r="AJ110" s="465"/>
      <c r="AK110" s="465"/>
      <c r="AL110" s="465"/>
      <c r="AM110" s="465"/>
      <c r="AN110" s="465"/>
      <c r="AO110" s="465"/>
      <c r="AP110" s="465"/>
      <c r="AQ110" s="465"/>
      <c r="AR110" s="465"/>
      <c r="AS110" s="465"/>
      <c r="AT110" s="465"/>
      <c r="AU110" s="465"/>
      <c r="AV110" s="465"/>
      <c r="AW110" s="465"/>
      <c r="AX110" s="465"/>
      <c r="AY110" s="465"/>
      <c r="AZ110" s="465"/>
      <c r="BA110" s="465"/>
      <c r="BB110" s="465"/>
      <c r="BC110" s="465"/>
    </row>
    <row r="111" spans="1:55">
      <c r="A111" s="465"/>
      <c r="B111" s="465"/>
      <c r="C111" s="465"/>
      <c r="D111" s="467"/>
      <c r="E111" s="465"/>
      <c r="F111" s="465"/>
      <c r="G111" s="465"/>
      <c r="H111" s="465"/>
      <c r="I111" s="465"/>
      <c r="J111" s="465"/>
      <c r="K111" s="465"/>
      <c r="L111" s="465"/>
      <c r="M111" s="465"/>
      <c r="N111" s="465"/>
      <c r="O111" s="465"/>
      <c r="P111" s="465"/>
      <c r="Q111" s="465"/>
      <c r="R111" s="465"/>
      <c r="S111" s="465"/>
      <c r="T111" s="465"/>
      <c r="U111" s="465"/>
      <c r="V111" s="465"/>
      <c r="W111" s="465"/>
      <c r="X111" s="465"/>
      <c r="Y111" s="465"/>
      <c r="Z111" s="465"/>
      <c r="AA111" s="465"/>
      <c r="AB111" s="465"/>
      <c r="AC111" s="465"/>
      <c r="AD111" s="465"/>
      <c r="AE111" s="465"/>
      <c r="AF111" s="465"/>
      <c r="AG111" s="465"/>
      <c r="AH111" s="465"/>
      <c r="AI111" s="465"/>
      <c r="AJ111" s="465"/>
      <c r="AK111" s="465"/>
      <c r="AL111" s="465"/>
      <c r="AM111" s="465"/>
      <c r="AN111" s="465"/>
      <c r="AO111" s="465"/>
      <c r="AP111" s="465"/>
      <c r="AQ111" s="465"/>
      <c r="AR111" s="465"/>
      <c r="AS111" s="465"/>
      <c r="AT111" s="465"/>
      <c r="AU111" s="465"/>
      <c r="AV111" s="465"/>
      <c r="AW111" s="465"/>
      <c r="AX111" s="465"/>
      <c r="AY111" s="465"/>
      <c r="AZ111" s="465"/>
      <c r="BA111" s="465"/>
      <c r="BB111" s="465"/>
      <c r="BC111" s="465"/>
    </row>
    <row r="112" spans="1:55">
      <c r="A112" s="465"/>
      <c r="B112" s="465"/>
      <c r="C112" s="465"/>
      <c r="D112" s="467"/>
      <c r="E112" s="465"/>
      <c r="F112" s="465"/>
      <c r="G112" s="465"/>
      <c r="H112" s="465"/>
      <c r="I112" s="465"/>
      <c r="J112" s="465"/>
      <c r="K112" s="465"/>
      <c r="L112" s="465"/>
      <c r="M112" s="465"/>
      <c r="N112" s="465"/>
      <c r="O112" s="465"/>
      <c r="P112" s="465"/>
      <c r="Q112" s="465"/>
      <c r="R112" s="465"/>
      <c r="S112" s="465"/>
      <c r="T112" s="465"/>
      <c r="U112" s="465"/>
      <c r="V112" s="465"/>
      <c r="W112" s="465"/>
      <c r="X112" s="465"/>
      <c r="Y112" s="465"/>
      <c r="Z112" s="465"/>
      <c r="AA112" s="465"/>
      <c r="AB112" s="465"/>
      <c r="AC112" s="465"/>
      <c r="AD112" s="465"/>
      <c r="AE112" s="465"/>
      <c r="AF112" s="465"/>
      <c r="AG112" s="465"/>
      <c r="AH112" s="465"/>
      <c r="AI112" s="465"/>
      <c r="AJ112" s="465"/>
      <c r="AK112" s="465"/>
      <c r="AL112" s="465"/>
      <c r="AM112" s="465"/>
      <c r="AN112" s="465"/>
      <c r="AO112" s="465"/>
      <c r="AP112" s="465"/>
      <c r="AQ112" s="465"/>
      <c r="AR112" s="465"/>
      <c r="AS112" s="465"/>
      <c r="AT112" s="465"/>
      <c r="AU112" s="465"/>
      <c r="AV112" s="465"/>
      <c r="AW112" s="465"/>
      <c r="AX112" s="465"/>
      <c r="AY112" s="465"/>
      <c r="AZ112" s="465"/>
      <c r="BA112" s="465"/>
      <c r="BB112" s="465"/>
      <c r="BC112" s="465"/>
    </row>
    <row r="113" spans="1:55">
      <c r="A113" s="465"/>
      <c r="B113" s="465"/>
      <c r="C113" s="465"/>
      <c r="D113" s="467"/>
      <c r="E113" s="465"/>
      <c r="F113" s="465"/>
      <c r="G113" s="465"/>
      <c r="H113" s="465"/>
      <c r="I113" s="465"/>
      <c r="J113" s="465"/>
      <c r="K113" s="465"/>
      <c r="L113" s="465"/>
      <c r="M113" s="465"/>
      <c r="N113" s="465"/>
      <c r="O113" s="465"/>
      <c r="P113" s="465"/>
      <c r="Q113" s="465"/>
      <c r="R113" s="465"/>
      <c r="S113" s="465"/>
      <c r="T113" s="465"/>
      <c r="U113" s="465"/>
      <c r="V113" s="465"/>
      <c r="W113" s="465"/>
      <c r="X113" s="465"/>
      <c r="Y113" s="465"/>
      <c r="Z113" s="465"/>
      <c r="AA113" s="465"/>
      <c r="AB113" s="465"/>
      <c r="AC113" s="465"/>
      <c r="AD113" s="465"/>
      <c r="AE113" s="465"/>
      <c r="AF113" s="465"/>
      <c r="AG113" s="465"/>
      <c r="AH113" s="465"/>
      <c r="AI113" s="465"/>
      <c r="AJ113" s="465"/>
      <c r="AK113" s="465"/>
      <c r="AL113" s="465"/>
      <c r="AM113" s="465"/>
      <c r="AN113" s="465"/>
      <c r="AO113" s="465"/>
      <c r="AP113" s="465"/>
      <c r="AQ113" s="465"/>
      <c r="AR113" s="465"/>
      <c r="AS113" s="465"/>
      <c r="AT113" s="465"/>
      <c r="AU113" s="465"/>
      <c r="AV113" s="465"/>
      <c r="AW113" s="465"/>
      <c r="AX113" s="465"/>
      <c r="AY113" s="465"/>
      <c r="AZ113" s="465"/>
      <c r="BA113" s="465"/>
      <c r="BB113" s="465"/>
      <c r="BC113" s="465"/>
    </row>
    <row r="114" spans="1:55">
      <c r="A114" s="465"/>
      <c r="B114" s="465"/>
      <c r="C114" s="465"/>
      <c r="D114" s="467"/>
      <c r="E114" s="465"/>
      <c r="F114" s="465"/>
      <c r="G114" s="465"/>
      <c r="H114" s="465"/>
      <c r="I114" s="465"/>
      <c r="J114" s="465"/>
      <c r="K114" s="465"/>
      <c r="L114" s="465"/>
      <c r="M114" s="465"/>
      <c r="N114" s="465"/>
      <c r="O114" s="465"/>
      <c r="P114" s="465"/>
      <c r="Q114" s="465"/>
      <c r="R114" s="465"/>
      <c r="S114" s="465"/>
      <c r="T114" s="465"/>
      <c r="U114" s="465"/>
      <c r="V114" s="465"/>
      <c r="W114" s="465"/>
      <c r="X114" s="465"/>
      <c r="Y114" s="465"/>
      <c r="Z114" s="465"/>
      <c r="AA114" s="465"/>
      <c r="AB114" s="465"/>
      <c r="AC114" s="465"/>
      <c r="AD114" s="465"/>
      <c r="AE114" s="465"/>
      <c r="AF114" s="465"/>
      <c r="AG114" s="465"/>
      <c r="AH114" s="465"/>
      <c r="AI114" s="465"/>
      <c r="AJ114" s="465"/>
      <c r="AK114" s="465"/>
      <c r="AL114" s="465"/>
      <c r="AM114" s="465"/>
      <c r="AN114" s="465"/>
      <c r="AO114" s="465"/>
      <c r="AP114" s="465"/>
      <c r="AQ114" s="465"/>
      <c r="AR114" s="465"/>
      <c r="AS114" s="465"/>
      <c r="AT114" s="465"/>
      <c r="AU114" s="465"/>
      <c r="AV114" s="465"/>
      <c r="AW114" s="465"/>
      <c r="AX114" s="465"/>
      <c r="AY114" s="465"/>
      <c r="AZ114" s="465"/>
      <c r="BA114" s="465"/>
      <c r="BB114" s="465"/>
      <c r="BC114" s="465"/>
    </row>
    <row r="115" spans="1:55">
      <c r="A115" s="465"/>
      <c r="B115" s="465"/>
      <c r="C115" s="465"/>
      <c r="D115" s="467"/>
      <c r="E115" s="465"/>
      <c r="F115" s="465"/>
      <c r="G115" s="465"/>
      <c r="H115" s="465"/>
      <c r="I115" s="465"/>
      <c r="J115" s="465"/>
      <c r="K115" s="465"/>
      <c r="L115" s="465"/>
      <c r="M115" s="465"/>
      <c r="N115" s="465"/>
      <c r="O115" s="465"/>
      <c r="P115" s="465"/>
      <c r="Q115" s="465"/>
      <c r="R115" s="465"/>
      <c r="S115" s="465"/>
      <c r="T115" s="465"/>
      <c r="U115" s="465"/>
      <c r="V115" s="465"/>
      <c r="W115" s="465"/>
      <c r="X115" s="465"/>
      <c r="Y115" s="465"/>
      <c r="Z115" s="465"/>
      <c r="AA115" s="465"/>
      <c r="AB115" s="465"/>
      <c r="AC115" s="465"/>
      <c r="AD115" s="465"/>
      <c r="AE115" s="465"/>
      <c r="AF115" s="465"/>
      <c r="AG115" s="465"/>
      <c r="AH115" s="465"/>
      <c r="AI115" s="465"/>
      <c r="AJ115" s="465"/>
      <c r="AK115" s="465"/>
      <c r="AL115" s="465"/>
      <c r="AM115" s="465"/>
      <c r="AN115" s="465"/>
      <c r="AO115" s="465"/>
      <c r="AP115" s="465"/>
      <c r="AQ115" s="465"/>
      <c r="AR115" s="465"/>
      <c r="AS115" s="465"/>
      <c r="AT115" s="465"/>
      <c r="AU115" s="465"/>
      <c r="AV115" s="465"/>
      <c r="AW115" s="465"/>
      <c r="AX115" s="465"/>
      <c r="AY115" s="465"/>
      <c r="AZ115" s="465"/>
      <c r="BA115" s="465"/>
      <c r="BB115" s="465"/>
      <c r="BC115" s="465"/>
    </row>
    <row r="116" spans="1:55">
      <c r="A116" s="465"/>
      <c r="B116" s="465"/>
      <c r="C116" s="465"/>
      <c r="D116" s="467"/>
      <c r="E116" s="465"/>
      <c r="F116" s="465"/>
      <c r="G116" s="465"/>
      <c r="H116" s="465"/>
      <c r="I116" s="465"/>
      <c r="J116" s="465"/>
      <c r="K116" s="465"/>
      <c r="L116" s="465"/>
      <c r="M116" s="465"/>
      <c r="N116" s="465"/>
      <c r="O116" s="465"/>
      <c r="P116" s="465"/>
      <c r="Q116" s="465"/>
      <c r="R116" s="465"/>
      <c r="S116" s="465"/>
      <c r="T116" s="465"/>
      <c r="U116" s="465"/>
      <c r="V116" s="465"/>
      <c r="W116" s="465"/>
      <c r="X116" s="465"/>
      <c r="Y116" s="465"/>
      <c r="Z116" s="465"/>
      <c r="AA116" s="465"/>
      <c r="AB116" s="465"/>
      <c r="AC116" s="465"/>
      <c r="AD116" s="465"/>
      <c r="AE116" s="465"/>
      <c r="AF116" s="465"/>
      <c r="AG116" s="465"/>
      <c r="AH116" s="465"/>
      <c r="AI116" s="465"/>
      <c r="AJ116" s="465"/>
      <c r="AK116" s="465"/>
      <c r="AL116" s="465"/>
      <c r="AM116" s="465"/>
      <c r="AN116" s="465"/>
      <c r="AO116" s="465"/>
      <c r="AP116" s="465"/>
      <c r="AQ116" s="465"/>
      <c r="AR116" s="465"/>
      <c r="AS116" s="465"/>
      <c r="AT116" s="465"/>
      <c r="AU116" s="465"/>
      <c r="AV116" s="465"/>
      <c r="AW116" s="465"/>
      <c r="AX116" s="465"/>
      <c r="AY116" s="465"/>
      <c r="AZ116" s="465"/>
      <c r="BA116" s="465"/>
      <c r="BB116" s="465"/>
      <c r="BC116" s="465"/>
    </row>
    <row r="117" spans="1:55">
      <c r="A117" s="465"/>
      <c r="B117" s="465"/>
      <c r="C117" s="465"/>
      <c r="D117" s="467"/>
      <c r="E117" s="465"/>
      <c r="F117" s="465"/>
      <c r="G117" s="465"/>
      <c r="H117" s="465"/>
      <c r="I117" s="465"/>
      <c r="J117" s="465"/>
      <c r="K117" s="465"/>
      <c r="L117" s="465"/>
      <c r="M117" s="465"/>
      <c r="N117" s="465"/>
      <c r="O117" s="465"/>
      <c r="P117" s="465"/>
      <c r="Q117" s="465"/>
      <c r="R117" s="465"/>
      <c r="S117" s="465"/>
      <c r="T117" s="465"/>
      <c r="U117" s="465"/>
      <c r="V117" s="465"/>
      <c r="W117" s="465"/>
      <c r="X117" s="465"/>
      <c r="Y117" s="465"/>
      <c r="Z117" s="465"/>
      <c r="AA117" s="465"/>
      <c r="AB117" s="465"/>
      <c r="AC117" s="465"/>
      <c r="AD117" s="465"/>
      <c r="AE117" s="465"/>
      <c r="AF117" s="465"/>
      <c r="AG117" s="465"/>
      <c r="AH117" s="465"/>
      <c r="AI117" s="465"/>
      <c r="AJ117" s="465"/>
      <c r="AK117" s="465"/>
      <c r="AL117" s="465"/>
      <c r="AM117" s="465"/>
      <c r="AN117" s="465"/>
      <c r="AO117" s="465"/>
      <c r="AP117" s="465"/>
      <c r="AQ117" s="465"/>
      <c r="AR117" s="465"/>
      <c r="AS117" s="465"/>
      <c r="AT117" s="465"/>
      <c r="AU117" s="465"/>
      <c r="AV117" s="465"/>
      <c r="AW117" s="465"/>
      <c r="AX117" s="465"/>
      <c r="AY117" s="465"/>
      <c r="AZ117" s="465"/>
      <c r="BA117" s="465"/>
      <c r="BB117" s="465"/>
      <c r="BC117" s="465"/>
    </row>
    <row r="118" spans="1:55">
      <c r="A118" s="465"/>
      <c r="B118" s="465"/>
      <c r="C118" s="465"/>
      <c r="D118" s="467"/>
      <c r="E118" s="465"/>
      <c r="F118" s="465"/>
      <c r="G118" s="465"/>
      <c r="H118" s="465"/>
      <c r="I118" s="465"/>
      <c r="J118" s="465"/>
      <c r="K118" s="465"/>
      <c r="L118" s="465"/>
      <c r="M118" s="465"/>
      <c r="N118" s="465"/>
      <c r="O118" s="465"/>
      <c r="P118" s="465"/>
      <c r="Q118" s="465"/>
      <c r="R118" s="465"/>
      <c r="S118" s="465"/>
      <c r="T118" s="465"/>
      <c r="U118" s="465"/>
      <c r="V118" s="465"/>
      <c r="W118" s="465"/>
      <c r="X118" s="465"/>
      <c r="Y118" s="465"/>
      <c r="Z118" s="465"/>
      <c r="AA118" s="465"/>
      <c r="AB118" s="465"/>
      <c r="AC118" s="465"/>
      <c r="AD118" s="465"/>
      <c r="AE118" s="465"/>
      <c r="AF118" s="465"/>
      <c r="AG118" s="465"/>
      <c r="AH118" s="465"/>
      <c r="AI118" s="465"/>
      <c r="AJ118" s="465"/>
      <c r="AK118" s="465"/>
      <c r="AL118" s="465"/>
      <c r="AM118" s="465"/>
      <c r="AN118" s="465"/>
      <c r="AO118" s="465"/>
      <c r="AP118" s="465"/>
      <c r="AQ118" s="465"/>
      <c r="AR118" s="465"/>
      <c r="AS118" s="465"/>
      <c r="AT118" s="465"/>
      <c r="AU118" s="465"/>
      <c r="AV118" s="465"/>
      <c r="AW118" s="465"/>
      <c r="AX118" s="465"/>
      <c r="AY118" s="465"/>
      <c r="AZ118" s="465"/>
      <c r="BA118" s="465"/>
      <c r="BB118" s="465"/>
      <c r="BC118" s="465"/>
    </row>
    <row r="119" spans="1:55">
      <c r="A119" s="465"/>
      <c r="B119" s="465"/>
      <c r="C119" s="465"/>
      <c r="D119" s="467"/>
      <c r="E119" s="465"/>
      <c r="F119" s="465"/>
      <c r="G119" s="465"/>
      <c r="H119" s="465"/>
      <c r="I119" s="465"/>
      <c r="J119" s="465"/>
      <c r="K119" s="465"/>
      <c r="L119" s="465"/>
      <c r="M119" s="465"/>
      <c r="N119" s="465"/>
      <c r="O119" s="465"/>
      <c r="P119" s="465"/>
      <c r="Q119" s="465"/>
      <c r="R119" s="465"/>
      <c r="S119" s="465"/>
      <c r="T119" s="465"/>
      <c r="U119" s="465"/>
      <c r="V119" s="465"/>
      <c r="W119" s="465"/>
      <c r="X119" s="465"/>
      <c r="Y119" s="465"/>
      <c r="Z119" s="465"/>
      <c r="AA119" s="465"/>
      <c r="AB119" s="465"/>
      <c r="AC119" s="465"/>
      <c r="AD119" s="465"/>
      <c r="AE119" s="465"/>
      <c r="AF119" s="465"/>
      <c r="AG119" s="465"/>
      <c r="AH119" s="465"/>
      <c r="AI119" s="465"/>
      <c r="AJ119" s="465"/>
      <c r="AK119" s="465"/>
      <c r="AL119" s="465"/>
      <c r="AM119" s="465"/>
      <c r="AN119" s="465"/>
      <c r="AO119" s="465"/>
      <c r="AP119" s="465"/>
      <c r="AQ119" s="465"/>
      <c r="AR119" s="465"/>
      <c r="AS119" s="465"/>
      <c r="AT119" s="465"/>
      <c r="AU119" s="465"/>
      <c r="AV119" s="465"/>
      <c r="AW119" s="465"/>
      <c r="AX119" s="465"/>
      <c r="AY119" s="465"/>
      <c r="AZ119" s="465"/>
      <c r="BA119" s="465"/>
      <c r="BB119" s="465"/>
      <c r="BC119" s="465"/>
    </row>
    <row r="120" spans="1:55">
      <c r="A120" s="465"/>
      <c r="B120" s="465"/>
      <c r="C120" s="465"/>
      <c r="D120" s="467"/>
      <c r="E120" s="465"/>
      <c r="F120" s="465"/>
      <c r="G120" s="465"/>
      <c r="H120" s="465"/>
      <c r="I120" s="465"/>
      <c r="J120" s="465"/>
      <c r="K120" s="465"/>
      <c r="L120" s="465"/>
      <c r="M120" s="465"/>
      <c r="N120" s="465"/>
      <c r="O120" s="465"/>
      <c r="P120" s="465"/>
      <c r="Q120" s="465"/>
      <c r="R120" s="465"/>
      <c r="S120" s="465"/>
      <c r="T120" s="465"/>
      <c r="U120" s="465"/>
      <c r="V120" s="465"/>
      <c r="W120" s="465"/>
      <c r="X120" s="465"/>
      <c r="Y120" s="465"/>
      <c r="Z120" s="465"/>
      <c r="AA120" s="465"/>
      <c r="AB120" s="465"/>
      <c r="AC120" s="465"/>
      <c r="AD120" s="465"/>
      <c r="AE120" s="465"/>
      <c r="AF120" s="465"/>
      <c r="AG120" s="465"/>
      <c r="AH120" s="465"/>
      <c r="AI120" s="465"/>
      <c r="AJ120" s="465"/>
      <c r="AK120" s="465"/>
      <c r="AL120" s="465"/>
      <c r="AM120" s="465"/>
      <c r="AN120" s="465"/>
      <c r="AO120" s="465"/>
      <c r="AP120" s="465"/>
      <c r="AQ120" s="465"/>
      <c r="AR120" s="465"/>
      <c r="AS120" s="465"/>
      <c r="AT120" s="465"/>
      <c r="AU120" s="465"/>
      <c r="AV120" s="465"/>
      <c r="AW120" s="465"/>
      <c r="AX120" s="465"/>
      <c r="AY120" s="465"/>
      <c r="AZ120" s="465"/>
      <c r="BA120" s="465"/>
      <c r="BB120" s="465"/>
      <c r="BC120" s="465"/>
    </row>
    <row r="121" spans="1:55">
      <c r="A121" s="465"/>
      <c r="B121" s="465"/>
      <c r="C121" s="465"/>
      <c r="D121" s="467"/>
      <c r="E121" s="465"/>
      <c r="F121" s="465"/>
      <c r="G121" s="465"/>
      <c r="H121" s="465"/>
      <c r="I121" s="465"/>
      <c r="J121" s="465"/>
      <c r="K121" s="465"/>
      <c r="L121" s="465"/>
      <c r="M121" s="465"/>
      <c r="N121" s="465"/>
      <c r="O121" s="465"/>
      <c r="P121" s="465"/>
      <c r="Q121" s="465"/>
      <c r="R121" s="465"/>
      <c r="S121" s="465"/>
      <c r="T121" s="465"/>
      <c r="U121" s="465"/>
      <c r="V121" s="465"/>
      <c r="W121" s="465"/>
      <c r="X121" s="465"/>
      <c r="Y121" s="465"/>
      <c r="Z121" s="465"/>
      <c r="AA121" s="465"/>
      <c r="AB121" s="465"/>
      <c r="AC121" s="465"/>
      <c r="AD121" s="465"/>
      <c r="AE121" s="465"/>
      <c r="AF121" s="465"/>
      <c r="AG121" s="465"/>
      <c r="AH121" s="465"/>
      <c r="AI121" s="465"/>
      <c r="AJ121" s="465"/>
      <c r="AK121" s="465"/>
      <c r="AL121" s="465"/>
      <c r="AM121" s="465"/>
      <c r="AN121" s="465"/>
      <c r="AO121" s="465"/>
      <c r="AP121" s="465"/>
      <c r="AQ121" s="465"/>
      <c r="AR121" s="465"/>
      <c r="AS121" s="465"/>
      <c r="AT121" s="465"/>
      <c r="AU121" s="465"/>
      <c r="AV121" s="465"/>
      <c r="AW121" s="465"/>
      <c r="AX121" s="465"/>
      <c r="AY121" s="465"/>
      <c r="AZ121" s="465"/>
      <c r="BA121" s="465"/>
      <c r="BB121" s="465"/>
      <c r="BC121" s="465"/>
    </row>
    <row r="122" spans="1:55">
      <c r="A122" s="465"/>
      <c r="B122" s="465"/>
      <c r="C122" s="465"/>
      <c r="D122" s="467"/>
      <c r="E122" s="465"/>
      <c r="F122" s="465"/>
      <c r="G122" s="465"/>
      <c r="H122" s="465"/>
      <c r="I122" s="465"/>
      <c r="J122" s="465"/>
      <c r="K122" s="465"/>
      <c r="L122" s="465"/>
      <c r="M122" s="465"/>
      <c r="N122" s="465"/>
      <c r="O122" s="465"/>
      <c r="P122" s="465"/>
      <c r="Q122" s="465"/>
      <c r="R122" s="465"/>
      <c r="S122" s="465"/>
      <c r="T122" s="465"/>
      <c r="U122" s="465"/>
      <c r="V122" s="465"/>
      <c r="W122" s="465"/>
      <c r="X122" s="465"/>
      <c r="Y122" s="465"/>
      <c r="Z122" s="465"/>
      <c r="AA122" s="465"/>
      <c r="AB122" s="465"/>
      <c r="AC122" s="465"/>
      <c r="AD122" s="465"/>
      <c r="AE122" s="465"/>
      <c r="AF122" s="465"/>
      <c r="AG122" s="465"/>
      <c r="AH122" s="465"/>
      <c r="AI122" s="465"/>
      <c r="AJ122" s="465"/>
      <c r="AK122" s="465"/>
      <c r="AL122" s="465"/>
      <c r="AM122" s="465"/>
      <c r="AN122" s="465"/>
      <c r="AO122" s="465"/>
      <c r="AP122" s="465"/>
      <c r="AQ122" s="465"/>
      <c r="AR122" s="465"/>
      <c r="AS122" s="465"/>
      <c r="AT122" s="465"/>
      <c r="AU122" s="465"/>
      <c r="AV122" s="465"/>
      <c r="AW122" s="465"/>
      <c r="AX122" s="465"/>
      <c r="AY122" s="465"/>
      <c r="AZ122" s="465"/>
      <c r="BA122" s="465"/>
      <c r="BB122" s="465"/>
      <c r="BC122" s="465"/>
    </row>
    <row r="123" spans="1:55">
      <c r="A123" s="465"/>
      <c r="B123" s="465"/>
      <c r="C123" s="465"/>
      <c r="D123" s="467"/>
      <c r="E123" s="465"/>
      <c r="F123" s="465"/>
      <c r="G123" s="465"/>
      <c r="H123" s="465"/>
      <c r="I123" s="465"/>
      <c r="J123" s="465"/>
      <c r="K123" s="465"/>
      <c r="L123" s="465"/>
      <c r="M123" s="465"/>
      <c r="N123" s="465"/>
      <c r="O123" s="465"/>
      <c r="P123" s="465"/>
      <c r="Q123" s="465"/>
      <c r="R123" s="465"/>
      <c r="S123" s="465"/>
      <c r="T123" s="465"/>
      <c r="U123" s="465"/>
      <c r="V123" s="465"/>
      <c r="W123" s="465"/>
      <c r="X123" s="465"/>
      <c r="Y123" s="465"/>
      <c r="Z123" s="465"/>
      <c r="AA123" s="465"/>
      <c r="AB123" s="465"/>
      <c r="AC123" s="465"/>
      <c r="AD123" s="465"/>
      <c r="AE123" s="465"/>
      <c r="AF123" s="465"/>
      <c r="AG123" s="465"/>
      <c r="AH123" s="465"/>
      <c r="AI123" s="465"/>
      <c r="AJ123" s="465"/>
      <c r="AK123" s="465"/>
      <c r="AL123" s="465"/>
      <c r="AM123" s="465"/>
      <c r="AN123" s="465"/>
      <c r="AO123" s="465"/>
      <c r="AP123" s="465"/>
      <c r="AQ123" s="465"/>
      <c r="AR123" s="465"/>
      <c r="AS123" s="465"/>
      <c r="AT123" s="465"/>
      <c r="AU123" s="465"/>
      <c r="AV123" s="465"/>
      <c r="AW123" s="465"/>
      <c r="AX123" s="465"/>
      <c r="AY123" s="465"/>
      <c r="AZ123" s="465"/>
      <c r="BA123" s="465"/>
      <c r="BB123" s="465"/>
      <c r="BC123" s="465"/>
    </row>
    <row r="124" spans="1:55">
      <c r="A124" s="465"/>
      <c r="B124" s="465"/>
      <c r="C124" s="465"/>
      <c r="D124" s="467"/>
      <c r="E124" s="465"/>
      <c r="F124" s="465"/>
      <c r="G124" s="465"/>
      <c r="H124" s="465"/>
      <c r="I124" s="465"/>
      <c r="J124" s="465"/>
      <c r="K124" s="465"/>
      <c r="L124" s="465"/>
      <c r="M124" s="465"/>
      <c r="N124" s="465"/>
      <c r="O124" s="465"/>
      <c r="P124" s="465"/>
      <c r="Q124" s="465"/>
      <c r="R124" s="465"/>
      <c r="S124" s="465"/>
      <c r="T124" s="465"/>
      <c r="U124" s="465"/>
      <c r="V124" s="465"/>
      <c r="W124" s="465"/>
      <c r="X124" s="465"/>
      <c r="Y124" s="465"/>
      <c r="Z124" s="465"/>
      <c r="AA124" s="465"/>
      <c r="AB124" s="465"/>
      <c r="AC124" s="465"/>
      <c r="AD124" s="465"/>
      <c r="AE124" s="465"/>
      <c r="AF124" s="465"/>
      <c r="AG124" s="465"/>
      <c r="AH124" s="465"/>
      <c r="AI124" s="465"/>
      <c r="AJ124" s="465"/>
      <c r="AK124" s="465"/>
      <c r="AL124" s="465"/>
      <c r="AM124" s="465"/>
      <c r="AN124" s="465"/>
      <c r="AO124" s="465"/>
      <c r="AP124" s="465"/>
      <c r="AQ124" s="465"/>
      <c r="AR124" s="465"/>
      <c r="AS124" s="465"/>
      <c r="AT124" s="465"/>
      <c r="AU124" s="465"/>
      <c r="AV124" s="465"/>
      <c r="AW124" s="465"/>
      <c r="AX124" s="465"/>
      <c r="AY124" s="465"/>
      <c r="AZ124" s="465"/>
      <c r="BA124" s="465"/>
      <c r="BB124" s="465"/>
      <c r="BC124" s="465"/>
    </row>
    <row r="125" spans="1:55">
      <c r="A125" s="465"/>
      <c r="B125" s="465"/>
      <c r="C125" s="465"/>
      <c r="D125" s="467"/>
      <c r="E125" s="465"/>
      <c r="F125" s="465"/>
      <c r="G125" s="465"/>
      <c r="H125" s="465"/>
      <c r="I125" s="465"/>
      <c r="J125" s="465"/>
      <c r="K125" s="465"/>
      <c r="L125" s="465"/>
      <c r="M125" s="465"/>
      <c r="N125" s="465"/>
      <c r="O125" s="465"/>
      <c r="P125" s="465"/>
      <c r="Q125" s="465"/>
      <c r="R125" s="465"/>
      <c r="S125" s="465"/>
      <c r="T125" s="465"/>
      <c r="U125" s="465"/>
      <c r="V125" s="465"/>
      <c r="W125" s="465"/>
      <c r="X125" s="465"/>
      <c r="Y125" s="465"/>
      <c r="Z125" s="465"/>
      <c r="AA125" s="465"/>
      <c r="AB125" s="465"/>
      <c r="AC125" s="465"/>
      <c r="AD125" s="465"/>
      <c r="AE125" s="465"/>
      <c r="AF125" s="465"/>
      <c r="AG125" s="465"/>
      <c r="AH125" s="465"/>
      <c r="AI125" s="465"/>
      <c r="AJ125" s="465"/>
      <c r="AK125" s="465"/>
      <c r="AL125" s="465"/>
      <c r="AM125" s="465"/>
      <c r="AN125" s="465"/>
      <c r="AO125" s="465"/>
      <c r="AP125" s="465"/>
      <c r="AQ125" s="465"/>
      <c r="AR125" s="465"/>
      <c r="AS125" s="465"/>
      <c r="AT125" s="465"/>
      <c r="AU125" s="465"/>
      <c r="AV125" s="465"/>
      <c r="AW125" s="465"/>
      <c r="AX125" s="465"/>
      <c r="AY125" s="465"/>
      <c r="AZ125" s="465"/>
      <c r="BA125" s="465"/>
      <c r="BB125" s="465"/>
      <c r="BC125" s="465"/>
    </row>
    <row r="126" spans="1:55">
      <c r="A126" s="465"/>
      <c r="B126" s="465"/>
      <c r="C126" s="465"/>
      <c r="D126" s="467"/>
      <c r="E126" s="465"/>
      <c r="F126" s="465"/>
      <c r="G126" s="465"/>
      <c r="H126" s="465"/>
      <c r="I126" s="465"/>
      <c r="J126" s="465"/>
      <c r="K126" s="465"/>
      <c r="L126" s="465"/>
      <c r="M126" s="465"/>
      <c r="N126" s="465"/>
      <c r="O126" s="465"/>
      <c r="P126" s="465"/>
      <c r="Q126" s="465"/>
      <c r="R126" s="465"/>
      <c r="S126" s="465"/>
      <c r="T126" s="465"/>
      <c r="U126" s="465"/>
      <c r="V126" s="465"/>
      <c r="W126" s="465"/>
      <c r="X126" s="465"/>
      <c r="Y126" s="465"/>
      <c r="Z126" s="465"/>
      <c r="AA126" s="465"/>
      <c r="AB126" s="465"/>
      <c r="AC126" s="465"/>
      <c r="AD126" s="465"/>
      <c r="AE126" s="465"/>
      <c r="AF126" s="465"/>
      <c r="AG126" s="465"/>
      <c r="AH126" s="465"/>
      <c r="AI126" s="465"/>
      <c r="AJ126" s="465"/>
      <c r="AK126" s="465"/>
      <c r="AL126" s="465"/>
      <c r="AM126" s="465"/>
      <c r="AN126" s="465"/>
      <c r="AO126" s="465"/>
      <c r="AP126" s="465"/>
      <c r="AQ126" s="465"/>
      <c r="AR126" s="465"/>
      <c r="AS126" s="465"/>
      <c r="AT126" s="465"/>
      <c r="AU126" s="465"/>
      <c r="AV126" s="465"/>
      <c r="AW126" s="465"/>
      <c r="AX126" s="465"/>
      <c r="AY126" s="465"/>
      <c r="AZ126" s="465"/>
      <c r="BA126" s="465"/>
      <c r="BB126" s="465"/>
      <c r="BC126" s="465"/>
    </row>
    <row r="127" spans="1:55">
      <c r="A127" s="465"/>
      <c r="B127" s="465"/>
      <c r="C127" s="465"/>
      <c r="D127" s="467"/>
      <c r="E127" s="465"/>
      <c r="F127" s="465"/>
      <c r="G127" s="465"/>
      <c r="H127" s="465"/>
      <c r="I127" s="465"/>
      <c r="J127" s="465"/>
      <c r="K127" s="465"/>
      <c r="L127" s="465"/>
      <c r="M127" s="465"/>
      <c r="N127" s="465"/>
      <c r="O127" s="465"/>
      <c r="P127" s="465"/>
      <c r="Q127" s="465"/>
      <c r="R127" s="465"/>
      <c r="S127" s="465"/>
      <c r="T127" s="465"/>
      <c r="U127" s="465"/>
      <c r="V127" s="465"/>
      <c r="W127" s="465"/>
      <c r="X127" s="465"/>
      <c r="Y127" s="465"/>
      <c r="Z127" s="465"/>
      <c r="AA127" s="465"/>
      <c r="AB127" s="465"/>
      <c r="AC127" s="465"/>
      <c r="AD127" s="465"/>
      <c r="AE127" s="465"/>
      <c r="AF127" s="465"/>
      <c r="AG127" s="465"/>
      <c r="AH127" s="465"/>
      <c r="AI127" s="465"/>
      <c r="AJ127" s="465"/>
      <c r="AK127" s="465"/>
      <c r="AL127" s="465"/>
      <c r="AM127" s="465"/>
      <c r="AN127" s="465"/>
      <c r="AO127" s="465"/>
      <c r="AP127" s="465"/>
      <c r="AQ127" s="465"/>
      <c r="AR127" s="465"/>
      <c r="AS127" s="465"/>
      <c r="AT127" s="465"/>
      <c r="AU127" s="465"/>
      <c r="AV127" s="465"/>
      <c r="AW127" s="465"/>
      <c r="AX127" s="465"/>
      <c r="AY127" s="465"/>
      <c r="AZ127" s="465"/>
      <c r="BA127" s="465"/>
      <c r="BB127" s="465"/>
      <c r="BC127" s="465"/>
    </row>
    <row r="128" spans="1:55">
      <c r="A128" s="465"/>
      <c r="B128" s="465"/>
      <c r="C128" s="465"/>
      <c r="D128" s="467"/>
      <c r="E128" s="465"/>
      <c r="F128" s="465"/>
      <c r="G128" s="465"/>
      <c r="H128" s="465"/>
      <c r="I128" s="465"/>
      <c r="J128" s="465"/>
      <c r="K128" s="465"/>
      <c r="L128" s="465"/>
      <c r="M128" s="465"/>
      <c r="N128" s="465"/>
      <c r="O128" s="465"/>
      <c r="P128" s="465"/>
      <c r="Q128" s="465"/>
      <c r="R128" s="465"/>
      <c r="S128" s="465"/>
      <c r="T128" s="465"/>
      <c r="U128" s="465"/>
      <c r="V128" s="465"/>
      <c r="W128" s="465"/>
      <c r="X128" s="465"/>
      <c r="Y128" s="465"/>
      <c r="Z128" s="465"/>
      <c r="AA128" s="465"/>
      <c r="AB128" s="465"/>
      <c r="AC128" s="465"/>
      <c r="AD128" s="465"/>
      <c r="AE128" s="465"/>
      <c r="AF128" s="465"/>
      <c r="AG128" s="465"/>
      <c r="AH128" s="465"/>
      <c r="AI128" s="465"/>
      <c r="AJ128" s="465"/>
      <c r="AK128" s="465"/>
      <c r="AL128" s="465"/>
      <c r="AM128" s="465"/>
      <c r="AN128" s="465"/>
      <c r="AO128" s="465"/>
      <c r="AP128" s="465"/>
      <c r="AQ128" s="465"/>
      <c r="AR128" s="465"/>
      <c r="AS128" s="465"/>
      <c r="AT128" s="465"/>
      <c r="AU128" s="465"/>
      <c r="AV128" s="465"/>
      <c r="AW128" s="465"/>
      <c r="AX128" s="465"/>
      <c r="AY128" s="465"/>
      <c r="AZ128" s="465"/>
      <c r="BA128" s="465"/>
      <c r="BB128" s="465"/>
      <c r="BC128" s="465"/>
    </row>
    <row r="129" spans="1:55">
      <c r="A129" s="465"/>
      <c r="B129" s="465"/>
      <c r="C129" s="465"/>
      <c r="D129" s="467"/>
      <c r="E129" s="465"/>
      <c r="F129" s="465"/>
      <c r="G129" s="465"/>
      <c r="H129" s="465"/>
      <c r="I129" s="465"/>
      <c r="J129" s="465"/>
      <c r="K129" s="465"/>
      <c r="L129" s="465"/>
      <c r="M129" s="465"/>
      <c r="N129" s="465"/>
      <c r="O129" s="465"/>
      <c r="P129" s="465"/>
      <c r="Q129" s="465"/>
      <c r="R129" s="465"/>
      <c r="S129" s="465"/>
      <c r="T129" s="465"/>
      <c r="U129" s="465"/>
      <c r="V129" s="465"/>
      <c r="W129" s="465"/>
      <c r="X129" s="465"/>
      <c r="Y129" s="465"/>
      <c r="Z129" s="465"/>
      <c r="AA129" s="465"/>
      <c r="AB129" s="465"/>
      <c r="AC129" s="465"/>
      <c r="AD129" s="465"/>
      <c r="AE129" s="465"/>
      <c r="AF129" s="465"/>
      <c r="AG129" s="465"/>
      <c r="AH129" s="465"/>
      <c r="AI129" s="465"/>
      <c r="AJ129" s="465"/>
      <c r="AK129" s="465"/>
      <c r="AL129" s="465"/>
      <c r="AM129" s="465"/>
      <c r="AN129" s="465"/>
      <c r="AO129" s="465"/>
      <c r="AP129" s="465"/>
      <c r="AQ129" s="465"/>
      <c r="AR129" s="465"/>
      <c r="AS129" s="465"/>
      <c r="AT129" s="465"/>
      <c r="AU129" s="465"/>
      <c r="AV129" s="465"/>
      <c r="AW129" s="465"/>
      <c r="AX129" s="465"/>
      <c r="AY129" s="465"/>
      <c r="AZ129" s="465"/>
      <c r="BA129" s="465"/>
      <c r="BB129" s="465"/>
      <c r="BC129" s="465"/>
    </row>
    <row r="130" spans="1:55">
      <c r="A130" s="465"/>
      <c r="B130" s="465"/>
      <c r="C130" s="465"/>
      <c r="D130" s="467"/>
      <c r="E130" s="465"/>
      <c r="F130" s="465"/>
      <c r="G130" s="465"/>
      <c r="H130" s="465"/>
      <c r="I130" s="465"/>
      <c r="J130" s="465"/>
      <c r="K130" s="465"/>
      <c r="L130" s="465"/>
      <c r="M130" s="465"/>
      <c r="N130" s="465"/>
      <c r="O130" s="465"/>
      <c r="P130" s="465"/>
      <c r="Q130" s="465"/>
      <c r="R130" s="465"/>
      <c r="S130" s="465"/>
      <c r="T130" s="465"/>
      <c r="U130" s="465"/>
      <c r="V130" s="465"/>
      <c r="W130" s="465"/>
      <c r="X130" s="465"/>
      <c r="Y130" s="465"/>
      <c r="Z130" s="465"/>
      <c r="AA130" s="465"/>
      <c r="AB130" s="465"/>
      <c r="AC130" s="465"/>
      <c r="AD130" s="465"/>
      <c r="AE130" s="465"/>
      <c r="AF130" s="465"/>
      <c r="AG130" s="465"/>
      <c r="AH130" s="465"/>
      <c r="AI130" s="465"/>
      <c r="AJ130" s="465"/>
      <c r="AK130" s="465"/>
      <c r="AL130" s="465"/>
      <c r="AM130" s="465"/>
      <c r="AN130" s="465"/>
      <c r="AO130" s="465"/>
      <c r="AP130" s="465"/>
      <c r="AQ130" s="465"/>
      <c r="AR130" s="465"/>
      <c r="AS130" s="465"/>
      <c r="AT130" s="465"/>
      <c r="AU130" s="465"/>
      <c r="AV130" s="465"/>
      <c r="AW130" s="465"/>
      <c r="AX130" s="465"/>
      <c r="AY130" s="465"/>
      <c r="AZ130" s="465"/>
      <c r="BA130" s="465"/>
      <c r="BB130" s="465"/>
      <c r="BC130" s="465"/>
    </row>
    <row r="131" spans="1:55">
      <c r="A131" s="465"/>
      <c r="B131" s="465"/>
      <c r="C131" s="465"/>
      <c r="D131" s="467"/>
      <c r="E131" s="465"/>
      <c r="F131" s="465"/>
      <c r="G131" s="465"/>
      <c r="H131" s="465"/>
      <c r="I131" s="465"/>
      <c r="J131" s="465"/>
      <c r="K131" s="465"/>
      <c r="L131" s="465"/>
      <c r="M131" s="465"/>
      <c r="N131" s="465"/>
      <c r="O131" s="465"/>
      <c r="P131" s="465"/>
      <c r="Q131" s="465"/>
      <c r="R131" s="465"/>
      <c r="S131" s="465"/>
      <c r="T131" s="465"/>
      <c r="U131" s="465"/>
      <c r="V131" s="465"/>
      <c r="W131" s="465"/>
      <c r="X131" s="465"/>
      <c r="Y131" s="465"/>
      <c r="Z131" s="465"/>
      <c r="AA131" s="465"/>
      <c r="AB131" s="465"/>
      <c r="AC131" s="465"/>
      <c r="AD131" s="465"/>
      <c r="AE131" s="465"/>
      <c r="AF131" s="465"/>
      <c r="AG131" s="465"/>
      <c r="AH131" s="465"/>
      <c r="AI131" s="465"/>
      <c r="AJ131" s="465"/>
      <c r="AK131" s="465"/>
      <c r="AL131" s="465"/>
      <c r="AM131" s="465"/>
      <c r="AN131" s="465"/>
      <c r="AO131" s="465"/>
      <c r="AP131" s="465"/>
      <c r="AQ131" s="465"/>
      <c r="AR131" s="465"/>
      <c r="AS131" s="465"/>
      <c r="AT131" s="465"/>
      <c r="AU131" s="465"/>
      <c r="AV131" s="465"/>
      <c r="AW131" s="465"/>
      <c r="AX131" s="465"/>
      <c r="AY131" s="465"/>
      <c r="AZ131" s="465"/>
      <c r="BA131" s="465"/>
      <c r="BB131" s="465"/>
      <c r="BC131" s="465"/>
    </row>
    <row r="132" spans="1:55">
      <c r="A132" s="465"/>
      <c r="B132" s="465"/>
      <c r="C132" s="465"/>
      <c r="D132" s="467"/>
      <c r="E132" s="465"/>
      <c r="F132" s="465"/>
      <c r="G132" s="465"/>
      <c r="H132" s="465"/>
      <c r="I132" s="465"/>
      <c r="J132" s="465"/>
      <c r="K132" s="465"/>
      <c r="L132" s="465"/>
      <c r="M132" s="465"/>
      <c r="N132" s="465"/>
      <c r="O132" s="465"/>
      <c r="P132" s="465"/>
      <c r="Q132" s="465"/>
      <c r="R132" s="465"/>
      <c r="S132" s="465"/>
      <c r="T132" s="465"/>
      <c r="U132" s="465"/>
      <c r="V132" s="465"/>
      <c r="W132" s="465"/>
      <c r="X132" s="465"/>
      <c r="Y132" s="465"/>
      <c r="Z132" s="465"/>
      <c r="AA132" s="465"/>
      <c r="AB132" s="465"/>
      <c r="AC132" s="465"/>
      <c r="AD132" s="465"/>
      <c r="AE132" s="465"/>
      <c r="AF132" s="465"/>
      <c r="AG132" s="465"/>
      <c r="AH132" s="465"/>
      <c r="AI132" s="465"/>
      <c r="AJ132" s="465"/>
      <c r="AK132" s="465"/>
      <c r="AL132" s="465"/>
      <c r="AM132" s="465"/>
      <c r="AN132" s="465"/>
      <c r="AO132" s="465"/>
      <c r="AP132" s="465"/>
      <c r="AQ132" s="465"/>
      <c r="AR132" s="465"/>
      <c r="AS132" s="465"/>
      <c r="AT132" s="465"/>
      <c r="AU132" s="465"/>
      <c r="AV132" s="465"/>
      <c r="AW132" s="465"/>
      <c r="AX132" s="465"/>
      <c r="AY132" s="465"/>
      <c r="AZ132" s="465"/>
      <c r="BA132" s="465"/>
      <c r="BB132" s="465"/>
      <c r="BC132" s="465"/>
    </row>
    <row r="133" spans="1:55">
      <c r="A133" s="465"/>
      <c r="B133" s="465"/>
      <c r="C133" s="465"/>
      <c r="D133" s="467"/>
      <c r="E133" s="465"/>
      <c r="F133" s="465"/>
      <c r="G133" s="465"/>
      <c r="H133" s="465"/>
      <c r="I133" s="465"/>
      <c r="J133" s="465"/>
      <c r="K133" s="465"/>
      <c r="L133" s="465"/>
      <c r="M133" s="465"/>
      <c r="N133" s="465"/>
      <c r="O133" s="465"/>
      <c r="P133" s="465"/>
      <c r="Q133" s="465"/>
      <c r="R133" s="465"/>
      <c r="S133" s="465"/>
      <c r="T133" s="465"/>
      <c r="U133" s="465"/>
      <c r="V133" s="465"/>
      <c r="W133" s="465"/>
      <c r="X133" s="465"/>
      <c r="Y133" s="465"/>
      <c r="Z133" s="465"/>
      <c r="AA133" s="465"/>
      <c r="AB133" s="465"/>
      <c r="AC133" s="465"/>
      <c r="AD133" s="465"/>
      <c r="AE133" s="465"/>
      <c r="AF133" s="465"/>
      <c r="AG133" s="465"/>
      <c r="AH133" s="465"/>
      <c r="AI133" s="465"/>
      <c r="AJ133" s="465"/>
      <c r="AK133" s="465"/>
      <c r="AL133" s="465"/>
      <c r="AM133" s="465"/>
      <c r="AN133" s="465"/>
      <c r="AO133" s="465"/>
      <c r="AP133" s="465"/>
      <c r="AQ133" s="465"/>
      <c r="AR133" s="465"/>
      <c r="AS133" s="465"/>
      <c r="AT133" s="465"/>
      <c r="AU133" s="465"/>
      <c r="AV133" s="465"/>
      <c r="AW133" s="465"/>
      <c r="AX133" s="465"/>
      <c r="AY133" s="465"/>
      <c r="AZ133" s="465"/>
      <c r="BA133" s="465"/>
      <c r="BB133" s="465"/>
      <c r="BC133" s="465"/>
    </row>
    <row r="134" spans="1:55">
      <c r="A134" s="465"/>
      <c r="B134" s="465"/>
      <c r="C134" s="465"/>
      <c r="D134" s="467"/>
      <c r="E134" s="465"/>
      <c r="F134" s="465"/>
      <c r="G134" s="465"/>
      <c r="H134" s="465"/>
      <c r="I134" s="465"/>
      <c r="J134" s="465"/>
      <c r="K134" s="465"/>
      <c r="L134" s="465"/>
      <c r="M134" s="465"/>
      <c r="N134" s="465"/>
      <c r="O134" s="465"/>
      <c r="P134" s="465"/>
      <c r="Q134" s="465"/>
      <c r="R134" s="465"/>
      <c r="S134" s="465"/>
      <c r="T134" s="465"/>
      <c r="U134" s="465"/>
      <c r="V134" s="465"/>
      <c r="W134" s="465"/>
      <c r="X134" s="465"/>
      <c r="Y134" s="465"/>
      <c r="Z134" s="465"/>
      <c r="AA134" s="465"/>
      <c r="AB134" s="465"/>
      <c r="AC134" s="465"/>
      <c r="AD134" s="465"/>
      <c r="AE134" s="465"/>
      <c r="AF134" s="465"/>
      <c r="AG134" s="465"/>
      <c r="AH134" s="465"/>
      <c r="AI134" s="465"/>
      <c r="AJ134" s="465"/>
      <c r="AK134" s="465"/>
      <c r="AL134" s="465"/>
      <c r="AM134" s="465"/>
      <c r="AN134" s="465"/>
      <c r="AO134" s="465"/>
      <c r="AP134" s="465"/>
      <c r="AQ134" s="465"/>
      <c r="AR134" s="465"/>
      <c r="AS134" s="465"/>
      <c r="AT134" s="465"/>
      <c r="AU134" s="465"/>
      <c r="AV134" s="465"/>
      <c r="AW134" s="465"/>
      <c r="AX134" s="465"/>
      <c r="AY134" s="465"/>
      <c r="AZ134" s="465"/>
      <c r="BA134" s="465"/>
      <c r="BB134" s="465"/>
      <c r="BC134" s="465"/>
    </row>
    <row r="135" spans="1:55">
      <c r="A135" s="465"/>
      <c r="B135" s="465"/>
      <c r="C135" s="465"/>
      <c r="D135" s="467"/>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5"/>
      <c r="AO135" s="465"/>
      <c r="AP135" s="465"/>
      <c r="AQ135" s="465"/>
      <c r="AR135" s="465"/>
      <c r="AS135" s="465"/>
      <c r="AT135" s="465"/>
      <c r="AU135" s="465"/>
      <c r="AV135" s="465"/>
      <c r="AW135" s="465"/>
      <c r="AX135" s="465"/>
      <c r="AY135" s="465"/>
      <c r="AZ135" s="465"/>
      <c r="BA135" s="465"/>
      <c r="BB135" s="465"/>
      <c r="BC135" s="465"/>
    </row>
    <row r="136" spans="1:55">
      <c r="A136" s="465"/>
      <c r="B136" s="465"/>
      <c r="C136" s="465"/>
      <c r="D136" s="467"/>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5"/>
      <c r="AO136" s="465"/>
      <c r="AP136" s="465"/>
      <c r="AQ136" s="465"/>
      <c r="AR136" s="465"/>
      <c r="AS136" s="465"/>
      <c r="AT136" s="465"/>
      <c r="AU136" s="465"/>
      <c r="AV136" s="465"/>
      <c r="AW136" s="465"/>
      <c r="AX136" s="465"/>
      <c r="AY136" s="465"/>
      <c r="AZ136" s="465"/>
      <c r="BA136" s="465"/>
      <c r="BB136" s="465"/>
      <c r="BC136" s="465"/>
    </row>
    <row r="137" spans="1:55">
      <c r="A137" s="465"/>
      <c r="B137" s="465"/>
      <c r="C137" s="465"/>
      <c r="D137" s="467"/>
      <c r="E137" s="465"/>
      <c r="F137" s="465"/>
      <c r="G137" s="465"/>
      <c r="H137" s="465"/>
      <c r="I137" s="465"/>
      <c r="J137" s="465"/>
      <c r="K137" s="465"/>
      <c r="L137" s="465"/>
      <c r="M137" s="465"/>
      <c r="N137" s="465"/>
      <c r="O137" s="465"/>
      <c r="P137" s="465"/>
      <c r="Q137" s="465"/>
      <c r="R137" s="465"/>
      <c r="S137" s="465"/>
      <c r="T137" s="465"/>
      <c r="U137" s="465"/>
      <c r="V137" s="465"/>
      <c r="W137" s="465"/>
      <c r="X137" s="465"/>
      <c r="Y137" s="465"/>
      <c r="Z137" s="465"/>
      <c r="AA137" s="465"/>
      <c r="AB137" s="465"/>
      <c r="AC137" s="465"/>
      <c r="AD137" s="465"/>
      <c r="AE137" s="465"/>
      <c r="AF137" s="465"/>
      <c r="AG137" s="465"/>
      <c r="AH137" s="465"/>
      <c r="AI137" s="465"/>
      <c r="AJ137" s="465"/>
      <c r="AK137" s="465"/>
      <c r="AL137" s="465"/>
      <c r="AM137" s="465"/>
      <c r="AN137" s="465"/>
      <c r="AO137" s="465"/>
      <c r="AP137" s="465"/>
      <c r="AQ137" s="465"/>
      <c r="AR137" s="465"/>
      <c r="AS137" s="465"/>
      <c r="AT137" s="465"/>
      <c r="AU137" s="465"/>
      <c r="AV137" s="465"/>
      <c r="AW137" s="465"/>
      <c r="AX137" s="465"/>
      <c r="AY137" s="465"/>
      <c r="AZ137" s="465"/>
      <c r="BA137" s="465"/>
      <c r="BB137" s="465"/>
      <c r="BC137" s="465"/>
    </row>
    <row r="138" spans="1:55">
      <c r="A138" s="465"/>
      <c r="B138" s="465"/>
      <c r="C138" s="465"/>
      <c r="D138" s="467"/>
      <c r="E138" s="465"/>
      <c r="F138" s="465"/>
      <c r="G138" s="465"/>
      <c r="H138" s="465"/>
      <c r="I138" s="465"/>
      <c r="J138" s="465"/>
      <c r="K138" s="465"/>
      <c r="L138" s="465"/>
      <c r="M138" s="465"/>
      <c r="N138" s="465"/>
      <c r="O138" s="465"/>
      <c r="P138" s="465"/>
      <c r="Q138" s="465"/>
      <c r="R138" s="465"/>
      <c r="S138" s="465"/>
      <c r="T138" s="465"/>
      <c r="U138" s="465"/>
      <c r="V138" s="465"/>
      <c r="W138" s="465"/>
      <c r="X138" s="465"/>
      <c r="Y138" s="465"/>
      <c r="Z138" s="465"/>
      <c r="AA138" s="465"/>
      <c r="AB138" s="465"/>
      <c r="AC138" s="465"/>
      <c r="AD138" s="465"/>
      <c r="AE138" s="465"/>
      <c r="AF138" s="465"/>
      <c r="AG138" s="465"/>
      <c r="AH138" s="465"/>
      <c r="AI138" s="465"/>
      <c r="AJ138" s="465"/>
      <c r="AK138" s="465"/>
      <c r="AL138" s="465"/>
      <c r="AM138" s="465"/>
      <c r="AN138" s="465"/>
      <c r="AO138" s="465"/>
      <c r="AP138" s="465"/>
      <c r="AQ138" s="465"/>
      <c r="AR138" s="465"/>
      <c r="AS138" s="465"/>
      <c r="AT138" s="465"/>
      <c r="AU138" s="465"/>
      <c r="AV138" s="465"/>
      <c r="AW138" s="465"/>
      <c r="AX138" s="465"/>
      <c r="AY138" s="465"/>
      <c r="AZ138" s="465"/>
      <c r="BA138" s="465"/>
      <c r="BB138" s="465"/>
      <c r="BC138" s="465"/>
    </row>
    <row r="139" spans="1:55">
      <c r="A139" s="465"/>
      <c r="B139" s="465"/>
      <c r="C139" s="465"/>
      <c r="D139" s="467"/>
      <c r="E139" s="465"/>
      <c r="F139" s="465"/>
      <c r="G139" s="465"/>
      <c r="H139" s="465"/>
      <c r="I139" s="465"/>
      <c r="J139" s="465"/>
      <c r="K139" s="465"/>
      <c r="L139" s="465"/>
      <c r="M139" s="465"/>
      <c r="N139" s="465"/>
      <c r="O139" s="465"/>
      <c r="P139" s="465"/>
      <c r="Q139" s="465"/>
      <c r="R139" s="465"/>
      <c r="S139" s="465"/>
      <c r="T139" s="465"/>
      <c r="U139" s="465"/>
      <c r="V139" s="465"/>
      <c r="W139" s="465"/>
      <c r="X139" s="465"/>
      <c r="Y139" s="465"/>
      <c r="Z139" s="465"/>
      <c r="AA139" s="465"/>
      <c r="AB139" s="465"/>
      <c r="AC139" s="465"/>
      <c r="AD139" s="465"/>
      <c r="AE139" s="465"/>
      <c r="AF139" s="465"/>
      <c r="AG139" s="465"/>
      <c r="AH139" s="465"/>
      <c r="AI139" s="465"/>
      <c r="AJ139" s="465"/>
      <c r="AK139" s="465"/>
      <c r="AL139" s="465"/>
      <c r="AM139" s="465"/>
      <c r="AN139" s="465"/>
      <c r="AO139" s="465"/>
      <c r="AP139" s="465"/>
      <c r="AQ139" s="465"/>
      <c r="AR139" s="465"/>
      <c r="AS139" s="465"/>
      <c r="AT139" s="465"/>
      <c r="AU139" s="465"/>
      <c r="AV139" s="465"/>
      <c r="AW139" s="465"/>
      <c r="AX139" s="465"/>
      <c r="AY139" s="465"/>
      <c r="AZ139" s="465"/>
      <c r="BA139" s="465"/>
      <c r="BB139" s="465"/>
      <c r="BC139" s="465"/>
    </row>
    <row r="140" spans="1:55">
      <c r="A140" s="465"/>
      <c r="B140" s="465"/>
      <c r="C140" s="465"/>
      <c r="D140" s="467"/>
      <c r="E140" s="465"/>
      <c r="F140" s="465"/>
      <c r="G140" s="465"/>
      <c r="H140" s="465"/>
      <c r="I140" s="465"/>
      <c r="J140" s="465"/>
      <c r="K140" s="465"/>
      <c r="L140" s="465"/>
      <c r="M140" s="465"/>
      <c r="N140" s="465"/>
      <c r="O140" s="465"/>
      <c r="P140" s="465"/>
      <c r="Q140" s="465"/>
      <c r="R140" s="465"/>
      <c r="S140" s="465"/>
      <c r="T140" s="465"/>
      <c r="U140" s="465"/>
      <c r="V140" s="465"/>
      <c r="W140" s="465"/>
      <c r="X140" s="465"/>
      <c r="Y140" s="465"/>
      <c r="Z140" s="465"/>
      <c r="AA140" s="465"/>
      <c r="AB140" s="465"/>
      <c r="AC140" s="465"/>
      <c r="AD140" s="465"/>
      <c r="AE140" s="465"/>
      <c r="AF140" s="465"/>
      <c r="AG140" s="465"/>
      <c r="AH140" s="465"/>
      <c r="AI140" s="465"/>
      <c r="AJ140" s="465"/>
      <c r="AK140" s="465"/>
      <c r="AL140" s="465"/>
      <c r="AM140" s="465"/>
      <c r="AN140" s="465"/>
      <c r="AO140" s="465"/>
      <c r="AP140" s="465"/>
      <c r="AQ140" s="465"/>
      <c r="AR140" s="465"/>
      <c r="AS140" s="465"/>
      <c r="AT140" s="465"/>
      <c r="AU140" s="465"/>
      <c r="AV140" s="465"/>
      <c r="AW140" s="465"/>
      <c r="AX140" s="465"/>
      <c r="AY140" s="465"/>
      <c r="AZ140" s="465"/>
      <c r="BA140" s="465"/>
      <c r="BB140" s="465"/>
      <c r="BC140" s="465"/>
    </row>
    <row r="141" spans="1:55">
      <c r="A141" s="465"/>
      <c r="B141" s="465"/>
      <c r="C141" s="465"/>
      <c r="D141" s="467"/>
      <c r="E141" s="465"/>
      <c r="F141" s="465"/>
      <c r="G141" s="465"/>
      <c r="H141" s="465"/>
      <c r="I141" s="465"/>
      <c r="J141" s="465"/>
      <c r="K141" s="465"/>
      <c r="L141" s="465"/>
      <c r="M141" s="465"/>
      <c r="N141" s="465"/>
      <c r="O141" s="465"/>
      <c r="P141" s="465"/>
      <c r="Q141" s="465"/>
      <c r="R141" s="465"/>
      <c r="S141" s="465"/>
      <c r="T141" s="465"/>
      <c r="U141" s="465"/>
      <c r="V141" s="465"/>
      <c r="W141" s="465"/>
      <c r="X141" s="465"/>
      <c r="Y141" s="465"/>
      <c r="Z141" s="465"/>
      <c r="AA141" s="465"/>
      <c r="AB141" s="465"/>
      <c r="AC141" s="465"/>
      <c r="AD141" s="465"/>
      <c r="AE141" s="465"/>
      <c r="AF141" s="465"/>
      <c r="AG141" s="465"/>
      <c r="AH141" s="465"/>
      <c r="AI141" s="465"/>
      <c r="AJ141" s="465"/>
      <c r="AK141" s="465"/>
      <c r="AL141" s="465"/>
      <c r="AM141" s="465"/>
      <c r="AN141" s="465"/>
      <c r="AO141" s="465"/>
      <c r="AP141" s="465"/>
      <c r="AQ141" s="465"/>
      <c r="AR141" s="465"/>
      <c r="AS141" s="465"/>
      <c r="AT141" s="465"/>
      <c r="AU141" s="465"/>
      <c r="AV141" s="465"/>
      <c r="AW141" s="465"/>
      <c r="AX141" s="465"/>
      <c r="AY141" s="465"/>
      <c r="AZ141" s="465"/>
      <c r="BA141" s="465"/>
      <c r="BB141" s="465"/>
      <c r="BC141" s="465"/>
    </row>
    <row r="142" spans="1:55">
      <c r="A142" s="465"/>
      <c r="B142" s="465"/>
      <c r="C142" s="465"/>
      <c r="D142" s="467"/>
      <c r="E142" s="465"/>
      <c r="F142" s="465"/>
      <c r="G142" s="465"/>
      <c r="H142" s="465"/>
      <c r="I142" s="465"/>
      <c r="J142" s="465"/>
      <c r="K142" s="465"/>
      <c r="L142" s="465"/>
      <c r="M142" s="465"/>
      <c r="N142" s="465"/>
      <c r="O142" s="465"/>
      <c r="P142" s="465"/>
      <c r="Q142" s="465"/>
      <c r="R142" s="465"/>
      <c r="S142" s="465"/>
      <c r="T142" s="465"/>
      <c r="U142" s="465"/>
      <c r="V142" s="465"/>
      <c r="W142" s="465"/>
      <c r="X142" s="465"/>
      <c r="Y142" s="465"/>
      <c r="Z142" s="465"/>
      <c r="AA142" s="465"/>
      <c r="AB142" s="465"/>
      <c r="AC142" s="465"/>
      <c r="AD142" s="465"/>
      <c r="AE142" s="465"/>
      <c r="AF142" s="465"/>
      <c r="AG142" s="465"/>
      <c r="AH142" s="465"/>
      <c r="AI142" s="465"/>
      <c r="AJ142" s="465"/>
      <c r="AK142" s="465"/>
      <c r="AL142" s="465"/>
      <c r="AM142" s="465"/>
      <c r="AN142" s="465"/>
      <c r="AO142" s="465"/>
      <c r="AP142" s="465"/>
      <c r="AQ142" s="465"/>
      <c r="AR142" s="465"/>
      <c r="AS142" s="465"/>
      <c r="AT142" s="465"/>
      <c r="AU142" s="465"/>
      <c r="AV142" s="465"/>
      <c r="AW142" s="465"/>
      <c r="AX142" s="465"/>
      <c r="AY142" s="465"/>
      <c r="AZ142" s="465"/>
      <c r="BA142" s="465"/>
      <c r="BB142" s="465"/>
      <c r="BC142" s="465"/>
    </row>
    <row r="143" spans="1:55">
      <c r="A143" s="465"/>
      <c r="B143" s="465"/>
      <c r="C143" s="465"/>
      <c r="D143" s="467"/>
      <c r="E143" s="465"/>
      <c r="F143" s="465"/>
      <c r="G143" s="465"/>
      <c r="H143" s="465"/>
      <c r="I143" s="465"/>
      <c r="J143" s="465"/>
      <c r="K143" s="465"/>
      <c r="L143" s="465"/>
      <c r="M143" s="465"/>
      <c r="N143" s="465"/>
      <c r="O143" s="465"/>
      <c r="P143" s="465"/>
      <c r="Q143" s="465"/>
      <c r="R143" s="465"/>
      <c r="S143" s="465"/>
      <c r="T143" s="465"/>
      <c r="U143" s="465"/>
      <c r="V143" s="465"/>
      <c r="W143" s="465"/>
      <c r="X143" s="465"/>
      <c r="Y143" s="465"/>
      <c r="Z143" s="465"/>
      <c r="AA143" s="465"/>
      <c r="AB143" s="465"/>
      <c r="AC143" s="465"/>
      <c r="AD143" s="465"/>
      <c r="AE143" s="465"/>
      <c r="AF143" s="465"/>
      <c r="AG143" s="465"/>
      <c r="AH143" s="465"/>
      <c r="AI143" s="465"/>
      <c r="AJ143" s="465"/>
      <c r="AK143" s="465"/>
      <c r="AL143" s="465"/>
      <c r="AM143" s="465"/>
      <c r="AN143" s="465"/>
      <c r="AO143" s="465"/>
      <c r="AP143" s="465"/>
      <c r="AQ143" s="465"/>
      <c r="AR143" s="465"/>
      <c r="AS143" s="465"/>
      <c r="AT143" s="465"/>
      <c r="AU143" s="465"/>
      <c r="AV143" s="465"/>
      <c r="AW143" s="465"/>
      <c r="AX143" s="465"/>
      <c r="AY143" s="465"/>
      <c r="AZ143" s="465"/>
      <c r="BA143" s="465"/>
      <c r="BB143" s="465"/>
      <c r="BC143" s="465"/>
    </row>
    <row r="144" spans="1:55">
      <c r="A144" s="465"/>
      <c r="B144" s="465"/>
      <c r="C144" s="465"/>
      <c r="D144" s="467"/>
      <c r="E144" s="465"/>
      <c r="F144" s="465"/>
      <c r="G144" s="465"/>
      <c r="H144" s="465"/>
      <c r="I144" s="465"/>
      <c r="J144" s="465"/>
      <c r="K144" s="465"/>
      <c r="L144" s="465"/>
      <c r="M144" s="465"/>
      <c r="N144" s="465"/>
      <c r="O144" s="465"/>
      <c r="P144" s="465"/>
      <c r="Q144" s="465"/>
      <c r="R144" s="465"/>
      <c r="S144" s="465"/>
      <c r="T144" s="465"/>
      <c r="U144" s="465"/>
      <c r="V144" s="465"/>
      <c r="W144" s="465"/>
      <c r="X144" s="465"/>
      <c r="Y144" s="465"/>
      <c r="Z144" s="465"/>
      <c r="AA144" s="465"/>
      <c r="AB144" s="465"/>
      <c r="AC144" s="465"/>
      <c r="AD144" s="465"/>
      <c r="AE144" s="465"/>
      <c r="AF144" s="465"/>
      <c r="AG144" s="465"/>
      <c r="AH144" s="465"/>
      <c r="AI144" s="465"/>
      <c r="AJ144" s="465"/>
      <c r="AK144" s="465"/>
      <c r="AL144" s="465"/>
      <c r="AM144" s="465"/>
      <c r="AN144" s="465"/>
      <c r="AO144" s="465"/>
      <c r="AP144" s="465"/>
      <c r="AQ144" s="465"/>
      <c r="AR144" s="465"/>
      <c r="AS144" s="465"/>
      <c r="AT144" s="465"/>
      <c r="AU144" s="465"/>
      <c r="AV144" s="465"/>
      <c r="AW144" s="465"/>
      <c r="AX144" s="465"/>
      <c r="AY144" s="465"/>
      <c r="AZ144" s="465"/>
      <c r="BA144" s="465"/>
      <c r="BB144" s="465"/>
      <c r="BC144" s="465"/>
    </row>
    <row r="145" spans="1:55">
      <c r="A145" s="465"/>
      <c r="B145" s="465"/>
      <c r="C145" s="465"/>
      <c r="D145" s="467"/>
      <c r="E145" s="465"/>
      <c r="F145" s="465"/>
      <c r="G145" s="465"/>
      <c r="H145" s="465"/>
      <c r="I145" s="465"/>
      <c r="J145" s="465"/>
      <c r="K145" s="465"/>
      <c r="L145" s="465"/>
      <c r="M145" s="465"/>
      <c r="N145" s="465"/>
      <c r="O145" s="465"/>
      <c r="P145" s="465"/>
      <c r="Q145" s="465"/>
      <c r="R145" s="465"/>
      <c r="S145" s="465"/>
      <c r="T145" s="465"/>
      <c r="U145" s="465"/>
      <c r="V145" s="465"/>
      <c r="W145" s="465"/>
      <c r="X145" s="465"/>
      <c r="Y145" s="465"/>
      <c r="Z145" s="465"/>
      <c r="AA145" s="465"/>
      <c r="AB145" s="465"/>
      <c r="AC145" s="465"/>
      <c r="AD145" s="465"/>
      <c r="AE145" s="465"/>
      <c r="AF145" s="465"/>
      <c r="AG145" s="465"/>
      <c r="AH145" s="465"/>
      <c r="AI145" s="465"/>
      <c r="AJ145" s="465"/>
      <c r="AK145" s="465"/>
      <c r="AL145" s="465"/>
      <c r="AM145" s="465"/>
      <c r="AN145" s="465"/>
      <c r="AO145" s="465"/>
      <c r="AP145" s="465"/>
      <c r="AQ145" s="465"/>
      <c r="AR145" s="465"/>
      <c r="AS145" s="465"/>
      <c r="AT145" s="465"/>
      <c r="AU145" s="465"/>
      <c r="AV145" s="465"/>
      <c r="AW145" s="465"/>
      <c r="AX145" s="465"/>
      <c r="AY145" s="465"/>
      <c r="AZ145" s="465"/>
      <c r="BA145" s="465"/>
      <c r="BB145" s="465"/>
      <c r="BC145" s="465"/>
    </row>
    <row r="146" spans="1:55">
      <c r="A146" s="465"/>
      <c r="B146" s="465"/>
      <c r="C146" s="465"/>
      <c r="D146" s="467"/>
      <c r="E146" s="465"/>
      <c r="F146" s="465"/>
      <c r="G146" s="465"/>
      <c r="H146" s="465"/>
      <c r="I146" s="465"/>
      <c r="J146" s="465"/>
      <c r="K146" s="465"/>
      <c r="L146" s="465"/>
      <c r="M146" s="465"/>
      <c r="N146" s="465"/>
      <c r="O146" s="465"/>
      <c r="P146" s="465"/>
      <c r="Q146" s="465"/>
      <c r="R146" s="465"/>
      <c r="S146" s="465"/>
      <c r="T146" s="465"/>
      <c r="U146" s="465"/>
      <c r="V146" s="465"/>
      <c r="W146" s="465"/>
      <c r="X146" s="465"/>
      <c r="Y146" s="465"/>
      <c r="Z146" s="465"/>
      <c r="AA146" s="465"/>
      <c r="AB146" s="465"/>
      <c r="AC146" s="465"/>
      <c r="AD146" s="465"/>
      <c r="AE146" s="465"/>
      <c r="AF146" s="465"/>
      <c r="AG146" s="465"/>
      <c r="AH146" s="465"/>
      <c r="AI146" s="465"/>
      <c r="AJ146" s="465"/>
      <c r="AK146" s="465"/>
      <c r="AL146" s="465"/>
      <c r="AM146" s="465"/>
      <c r="AN146" s="465"/>
      <c r="AO146" s="465"/>
      <c r="AP146" s="465"/>
      <c r="AQ146" s="465"/>
      <c r="AR146" s="465"/>
      <c r="AS146" s="465"/>
      <c r="AT146" s="465"/>
      <c r="AU146" s="465"/>
      <c r="AV146" s="465"/>
      <c r="AW146" s="465"/>
      <c r="AX146" s="465"/>
      <c r="AY146" s="465"/>
      <c r="AZ146" s="465"/>
      <c r="BA146" s="465"/>
      <c r="BB146" s="465"/>
      <c r="BC146" s="465"/>
    </row>
    <row r="147" spans="1:55">
      <c r="A147" s="465"/>
      <c r="B147" s="465"/>
      <c r="C147" s="465"/>
      <c r="D147" s="467"/>
      <c r="E147" s="465"/>
      <c r="F147" s="465"/>
      <c r="G147" s="465"/>
      <c r="H147" s="465"/>
      <c r="I147" s="465"/>
      <c r="J147" s="465"/>
      <c r="K147" s="465"/>
      <c r="L147" s="465"/>
      <c r="M147" s="465"/>
      <c r="N147" s="465"/>
      <c r="O147" s="465"/>
      <c r="P147" s="465"/>
      <c r="Q147" s="465"/>
      <c r="R147" s="465"/>
      <c r="S147" s="465"/>
      <c r="T147" s="465"/>
      <c r="U147" s="465"/>
      <c r="V147" s="465"/>
      <c r="W147" s="465"/>
      <c r="X147" s="465"/>
      <c r="Y147" s="465"/>
      <c r="Z147" s="465"/>
      <c r="AA147" s="465"/>
      <c r="AB147" s="465"/>
      <c r="AC147" s="465"/>
      <c r="AD147" s="465"/>
      <c r="AE147" s="465"/>
      <c r="AF147" s="465"/>
      <c r="AG147" s="465"/>
      <c r="AH147" s="465"/>
      <c r="AI147" s="465"/>
      <c r="AJ147" s="465"/>
      <c r="AK147" s="465"/>
      <c r="AL147" s="465"/>
      <c r="AM147" s="465"/>
      <c r="AN147" s="465"/>
      <c r="AO147" s="465"/>
      <c r="AP147" s="465"/>
      <c r="AQ147" s="465"/>
      <c r="AR147" s="465"/>
      <c r="AS147" s="465"/>
      <c r="AT147" s="465"/>
      <c r="AU147" s="465"/>
      <c r="AV147" s="465"/>
      <c r="AW147" s="465"/>
      <c r="AX147" s="465"/>
      <c r="AY147" s="465"/>
      <c r="AZ147" s="465"/>
      <c r="BA147" s="465"/>
      <c r="BB147" s="465"/>
      <c r="BC147" s="465"/>
    </row>
    <row r="148" spans="1:55">
      <c r="A148" s="465"/>
      <c r="B148" s="465"/>
      <c r="C148" s="465"/>
      <c r="D148" s="467"/>
      <c r="E148" s="465"/>
      <c r="F148" s="465"/>
      <c r="G148" s="465"/>
      <c r="H148" s="465"/>
      <c r="I148" s="465"/>
      <c r="J148" s="465"/>
      <c r="K148" s="465"/>
      <c r="L148" s="465"/>
      <c r="M148" s="465"/>
      <c r="N148" s="465"/>
      <c r="O148" s="465"/>
      <c r="P148" s="465"/>
      <c r="Q148" s="465"/>
      <c r="R148" s="465"/>
      <c r="S148" s="465"/>
      <c r="T148" s="465"/>
      <c r="U148" s="465"/>
      <c r="V148" s="465"/>
      <c r="W148" s="465"/>
      <c r="X148" s="465"/>
      <c r="Y148" s="465"/>
      <c r="Z148" s="465"/>
      <c r="AA148" s="465"/>
      <c r="AB148" s="465"/>
      <c r="AC148" s="465"/>
      <c r="AD148" s="465"/>
      <c r="AE148" s="465"/>
      <c r="AF148" s="465"/>
      <c r="AG148" s="465"/>
      <c r="AH148" s="465"/>
      <c r="AI148" s="465"/>
      <c r="AJ148" s="465"/>
      <c r="AK148" s="465"/>
      <c r="AL148" s="465"/>
      <c r="AM148" s="465"/>
      <c r="AN148" s="465"/>
      <c r="AO148" s="465"/>
      <c r="AP148" s="465"/>
      <c r="AQ148" s="465"/>
      <c r="AR148" s="465"/>
      <c r="AS148" s="465"/>
      <c r="AT148" s="465"/>
      <c r="AU148" s="465"/>
      <c r="AV148" s="465"/>
      <c r="AW148" s="465"/>
      <c r="AX148" s="465"/>
      <c r="AY148" s="465"/>
      <c r="AZ148" s="465"/>
      <c r="BA148" s="465"/>
      <c r="BB148" s="465"/>
      <c r="BC148" s="465"/>
    </row>
    <row r="149" spans="1:55">
      <c r="A149" s="465"/>
      <c r="B149" s="465"/>
      <c r="C149" s="465"/>
      <c r="D149" s="467"/>
      <c r="E149" s="465"/>
      <c r="F149" s="465"/>
      <c r="G149" s="465"/>
      <c r="H149" s="465"/>
      <c r="I149" s="465"/>
      <c r="J149" s="465"/>
      <c r="K149" s="465"/>
      <c r="L149" s="465"/>
      <c r="M149" s="465"/>
      <c r="N149" s="465"/>
      <c r="O149" s="465"/>
      <c r="P149" s="465"/>
      <c r="Q149" s="465"/>
      <c r="R149" s="465"/>
      <c r="S149" s="465"/>
      <c r="T149" s="465"/>
      <c r="U149" s="465"/>
      <c r="V149" s="465"/>
      <c r="W149" s="465"/>
      <c r="X149" s="465"/>
      <c r="Y149" s="465"/>
      <c r="Z149" s="465"/>
      <c r="AA149" s="465"/>
      <c r="AB149" s="465"/>
      <c r="AC149" s="465"/>
      <c r="AD149" s="465"/>
      <c r="AE149" s="465"/>
      <c r="AF149" s="465"/>
      <c r="AG149" s="465"/>
      <c r="AH149" s="465"/>
      <c r="AI149" s="465"/>
      <c r="AJ149" s="465"/>
      <c r="AK149" s="465"/>
      <c r="AL149" s="465"/>
      <c r="AM149" s="465"/>
      <c r="AN149" s="465"/>
      <c r="AO149" s="465"/>
      <c r="AP149" s="465"/>
      <c r="AQ149" s="465"/>
      <c r="AR149" s="465"/>
      <c r="AS149" s="465"/>
      <c r="AT149" s="465"/>
      <c r="AU149" s="465"/>
      <c r="AV149" s="465"/>
      <c r="AW149" s="465"/>
      <c r="AX149" s="465"/>
      <c r="AY149" s="465"/>
      <c r="AZ149" s="465"/>
      <c r="BA149" s="465"/>
      <c r="BB149" s="465"/>
      <c r="BC149" s="465"/>
    </row>
    <row r="150" spans="1:55">
      <c r="A150" s="465"/>
      <c r="B150" s="465"/>
      <c r="C150" s="465"/>
      <c r="D150" s="467"/>
      <c r="E150" s="465"/>
      <c r="F150" s="465"/>
      <c r="G150" s="465"/>
      <c r="H150" s="465"/>
      <c r="I150" s="465"/>
      <c r="J150" s="465"/>
      <c r="K150" s="465"/>
      <c r="L150" s="465"/>
      <c r="M150" s="465"/>
      <c r="N150" s="465"/>
      <c r="O150" s="465"/>
      <c r="P150" s="465"/>
      <c r="Q150" s="465"/>
      <c r="R150" s="465"/>
      <c r="S150" s="465"/>
      <c r="T150" s="465"/>
      <c r="U150" s="465"/>
      <c r="V150" s="465"/>
      <c r="W150" s="465"/>
      <c r="X150" s="465"/>
      <c r="Y150" s="465"/>
      <c r="Z150" s="465"/>
      <c r="AA150" s="465"/>
      <c r="AB150" s="465"/>
      <c r="AC150" s="465"/>
      <c r="AD150" s="465"/>
      <c r="AE150" s="465"/>
      <c r="AF150" s="465"/>
      <c r="AG150" s="465"/>
      <c r="AH150" s="465"/>
      <c r="AI150" s="465"/>
      <c r="AJ150" s="465"/>
      <c r="AK150" s="465"/>
      <c r="AL150" s="465"/>
      <c r="AM150" s="465"/>
      <c r="AN150" s="465"/>
      <c r="AO150" s="465"/>
      <c r="AP150" s="465"/>
      <c r="AQ150" s="465"/>
      <c r="AR150" s="465"/>
      <c r="AS150" s="465"/>
      <c r="AT150" s="465"/>
      <c r="AU150" s="465"/>
      <c r="AV150" s="465"/>
      <c r="AW150" s="465"/>
      <c r="AX150" s="465"/>
      <c r="AY150" s="465"/>
      <c r="AZ150" s="465"/>
      <c r="BA150" s="465"/>
      <c r="BB150" s="465"/>
      <c r="BC150" s="465"/>
    </row>
    <row r="151" spans="1:55">
      <c r="A151" s="465"/>
      <c r="B151" s="465"/>
      <c r="C151" s="465"/>
      <c r="D151" s="467"/>
      <c r="E151" s="465"/>
      <c r="F151" s="465"/>
      <c r="G151" s="465"/>
      <c r="H151" s="465"/>
      <c r="I151" s="465"/>
      <c r="J151" s="465"/>
      <c r="K151" s="465"/>
      <c r="L151" s="465"/>
      <c r="M151" s="465"/>
      <c r="N151" s="465"/>
      <c r="O151" s="465"/>
      <c r="P151" s="465"/>
      <c r="Q151" s="465"/>
      <c r="R151" s="465"/>
      <c r="S151" s="465"/>
      <c r="T151" s="465"/>
      <c r="U151" s="465"/>
      <c r="V151" s="465"/>
      <c r="W151" s="465"/>
      <c r="X151" s="465"/>
      <c r="Y151" s="465"/>
      <c r="Z151" s="465"/>
      <c r="AA151" s="465"/>
      <c r="AB151" s="465"/>
      <c r="AC151" s="465"/>
      <c r="AD151" s="465"/>
      <c r="AE151" s="465"/>
      <c r="AF151" s="465"/>
      <c r="AG151" s="465"/>
      <c r="AH151" s="465"/>
      <c r="AI151" s="465"/>
      <c r="AJ151" s="465"/>
      <c r="AK151" s="465"/>
      <c r="AL151" s="465"/>
      <c r="AM151" s="465"/>
      <c r="AN151" s="465"/>
      <c r="AO151" s="465"/>
      <c r="AP151" s="465"/>
      <c r="AQ151" s="465"/>
      <c r="AR151" s="465"/>
      <c r="AS151" s="465"/>
      <c r="AT151" s="465"/>
      <c r="AU151" s="465"/>
      <c r="AV151" s="465"/>
      <c r="AW151" s="465"/>
      <c r="AX151" s="465"/>
      <c r="AY151" s="465"/>
      <c r="AZ151" s="465"/>
      <c r="BA151" s="465"/>
      <c r="BB151" s="465"/>
      <c r="BC151" s="465"/>
    </row>
    <row r="152" spans="1:55">
      <c r="A152" s="465"/>
      <c r="B152" s="465"/>
      <c r="C152" s="465"/>
      <c r="D152" s="467"/>
      <c r="E152" s="465"/>
      <c r="F152" s="465"/>
      <c r="G152" s="465"/>
      <c r="H152" s="465"/>
      <c r="I152" s="465"/>
      <c r="J152" s="465"/>
      <c r="K152" s="465"/>
      <c r="L152" s="465"/>
      <c r="M152" s="465"/>
      <c r="N152" s="465"/>
      <c r="O152" s="465"/>
      <c r="P152" s="465"/>
      <c r="Q152" s="465"/>
      <c r="R152" s="465"/>
      <c r="S152" s="465"/>
      <c r="T152" s="465"/>
      <c r="U152" s="465"/>
      <c r="V152" s="465"/>
      <c r="W152" s="465"/>
      <c r="X152" s="465"/>
      <c r="Y152" s="465"/>
      <c r="Z152" s="465"/>
      <c r="AA152" s="465"/>
      <c r="AB152" s="465"/>
      <c r="AC152" s="465"/>
      <c r="AD152" s="465"/>
      <c r="AE152" s="465"/>
      <c r="AF152" s="465"/>
      <c r="AG152" s="465"/>
      <c r="AH152" s="465"/>
      <c r="AI152" s="465"/>
      <c r="AJ152" s="465"/>
      <c r="AK152" s="465"/>
      <c r="AL152" s="465"/>
      <c r="AM152" s="465"/>
      <c r="AN152" s="465"/>
      <c r="AO152" s="465"/>
      <c r="AP152" s="465"/>
      <c r="AQ152" s="465"/>
      <c r="AR152" s="465"/>
      <c r="AS152" s="465"/>
      <c r="AT152" s="465"/>
      <c r="AU152" s="465"/>
      <c r="AV152" s="465"/>
      <c r="AW152" s="465"/>
      <c r="AX152" s="465"/>
      <c r="AY152" s="465"/>
      <c r="AZ152" s="465"/>
      <c r="BA152" s="465"/>
      <c r="BB152" s="465"/>
      <c r="BC152" s="465"/>
    </row>
    <row r="153" spans="1:55">
      <c r="A153" s="465"/>
      <c r="B153" s="465"/>
      <c r="C153" s="465"/>
      <c r="D153" s="467"/>
      <c r="E153" s="465"/>
      <c r="F153" s="465"/>
      <c r="G153" s="465"/>
      <c r="H153" s="465"/>
      <c r="I153" s="465"/>
      <c r="J153" s="465"/>
      <c r="K153" s="465"/>
      <c r="L153" s="465"/>
      <c r="M153" s="465"/>
      <c r="N153" s="465"/>
      <c r="O153" s="465"/>
      <c r="P153" s="465"/>
      <c r="Q153" s="465"/>
      <c r="R153" s="465"/>
      <c r="S153" s="465"/>
      <c r="T153" s="465"/>
      <c r="U153" s="465"/>
      <c r="V153" s="465"/>
      <c r="W153" s="465"/>
      <c r="X153" s="465"/>
      <c r="Y153" s="465"/>
      <c r="Z153" s="465"/>
      <c r="AA153" s="465"/>
      <c r="AB153" s="465"/>
      <c r="AC153" s="465"/>
      <c r="AD153" s="465"/>
      <c r="AE153" s="465"/>
      <c r="AF153" s="465"/>
      <c r="AG153" s="465"/>
      <c r="AH153" s="465"/>
      <c r="AI153" s="465"/>
      <c r="AJ153" s="465"/>
      <c r="AK153" s="465"/>
      <c r="AL153" s="465"/>
      <c r="AM153" s="465"/>
      <c r="AN153" s="465"/>
      <c r="AO153" s="465"/>
      <c r="AP153" s="465"/>
      <c r="AQ153" s="465"/>
      <c r="AR153" s="465"/>
      <c r="AS153" s="465"/>
      <c r="AT153" s="465"/>
      <c r="AU153" s="465"/>
      <c r="AV153" s="465"/>
      <c r="AW153" s="465"/>
      <c r="AX153" s="465"/>
      <c r="AY153" s="465"/>
      <c r="AZ153" s="465"/>
      <c r="BA153" s="465"/>
      <c r="BB153" s="465"/>
      <c r="BC153" s="465"/>
    </row>
    <row r="154" spans="1:55">
      <c r="A154" s="465"/>
      <c r="B154" s="465"/>
      <c r="C154" s="465"/>
      <c r="D154" s="467"/>
      <c r="E154" s="465"/>
      <c r="F154" s="465"/>
      <c r="G154" s="465"/>
      <c r="H154" s="465"/>
      <c r="I154" s="465"/>
      <c r="J154" s="465"/>
      <c r="K154" s="465"/>
      <c r="L154" s="465"/>
      <c r="M154" s="465"/>
      <c r="N154" s="465"/>
      <c r="O154" s="465"/>
      <c r="P154" s="465"/>
      <c r="Q154" s="465"/>
      <c r="R154" s="465"/>
      <c r="S154" s="465"/>
      <c r="T154" s="465"/>
      <c r="U154" s="465"/>
      <c r="V154" s="465"/>
      <c r="W154" s="465"/>
      <c r="X154" s="465"/>
      <c r="Y154" s="465"/>
      <c r="Z154" s="465"/>
      <c r="AA154" s="465"/>
      <c r="AB154" s="465"/>
      <c r="AC154" s="465"/>
      <c r="AD154" s="465"/>
      <c r="AE154" s="465"/>
      <c r="AF154" s="465"/>
      <c r="AG154" s="465"/>
      <c r="AH154" s="465"/>
      <c r="AI154" s="465"/>
      <c r="AJ154" s="465"/>
      <c r="AK154" s="465"/>
      <c r="AL154" s="465"/>
      <c r="AM154" s="465"/>
      <c r="AN154" s="465"/>
      <c r="AO154" s="465"/>
      <c r="AP154" s="465"/>
      <c r="AQ154" s="465"/>
      <c r="AR154" s="465"/>
      <c r="AS154" s="465"/>
      <c r="AT154" s="465"/>
      <c r="AU154" s="465"/>
      <c r="AV154" s="465"/>
      <c r="AW154" s="465"/>
      <c r="AX154" s="465"/>
      <c r="AY154" s="465"/>
      <c r="AZ154" s="465"/>
      <c r="BA154" s="465"/>
      <c r="BB154" s="465"/>
      <c r="BC154" s="465"/>
    </row>
    <row r="155" spans="1:55">
      <c r="A155" s="465"/>
      <c r="B155" s="465"/>
      <c r="C155" s="465"/>
      <c r="D155" s="467"/>
      <c r="E155" s="465"/>
      <c r="F155" s="465"/>
      <c r="G155" s="465"/>
      <c r="H155" s="465"/>
      <c r="I155" s="465"/>
      <c r="J155" s="465"/>
      <c r="K155" s="465"/>
      <c r="L155" s="465"/>
      <c r="M155" s="465"/>
      <c r="N155" s="465"/>
      <c r="O155" s="465"/>
      <c r="P155" s="465"/>
      <c r="Q155" s="465"/>
      <c r="R155" s="465"/>
      <c r="S155" s="465"/>
      <c r="T155" s="465"/>
      <c r="U155" s="465"/>
      <c r="V155" s="465"/>
      <c r="W155" s="465"/>
      <c r="X155" s="465"/>
      <c r="Y155" s="465"/>
      <c r="Z155" s="465"/>
      <c r="AA155" s="465"/>
      <c r="AB155" s="465"/>
      <c r="AC155" s="465"/>
      <c r="AD155" s="465"/>
      <c r="AE155" s="465"/>
      <c r="AF155" s="465"/>
      <c r="AG155" s="465"/>
      <c r="AH155" s="465"/>
      <c r="AI155" s="465"/>
      <c r="AJ155" s="465"/>
      <c r="AK155" s="465"/>
      <c r="AL155" s="465"/>
      <c r="AM155" s="465"/>
      <c r="AN155" s="465"/>
      <c r="AO155" s="465"/>
      <c r="AP155" s="465"/>
      <c r="AQ155" s="465"/>
      <c r="AR155" s="465"/>
      <c r="AS155" s="465"/>
      <c r="AT155" s="465"/>
      <c r="AU155" s="465"/>
      <c r="AV155" s="465"/>
      <c r="AW155" s="465"/>
      <c r="AX155" s="465"/>
      <c r="AY155" s="465"/>
      <c r="AZ155" s="465"/>
      <c r="BA155" s="465"/>
      <c r="BB155" s="465"/>
      <c r="BC155" s="465"/>
    </row>
    <row r="156" spans="1:55">
      <c r="A156" s="465"/>
      <c r="B156" s="465"/>
      <c r="C156" s="465"/>
      <c r="D156" s="467"/>
      <c r="E156" s="465"/>
      <c r="F156" s="465"/>
      <c r="G156" s="465"/>
      <c r="H156" s="465"/>
      <c r="I156" s="465"/>
      <c r="J156" s="465"/>
      <c r="K156" s="465"/>
      <c r="L156" s="465"/>
      <c r="M156" s="465"/>
      <c r="N156" s="465"/>
      <c r="O156" s="465"/>
      <c r="P156" s="465"/>
      <c r="Q156" s="465"/>
      <c r="R156" s="465"/>
      <c r="S156" s="465"/>
      <c r="T156" s="465"/>
      <c r="U156" s="465"/>
      <c r="V156" s="465"/>
      <c r="W156" s="465"/>
      <c r="X156" s="465"/>
      <c r="Y156" s="465"/>
      <c r="Z156" s="465"/>
      <c r="AA156" s="465"/>
      <c r="AB156" s="465"/>
      <c r="AC156" s="465"/>
      <c r="AD156" s="465"/>
      <c r="AE156" s="465"/>
      <c r="AF156" s="465"/>
      <c r="AG156" s="465"/>
      <c r="AH156" s="465"/>
      <c r="AI156" s="465"/>
      <c r="AJ156" s="465"/>
      <c r="AK156" s="465"/>
      <c r="AL156" s="465"/>
      <c r="AM156" s="465"/>
      <c r="AN156" s="465"/>
      <c r="AO156" s="465"/>
      <c r="AP156" s="465"/>
      <c r="AQ156" s="465"/>
      <c r="AR156" s="465"/>
      <c r="AS156" s="465"/>
      <c r="AT156" s="465"/>
      <c r="AU156" s="465"/>
      <c r="AV156" s="465"/>
      <c r="AW156" s="465"/>
      <c r="AX156" s="465"/>
      <c r="AY156" s="465"/>
      <c r="AZ156" s="465"/>
      <c r="BA156" s="465"/>
      <c r="BB156" s="465"/>
      <c r="BC156" s="465"/>
    </row>
    <row r="157" spans="1:55">
      <c r="A157" s="465"/>
      <c r="B157" s="465"/>
      <c r="C157" s="465"/>
      <c r="D157" s="467"/>
      <c r="E157" s="465"/>
      <c r="F157" s="465"/>
      <c r="G157" s="465"/>
      <c r="H157" s="465"/>
      <c r="I157" s="465"/>
      <c r="J157" s="465"/>
      <c r="K157" s="465"/>
      <c r="L157" s="465"/>
      <c r="M157" s="465"/>
      <c r="N157" s="465"/>
      <c r="O157" s="465"/>
      <c r="P157" s="465"/>
      <c r="Q157" s="465"/>
      <c r="R157" s="465"/>
      <c r="S157" s="465"/>
      <c r="T157" s="465"/>
      <c r="U157" s="465"/>
      <c r="V157" s="465"/>
      <c r="W157" s="465"/>
      <c r="X157" s="465"/>
      <c r="Y157" s="465"/>
      <c r="Z157" s="465"/>
      <c r="AA157" s="465"/>
      <c r="AB157" s="465"/>
      <c r="AC157" s="465"/>
      <c r="AD157" s="465"/>
      <c r="AE157" s="465"/>
      <c r="AF157" s="465"/>
      <c r="AG157" s="465"/>
      <c r="AH157" s="465"/>
      <c r="AI157" s="465"/>
      <c r="AJ157" s="465"/>
      <c r="AK157" s="465"/>
      <c r="AL157" s="465"/>
      <c r="AM157" s="465"/>
      <c r="AN157" s="465"/>
      <c r="AO157" s="465"/>
      <c r="AP157" s="465"/>
      <c r="AQ157" s="465"/>
      <c r="AR157" s="465"/>
      <c r="AS157" s="465"/>
      <c r="AT157" s="465"/>
      <c r="AU157" s="465"/>
      <c r="AV157" s="465"/>
      <c r="AW157" s="465"/>
      <c r="AX157" s="465"/>
      <c r="AY157" s="465"/>
      <c r="AZ157" s="465"/>
      <c r="BA157" s="465"/>
      <c r="BB157" s="465"/>
      <c r="BC157" s="465"/>
    </row>
    <row r="158" spans="1:55">
      <c r="A158" s="465"/>
      <c r="B158" s="465"/>
      <c r="C158" s="465"/>
      <c r="D158" s="467"/>
      <c r="E158" s="465"/>
      <c r="F158" s="465"/>
      <c r="G158" s="465"/>
      <c r="H158" s="465"/>
      <c r="I158" s="465"/>
      <c r="J158" s="465"/>
      <c r="K158" s="465"/>
      <c r="L158" s="465"/>
      <c r="M158" s="465"/>
      <c r="N158" s="465"/>
      <c r="O158" s="465"/>
      <c r="P158" s="465"/>
      <c r="Q158" s="465"/>
      <c r="R158" s="465"/>
      <c r="S158" s="465"/>
      <c r="T158" s="465"/>
      <c r="U158" s="465"/>
      <c r="V158" s="465"/>
      <c r="W158" s="465"/>
      <c r="X158" s="465"/>
      <c r="Y158" s="465"/>
      <c r="Z158" s="465"/>
      <c r="AA158" s="465"/>
      <c r="AB158" s="465"/>
      <c r="AC158" s="465"/>
      <c r="AD158" s="465"/>
      <c r="AE158" s="465"/>
      <c r="AF158" s="465"/>
      <c r="AG158" s="465"/>
      <c r="AH158" s="465"/>
      <c r="AI158" s="465"/>
      <c r="AJ158" s="465"/>
      <c r="AK158" s="465"/>
      <c r="AL158" s="465"/>
      <c r="AM158" s="465"/>
      <c r="AN158" s="465"/>
      <c r="AO158" s="465"/>
      <c r="AP158" s="465"/>
      <c r="AQ158" s="465"/>
      <c r="AR158" s="465"/>
      <c r="AS158" s="465"/>
      <c r="AT158" s="465"/>
      <c r="AU158" s="465"/>
      <c r="AV158" s="465"/>
      <c r="AW158" s="465"/>
      <c r="AX158" s="465"/>
      <c r="AY158" s="465"/>
      <c r="AZ158" s="465"/>
      <c r="BA158" s="465"/>
      <c r="BB158" s="465"/>
      <c r="BC158" s="465"/>
    </row>
    <row r="159" spans="1:55">
      <c r="A159" s="465"/>
      <c r="B159" s="465"/>
      <c r="C159" s="465"/>
      <c r="D159" s="467"/>
      <c r="E159" s="465"/>
      <c r="F159" s="465"/>
      <c r="G159" s="465"/>
      <c r="H159" s="465"/>
      <c r="I159" s="465"/>
      <c r="J159" s="465"/>
      <c r="K159" s="465"/>
      <c r="L159" s="465"/>
      <c r="M159" s="465"/>
      <c r="N159" s="465"/>
      <c r="O159" s="465"/>
      <c r="P159" s="465"/>
      <c r="Q159" s="465"/>
      <c r="R159" s="465"/>
      <c r="S159" s="465"/>
      <c r="T159" s="465"/>
      <c r="U159" s="465"/>
      <c r="V159" s="465"/>
      <c r="W159" s="465"/>
      <c r="X159" s="465"/>
      <c r="Y159" s="465"/>
      <c r="Z159" s="465"/>
      <c r="AA159" s="465"/>
      <c r="AB159" s="465"/>
      <c r="AC159" s="465"/>
      <c r="AD159" s="465"/>
      <c r="AE159" s="465"/>
      <c r="AF159" s="465"/>
      <c r="AG159" s="465"/>
      <c r="AH159" s="465"/>
      <c r="AI159" s="465"/>
      <c r="AJ159" s="465"/>
      <c r="AK159" s="465"/>
      <c r="AL159" s="465"/>
      <c r="AM159" s="465"/>
      <c r="AN159" s="465"/>
      <c r="AO159" s="465"/>
      <c r="AP159" s="465"/>
      <c r="AQ159" s="465"/>
      <c r="AR159" s="465"/>
      <c r="AS159" s="465"/>
      <c r="AT159" s="465"/>
      <c r="AU159" s="465"/>
      <c r="AV159" s="465"/>
      <c r="AW159" s="465"/>
      <c r="AX159" s="465"/>
      <c r="AY159" s="465"/>
      <c r="AZ159" s="465"/>
      <c r="BA159" s="465"/>
      <c r="BB159" s="465"/>
      <c r="BC159" s="465"/>
    </row>
    <row r="160" spans="1:55">
      <c r="A160" s="465"/>
      <c r="B160" s="465"/>
      <c r="C160" s="465"/>
      <c r="D160" s="467"/>
      <c r="E160" s="465"/>
      <c r="F160" s="465"/>
      <c r="G160" s="465"/>
      <c r="H160" s="465"/>
      <c r="I160" s="465"/>
      <c r="J160" s="465"/>
      <c r="K160" s="465"/>
      <c r="L160" s="465"/>
      <c r="M160" s="465"/>
      <c r="N160" s="465"/>
      <c r="O160" s="465"/>
      <c r="P160" s="465"/>
      <c r="Q160" s="465"/>
      <c r="R160" s="465"/>
      <c r="S160" s="465"/>
      <c r="T160" s="465"/>
      <c r="U160" s="465"/>
      <c r="V160" s="465"/>
      <c r="W160" s="465"/>
      <c r="X160" s="465"/>
      <c r="Y160" s="465"/>
      <c r="Z160" s="465"/>
      <c r="AA160" s="465"/>
      <c r="AB160" s="465"/>
      <c r="AC160" s="465"/>
      <c r="AD160" s="465"/>
      <c r="AE160" s="465"/>
      <c r="AF160" s="465"/>
      <c r="AG160" s="465"/>
      <c r="AH160" s="465"/>
      <c r="AI160" s="465"/>
      <c r="AJ160" s="465"/>
      <c r="AK160" s="465"/>
      <c r="AL160" s="465"/>
      <c r="AM160" s="465"/>
      <c r="AN160" s="465"/>
      <c r="AO160" s="465"/>
      <c r="AP160" s="465"/>
      <c r="AQ160" s="465"/>
      <c r="AR160" s="465"/>
      <c r="AS160" s="465"/>
      <c r="AT160" s="465"/>
      <c r="AU160" s="465"/>
      <c r="AV160" s="465"/>
      <c r="AW160" s="465"/>
      <c r="AX160" s="465"/>
      <c r="AY160" s="465"/>
      <c r="AZ160" s="465"/>
      <c r="BA160" s="465"/>
      <c r="BB160" s="465"/>
      <c r="BC160" s="465"/>
    </row>
    <row r="161" spans="1:55">
      <c r="A161" s="465"/>
      <c r="B161" s="465"/>
      <c r="C161" s="465"/>
      <c r="D161" s="467"/>
      <c r="E161" s="465"/>
      <c r="F161" s="465"/>
      <c r="G161" s="465"/>
      <c r="H161" s="465"/>
      <c r="I161" s="465"/>
      <c r="J161" s="465"/>
      <c r="K161" s="465"/>
      <c r="L161" s="465"/>
      <c r="M161" s="465"/>
      <c r="N161" s="465"/>
      <c r="O161" s="465"/>
      <c r="P161" s="465"/>
      <c r="Q161" s="465"/>
      <c r="R161" s="465"/>
      <c r="S161" s="465"/>
      <c r="T161" s="465"/>
      <c r="U161" s="465"/>
      <c r="V161" s="465"/>
      <c r="W161" s="465"/>
      <c r="X161" s="465"/>
      <c r="Y161" s="465"/>
      <c r="Z161" s="465"/>
      <c r="AA161" s="465"/>
      <c r="AB161" s="465"/>
      <c r="AC161" s="465"/>
      <c r="AD161" s="465"/>
      <c r="AE161" s="465"/>
      <c r="AF161" s="465"/>
      <c r="AG161" s="465"/>
      <c r="AH161" s="465"/>
      <c r="AI161" s="465"/>
      <c r="AJ161" s="465"/>
      <c r="AK161" s="465"/>
      <c r="AL161" s="465"/>
      <c r="AM161" s="465"/>
      <c r="AN161" s="465"/>
      <c r="AO161" s="465"/>
      <c r="AP161" s="465"/>
      <c r="AQ161" s="465"/>
      <c r="AR161" s="465"/>
      <c r="AS161" s="465"/>
      <c r="AT161" s="465"/>
      <c r="AU161" s="465"/>
      <c r="AV161" s="465"/>
      <c r="AW161" s="465"/>
      <c r="AX161" s="465"/>
      <c r="AY161" s="465"/>
      <c r="AZ161" s="465"/>
      <c r="BA161" s="465"/>
      <c r="BB161" s="465"/>
      <c r="BC161" s="465"/>
    </row>
    <row r="162" spans="1:55">
      <c r="A162" s="465"/>
      <c r="B162" s="465"/>
      <c r="C162" s="465"/>
      <c r="D162" s="467"/>
      <c r="E162" s="465"/>
      <c r="F162" s="465"/>
      <c r="G162" s="465"/>
      <c r="H162" s="465"/>
      <c r="I162" s="465"/>
      <c r="J162" s="465"/>
      <c r="K162" s="465"/>
      <c r="L162" s="465"/>
      <c r="M162" s="465"/>
      <c r="N162" s="465"/>
      <c r="O162" s="465"/>
      <c r="P162" s="465"/>
      <c r="Q162" s="465"/>
      <c r="R162" s="465"/>
      <c r="S162" s="465"/>
      <c r="T162" s="465"/>
      <c r="U162" s="465"/>
      <c r="V162" s="465"/>
      <c r="W162" s="465"/>
      <c r="X162" s="465"/>
      <c r="Y162" s="465"/>
      <c r="Z162" s="465"/>
      <c r="AA162" s="465"/>
      <c r="AB162" s="465"/>
      <c r="AC162" s="465"/>
      <c r="AD162" s="465"/>
      <c r="AE162" s="465"/>
      <c r="AF162" s="465"/>
      <c r="AG162" s="465"/>
      <c r="AH162" s="465"/>
      <c r="AI162" s="465"/>
      <c r="AJ162" s="465"/>
      <c r="AK162" s="465"/>
      <c r="AL162" s="465"/>
      <c r="AM162" s="465"/>
      <c r="AN162" s="465"/>
      <c r="AO162" s="465"/>
      <c r="AP162" s="465"/>
      <c r="AQ162" s="465"/>
      <c r="AR162" s="465"/>
      <c r="AS162" s="465"/>
      <c r="AT162" s="465"/>
      <c r="AU162" s="465"/>
      <c r="AV162" s="465"/>
      <c r="AW162" s="465"/>
      <c r="AX162" s="465"/>
      <c r="AY162" s="465"/>
      <c r="AZ162" s="465"/>
      <c r="BA162" s="465"/>
      <c r="BB162" s="465"/>
      <c r="BC162" s="465"/>
    </row>
    <row r="163" spans="1:55">
      <c r="A163" s="465"/>
      <c r="B163" s="465"/>
      <c r="C163" s="465"/>
      <c r="D163" s="467"/>
      <c r="E163" s="465"/>
      <c r="F163" s="465"/>
      <c r="G163" s="465"/>
      <c r="H163" s="465"/>
      <c r="I163" s="465"/>
      <c r="J163" s="465"/>
      <c r="K163" s="465"/>
      <c r="L163" s="465"/>
      <c r="M163" s="465"/>
      <c r="N163" s="465"/>
      <c r="O163" s="465"/>
      <c r="P163" s="465"/>
      <c r="Q163" s="465"/>
      <c r="R163" s="465"/>
      <c r="S163" s="465"/>
      <c r="T163" s="465"/>
      <c r="U163" s="465"/>
      <c r="V163" s="465"/>
      <c r="W163" s="465"/>
      <c r="X163" s="465"/>
      <c r="Y163" s="465"/>
      <c r="Z163" s="465"/>
      <c r="AA163" s="465"/>
      <c r="AB163" s="465"/>
      <c r="AC163" s="465"/>
      <c r="AD163" s="465"/>
      <c r="AE163" s="465"/>
      <c r="AF163" s="465"/>
      <c r="AG163" s="465"/>
      <c r="AH163" s="465"/>
      <c r="AI163" s="465"/>
      <c r="AJ163" s="465"/>
      <c r="AK163" s="465"/>
      <c r="AL163" s="465"/>
      <c r="AM163" s="465"/>
      <c r="AN163" s="465"/>
      <c r="AO163" s="465"/>
      <c r="AP163" s="465"/>
      <c r="AQ163" s="465"/>
      <c r="AR163" s="465"/>
      <c r="AS163" s="465"/>
      <c r="AT163" s="465"/>
      <c r="AU163" s="465"/>
      <c r="AV163" s="465"/>
      <c r="AW163" s="465"/>
      <c r="AX163" s="465"/>
      <c r="AY163" s="465"/>
      <c r="AZ163" s="465"/>
      <c r="BA163" s="465"/>
      <c r="BB163" s="465"/>
      <c r="BC163" s="465"/>
    </row>
    <row r="164" spans="1:55">
      <c r="A164" s="465"/>
      <c r="B164" s="465"/>
      <c r="C164" s="465"/>
      <c r="D164" s="467"/>
      <c r="E164" s="465"/>
      <c r="F164" s="465"/>
      <c r="G164" s="465"/>
      <c r="H164" s="465"/>
      <c r="I164" s="465"/>
      <c r="J164" s="465"/>
      <c r="K164" s="465"/>
      <c r="L164" s="465"/>
      <c r="M164" s="465"/>
      <c r="N164" s="465"/>
      <c r="O164" s="465"/>
      <c r="P164" s="465"/>
      <c r="Q164" s="465"/>
      <c r="R164" s="465"/>
      <c r="S164" s="465"/>
      <c r="T164" s="465"/>
      <c r="U164" s="465"/>
      <c r="V164" s="465"/>
      <c r="W164" s="465"/>
      <c r="X164" s="465"/>
      <c r="Y164" s="465"/>
      <c r="Z164" s="465"/>
      <c r="AA164" s="465"/>
      <c r="AB164" s="465"/>
      <c r="AC164" s="465"/>
      <c r="AD164" s="465"/>
      <c r="AE164" s="465"/>
      <c r="AF164" s="465"/>
      <c r="AG164" s="465"/>
      <c r="AH164" s="465"/>
      <c r="AI164" s="465"/>
      <c r="AJ164" s="465"/>
      <c r="AK164" s="465"/>
      <c r="AL164" s="465"/>
      <c r="AM164" s="465"/>
      <c r="AN164" s="465"/>
      <c r="AO164" s="465"/>
      <c r="AP164" s="465"/>
      <c r="AQ164" s="465"/>
      <c r="AR164" s="465"/>
      <c r="AS164" s="465"/>
      <c r="AT164" s="465"/>
      <c r="AU164" s="465"/>
      <c r="AV164" s="465"/>
      <c r="AW164" s="465"/>
      <c r="AX164" s="465"/>
      <c r="AY164" s="465"/>
      <c r="AZ164" s="465"/>
      <c r="BA164" s="465"/>
      <c r="BB164" s="465"/>
      <c r="BC164" s="465"/>
    </row>
    <row r="165" spans="1:55">
      <c r="A165" s="465"/>
      <c r="B165" s="465"/>
      <c r="C165" s="465"/>
      <c r="D165" s="467"/>
      <c r="E165" s="465"/>
      <c r="F165" s="465"/>
      <c r="G165" s="465"/>
      <c r="H165" s="465"/>
      <c r="I165" s="465"/>
      <c r="J165" s="465"/>
      <c r="K165" s="465"/>
      <c r="L165" s="465"/>
      <c r="M165" s="465"/>
      <c r="N165" s="465"/>
      <c r="O165" s="465"/>
      <c r="P165" s="465"/>
      <c r="Q165" s="465"/>
      <c r="R165" s="465"/>
      <c r="S165" s="465"/>
      <c r="T165" s="465"/>
      <c r="U165" s="465"/>
      <c r="V165" s="465"/>
      <c r="W165" s="465"/>
      <c r="X165" s="465"/>
      <c r="Y165" s="465"/>
      <c r="Z165" s="465"/>
      <c r="AA165" s="465"/>
      <c r="AB165" s="465"/>
      <c r="AC165" s="465"/>
      <c r="AD165" s="465"/>
      <c r="AE165" s="465"/>
      <c r="AF165" s="465"/>
      <c r="AG165" s="465"/>
      <c r="AH165" s="465"/>
      <c r="AI165" s="465"/>
      <c r="AJ165" s="465"/>
      <c r="AK165" s="465"/>
      <c r="AL165" s="465"/>
      <c r="AM165" s="465"/>
      <c r="AN165" s="465"/>
      <c r="AO165" s="465"/>
      <c r="AP165" s="465"/>
      <c r="AQ165" s="465"/>
      <c r="AR165" s="465"/>
      <c r="AS165" s="465"/>
      <c r="AT165" s="465"/>
      <c r="AU165" s="465"/>
      <c r="AV165" s="465"/>
      <c r="AW165" s="465"/>
      <c r="AX165" s="465"/>
      <c r="AY165" s="465"/>
      <c r="AZ165" s="465"/>
      <c r="BA165" s="465"/>
      <c r="BB165" s="465"/>
      <c r="BC165" s="465"/>
    </row>
    <row r="166" spans="1:55">
      <c r="A166" s="465"/>
      <c r="B166" s="465"/>
      <c r="C166" s="465"/>
      <c r="D166" s="467"/>
      <c r="E166" s="465"/>
      <c r="F166" s="465"/>
      <c r="G166" s="465"/>
      <c r="H166" s="465"/>
      <c r="I166" s="465"/>
      <c r="J166" s="465"/>
      <c r="K166" s="465"/>
      <c r="L166" s="465"/>
      <c r="M166" s="465"/>
      <c r="N166" s="465"/>
      <c r="O166" s="465"/>
      <c r="P166" s="465"/>
      <c r="Q166" s="465"/>
      <c r="R166" s="465"/>
      <c r="S166" s="465"/>
      <c r="T166" s="465"/>
      <c r="U166" s="465"/>
      <c r="V166" s="465"/>
      <c r="W166" s="465"/>
      <c r="X166" s="465"/>
      <c r="Y166" s="465"/>
      <c r="Z166" s="465"/>
      <c r="AA166" s="465"/>
      <c r="AB166" s="465"/>
      <c r="AC166" s="465"/>
      <c r="AD166" s="465"/>
      <c r="AE166" s="465"/>
      <c r="AF166" s="465"/>
      <c r="AG166" s="465"/>
      <c r="AH166" s="465"/>
      <c r="AI166" s="465"/>
      <c r="AJ166" s="465"/>
      <c r="AK166" s="465"/>
      <c r="AL166" s="465"/>
      <c r="AM166" s="465"/>
      <c r="AN166" s="465"/>
      <c r="AO166" s="465"/>
      <c r="AP166" s="465"/>
      <c r="AQ166" s="465"/>
      <c r="AR166" s="465"/>
      <c r="AS166" s="465"/>
      <c r="AT166" s="465"/>
      <c r="AU166" s="465"/>
      <c r="AV166" s="465"/>
      <c r="AW166" s="465"/>
      <c r="AX166" s="465"/>
      <c r="AY166" s="465"/>
      <c r="AZ166" s="465"/>
      <c r="BA166" s="465"/>
      <c r="BB166" s="465"/>
      <c r="BC166" s="465"/>
    </row>
    <row r="167" spans="1:55">
      <c r="A167" s="465"/>
      <c r="B167" s="465"/>
      <c r="C167" s="465"/>
      <c r="D167" s="467"/>
      <c r="E167" s="465"/>
      <c r="F167" s="465"/>
      <c r="G167" s="465"/>
      <c r="H167" s="465"/>
      <c r="I167" s="465"/>
      <c r="J167" s="465"/>
      <c r="K167" s="465"/>
      <c r="L167" s="465"/>
      <c r="M167" s="465"/>
      <c r="N167" s="465"/>
      <c r="O167" s="465"/>
      <c r="P167" s="465"/>
      <c r="Q167" s="465"/>
      <c r="R167" s="465"/>
      <c r="S167" s="465"/>
      <c r="T167" s="465"/>
      <c r="U167" s="465"/>
      <c r="V167" s="465"/>
      <c r="W167" s="465"/>
      <c r="X167" s="465"/>
      <c r="Y167" s="465"/>
      <c r="Z167" s="465"/>
      <c r="AA167" s="465"/>
      <c r="AB167" s="465"/>
      <c r="AC167" s="465"/>
      <c r="AD167" s="465"/>
      <c r="AE167" s="465"/>
      <c r="AF167" s="465"/>
      <c r="AG167" s="465"/>
      <c r="AH167" s="465"/>
      <c r="AI167" s="465"/>
      <c r="AJ167" s="465"/>
      <c r="AK167" s="465"/>
      <c r="AL167" s="465"/>
      <c r="AM167" s="465"/>
      <c r="AN167" s="465"/>
      <c r="AO167" s="465"/>
      <c r="AP167" s="465"/>
      <c r="AQ167" s="465"/>
      <c r="AR167" s="465"/>
      <c r="AS167" s="465"/>
      <c r="AT167" s="465"/>
      <c r="AU167" s="465"/>
      <c r="AV167" s="465"/>
      <c r="AW167" s="465"/>
      <c r="AX167" s="465"/>
      <c r="AY167" s="465"/>
      <c r="AZ167" s="465"/>
      <c r="BA167" s="465"/>
      <c r="BB167" s="465"/>
      <c r="BC167" s="465"/>
    </row>
    <row r="168" spans="1:55">
      <c r="A168" s="465"/>
      <c r="B168" s="465"/>
      <c r="C168" s="465"/>
      <c r="D168" s="467"/>
      <c r="E168" s="465"/>
      <c r="F168" s="465"/>
      <c r="G168" s="465"/>
      <c r="H168" s="465"/>
      <c r="I168" s="465"/>
      <c r="J168" s="465"/>
      <c r="K168" s="465"/>
      <c r="L168" s="465"/>
      <c r="M168" s="465"/>
      <c r="N168" s="465"/>
      <c r="O168" s="465"/>
      <c r="P168" s="465"/>
      <c r="Q168" s="465"/>
      <c r="R168" s="465"/>
      <c r="S168" s="465"/>
      <c r="T168" s="465"/>
      <c r="U168" s="465"/>
      <c r="V168" s="465"/>
      <c r="W168" s="465"/>
      <c r="X168" s="465"/>
      <c r="Y168" s="465"/>
      <c r="Z168" s="465"/>
      <c r="AA168" s="465"/>
      <c r="AB168" s="465"/>
      <c r="AC168" s="465"/>
      <c r="AD168" s="465"/>
      <c r="AE168" s="465"/>
      <c r="AF168" s="465"/>
      <c r="AG168" s="465"/>
      <c r="AH168" s="465"/>
      <c r="AI168" s="465"/>
      <c r="AJ168" s="465"/>
      <c r="AK168" s="465"/>
      <c r="AL168" s="465"/>
      <c r="AM168" s="465"/>
      <c r="AN168" s="465"/>
      <c r="AO168" s="465"/>
      <c r="AP168" s="465"/>
      <c r="AQ168" s="465"/>
      <c r="AR168" s="465"/>
      <c r="AS168" s="465"/>
      <c r="AT168" s="465"/>
      <c r="AU168" s="465"/>
      <c r="AV168" s="465"/>
      <c r="AW168" s="465"/>
      <c r="AX168" s="465"/>
      <c r="AY168" s="465"/>
      <c r="AZ168" s="465"/>
      <c r="BA168" s="465"/>
      <c r="BB168" s="465"/>
      <c r="BC168" s="465"/>
    </row>
    <row r="169" spans="1:55">
      <c r="A169" s="465"/>
      <c r="B169" s="465"/>
      <c r="C169" s="465"/>
      <c r="D169" s="467"/>
      <c r="E169" s="465"/>
      <c r="F169" s="465"/>
      <c r="G169" s="465"/>
      <c r="H169" s="465"/>
      <c r="I169" s="465"/>
      <c r="J169" s="465"/>
      <c r="K169" s="465"/>
      <c r="L169" s="465"/>
      <c r="M169" s="465"/>
      <c r="N169" s="465"/>
      <c r="O169" s="465"/>
      <c r="P169" s="465"/>
      <c r="Q169" s="465"/>
      <c r="R169" s="465"/>
      <c r="S169" s="465"/>
      <c r="T169" s="465"/>
      <c r="U169" s="465"/>
      <c r="V169" s="465"/>
      <c r="W169" s="465"/>
      <c r="X169" s="465"/>
      <c r="Y169" s="465"/>
      <c r="Z169" s="465"/>
      <c r="AA169" s="465"/>
      <c r="AB169" s="465"/>
      <c r="AC169" s="465"/>
      <c r="AD169" s="465"/>
      <c r="AE169" s="465"/>
      <c r="AF169" s="465"/>
      <c r="AG169" s="465"/>
      <c r="AH169" s="465"/>
      <c r="AI169" s="465"/>
      <c r="AJ169" s="465"/>
      <c r="AK169" s="465"/>
      <c r="AL169" s="465"/>
      <c r="AM169" s="465"/>
      <c r="AN169" s="465"/>
      <c r="AO169" s="465"/>
      <c r="AP169" s="465"/>
      <c r="AQ169" s="465"/>
      <c r="AR169" s="465"/>
      <c r="AS169" s="465"/>
      <c r="AT169" s="465"/>
      <c r="AU169" s="465"/>
      <c r="AV169" s="465"/>
      <c r="AW169" s="465"/>
      <c r="AX169" s="465"/>
      <c r="AY169" s="465"/>
      <c r="AZ169" s="465"/>
      <c r="BA169" s="465"/>
      <c r="BB169" s="465"/>
      <c r="BC169" s="465"/>
    </row>
    <row r="170" spans="1:55">
      <c r="A170" s="465"/>
      <c r="B170" s="465"/>
      <c r="C170" s="465"/>
      <c r="D170" s="467"/>
      <c r="E170" s="465"/>
      <c r="F170" s="465"/>
      <c r="G170" s="465"/>
      <c r="H170" s="465"/>
      <c r="I170" s="465"/>
      <c r="J170" s="465"/>
      <c r="K170" s="465"/>
      <c r="L170" s="465"/>
      <c r="M170" s="465"/>
      <c r="N170" s="465"/>
      <c r="O170" s="465"/>
      <c r="P170" s="465"/>
      <c r="Q170" s="465"/>
      <c r="R170" s="465"/>
      <c r="S170" s="465"/>
      <c r="T170" s="465"/>
      <c r="U170" s="465"/>
      <c r="V170" s="465"/>
      <c r="W170" s="465"/>
      <c r="X170" s="465"/>
      <c r="Y170" s="465"/>
      <c r="Z170" s="465"/>
      <c r="AA170" s="465"/>
      <c r="AB170" s="465"/>
      <c r="AC170" s="465"/>
      <c r="AD170" s="465"/>
      <c r="AE170" s="465"/>
      <c r="AF170" s="465"/>
      <c r="AG170" s="465"/>
      <c r="AH170" s="465"/>
      <c r="AI170" s="465"/>
      <c r="AJ170" s="465"/>
      <c r="AK170" s="465"/>
      <c r="AL170" s="465"/>
      <c r="AM170" s="465"/>
      <c r="AN170" s="465"/>
      <c r="AO170" s="465"/>
      <c r="AP170" s="465"/>
      <c r="AQ170" s="465"/>
      <c r="AR170" s="465"/>
      <c r="AS170" s="465"/>
      <c r="AT170" s="465"/>
      <c r="AU170" s="465"/>
      <c r="AV170" s="465"/>
      <c r="AW170" s="465"/>
      <c r="AX170" s="465"/>
      <c r="AY170" s="465"/>
      <c r="AZ170" s="465"/>
      <c r="BA170" s="465"/>
      <c r="BB170" s="465"/>
      <c r="BC170" s="465"/>
    </row>
    <row r="171" spans="1:55">
      <c r="A171" s="465"/>
      <c r="B171" s="465"/>
      <c r="C171" s="465"/>
      <c r="D171" s="467"/>
      <c r="E171" s="465"/>
      <c r="F171" s="465"/>
      <c r="G171" s="465"/>
      <c r="H171" s="465"/>
      <c r="I171" s="465"/>
      <c r="J171" s="465"/>
      <c r="K171" s="465"/>
      <c r="L171" s="465"/>
      <c r="M171" s="465"/>
      <c r="N171" s="465"/>
      <c r="O171" s="465"/>
      <c r="P171" s="465"/>
      <c r="Q171" s="465"/>
      <c r="R171" s="465"/>
      <c r="S171" s="465"/>
      <c r="T171" s="465"/>
      <c r="U171" s="465"/>
      <c r="V171" s="465"/>
      <c r="W171" s="465"/>
      <c r="X171" s="465"/>
      <c r="Y171" s="465"/>
      <c r="Z171" s="465"/>
      <c r="AA171" s="465"/>
      <c r="AB171" s="465"/>
      <c r="AC171" s="465"/>
      <c r="AD171" s="465"/>
      <c r="AE171" s="465"/>
      <c r="AF171" s="465"/>
      <c r="AG171" s="465"/>
      <c r="AH171" s="465"/>
      <c r="AI171" s="465"/>
      <c r="AJ171" s="465"/>
      <c r="AK171" s="465"/>
      <c r="AL171" s="465"/>
      <c r="AM171" s="465"/>
      <c r="AN171" s="465"/>
      <c r="AO171" s="465"/>
      <c r="AP171" s="465"/>
      <c r="AQ171" s="465"/>
      <c r="AR171" s="465"/>
      <c r="AS171" s="465"/>
      <c r="AT171" s="465"/>
      <c r="AU171" s="465"/>
      <c r="AV171" s="465"/>
      <c r="AW171" s="465"/>
      <c r="AX171" s="465"/>
      <c r="AY171" s="465"/>
      <c r="AZ171" s="465"/>
      <c r="BA171" s="465"/>
      <c r="BB171" s="465"/>
      <c r="BC171" s="465"/>
    </row>
    <row r="172" spans="1:55">
      <c r="A172" s="465"/>
      <c r="B172" s="465"/>
      <c r="C172" s="465"/>
      <c r="D172" s="467"/>
      <c r="E172" s="465"/>
      <c r="F172" s="465"/>
      <c r="G172" s="465"/>
      <c r="H172" s="465"/>
      <c r="I172" s="465"/>
      <c r="J172" s="465"/>
      <c r="K172" s="465"/>
      <c r="L172" s="465"/>
      <c r="M172" s="465"/>
      <c r="N172" s="465"/>
      <c r="O172" s="465"/>
      <c r="P172" s="465"/>
      <c r="Q172" s="465"/>
      <c r="R172" s="465"/>
      <c r="S172" s="465"/>
      <c r="T172" s="465"/>
      <c r="U172" s="465"/>
      <c r="V172" s="465"/>
      <c r="W172" s="465"/>
      <c r="X172" s="465"/>
      <c r="Y172" s="465"/>
      <c r="Z172" s="465"/>
      <c r="AA172" s="465"/>
      <c r="AB172" s="465"/>
      <c r="AC172" s="465"/>
      <c r="AD172" s="465"/>
      <c r="AE172" s="465"/>
      <c r="AF172" s="465"/>
      <c r="AG172" s="465"/>
      <c r="AH172" s="465"/>
      <c r="AI172" s="465"/>
      <c r="AJ172" s="465"/>
      <c r="AK172" s="465"/>
      <c r="AL172" s="465"/>
      <c r="AM172" s="465"/>
      <c r="AN172" s="465"/>
      <c r="AO172" s="465"/>
      <c r="AP172" s="465"/>
      <c r="AQ172" s="465"/>
      <c r="AR172" s="465"/>
      <c r="AS172" s="465"/>
      <c r="AT172" s="465"/>
      <c r="AU172" s="465"/>
      <c r="AV172" s="465"/>
      <c r="AW172" s="465"/>
      <c r="AX172" s="465"/>
      <c r="AY172" s="465"/>
      <c r="AZ172" s="465"/>
      <c r="BA172" s="465"/>
      <c r="BB172" s="465"/>
      <c r="BC172" s="465"/>
    </row>
    <row r="173" spans="1:55">
      <c r="A173" s="465"/>
      <c r="B173" s="465"/>
      <c r="C173" s="465"/>
      <c r="D173" s="467"/>
      <c r="E173" s="465"/>
      <c r="F173" s="465"/>
      <c r="G173" s="465"/>
      <c r="H173" s="465"/>
      <c r="I173" s="465"/>
      <c r="J173" s="465"/>
      <c r="K173" s="465"/>
      <c r="L173" s="465"/>
      <c r="M173" s="465"/>
      <c r="N173" s="465"/>
      <c r="O173" s="465"/>
      <c r="P173" s="465"/>
      <c r="Q173" s="465"/>
      <c r="R173" s="465"/>
      <c r="S173" s="465"/>
      <c r="T173" s="465"/>
      <c r="U173" s="465"/>
      <c r="V173" s="465"/>
      <c r="W173" s="465"/>
      <c r="X173" s="465"/>
      <c r="Y173" s="465"/>
      <c r="Z173" s="465"/>
      <c r="AA173" s="465"/>
      <c r="AB173" s="465"/>
      <c r="AC173" s="465"/>
      <c r="AD173" s="465"/>
      <c r="AE173" s="465"/>
      <c r="AF173" s="465"/>
      <c r="AG173" s="465"/>
      <c r="AH173" s="465"/>
      <c r="AI173" s="465"/>
      <c r="AJ173" s="465"/>
      <c r="AK173" s="465"/>
      <c r="AL173" s="465"/>
      <c r="AM173" s="465"/>
      <c r="AN173" s="465"/>
      <c r="AO173" s="465"/>
      <c r="AP173" s="465"/>
      <c r="AQ173" s="465"/>
      <c r="AR173" s="465"/>
      <c r="AS173" s="465"/>
      <c r="AT173" s="465"/>
      <c r="AU173" s="465"/>
      <c r="AV173" s="465"/>
      <c r="AW173" s="465"/>
      <c r="AX173" s="465"/>
      <c r="AY173" s="465"/>
      <c r="AZ173" s="465"/>
      <c r="BA173" s="465"/>
      <c r="BB173" s="465"/>
      <c r="BC173" s="465"/>
    </row>
    <row r="174" spans="1:55">
      <c r="A174" s="465"/>
      <c r="B174" s="465"/>
      <c r="C174" s="465"/>
      <c r="D174" s="467"/>
      <c r="E174" s="465"/>
      <c r="F174" s="465"/>
      <c r="G174" s="465"/>
      <c r="H174" s="465"/>
      <c r="I174" s="465"/>
      <c r="J174" s="465"/>
      <c r="K174" s="465"/>
      <c r="L174" s="465"/>
      <c r="M174" s="465"/>
      <c r="N174" s="465"/>
      <c r="O174" s="465"/>
      <c r="P174" s="465"/>
      <c r="Q174" s="465"/>
      <c r="R174" s="465"/>
      <c r="S174" s="465"/>
      <c r="T174" s="465"/>
      <c r="U174" s="465"/>
      <c r="V174" s="465"/>
      <c r="W174" s="465"/>
      <c r="X174" s="465"/>
      <c r="Y174" s="465"/>
      <c r="Z174" s="465"/>
      <c r="AA174" s="465"/>
      <c r="AB174" s="465"/>
      <c r="AC174" s="465"/>
      <c r="AD174" s="465"/>
      <c r="AE174" s="465"/>
      <c r="AF174" s="465"/>
      <c r="AG174" s="465"/>
      <c r="AH174" s="465"/>
      <c r="AI174" s="465"/>
      <c r="AJ174" s="465"/>
      <c r="AK174" s="465"/>
      <c r="AL174" s="465"/>
      <c r="AM174" s="465"/>
      <c r="AN174" s="465"/>
      <c r="AO174" s="465"/>
      <c r="AP174" s="465"/>
      <c r="AQ174" s="465"/>
      <c r="AR174" s="465"/>
      <c r="AS174" s="465"/>
      <c r="AT174" s="465"/>
      <c r="AU174" s="465"/>
      <c r="AV174" s="465"/>
      <c r="AW174" s="465"/>
      <c r="AX174" s="465"/>
      <c r="AY174" s="465"/>
      <c r="AZ174" s="465"/>
      <c r="BA174" s="465"/>
      <c r="BB174" s="465"/>
      <c r="BC174" s="465"/>
    </row>
    <row r="175" spans="1:55">
      <c r="A175" s="465"/>
      <c r="B175" s="465"/>
      <c r="C175" s="465"/>
      <c r="D175" s="467"/>
      <c r="E175" s="465"/>
      <c r="F175" s="465"/>
      <c r="G175" s="465"/>
      <c r="H175" s="465"/>
      <c r="I175" s="465"/>
      <c r="J175" s="465"/>
      <c r="K175" s="465"/>
      <c r="L175" s="465"/>
      <c r="M175" s="465"/>
      <c r="N175" s="465"/>
      <c r="O175" s="465"/>
      <c r="P175" s="465"/>
      <c r="Q175" s="465"/>
      <c r="R175" s="465"/>
      <c r="S175" s="465"/>
      <c r="T175" s="465"/>
      <c r="U175" s="465"/>
      <c r="V175" s="465"/>
      <c r="W175" s="465"/>
      <c r="X175" s="465"/>
      <c r="Y175" s="465"/>
      <c r="Z175" s="465"/>
      <c r="AA175" s="465"/>
      <c r="AB175" s="465"/>
      <c r="AC175" s="465"/>
      <c r="AD175" s="465"/>
      <c r="AE175" s="465"/>
      <c r="AF175" s="465"/>
      <c r="AG175" s="465"/>
      <c r="AH175" s="465"/>
      <c r="AI175" s="465"/>
      <c r="AJ175" s="465"/>
      <c r="AK175" s="465"/>
      <c r="AL175" s="465"/>
      <c r="AM175" s="465"/>
      <c r="AN175" s="465"/>
      <c r="AO175" s="465"/>
      <c r="AP175" s="465"/>
      <c r="AQ175" s="465"/>
      <c r="AR175" s="465"/>
      <c r="AS175" s="465"/>
      <c r="AT175" s="465"/>
      <c r="AU175" s="465"/>
      <c r="AV175" s="465"/>
      <c r="AW175" s="465"/>
      <c r="AX175" s="465"/>
      <c r="AY175" s="465"/>
      <c r="AZ175" s="465"/>
      <c r="BA175" s="465"/>
      <c r="BB175" s="465"/>
      <c r="BC175" s="465"/>
    </row>
    <row r="176" spans="1:55">
      <c r="A176" s="465"/>
      <c r="B176" s="465"/>
      <c r="C176" s="465"/>
      <c r="D176" s="467"/>
      <c r="E176" s="465"/>
      <c r="F176" s="465"/>
      <c r="G176" s="465"/>
      <c r="H176" s="465"/>
      <c r="I176" s="465"/>
      <c r="J176" s="465"/>
      <c r="K176" s="465"/>
      <c r="L176" s="465"/>
      <c r="M176" s="465"/>
      <c r="N176" s="465"/>
      <c r="O176" s="465"/>
      <c r="P176" s="465"/>
      <c r="Q176" s="465"/>
      <c r="R176" s="465"/>
      <c r="S176" s="465"/>
      <c r="T176" s="465"/>
      <c r="U176" s="465"/>
      <c r="V176" s="465"/>
      <c r="W176" s="465"/>
      <c r="X176" s="465"/>
      <c r="Y176" s="465"/>
      <c r="Z176" s="465"/>
      <c r="AA176" s="465"/>
      <c r="AB176" s="465"/>
      <c r="AC176" s="465"/>
      <c r="AD176" s="465"/>
      <c r="AE176" s="465"/>
      <c r="AF176" s="465"/>
      <c r="AG176" s="465"/>
      <c r="AH176" s="465"/>
      <c r="AI176" s="465"/>
      <c r="AJ176" s="465"/>
      <c r="AK176" s="465"/>
      <c r="AL176" s="465"/>
      <c r="AM176" s="465"/>
      <c r="AN176" s="465"/>
      <c r="AO176" s="465"/>
      <c r="AP176" s="465"/>
      <c r="AQ176" s="465"/>
      <c r="AR176" s="465"/>
      <c r="AS176" s="465"/>
      <c r="AT176" s="465"/>
      <c r="AU176" s="465"/>
      <c r="AV176" s="465"/>
      <c r="AW176" s="465"/>
      <c r="AX176" s="465"/>
      <c r="AY176" s="465"/>
      <c r="AZ176" s="465"/>
      <c r="BA176" s="465"/>
      <c r="BB176" s="465"/>
      <c r="BC176" s="465"/>
    </row>
    <row r="177" spans="1:55">
      <c r="A177" s="465"/>
      <c r="B177" s="465"/>
      <c r="C177" s="465"/>
      <c r="D177" s="467"/>
      <c r="E177" s="465"/>
      <c r="F177" s="465"/>
      <c r="G177" s="465"/>
      <c r="H177" s="465"/>
      <c r="I177" s="465"/>
      <c r="J177" s="465"/>
      <c r="K177" s="465"/>
      <c r="L177" s="465"/>
      <c r="M177" s="465"/>
      <c r="N177" s="465"/>
      <c r="O177" s="465"/>
      <c r="P177" s="465"/>
      <c r="Q177" s="465"/>
      <c r="R177" s="465"/>
      <c r="S177" s="465"/>
      <c r="T177" s="465"/>
      <c r="U177" s="465"/>
      <c r="V177" s="465"/>
      <c r="W177" s="465"/>
      <c r="X177" s="465"/>
      <c r="Y177" s="465"/>
      <c r="Z177" s="465"/>
      <c r="AA177" s="465"/>
      <c r="AB177" s="465"/>
      <c r="AC177" s="465"/>
      <c r="AD177" s="465"/>
      <c r="AE177" s="465"/>
      <c r="AF177" s="465"/>
      <c r="AG177" s="465"/>
      <c r="AH177" s="465"/>
      <c r="AI177" s="465"/>
      <c r="AJ177" s="465"/>
      <c r="AK177" s="465"/>
      <c r="AL177" s="465"/>
      <c r="AM177" s="465"/>
      <c r="AN177" s="465"/>
      <c r="AO177" s="465"/>
      <c r="AP177" s="465"/>
      <c r="AQ177" s="465"/>
      <c r="AR177" s="465"/>
      <c r="AS177" s="465"/>
      <c r="AT177" s="465"/>
      <c r="AU177" s="465"/>
      <c r="AV177" s="465"/>
      <c r="AW177" s="465"/>
      <c r="AX177" s="465"/>
      <c r="AY177" s="465"/>
      <c r="AZ177" s="465"/>
      <c r="BA177" s="465"/>
      <c r="BB177" s="465"/>
      <c r="BC177" s="465"/>
    </row>
    <row r="178" spans="1:55">
      <c r="A178" s="465"/>
      <c r="B178" s="465"/>
      <c r="C178" s="465"/>
      <c r="D178" s="467"/>
      <c r="E178" s="465"/>
      <c r="F178" s="465"/>
      <c r="G178" s="465"/>
      <c r="H178" s="465"/>
      <c r="I178" s="465"/>
      <c r="J178" s="465"/>
      <c r="K178" s="465"/>
      <c r="L178" s="465"/>
      <c r="M178" s="465"/>
      <c r="N178" s="465"/>
      <c r="O178" s="465"/>
      <c r="P178" s="465"/>
      <c r="Q178" s="465"/>
      <c r="R178" s="465"/>
      <c r="S178" s="465"/>
      <c r="T178" s="465"/>
      <c r="U178" s="465"/>
      <c r="V178" s="465"/>
      <c r="W178" s="465"/>
      <c r="X178" s="465"/>
      <c r="Y178" s="465"/>
      <c r="Z178" s="465"/>
      <c r="AA178" s="465"/>
      <c r="AB178" s="465"/>
      <c r="AC178" s="465"/>
      <c r="AD178" s="465"/>
      <c r="AE178" s="465"/>
      <c r="AF178" s="465"/>
      <c r="AG178" s="465"/>
      <c r="AH178" s="465"/>
      <c r="AI178" s="465"/>
      <c r="AJ178" s="465"/>
      <c r="AK178" s="465"/>
      <c r="AL178" s="465"/>
      <c r="AM178" s="465"/>
      <c r="AN178" s="465"/>
      <c r="AO178" s="465"/>
      <c r="AP178" s="465"/>
      <c r="AQ178" s="465"/>
      <c r="AR178" s="465"/>
      <c r="AS178" s="465"/>
      <c r="AT178" s="465"/>
      <c r="AU178" s="465"/>
      <c r="AV178" s="465"/>
      <c r="AW178" s="465"/>
      <c r="AX178" s="465"/>
      <c r="AY178" s="465"/>
      <c r="AZ178" s="465"/>
      <c r="BA178" s="465"/>
      <c r="BB178" s="465"/>
      <c r="BC178" s="465"/>
    </row>
    <row r="179" spans="1:55">
      <c r="A179" s="465"/>
      <c r="B179" s="465"/>
      <c r="C179" s="465"/>
      <c r="D179" s="467"/>
      <c r="E179" s="465"/>
      <c r="F179" s="465"/>
      <c r="G179" s="465"/>
      <c r="H179" s="465"/>
      <c r="I179" s="465"/>
      <c r="J179" s="465"/>
      <c r="K179" s="465"/>
      <c r="L179" s="465"/>
      <c r="M179" s="465"/>
      <c r="N179" s="465"/>
      <c r="O179" s="465"/>
      <c r="P179" s="465"/>
      <c r="Q179" s="465"/>
      <c r="R179" s="465"/>
      <c r="S179" s="465"/>
      <c r="T179" s="465"/>
      <c r="U179" s="465"/>
      <c r="V179" s="465"/>
      <c r="W179" s="465"/>
      <c r="X179" s="465"/>
      <c r="Y179" s="465"/>
      <c r="Z179" s="465"/>
      <c r="AA179" s="465"/>
      <c r="AB179" s="465"/>
      <c r="AC179" s="465"/>
      <c r="AD179" s="465"/>
      <c r="AE179" s="465"/>
      <c r="AF179" s="465"/>
      <c r="AG179" s="465"/>
      <c r="AH179" s="465"/>
      <c r="AI179" s="465"/>
      <c r="AJ179" s="465"/>
      <c r="AK179" s="465"/>
      <c r="AL179" s="465"/>
      <c r="AM179" s="465"/>
      <c r="AN179" s="465"/>
      <c r="AO179" s="465"/>
      <c r="AP179" s="465"/>
      <c r="AQ179" s="465"/>
      <c r="AR179" s="465"/>
      <c r="AS179" s="465"/>
      <c r="AT179" s="465"/>
      <c r="AU179" s="465"/>
      <c r="AV179" s="465"/>
      <c r="AW179" s="465"/>
      <c r="AX179" s="465"/>
      <c r="AY179" s="465"/>
      <c r="AZ179" s="465"/>
      <c r="BA179" s="465"/>
      <c r="BB179" s="465"/>
      <c r="BC179" s="465"/>
    </row>
    <row r="180" spans="1:55">
      <c r="A180" s="465"/>
      <c r="B180" s="465"/>
      <c r="C180" s="465"/>
      <c r="D180" s="467"/>
      <c r="E180" s="465"/>
      <c r="F180" s="465"/>
      <c r="G180" s="465"/>
      <c r="H180" s="465"/>
      <c r="I180" s="465"/>
      <c r="J180" s="465"/>
      <c r="K180" s="465"/>
      <c r="L180" s="465"/>
      <c r="M180" s="465"/>
      <c r="N180" s="465"/>
      <c r="O180" s="465"/>
      <c r="P180" s="465"/>
      <c r="Q180" s="465"/>
      <c r="R180" s="465"/>
      <c r="S180" s="465"/>
      <c r="T180" s="465"/>
      <c r="U180" s="465"/>
      <c r="V180" s="465"/>
      <c r="W180" s="465"/>
      <c r="X180" s="465"/>
      <c r="Y180" s="465"/>
      <c r="Z180" s="465"/>
      <c r="AA180" s="465"/>
      <c r="AB180" s="465"/>
      <c r="AC180" s="465"/>
      <c r="AD180" s="465"/>
      <c r="AE180" s="465"/>
      <c r="AF180" s="465"/>
      <c r="AG180" s="465"/>
      <c r="AH180" s="465"/>
      <c r="AI180" s="465"/>
      <c r="AJ180" s="465"/>
      <c r="AK180" s="465"/>
      <c r="AL180" s="465"/>
      <c r="AM180" s="465"/>
      <c r="AN180" s="465"/>
      <c r="AO180" s="465"/>
      <c r="AP180" s="465"/>
      <c r="AQ180" s="465"/>
      <c r="AR180" s="465"/>
      <c r="AS180" s="465"/>
      <c r="AT180" s="465"/>
      <c r="AU180" s="465"/>
      <c r="AV180" s="465"/>
      <c r="AW180" s="465"/>
      <c r="AX180" s="465"/>
      <c r="AY180" s="465"/>
      <c r="AZ180" s="465"/>
      <c r="BA180" s="465"/>
      <c r="BB180" s="465"/>
      <c r="BC180" s="465"/>
    </row>
    <row r="181" spans="1:55">
      <c r="A181" s="465"/>
      <c r="B181" s="465"/>
      <c r="C181" s="465"/>
      <c r="D181" s="467"/>
      <c r="E181" s="465"/>
      <c r="F181" s="465"/>
      <c r="G181" s="465"/>
      <c r="H181" s="465"/>
      <c r="I181" s="465"/>
      <c r="J181" s="465"/>
      <c r="K181" s="465"/>
      <c r="L181" s="465"/>
      <c r="M181" s="465"/>
      <c r="N181" s="465"/>
      <c r="O181" s="465"/>
      <c r="P181" s="465"/>
      <c r="Q181" s="465"/>
      <c r="R181" s="465"/>
      <c r="S181" s="465"/>
      <c r="T181" s="465"/>
      <c r="U181" s="465"/>
      <c r="V181" s="465"/>
      <c r="W181" s="465"/>
      <c r="X181" s="465"/>
      <c r="Y181" s="465"/>
      <c r="Z181" s="465"/>
      <c r="AA181" s="465"/>
      <c r="AB181" s="465"/>
      <c r="AC181" s="465"/>
      <c r="AD181" s="465"/>
      <c r="AE181" s="465"/>
      <c r="AF181" s="465"/>
      <c r="AG181" s="465"/>
      <c r="AH181" s="465"/>
      <c r="AI181" s="465"/>
      <c r="AJ181" s="465"/>
      <c r="AK181" s="465"/>
      <c r="AL181" s="465"/>
      <c r="AM181" s="465"/>
      <c r="AN181" s="465"/>
      <c r="AO181" s="465"/>
      <c r="AP181" s="465"/>
      <c r="AQ181" s="465"/>
      <c r="AR181" s="465"/>
      <c r="AS181" s="465"/>
      <c r="AT181" s="465"/>
      <c r="AU181" s="465"/>
      <c r="AV181" s="465"/>
      <c r="AW181" s="465"/>
      <c r="AX181" s="465"/>
      <c r="AY181" s="465"/>
      <c r="AZ181" s="465"/>
      <c r="BA181" s="465"/>
      <c r="BB181" s="465"/>
      <c r="BC181" s="465"/>
    </row>
    <row r="182" spans="1:55">
      <c r="A182" s="465"/>
      <c r="B182" s="465"/>
      <c r="C182" s="465"/>
      <c r="D182" s="467"/>
      <c r="E182" s="465"/>
      <c r="F182" s="465"/>
      <c r="G182" s="465"/>
      <c r="H182" s="465"/>
      <c r="I182" s="465"/>
      <c r="J182" s="465"/>
      <c r="K182" s="465"/>
      <c r="L182" s="465"/>
      <c r="M182" s="465"/>
      <c r="N182" s="465"/>
      <c r="O182" s="465"/>
      <c r="P182" s="465"/>
      <c r="Q182" s="465"/>
      <c r="R182" s="465"/>
      <c r="S182" s="465"/>
      <c r="T182" s="465"/>
      <c r="U182" s="465"/>
      <c r="V182" s="465"/>
      <c r="W182" s="465"/>
      <c r="X182" s="465"/>
      <c r="Y182" s="465"/>
      <c r="Z182" s="465"/>
      <c r="AA182" s="465"/>
      <c r="AB182" s="465"/>
      <c r="AC182" s="465"/>
      <c r="AD182" s="465"/>
      <c r="AE182" s="465"/>
      <c r="AF182" s="465"/>
      <c r="AG182" s="465"/>
      <c r="AH182" s="465"/>
      <c r="AI182" s="465"/>
      <c r="AJ182" s="465"/>
      <c r="AK182" s="465"/>
      <c r="AL182" s="465"/>
      <c r="AM182" s="465"/>
      <c r="AN182" s="465"/>
      <c r="AO182" s="465"/>
      <c r="AP182" s="465"/>
      <c r="AQ182" s="465"/>
      <c r="AR182" s="465"/>
      <c r="AS182" s="465"/>
      <c r="AT182" s="465"/>
      <c r="AU182" s="465"/>
      <c r="AV182" s="465"/>
      <c r="AW182" s="465"/>
      <c r="AX182" s="465"/>
      <c r="AY182" s="465"/>
      <c r="AZ182" s="465"/>
      <c r="BA182" s="465"/>
      <c r="BB182" s="465"/>
      <c r="BC182" s="465"/>
    </row>
    <row r="183" spans="1:55">
      <c r="A183" s="465"/>
      <c r="B183" s="465"/>
      <c r="C183" s="465"/>
      <c r="D183" s="467"/>
      <c r="E183" s="465"/>
      <c r="F183" s="465"/>
      <c r="G183" s="465"/>
      <c r="H183" s="465"/>
      <c r="I183" s="465"/>
      <c r="J183" s="465"/>
      <c r="K183" s="465"/>
      <c r="L183" s="465"/>
      <c r="M183" s="465"/>
      <c r="N183" s="465"/>
      <c r="O183" s="465"/>
      <c r="P183" s="465"/>
      <c r="Q183" s="465"/>
      <c r="R183" s="465"/>
      <c r="S183" s="465"/>
      <c r="T183" s="465"/>
      <c r="U183" s="465"/>
      <c r="V183" s="465"/>
      <c r="W183" s="465"/>
      <c r="X183" s="465"/>
      <c r="Y183" s="465"/>
      <c r="Z183" s="465"/>
      <c r="AA183" s="465"/>
      <c r="AB183" s="465"/>
      <c r="AC183" s="465"/>
      <c r="AD183" s="465"/>
      <c r="AE183" s="465"/>
      <c r="AF183" s="465"/>
      <c r="AG183" s="465"/>
      <c r="AH183" s="465"/>
      <c r="AI183" s="465"/>
      <c r="AJ183" s="465"/>
      <c r="AK183" s="465"/>
      <c r="AL183" s="465"/>
      <c r="AM183" s="465"/>
      <c r="AN183" s="465"/>
      <c r="AO183" s="465"/>
      <c r="AP183" s="465"/>
      <c r="AQ183" s="465"/>
      <c r="AR183" s="465"/>
      <c r="AS183" s="465"/>
      <c r="AT183" s="465"/>
      <c r="AU183" s="465"/>
      <c r="AV183" s="465"/>
      <c r="AW183" s="465"/>
      <c r="AX183" s="465"/>
      <c r="AY183" s="465"/>
      <c r="AZ183" s="465"/>
      <c r="BA183" s="465"/>
      <c r="BB183" s="465"/>
      <c r="BC183" s="465"/>
    </row>
    <row r="184" spans="1:55">
      <c r="A184" s="465"/>
      <c r="B184" s="465"/>
      <c r="C184" s="465"/>
      <c r="D184" s="467"/>
      <c r="E184" s="465"/>
      <c r="F184" s="465"/>
      <c r="G184" s="465"/>
      <c r="H184" s="465"/>
      <c r="I184" s="465"/>
      <c r="J184" s="465"/>
      <c r="K184" s="465"/>
      <c r="L184" s="465"/>
      <c r="M184" s="465"/>
      <c r="N184" s="465"/>
      <c r="O184" s="465"/>
      <c r="P184" s="465"/>
      <c r="Q184" s="465"/>
      <c r="R184" s="465"/>
      <c r="S184" s="465"/>
      <c r="T184" s="465"/>
      <c r="U184" s="465"/>
      <c r="V184" s="465"/>
      <c r="W184" s="465"/>
      <c r="X184" s="465"/>
      <c r="Y184" s="465"/>
      <c r="Z184" s="465"/>
      <c r="AA184" s="465"/>
      <c r="AB184" s="465"/>
      <c r="AC184" s="465"/>
      <c r="AD184" s="465"/>
      <c r="AE184" s="465"/>
      <c r="AF184" s="465"/>
      <c r="AG184" s="465"/>
      <c r="AH184" s="465"/>
      <c r="AI184" s="465"/>
      <c r="AJ184" s="465"/>
      <c r="AK184" s="465"/>
      <c r="AL184" s="465"/>
      <c r="AM184" s="465"/>
      <c r="AN184" s="465"/>
      <c r="AO184" s="465"/>
      <c r="AP184" s="465"/>
      <c r="AQ184" s="465"/>
      <c r="AR184" s="465"/>
      <c r="AS184" s="465"/>
      <c r="AT184" s="465"/>
      <c r="AU184" s="465"/>
      <c r="AV184" s="465"/>
      <c r="AW184" s="465"/>
      <c r="AX184" s="465"/>
      <c r="AY184" s="465"/>
      <c r="AZ184" s="465"/>
      <c r="BA184" s="465"/>
      <c r="BB184" s="465"/>
      <c r="BC184" s="465"/>
    </row>
    <row r="185" spans="1:55">
      <c r="A185" s="465"/>
      <c r="B185" s="465"/>
      <c r="C185" s="465"/>
      <c r="D185" s="467"/>
      <c r="E185" s="465"/>
      <c r="F185" s="465"/>
      <c r="G185" s="465"/>
      <c r="H185" s="465"/>
      <c r="I185" s="465"/>
      <c r="J185" s="465"/>
      <c r="K185" s="465"/>
      <c r="L185" s="465"/>
      <c r="M185" s="465"/>
      <c r="N185" s="465"/>
      <c r="O185" s="465"/>
      <c r="P185" s="465"/>
      <c r="Q185" s="465"/>
      <c r="R185" s="465"/>
      <c r="S185" s="465"/>
      <c r="T185" s="465"/>
      <c r="U185" s="465"/>
      <c r="V185" s="465"/>
      <c r="W185" s="465"/>
      <c r="X185" s="465"/>
      <c r="Y185" s="465"/>
      <c r="Z185" s="465"/>
      <c r="AA185" s="465"/>
      <c r="AB185" s="465"/>
      <c r="AC185" s="465"/>
      <c r="AD185" s="465"/>
      <c r="AE185" s="465"/>
      <c r="AF185" s="465"/>
      <c r="AG185" s="465"/>
      <c r="AH185" s="465"/>
      <c r="AI185" s="465"/>
      <c r="AJ185" s="465"/>
      <c r="AK185" s="465"/>
      <c r="AL185" s="465"/>
      <c r="AM185" s="465"/>
      <c r="AN185" s="465"/>
      <c r="AO185" s="465"/>
      <c r="AP185" s="465"/>
      <c r="AQ185" s="465"/>
      <c r="AR185" s="465"/>
      <c r="AS185" s="465"/>
      <c r="AT185" s="465"/>
      <c r="AU185" s="465"/>
      <c r="AV185" s="465"/>
      <c r="AW185" s="465"/>
      <c r="AX185" s="465"/>
      <c r="AY185" s="465"/>
      <c r="AZ185" s="465"/>
      <c r="BA185" s="465"/>
      <c r="BB185" s="465"/>
      <c r="BC185" s="465"/>
    </row>
    <row r="186" spans="1:55">
      <c r="A186" s="465"/>
      <c r="B186" s="465"/>
      <c r="C186" s="465"/>
      <c r="D186" s="467"/>
      <c r="E186" s="465"/>
      <c r="F186" s="465"/>
      <c r="G186" s="465"/>
      <c r="H186" s="465"/>
      <c r="I186" s="465"/>
      <c r="J186" s="465"/>
      <c r="K186" s="465"/>
      <c r="L186" s="465"/>
      <c r="M186" s="465"/>
      <c r="N186" s="465"/>
      <c r="O186" s="465"/>
      <c r="P186" s="465"/>
      <c r="Q186" s="465"/>
      <c r="R186" s="465"/>
      <c r="S186" s="465"/>
      <c r="T186" s="465"/>
      <c r="U186" s="465"/>
      <c r="V186" s="465"/>
      <c r="W186" s="465"/>
      <c r="X186" s="465"/>
      <c r="Y186" s="465"/>
      <c r="Z186" s="465"/>
      <c r="AA186" s="465"/>
      <c r="AB186" s="465"/>
      <c r="AC186" s="465"/>
      <c r="AD186" s="465"/>
      <c r="AE186" s="465"/>
      <c r="AF186" s="465"/>
      <c r="AG186" s="465"/>
      <c r="AH186" s="465"/>
      <c r="AI186" s="465"/>
      <c r="AJ186" s="465"/>
      <c r="AK186" s="465"/>
      <c r="AL186" s="465"/>
      <c r="AM186" s="465"/>
      <c r="AN186" s="465"/>
      <c r="AO186" s="465"/>
      <c r="AP186" s="465"/>
      <c r="AQ186" s="465"/>
      <c r="AR186" s="465"/>
      <c r="AS186" s="465"/>
      <c r="AT186" s="465"/>
      <c r="AU186" s="465"/>
      <c r="AV186" s="465"/>
      <c r="AW186" s="465"/>
      <c r="AX186" s="465"/>
      <c r="AY186" s="465"/>
      <c r="AZ186" s="465"/>
      <c r="BA186" s="465"/>
      <c r="BB186" s="465"/>
      <c r="BC186" s="465"/>
    </row>
    <row r="187" spans="1:55">
      <c r="A187" s="465"/>
      <c r="B187" s="465"/>
      <c r="C187" s="465"/>
      <c r="D187" s="467"/>
      <c r="E187" s="465"/>
      <c r="F187" s="465"/>
      <c r="G187" s="465"/>
      <c r="H187" s="465"/>
      <c r="I187" s="465"/>
      <c r="J187" s="465"/>
      <c r="K187" s="465"/>
      <c r="L187" s="465"/>
      <c r="M187" s="465"/>
      <c r="N187" s="465"/>
      <c r="O187" s="465"/>
      <c r="P187" s="465"/>
      <c r="Q187" s="465"/>
      <c r="R187" s="465"/>
      <c r="S187" s="465"/>
      <c r="T187" s="465"/>
      <c r="U187" s="465"/>
      <c r="V187" s="465"/>
      <c r="W187" s="465"/>
      <c r="X187" s="465"/>
      <c r="Y187" s="465"/>
      <c r="Z187" s="465"/>
      <c r="AA187" s="465"/>
      <c r="AB187" s="465"/>
      <c r="AC187" s="465"/>
      <c r="AD187" s="465"/>
      <c r="AE187" s="465"/>
      <c r="AF187" s="465"/>
      <c r="AG187" s="465"/>
      <c r="AH187" s="465"/>
      <c r="AI187" s="465"/>
      <c r="AJ187" s="465"/>
      <c r="AK187" s="465"/>
      <c r="AL187" s="465"/>
      <c r="AM187" s="465"/>
      <c r="AN187" s="465"/>
      <c r="AO187" s="465"/>
      <c r="AP187" s="465"/>
      <c r="AQ187" s="465"/>
      <c r="AR187" s="465"/>
      <c r="AS187" s="465"/>
      <c r="AT187" s="465"/>
      <c r="AU187" s="465"/>
      <c r="AV187" s="465"/>
      <c r="AW187" s="465"/>
      <c r="AX187" s="465"/>
      <c r="AY187" s="465"/>
      <c r="AZ187" s="465"/>
      <c r="BA187" s="465"/>
      <c r="BB187" s="465"/>
      <c r="BC187" s="465"/>
    </row>
    <row r="188" spans="1:55">
      <c r="A188" s="465"/>
      <c r="B188" s="465"/>
      <c r="C188" s="465"/>
      <c r="D188" s="467"/>
      <c r="E188" s="465"/>
      <c r="F188" s="465"/>
      <c r="G188" s="465"/>
      <c r="H188" s="465"/>
      <c r="I188" s="465"/>
      <c r="J188" s="465"/>
      <c r="K188" s="465"/>
      <c r="L188" s="465"/>
      <c r="M188" s="465"/>
      <c r="N188" s="465"/>
      <c r="O188" s="465"/>
      <c r="P188" s="465"/>
      <c r="Q188" s="465"/>
      <c r="R188" s="465"/>
      <c r="S188" s="465"/>
      <c r="T188" s="465"/>
      <c r="U188" s="465"/>
      <c r="V188" s="465"/>
      <c r="W188" s="465"/>
      <c r="X188" s="465"/>
      <c r="Y188" s="465"/>
      <c r="Z188" s="465"/>
      <c r="AA188" s="465"/>
      <c r="AB188" s="465"/>
      <c r="AC188" s="465"/>
      <c r="AD188" s="465"/>
      <c r="AE188" s="465"/>
      <c r="AF188" s="465"/>
      <c r="AG188" s="465"/>
      <c r="AH188" s="465"/>
      <c r="AI188" s="465"/>
      <c r="AJ188" s="465"/>
      <c r="AK188" s="465"/>
      <c r="AL188" s="465"/>
      <c r="AM188" s="465"/>
      <c r="AN188" s="465"/>
      <c r="AO188" s="465"/>
      <c r="AP188" s="465"/>
      <c r="AQ188" s="465"/>
      <c r="AR188" s="465"/>
      <c r="AS188" s="465"/>
      <c r="AT188" s="465"/>
      <c r="AU188" s="465"/>
      <c r="AV188" s="465"/>
      <c r="AW188" s="465"/>
      <c r="AX188" s="465"/>
      <c r="AY188" s="465"/>
      <c r="AZ188" s="465"/>
      <c r="BA188" s="465"/>
      <c r="BB188" s="465"/>
      <c r="BC188" s="465"/>
    </row>
    <row r="189" spans="1:55">
      <c r="A189" s="465"/>
      <c r="B189" s="465"/>
      <c r="C189" s="465"/>
      <c r="D189" s="467"/>
      <c r="E189" s="465"/>
      <c r="F189" s="465"/>
      <c r="G189" s="465"/>
      <c r="H189" s="465"/>
      <c r="I189" s="465"/>
      <c r="J189" s="465"/>
      <c r="K189" s="465"/>
      <c r="L189" s="465"/>
      <c r="M189" s="465"/>
      <c r="N189" s="465"/>
      <c r="O189" s="465"/>
      <c r="P189" s="465"/>
      <c r="Q189" s="465"/>
      <c r="R189" s="465"/>
      <c r="S189" s="465"/>
      <c r="T189" s="465"/>
      <c r="U189" s="465"/>
      <c r="V189" s="465"/>
      <c r="W189" s="465"/>
      <c r="X189" s="465"/>
      <c r="Y189" s="465"/>
      <c r="Z189" s="465"/>
      <c r="AA189" s="465"/>
      <c r="AB189" s="465"/>
      <c r="AC189" s="465"/>
      <c r="AD189" s="465"/>
      <c r="AE189" s="465"/>
      <c r="AF189" s="465"/>
      <c r="AG189" s="465"/>
      <c r="AH189" s="465"/>
      <c r="AI189" s="465"/>
      <c r="AJ189" s="465"/>
      <c r="AK189" s="465"/>
      <c r="AL189" s="465"/>
      <c r="AM189" s="465"/>
      <c r="AN189" s="465"/>
      <c r="AO189" s="465"/>
      <c r="AP189" s="465"/>
      <c r="AQ189" s="465"/>
      <c r="AR189" s="465"/>
      <c r="AS189" s="465"/>
      <c r="AT189" s="465"/>
      <c r="AU189" s="465"/>
      <c r="AV189" s="465"/>
      <c r="AW189" s="465"/>
      <c r="AX189" s="465"/>
      <c r="AY189" s="465"/>
      <c r="AZ189" s="465"/>
      <c r="BA189" s="465"/>
      <c r="BB189" s="465"/>
      <c r="BC189" s="465"/>
    </row>
    <row r="190" spans="1:55">
      <c r="A190" s="465"/>
      <c r="B190" s="465"/>
      <c r="C190" s="465"/>
      <c r="D190" s="467"/>
      <c r="E190" s="465"/>
      <c r="F190" s="465"/>
      <c r="G190" s="465"/>
      <c r="H190" s="465"/>
      <c r="I190" s="465"/>
      <c r="J190" s="465"/>
      <c r="K190" s="465"/>
      <c r="L190" s="465"/>
      <c r="M190" s="465"/>
      <c r="N190" s="465"/>
      <c r="O190" s="465"/>
      <c r="P190" s="465"/>
      <c r="Q190" s="465"/>
      <c r="R190" s="465"/>
      <c r="S190" s="465"/>
      <c r="T190" s="465"/>
      <c r="U190" s="465"/>
      <c r="V190" s="465"/>
      <c r="W190" s="465"/>
      <c r="X190" s="465"/>
      <c r="Y190" s="465"/>
      <c r="Z190" s="465"/>
      <c r="AA190" s="465"/>
      <c r="AB190" s="465"/>
      <c r="AC190" s="465"/>
      <c r="AD190" s="465"/>
      <c r="AE190" s="465"/>
      <c r="AF190" s="465"/>
      <c r="AG190" s="465"/>
      <c r="AH190" s="465"/>
      <c r="AI190" s="465"/>
      <c r="AJ190" s="465"/>
      <c r="AK190" s="465"/>
      <c r="AL190" s="465"/>
      <c r="AM190" s="465"/>
      <c r="AN190" s="465"/>
      <c r="AO190" s="465"/>
      <c r="AP190" s="465"/>
      <c r="AQ190" s="465"/>
      <c r="AR190" s="465"/>
      <c r="AS190" s="465"/>
      <c r="AT190" s="465"/>
      <c r="AU190" s="465"/>
      <c r="AV190" s="465"/>
      <c r="AW190" s="465"/>
      <c r="AX190" s="465"/>
      <c r="AY190" s="465"/>
      <c r="AZ190" s="465"/>
      <c r="BA190" s="465"/>
      <c r="BB190" s="465"/>
      <c r="BC190" s="465"/>
    </row>
    <row r="191" spans="1:55">
      <c r="A191" s="465"/>
      <c r="B191" s="465"/>
      <c r="C191" s="465"/>
      <c r="D191" s="467"/>
      <c r="E191" s="465"/>
      <c r="F191" s="465"/>
      <c r="G191" s="465"/>
      <c r="H191" s="465"/>
      <c r="I191" s="465"/>
      <c r="J191" s="465"/>
      <c r="K191" s="465"/>
      <c r="L191" s="465"/>
      <c r="M191" s="465"/>
      <c r="N191" s="465"/>
      <c r="O191" s="465"/>
      <c r="P191" s="465"/>
      <c r="Q191" s="465"/>
      <c r="R191" s="465"/>
      <c r="S191" s="465"/>
      <c r="T191" s="465"/>
      <c r="U191" s="465"/>
      <c r="V191" s="465"/>
      <c r="W191" s="465"/>
      <c r="X191" s="465"/>
      <c r="Y191" s="465"/>
      <c r="Z191" s="465"/>
      <c r="AA191" s="465"/>
      <c r="AB191" s="465"/>
      <c r="AC191" s="465"/>
      <c r="AD191" s="465"/>
      <c r="AE191" s="465"/>
      <c r="AF191" s="465"/>
      <c r="AG191" s="465"/>
      <c r="AH191" s="465"/>
      <c r="AI191" s="465"/>
      <c r="AJ191" s="465"/>
      <c r="AK191" s="465"/>
      <c r="AL191" s="465"/>
      <c r="AM191" s="465"/>
      <c r="AN191" s="465"/>
      <c r="AO191" s="465"/>
      <c r="AP191" s="465"/>
      <c r="AQ191" s="465"/>
      <c r="AR191" s="465"/>
      <c r="AS191" s="465"/>
      <c r="AT191" s="465"/>
      <c r="AU191" s="465"/>
      <c r="AV191" s="465"/>
      <c r="AW191" s="465"/>
      <c r="AX191" s="465"/>
      <c r="AY191" s="465"/>
      <c r="AZ191" s="465"/>
      <c r="BA191" s="465"/>
      <c r="BB191" s="465"/>
      <c r="BC191" s="465"/>
    </row>
    <row r="192" spans="1:55">
      <c r="A192" s="465"/>
      <c r="B192" s="465"/>
      <c r="C192" s="465"/>
      <c r="D192" s="467"/>
      <c r="E192" s="465"/>
      <c r="F192" s="465"/>
      <c r="G192" s="465"/>
      <c r="H192" s="465"/>
      <c r="I192" s="465"/>
      <c r="J192" s="465"/>
      <c r="K192" s="465"/>
      <c r="L192" s="465"/>
      <c r="M192" s="465"/>
      <c r="N192" s="465"/>
      <c r="O192" s="465"/>
      <c r="P192" s="465"/>
      <c r="Q192" s="465"/>
      <c r="R192" s="465"/>
      <c r="S192" s="465"/>
      <c r="T192" s="465"/>
      <c r="U192" s="465"/>
      <c r="V192" s="465"/>
      <c r="W192" s="465"/>
      <c r="X192" s="465"/>
      <c r="Y192" s="465"/>
      <c r="Z192" s="465"/>
      <c r="AA192" s="465"/>
      <c r="AB192" s="465"/>
      <c r="AC192" s="465"/>
      <c r="AD192" s="465"/>
      <c r="AE192" s="465"/>
      <c r="AF192" s="465"/>
      <c r="AG192" s="465"/>
      <c r="AH192" s="465"/>
      <c r="AI192" s="465"/>
      <c r="AJ192" s="465"/>
      <c r="AK192" s="465"/>
      <c r="AL192" s="465"/>
      <c r="AM192" s="465"/>
      <c r="AN192" s="465"/>
      <c r="AO192" s="465"/>
      <c r="AP192" s="465"/>
      <c r="AQ192" s="465"/>
      <c r="AR192" s="465"/>
      <c r="AS192" s="465"/>
      <c r="AT192" s="465"/>
      <c r="AU192" s="465"/>
      <c r="AV192" s="465"/>
      <c r="AW192" s="465"/>
      <c r="AX192" s="465"/>
      <c r="AY192" s="465"/>
      <c r="AZ192" s="465"/>
      <c r="BA192" s="465"/>
      <c r="BB192" s="465"/>
      <c r="BC192" s="465"/>
    </row>
    <row r="193" spans="1:55">
      <c r="A193" s="465"/>
      <c r="B193" s="465"/>
      <c r="C193" s="465"/>
      <c r="D193" s="467"/>
      <c r="E193" s="465"/>
      <c r="F193" s="465"/>
      <c r="G193" s="465"/>
      <c r="H193" s="465"/>
      <c r="I193" s="465"/>
      <c r="J193" s="465"/>
      <c r="K193" s="465"/>
      <c r="L193" s="465"/>
      <c r="M193" s="465"/>
      <c r="N193" s="465"/>
      <c r="O193" s="465"/>
      <c r="P193" s="465"/>
      <c r="Q193" s="465"/>
      <c r="R193" s="465"/>
      <c r="S193" s="465"/>
      <c r="T193" s="465"/>
      <c r="U193" s="465"/>
      <c r="V193" s="465"/>
      <c r="W193" s="465"/>
      <c r="X193" s="465"/>
      <c r="Y193" s="465"/>
      <c r="Z193" s="465"/>
      <c r="AA193" s="465"/>
      <c r="AB193" s="465"/>
      <c r="AC193" s="465"/>
      <c r="AD193" s="465"/>
      <c r="AE193" s="465"/>
      <c r="AF193" s="465"/>
      <c r="AG193" s="465"/>
      <c r="AH193" s="465"/>
      <c r="AI193" s="465"/>
      <c r="AJ193" s="465"/>
      <c r="AK193" s="465"/>
      <c r="AL193" s="465"/>
      <c r="AM193" s="465"/>
      <c r="AN193" s="465"/>
      <c r="AO193" s="465"/>
      <c r="AP193" s="465"/>
      <c r="AQ193" s="465"/>
      <c r="AR193" s="465"/>
      <c r="AS193" s="465"/>
      <c r="AT193" s="465"/>
      <c r="AU193" s="465"/>
      <c r="AV193" s="465"/>
      <c r="AW193" s="465"/>
      <c r="AX193" s="465"/>
      <c r="AY193" s="465"/>
      <c r="AZ193" s="465"/>
      <c r="BA193" s="465"/>
      <c r="BB193" s="465"/>
      <c r="BC193" s="465"/>
    </row>
    <row r="194" spans="1:55">
      <c r="A194" s="465"/>
      <c r="B194" s="465"/>
      <c r="C194" s="465"/>
      <c r="D194" s="467"/>
      <c r="E194" s="465"/>
      <c r="F194" s="465"/>
      <c r="G194" s="465"/>
      <c r="H194" s="465"/>
      <c r="I194" s="465"/>
      <c r="J194" s="465"/>
      <c r="K194" s="465"/>
      <c r="L194" s="465"/>
      <c r="M194" s="465"/>
      <c r="N194" s="465"/>
      <c r="O194" s="465"/>
      <c r="P194" s="465"/>
      <c r="Q194" s="465"/>
      <c r="R194" s="465"/>
      <c r="S194" s="465"/>
      <c r="T194" s="465"/>
      <c r="U194" s="465"/>
      <c r="V194" s="465"/>
      <c r="W194" s="465"/>
      <c r="X194" s="465"/>
      <c r="Y194" s="465"/>
      <c r="Z194" s="465"/>
      <c r="AA194" s="465"/>
      <c r="AB194" s="465"/>
      <c r="AC194" s="465"/>
      <c r="AD194" s="465"/>
      <c r="AE194" s="465"/>
      <c r="AF194" s="465"/>
      <c r="AG194" s="465"/>
      <c r="AH194" s="465"/>
      <c r="AI194" s="465"/>
      <c r="AJ194" s="465"/>
      <c r="AK194" s="465"/>
      <c r="AL194" s="465"/>
      <c r="AM194" s="465"/>
      <c r="AN194" s="465"/>
      <c r="AO194" s="465"/>
      <c r="AP194" s="465"/>
      <c r="AQ194" s="465"/>
      <c r="AR194" s="465"/>
      <c r="AS194" s="465"/>
      <c r="AT194" s="465"/>
      <c r="AU194" s="465"/>
      <c r="AV194" s="465"/>
      <c r="AW194" s="465"/>
      <c r="AX194" s="465"/>
      <c r="AY194" s="465"/>
      <c r="AZ194" s="465"/>
      <c r="BA194" s="465"/>
      <c r="BB194" s="465"/>
      <c r="BC194" s="465"/>
    </row>
    <row r="195" spans="1:55">
      <c r="A195" s="465"/>
      <c r="B195" s="465"/>
      <c r="C195" s="465"/>
      <c r="D195" s="467"/>
      <c r="E195" s="465"/>
      <c r="F195" s="465"/>
      <c r="G195" s="465"/>
      <c r="H195" s="465"/>
      <c r="I195" s="465"/>
      <c r="J195" s="465"/>
      <c r="K195" s="465"/>
      <c r="L195" s="465"/>
      <c r="M195" s="465"/>
      <c r="N195" s="465"/>
      <c r="O195" s="465"/>
      <c r="P195" s="465"/>
      <c r="Q195" s="465"/>
      <c r="R195" s="465"/>
      <c r="S195" s="465"/>
      <c r="T195" s="465"/>
      <c r="U195" s="465"/>
      <c r="V195" s="465"/>
      <c r="W195" s="465"/>
      <c r="X195" s="465"/>
      <c r="Y195" s="465"/>
      <c r="Z195" s="465"/>
      <c r="AA195" s="465"/>
      <c r="AB195" s="465"/>
      <c r="AC195" s="465"/>
      <c r="AD195" s="465"/>
      <c r="AE195" s="465"/>
      <c r="AF195" s="465"/>
      <c r="AG195" s="465"/>
      <c r="AH195" s="465"/>
      <c r="AI195" s="465"/>
      <c r="AJ195" s="465"/>
      <c r="AK195" s="465"/>
      <c r="AL195" s="465"/>
      <c r="AM195" s="465"/>
      <c r="AN195" s="465"/>
      <c r="AO195" s="465"/>
      <c r="AP195" s="465"/>
      <c r="AQ195" s="465"/>
      <c r="AR195" s="465"/>
      <c r="AS195" s="465"/>
      <c r="AT195" s="465"/>
      <c r="AU195" s="465"/>
      <c r="AV195" s="465"/>
      <c r="AW195" s="465"/>
      <c r="AX195" s="465"/>
      <c r="AY195" s="465"/>
      <c r="AZ195" s="465"/>
      <c r="BA195" s="465"/>
      <c r="BB195" s="465"/>
      <c r="BC195" s="465"/>
    </row>
    <row r="196" spans="1:55">
      <c r="A196" s="465"/>
      <c r="B196" s="465"/>
      <c r="C196" s="465"/>
      <c r="D196" s="467"/>
      <c r="E196" s="465"/>
      <c r="F196" s="465"/>
      <c r="G196" s="465"/>
      <c r="H196" s="465"/>
      <c r="I196" s="465"/>
      <c r="J196" s="465"/>
      <c r="K196" s="465"/>
      <c r="L196" s="465"/>
      <c r="M196" s="465"/>
      <c r="N196" s="465"/>
      <c r="O196" s="465"/>
      <c r="P196" s="465"/>
      <c r="Q196" s="465"/>
      <c r="R196" s="465"/>
      <c r="S196" s="465"/>
      <c r="T196" s="465"/>
      <c r="U196" s="465"/>
      <c r="V196" s="465"/>
      <c r="W196" s="465"/>
      <c r="X196" s="465"/>
      <c r="Y196" s="465"/>
      <c r="Z196" s="465"/>
      <c r="AA196" s="465"/>
      <c r="AB196" s="465"/>
      <c r="AC196" s="465"/>
      <c r="AD196" s="465"/>
      <c r="AE196" s="465"/>
      <c r="AF196" s="465"/>
      <c r="AG196" s="465"/>
      <c r="AH196" s="465"/>
      <c r="AI196" s="465"/>
      <c r="AJ196" s="465"/>
      <c r="AK196" s="465"/>
      <c r="AL196" s="465"/>
      <c r="AM196" s="465"/>
      <c r="AN196" s="465"/>
      <c r="AO196" s="465"/>
      <c r="AP196" s="465"/>
      <c r="AQ196" s="465"/>
      <c r="AR196" s="465"/>
      <c r="AS196" s="465"/>
      <c r="AT196" s="465"/>
      <c r="AU196" s="465"/>
      <c r="AV196" s="465"/>
      <c r="AW196" s="465"/>
      <c r="AX196" s="465"/>
      <c r="AY196" s="465"/>
      <c r="AZ196" s="465"/>
      <c r="BA196" s="465"/>
      <c r="BB196" s="465"/>
      <c r="BC196" s="465"/>
    </row>
    <row r="197" spans="1:55">
      <c r="A197" s="465"/>
      <c r="B197" s="465"/>
      <c r="C197" s="465"/>
      <c r="D197" s="467"/>
      <c r="E197" s="465"/>
      <c r="F197" s="465"/>
      <c r="G197" s="465"/>
      <c r="H197" s="465"/>
      <c r="I197" s="465"/>
      <c r="J197" s="465"/>
      <c r="K197" s="465"/>
      <c r="L197" s="465"/>
      <c r="M197" s="465"/>
      <c r="N197" s="465"/>
      <c r="O197" s="465"/>
      <c r="P197" s="465"/>
      <c r="Q197" s="465"/>
      <c r="R197" s="465"/>
      <c r="S197" s="465"/>
      <c r="T197" s="465"/>
      <c r="U197" s="465"/>
      <c r="V197" s="465"/>
      <c r="W197" s="465"/>
      <c r="X197" s="465"/>
      <c r="Y197" s="465"/>
      <c r="Z197" s="465"/>
      <c r="AA197" s="465"/>
      <c r="AB197" s="465"/>
      <c r="AC197" s="465"/>
      <c r="AD197" s="465"/>
      <c r="AE197" s="465"/>
      <c r="AF197" s="465"/>
      <c r="AG197" s="465"/>
      <c r="AH197" s="465"/>
      <c r="AI197" s="465"/>
      <c r="AJ197" s="465"/>
      <c r="AK197" s="465"/>
      <c r="AL197" s="465"/>
      <c r="AM197" s="465"/>
      <c r="AN197" s="465"/>
      <c r="AO197" s="465"/>
      <c r="AP197" s="465"/>
      <c r="AQ197" s="465"/>
      <c r="AR197" s="465"/>
      <c r="AS197" s="465"/>
      <c r="AT197" s="465"/>
      <c r="AU197" s="465"/>
      <c r="AV197" s="465"/>
      <c r="AW197" s="465"/>
      <c r="AX197" s="465"/>
      <c r="AY197" s="465"/>
      <c r="AZ197" s="465"/>
      <c r="BA197" s="465"/>
      <c r="BB197" s="465"/>
      <c r="BC197" s="465"/>
    </row>
    <row r="198" spans="1:55">
      <c r="A198" s="465"/>
      <c r="B198" s="465"/>
      <c r="C198" s="465"/>
      <c r="D198" s="467"/>
      <c r="E198" s="465"/>
      <c r="F198" s="465"/>
      <c r="G198" s="465"/>
      <c r="H198" s="465"/>
      <c r="I198" s="465"/>
      <c r="J198" s="465"/>
      <c r="K198" s="465"/>
      <c r="L198" s="465"/>
      <c r="M198" s="465"/>
      <c r="N198" s="465"/>
      <c r="O198" s="465"/>
      <c r="P198" s="465"/>
      <c r="Q198" s="465"/>
      <c r="R198" s="465"/>
      <c r="S198" s="465"/>
      <c r="T198" s="465"/>
      <c r="U198" s="465"/>
      <c r="V198" s="465"/>
      <c r="W198" s="465"/>
      <c r="X198" s="465"/>
      <c r="Y198" s="465"/>
      <c r="Z198" s="465"/>
      <c r="AA198" s="465"/>
      <c r="AB198" s="465"/>
      <c r="AC198" s="465"/>
      <c r="AD198" s="465"/>
      <c r="AE198" s="465"/>
      <c r="AF198" s="465"/>
      <c r="AG198" s="465"/>
      <c r="AH198" s="465"/>
      <c r="AI198" s="465"/>
      <c r="AJ198" s="465"/>
      <c r="AK198" s="465"/>
      <c r="AL198" s="465"/>
      <c r="AM198" s="465"/>
      <c r="AN198" s="465"/>
      <c r="AO198" s="465"/>
      <c r="AP198" s="465"/>
      <c r="AQ198" s="465"/>
      <c r="AR198" s="465"/>
      <c r="AS198" s="465"/>
      <c r="AT198" s="465"/>
      <c r="AU198" s="465"/>
      <c r="AV198" s="465"/>
      <c r="AW198" s="465"/>
      <c r="AX198" s="465"/>
      <c r="AY198" s="465"/>
      <c r="AZ198" s="465"/>
      <c r="BA198" s="465"/>
      <c r="BB198" s="465"/>
      <c r="BC198" s="465"/>
    </row>
    <row r="199" spans="1:55">
      <c r="A199" s="465"/>
      <c r="B199" s="465"/>
      <c r="C199" s="465"/>
      <c r="D199" s="467"/>
      <c r="E199" s="465"/>
      <c r="F199" s="465"/>
      <c r="G199" s="465"/>
      <c r="H199" s="465"/>
      <c r="I199" s="465"/>
      <c r="J199" s="465"/>
      <c r="K199" s="465"/>
      <c r="L199" s="465"/>
      <c r="M199" s="465"/>
      <c r="N199" s="465"/>
      <c r="O199" s="465"/>
      <c r="P199" s="465"/>
      <c r="Q199" s="465"/>
      <c r="R199" s="465"/>
      <c r="S199" s="465"/>
      <c r="T199" s="465"/>
      <c r="U199" s="465"/>
      <c r="V199" s="465"/>
      <c r="W199" s="465"/>
      <c r="X199" s="465"/>
      <c r="Y199" s="465"/>
      <c r="Z199" s="465"/>
      <c r="AA199" s="465"/>
      <c r="AB199" s="465"/>
      <c r="AC199" s="465"/>
      <c r="AD199" s="465"/>
      <c r="AE199" s="465"/>
      <c r="AF199" s="465"/>
      <c r="AG199" s="465"/>
      <c r="AH199" s="465"/>
      <c r="AI199" s="465"/>
      <c r="AJ199" s="465"/>
      <c r="AK199" s="465"/>
      <c r="AL199" s="465"/>
      <c r="AM199" s="465"/>
      <c r="AN199" s="465"/>
      <c r="AO199" s="465"/>
      <c r="AP199" s="465"/>
      <c r="AQ199" s="465"/>
      <c r="AR199" s="465"/>
      <c r="AS199" s="465"/>
      <c r="AT199" s="465"/>
      <c r="AU199" s="465"/>
      <c r="AV199" s="465"/>
      <c r="AW199" s="465"/>
      <c r="AX199" s="465"/>
      <c r="AY199" s="465"/>
      <c r="AZ199" s="465"/>
      <c r="BA199" s="465"/>
      <c r="BB199" s="465"/>
      <c r="BC199" s="465"/>
    </row>
    <row r="200" spans="1:55">
      <c r="A200" s="465"/>
      <c r="B200" s="465"/>
      <c r="C200" s="465"/>
      <c r="D200" s="467"/>
      <c r="E200" s="465"/>
      <c r="F200" s="465"/>
      <c r="G200" s="465"/>
      <c r="H200" s="465"/>
      <c r="I200" s="465"/>
      <c r="J200" s="465"/>
      <c r="K200" s="465"/>
      <c r="L200" s="465"/>
      <c r="M200" s="465"/>
      <c r="N200" s="465"/>
      <c r="O200" s="465"/>
      <c r="P200" s="465"/>
      <c r="Q200" s="465"/>
      <c r="R200" s="465"/>
      <c r="S200" s="465"/>
      <c r="T200" s="465"/>
      <c r="U200" s="465"/>
      <c r="V200" s="465"/>
      <c r="W200" s="465"/>
      <c r="X200" s="465"/>
      <c r="Y200" s="465"/>
      <c r="Z200" s="465"/>
      <c r="AA200" s="465"/>
      <c r="AB200" s="465"/>
      <c r="AC200" s="465"/>
      <c r="AD200" s="465"/>
      <c r="AE200" s="465"/>
      <c r="AF200" s="465"/>
      <c r="AG200" s="465"/>
      <c r="AH200" s="465"/>
      <c r="AI200" s="465"/>
      <c r="AJ200" s="465"/>
      <c r="AK200" s="465"/>
      <c r="AL200" s="465"/>
      <c r="AM200" s="465"/>
      <c r="AN200" s="465"/>
      <c r="AO200" s="465"/>
      <c r="AP200" s="465"/>
      <c r="AQ200" s="465"/>
      <c r="AR200" s="465"/>
      <c r="AS200" s="465"/>
      <c r="AT200" s="465"/>
      <c r="AU200" s="465"/>
      <c r="AV200" s="465"/>
      <c r="AW200" s="465"/>
      <c r="AX200" s="465"/>
      <c r="AY200" s="465"/>
      <c r="AZ200" s="465"/>
      <c r="BA200" s="465"/>
      <c r="BB200" s="465"/>
      <c r="BC200" s="465"/>
    </row>
    <row r="201" spans="1:55">
      <c r="A201" s="465"/>
      <c r="B201" s="465"/>
      <c r="C201" s="465"/>
      <c r="D201" s="467"/>
      <c r="E201" s="465"/>
      <c r="F201" s="465"/>
      <c r="G201" s="465"/>
      <c r="H201" s="465"/>
      <c r="I201" s="465"/>
      <c r="J201" s="465"/>
      <c r="K201" s="465"/>
      <c r="L201" s="465"/>
      <c r="M201" s="465"/>
      <c r="N201" s="465"/>
      <c r="O201" s="465"/>
      <c r="P201" s="465"/>
      <c r="Q201" s="465"/>
      <c r="R201" s="465"/>
      <c r="S201" s="465"/>
      <c r="T201" s="465"/>
      <c r="U201" s="465"/>
      <c r="V201" s="465"/>
      <c r="W201" s="465"/>
      <c r="X201" s="465"/>
      <c r="Y201" s="465"/>
      <c r="Z201" s="465"/>
      <c r="AA201" s="465"/>
      <c r="AB201" s="465"/>
      <c r="AC201" s="465"/>
      <c r="AD201" s="465"/>
      <c r="AE201" s="465"/>
      <c r="AF201" s="465"/>
      <c r="AG201" s="465"/>
      <c r="AH201" s="465"/>
      <c r="AI201" s="465"/>
      <c r="AJ201" s="465"/>
      <c r="AK201" s="465"/>
      <c r="AL201" s="465"/>
      <c r="AM201" s="465"/>
      <c r="AN201" s="465"/>
      <c r="AO201" s="465"/>
      <c r="AP201" s="465"/>
      <c r="AQ201" s="465"/>
      <c r="AR201" s="465"/>
      <c r="AS201" s="465"/>
      <c r="AT201" s="465"/>
      <c r="AU201" s="465"/>
      <c r="AV201" s="465"/>
      <c r="AW201" s="465"/>
      <c r="AX201" s="465"/>
      <c r="AY201" s="465"/>
      <c r="AZ201" s="465"/>
      <c r="BA201" s="465"/>
      <c r="BB201" s="465"/>
      <c r="BC201" s="465"/>
    </row>
    <row r="202" spans="1:55">
      <c r="A202" s="465"/>
      <c r="B202" s="465"/>
      <c r="C202" s="465"/>
      <c r="D202" s="467"/>
      <c r="E202" s="465"/>
      <c r="F202" s="465"/>
      <c r="G202" s="465"/>
      <c r="H202" s="465"/>
      <c r="I202" s="465"/>
      <c r="J202" s="465"/>
      <c r="K202" s="465"/>
      <c r="L202" s="465"/>
      <c r="M202" s="465"/>
      <c r="N202" s="465"/>
      <c r="O202" s="465"/>
      <c r="P202" s="465"/>
      <c r="Q202" s="465"/>
      <c r="R202" s="465"/>
      <c r="S202" s="465"/>
      <c r="T202" s="465"/>
      <c r="U202" s="465"/>
      <c r="V202" s="465"/>
      <c r="W202" s="465"/>
      <c r="X202" s="465"/>
      <c r="Y202" s="465"/>
      <c r="Z202" s="465"/>
      <c r="AA202" s="465"/>
      <c r="AB202" s="465"/>
      <c r="AC202" s="465"/>
      <c r="AD202" s="465"/>
      <c r="AE202" s="465"/>
      <c r="AF202" s="465"/>
      <c r="AG202" s="465"/>
      <c r="AH202" s="465"/>
      <c r="AI202" s="465"/>
      <c r="AJ202" s="465"/>
      <c r="AK202" s="465"/>
      <c r="AL202" s="465"/>
      <c r="AM202" s="465"/>
      <c r="AN202" s="465"/>
      <c r="AO202" s="465"/>
      <c r="AP202" s="465"/>
      <c r="AQ202" s="465"/>
      <c r="AR202" s="465"/>
      <c r="AS202" s="465"/>
      <c r="AT202" s="465"/>
      <c r="AU202" s="465"/>
      <c r="AV202" s="465"/>
      <c r="AW202" s="465"/>
      <c r="AX202" s="465"/>
      <c r="AY202" s="465"/>
      <c r="AZ202" s="465"/>
      <c r="BA202" s="465"/>
      <c r="BB202" s="465"/>
      <c r="BC202" s="465"/>
    </row>
    <row r="203" spans="1:55">
      <c r="A203" s="465"/>
      <c r="B203" s="465"/>
      <c r="C203" s="465"/>
      <c r="D203" s="467"/>
      <c r="E203" s="465"/>
      <c r="F203" s="465"/>
      <c r="G203" s="465"/>
      <c r="H203" s="465"/>
      <c r="I203" s="465"/>
      <c r="J203" s="465"/>
      <c r="K203" s="465"/>
      <c r="L203" s="465"/>
      <c r="M203" s="465"/>
      <c r="N203" s="465"/>
      <c r="O203" s="465"/>
      <c r="P203" s="465"/>
      <c r="Q203" s="465"/>
      <c r="R203" s="465"/>
      <c r="S203" s="465"/>
      <c r="T203" s="465"/>
      <c r="U203" s="465"/>
      <c r="V203" s="465"/>
      <c r="W203" s="465"/>
      <c r="X203" s="465"/>
      <c r="Y203" s="465"/>
      <c r="Z203" s="465"/>
      <c r="AA203" s="465"/>
      <c r="AB203" s="465"/>
      <c r="AC203" s="465"/>
      <c r="AD203" s="465"/>
      <c r="AE203" s="465"/>
      <c r="AF203" s="465"/>
      <c r="AG203" s="465"/>
      <c r="AH203" s="465"/>
      <c r="AI203" s="465"/>
      <c r="AJ203" s="465"/>
      <c r="AK203" s="465"/>
      <c r="AL203" s="465"/>
      <c r="AM203" s="465"/>
      <c r="AN203" s="465"/>
      <c r="AO203" s="465"/>
      <c r="AP203" s="465"/>
      <c r="AQ203" s="465"/>
      <c r="AR203" s="465"/>
      <c r="AS203" s="465"/>
      <c r="AT203" s="465"/>
      <c r="AU203" s="465"/>
      <c r="AV203" s="465"/>
      <c r="AW203" s="465"/>
      <c r="AX203" s="465"/>
      <c r="AY203" s="465"/>
      <c r="AZ203" s="465"/>
      <c r="BA203" s="465"/>
      <c r="BB203" s="465"/>
      <c r="BC203" s="465"/>
    </row>
    <row r="204" spans="1:55">
      <c r="A204" s="465"/>
      <c r="B204" s="465"/>
      <c r="C204" s="465"/>
      <c r="D204" s="467"/>
      <c r="E204" s="465"/>
      <c r="F204" s="465"/>
      <c r="G204" s="465"/>
      <c r="H204" s="465"/>
      <c r="I204" s="465"/>
      <c r="J204" s="465"/>
      <c r="K204" s="465"/>
      <c r="L204" s="465"/>
      <c r="M204" s="465"/>
      <c r="N204" s="465"/>
      <c r="O204" s="465"/>
      <c r="P204" s="465"/>
      <c r="Q204" s="465"/>
      <c r="R204" s="465"/>
      <c r="S204" s="465"/>
      <c r="T204" s="465"/>
      <c r="U204" s="465"/>
      <c r="V204" s="465"/>
      <c r="W204" s="465"/>
      <c r="X204" s="465"/>
      <c r="Y204" s="465"/>
      <c r="Z204" s="465"/>
      <c r="AA204" s="465"/>
      <c r="AB204" s="465"/>
      <c r="AC204" s="465"/>
      <c r="AD204" s="465"/>
      <c r="AE204" s="465"/>
      <c r="AF204" s="465"/>
      <c r="AG204" s="465"/>
      <c r="AH204" s="465"/>
      <c r="AI204" s="465"/>
      <c r="AJ204" s="465"/>
      <c r="AK204" s="465"/>
      <c r="AL204" s="465"/>
      <c r="AM204" s="465"/>
      <c r="AN204" s="465"/>
      <c r="AO204" s="465"/>
      <c r="AP204" s="465"/>
      <c r="AQ204" s="465"/>
      <c r="AR204" s="465"/>
      <c r="AS204" s="465"/>
      <c r="AT204" s="465"/>
      <c r="AU204" s="465"/>
      <c r="AV204" s="465"/>
      <c r="AW204" s="465"/>
      <c r="AX204" s="465"/>
      <c r="AY204" s="465"/>
      <c r="AZ204" s="465"/>
      <c r="BA204" s="465"/>
      <c r="BB204" s="465"/>
      <c r="BC204" s="465"/>
    </row>
    <row r="205" spans="1:55">
      <c r="A205" s="465"/>
      <c r="B205" s="465"/>
      <c r="C205" s="465"/>
      <c r="D205" s="467"/>
      <c r="E205" s="465"/>
      <c r="F205" s="465"/>
      <c r="G205" s="465"/>
      <c r="H205" s="465"/>
      <c r="I205" s="465"/>
      <c r="J205" s="465"/>
      <c r="K205" s="465"/>
      <c r="L205" s="465"/>
      <c r="M205" s="465"/>
      <c r="N205" s="465"/>
      <c r="O205" s="465"/>
      <c r="P205" s="465"/>
      <c r="Q205" s="465"/>
      <c r="R205" s="465"/>
      <c r="S205" s="465"/>
      <c r="T205" s="465"/>
      <c r="U205" s="465"/>
      <c r="V205" s="465"/>
      <c r="W205" s="465"/>
      <c r="X205" s="465"/>
      <c r="Y205" s="465"/>
      <c r="Z205" s="465"/>
      <c r="AA205" s="465"/>
      <c r="AB205" s="465"/>
      <c r="AC205" s="465"/>
      <c r="AD205" s="465"/>
      <c r="AE205" s="465"/>
      <c r="AF205" s="465"/>
      <c r="AG205" s="465"/>
      <c r="AH205" s="465"/>
      <c r="AI205" s="465"/>
      <c r="AJ205" s="465"/>
      <c r="AK205" s="465"/>
      <c r="AL205" s="465"/>
      <c r="AM205" s="465"/>
      <c r="AN205" s="465"/>
      <c r="AO205" s="465"/>
      <c r="AP205" s="465"/>
      <c r="AQ205" s="465"/>
      <c r="AR205" s="465"/>
      <c r="AS205" s="465"/>
      <c r="AT205" s="465"/>
      <c r="AU205" s="465"/>
      <c r="AV205" s="465"/>
      <c r="AW205" s="465"/>
      <c r="AX205" s="465"/>
      <c r="AY205" s="465"/>
      <c r="AZ205" s="465"/>
      <c r="BA205" s="465"/>
      <c r="BB205" s="465"/>
      <c r="BC205" s="465"/>
    </row>
    <row r="206" spans="1:55">
      <c r="A206" s="465"/>
      <c r="B206" s="465"/>
      <c r="C206" s="465"/>
      <c r="D206" s="467"/>
      <c r="E206" s="465"/>
      <c r="F206" s="465"/>
      <c r="G206" s="465"/>
      <c r="H206" s="465"/>
      <c r="I206" s="465"/>
      <c r="J206" s="465"/>
      <c r="K206" s="465"/>
      <c r="L206" s="465"/>
      <c r="M206" s="465"/>
      <c r="N206" s="465"/>
      <c r="O206" s="465"/>
      <c r="P206" s="465"/>
      <c r="Q206" s="465"/>
      <c r="R206" s="465"/>
      <c r="S206" s="465"/>
      <c r="T206" s="465"/>
      <c r="U206" s="465"/>
      <c r="V206" s="465"/>
      <c r="W206" s="465"/>
      <c r="X206" s="465"/>
      <c r="Y206" s="465"/>
      <c r="Z206" s="465"/>
      <c r="AA206" s="465"/>
      <c r="AB206" s="465"/>
      <c r="AC206" s="465"/>
      <c r="AD206" s="465"/>
      <c r="AE206" s="465"/>
      <c r="AF206" s="465"/>
      <c r="AG206" s="465"/>
      <c r="AH206" s="465"/>
      <c r="AI206" s="465"/>
      <c r="AJ206" s="465"/>
      <c r="AK206" s="465"/>
      <c r="AL206" s="465"/>
      <c r="AM206" s="465"/>
      <c r="AN206" s="465"/>
      <c r="AO206" s="465"/>
      <c r="AP206" s="465"/>
      <c r="AQ206" s="465"/>
      <c r="AR206" s="465"/>
      <c r="AS206" s="465"/>
      <c r="AT206" s="465"/>
      <c r="AU206" s="465"/>
      <c r="AV206" s="465"/>
      <c r="AW206" s="465"/>
      <c r="AX206" s="465"/>
      <c r="AY206" s="465"/>
      <c r="AZ206" s="465"/>
      <c r="BA206" s="465"/>
      <c r="BB206" s="465"/>
      <c r="BC206" s="465"/>
    </row>
    <row r="207" spans="1:55">
      <c r="A207" s="465"/>
      <c r="B207" s="465"/>
      <c r="C207" s="465"/>
      <c r="D207" s="467"/>
      <c r="E207" s="465"/>
      <c r="F207" s="465"/>
      <c r="G207" s="465"/>
      <c r="H207" s="465"/>
      <c r="I207" s="465"/>
      <c r="J207" s="465"/>
      <c r="K207" s="465"/>
      <c r="L207" s="465"/>
      <c r="M207" s="465"/>
      <c r="N207" s="465"/>
      <c r="O207" s="465"/>
      <c r="P207" s="465"/>
      <c r="Q207" s="465"/>
      <c r="R207" s="465"/>
      <c r="S207" s="465"/>
      <c r="T207" s="465"/>
      <c r="U207" s="465"/>
      <c r="V207" s="465"/>
      <c r="W207" s="465"/>
      <c r="X207" s="465"/>
      <c r="Y207" s="465"/>
      <c r="Z207" s="465"/>
      <c r="AA207" s="465"/>
      <c r="AB207" s="465"/>
      <c r="AC207" s="465"/>
      <c r="AD207" s="465"/>
      <c r="AE207" s="465"/>
      <c r="AF207" s="465"/>
      <c r="AG207" s="465"/>
      <c r="AH207" s="465"/>
      <c r="AI207" s="465"/>
      <c r="AJ207" s="465"/>
      <c r="AK207" s="465"/>
      <c r="AL207" s="465"/>
      <c r="AM207" s="465"/>
      <c r="AN207" s="465"/>
      <c r="AO207" s="465"/>
      <c r="AP207" s="465"/>
      <c r="AQ207" s="465"/>
      <c r="AR207" s="465"/>
      <c r="AS207" s="465"/>
      <c r="AT207" s="465"/>
      <c r="AU207" s="465"/>
      <c r="AV207" s="465"/>
      <c r="AW207" s="465"/>
      <c r="AX207" s="465"/>
      <c r="AY207" s="465"/>
      <c r="AZ207" s="465"/>
      <c r="BA207" s="465"/>
      <c r="BB207" s="465"/>
      <c r="BC207" s="465"/>
    </row>
    <row r="208" spans="1:55">
      <c r="A208" s="465"/>
      <c r="B208" s="465"/>
      <c r="C208" s="465"/>
      <c r="D208" s="467"/>
      <c r="E208" s="465"/>
      <c r="F208" s="465"/>
      <c r="G208" s="465"/>
      <c r="H208" s="465"/>
      <c r="I208" s="465"/>
      <c r="J208" s="465"/>
      <c r="K208" s="465"/>
      <c r="L208" s="465"/>
      <c r="M208" s="465"/>
      <c r="N208" s="465"/>
      <c r="O208" s="465"/>
      <c r="P208" s="465"/>
      <c r="Q208" s="465"/>
      <c r="R208" s="465"/>
      <c r="S208" s="465"/>
      <c r="T208" s="465"/>
      <c r="U208" s="465"/>
      <c r="V208" s="465"/>
      <c r="W208" s="465"/>
      <c r="X208" s="465"/>
      <c r="Y208" s="465"/>
      <c r="Z208" s="465"/>
      <c r="AA208" s="465"/>
      <c r="AB208" s="465"/>
      <c r="AC208" s="465"/>
      <c r="AD208" s="465"/>
      <c r="AE208" s="465"/>
      <c r="AF208" s="465"/>
      <c r="AG208" s="465"/>
      <c r="AH208" s="465"/>
      <c r="AI208" s="465"/>
      <c r="AJ208" s="465"/>
      <c r="AK208" s="465"/>
      <c r="AL208" s="465"/>
      <c r="AM208" s="465"/>
      <c r="AN208" s="465"/>
      <c r="AO208" s="465"/>
      <c r="AP208" s="465"/>
      <c r="AQ208" s="465"/>
      <c r="AR208" s="465"/>
      <c r="AS208" s="465"/>
      <c r="AT208" s="465"/>
      <c r="AU208" s="465"/>
      <c r="AV208" s="465"/>
      <c r="AW208" s="465"/>
      <c r="AX208" s="465"/>
      <c r="AY208" s="465"/>
      <c r="AZ208" s="465"/>
      <c r="BA208" s="465"/>
      <c r="BB208" s="465"/>
      <c r="BC208" s="465"/>
    </row>
    <row r="209" spans="1:55">
      <c r="A209" s="465"/>
      <c r="B209" s="465"/>
      <c r="C209" s="465"/>
      <c r="D209" s="467"/>
      <c r="E209" s="465"/>
      <c r="F209" s="465"/>
      <c r="G209" s="465"/>
      <c r="H209" s="465"/>
      <c r="I209" s="465"/>
      <c r="J209" s="465"/>
      <c r="K209" s="465"/>
      <c r="L209" s="465"/>
      <c r="M209" s="465"/>
      <c r="N209" s="465"/>
      <c r="O209" s="465"/>
      <c r="P209" s="465"/>
      <c r="Q209" s="465"/>
      <c r="R209" s="465"/>
      <c r="S209" s="465"/>
      <c r="T209" s="465"/>
      <c r="U209" s="465"/>
      <c r="V209" s="465"/>
      <c r="W209" s="465"/>
      <c r="X209" s="465"/>
      <c r="Y209" s="465"/>
      <c r="Z209" s="465"/>
      <c r="AA209" s="465"/>
      <c r="AB209" s="465"/>
      <c r="AC209" s="465"/>
      <c r="AD209" s="465"/>
      <c r="AE209" s="465"/>
      <c r="AF209" s="465"/>
      <c r="AG209" s="465"/>
      <c r="AH209" s="465"/>
      <c r="AI209" s="465"/>
      <c r="AJ209" s="465"/>
      <c r="AK209" s="465"/>
      <c r="AL209" s="465"/>
      <c r="AM209" s="465"/>
      <c r="AN209" s="465"/>
      <c r="AO209" s="465"/>
      <c r="AP209" s="465"/>
      <c r="AQ209" s="465"/>
      <c r="AR209" s="465"/>
      <c r="AS209" s="465"/>
      <c r="AT209" s="465"/>
      <c r="AU209" s="465"/>
      <c r="AV209" s="465"/>
      <c r="AW209" s="465"/>
      <c r="AX209" s="465"/>
      <c r="AY209" s="465"/>
      <c r="AZ209" s="465"/>
      <c r="BA209" s="465"/>
      <c r="BB209" s="465"/>
      <c r="BC209" s="465"/>
    </row>
    <row r="210" spans="1:55">
      <c r="A210" s="465"/>
      <c r="B210" s="465"/>
      <c r="C210" s="465"/>
      <c r="D210" s="467"/>
      <c r="E210" s="465"/>
      <c r="F210" s="465"/>
      <c r="G210" s="465"/>
      <c r="H210" s="465"/>
      <c r="I210" s="465"/>
      <c r="J210" s="465"/>
      <c r="K210" s="465"/>
      <c r="L210" s="465"/>
      <c r="M210" s="465"/>
      <c r="N210" s="465"/>
      <c r="O210" s="465"/>
      <c r="P210" s="465"/>
      <c r="Q210" s="465"/>
      <c r="R210" s="465"/>
      <c r="S210" s="465"/>
      <c r="T210" s="465"/>
      <c r="U210" s="465"/>
      <c r="V210" s="465"/>
      <c r="W210" s="465"/>
      <c r="X210" s="465"/>
      <c r="Y210" s="465"/>
      <c r="Z210" s="465"/>
      <c r="AA210" s="465"/>
      <c r="AB210" s="465"/>
      <c r="AC210" s="465"/>
      <c r="AD210" s="465"/>
      <c r="AE210" s="465"/>
      <c r="AF210" s="465"/>
      <c r="AG210" s="465"/>
      <c r="AH210" s="465"/>
      <c r="AI210" s="465"/>
      <c r="AJ210" s="465"/>
      <c r="AK210" s="465"/>
      <c r="AL210" s="465"/>
      <c r="AM210" s="465"/>
      <c r="AN210" s="465"/>
      <c r="AO210" s="465"/>
      <c r="AP210" s="465"/>
      <c r="AQ210" s="465"/>
      <c r="AR210" s="465"/>
      <c r="AS210" s="465"/>
      <c r="AT210" s="465"/>
      <c r="AU210" s="465"/>
      <c r="AV210" s="465"/>
      <c r="AW210" s="465"/>
      <c r="AX210" s="465"/>
      <c r="AY210" s="465"/>
      <c r="AZ210" s="465"/>
      <c r="BA210" s="465"/>
      <c r="BB210" s="465"/>
      <c r="BC210" s="465"/>
    </row>
    <row r="211" spans="1:55">
      <c r="A211" s="465"/>
      <c r="B211" s="465"/>
      <c r="C211" s="465"/>
      <c r="D211" s="467"/>
      <c r="E211" s="465"/>
      <c r="F211" s="465"/>
      <c r="G211" s="465"/>
      <c r="H211" s="465"/>
      <c r="I211" s="465"/>
      <c r="J211" s="465"/>
      <c r="K211" s="465"/>
      <c r="L211" s="465"/>
      <c r="M211" s="465"/>
      <c r="N211" s="465"/>
      <c r="O211" s="465"/>
      <c r="P211" s="465"/>
      <c r="Q211" s="465"/>
      <c r="R211" s="465"/>
      <c r="S211" s="465"/>
      <c r="T211" s="465"/>
      <c r="U211" s="465"/>
      <c r="V211" s="465"/>
      <c r="W211" s="465"/>
      <c r="X211" s="465"/>
      <c r="Y211" s="465"/>
      <c r="Z211" s="465"/>
      <c r="AA211" s="465"/>
      <c r="AB211" s="465"/>
      <c r="AC211" s="465"/>
      <c r="AD211" s="465"/>
      <c r="AE211" s="465"/>
      <c r="AF211" s="465"/>
      <c r="AG211" s="465"/>
      <c r="AH211" s="465"/>
      <c r="AI211" s="465"/>
      <c r="AJ211" s="465"/>
      <c r="AK211" s="465"/>
      <c r="AL211" s="465"/>
      <c r="AM211" s="465"/>
      <c r="AN211" s="465"/>
      <c r="AO211" s="465"/>
      <c r="AP211" s="465"/>
      <c r="AQ211" s="465"/>
      <c r="AR211" s="465"/>
      <c r="AS211" s="465"/>
      <c r="AT211" s="465"/>
      <c r="AU211" s="465"/>
      <c r="AV211" s="465"/>
      <c r="AW211" s="465"/>
      <c r="AX211" s="465"/>
      <c r="AY211" s="465"/>
      <c r="AZ211" s="465"/>
      <c r="BA211" s="465"/>
      <c r="BB211" s="465"/>
      <c r="BC211" s="465"/>
    </row>
    <row r="212" spans="1:55">
      <c r="A212" s="465"/>
      <c r="B212" s="465"/>
      <c r="C212" s="465"/>
      <c r="D212" s="467"/>
      <c r="E212" s="465"/>
      <c r="F212" s="465"/>
      <c r="G212" s="465"/>
      <c r="H212" s="465"/>
      <c r="I212" s="465"/>
      <c r="J212" s="465"/>
      <c r="K212" s="465"/>
      <c r="L212" s="465"/>
      <c r="M212" s="465"/>
      <c r="N212" s="465"/>
      <c r="O212" s="465"/>
      <c r="P212" s="465"/>
      <c r="Q212" s="465"/>
      <c r="R212" s="465"/>
      <c r="S212" s="465"/>
      <c r="T212" s="465"/>
      <c r="U212" s="465"/>
      <c r="V212" s="465"/>
      <c r="W212" s="465"/>
      <c r="X212" s="465"/>
      <c r="Y212" s="465"/>
      <c r="Z212" s="465"/>
      <c r="AA212" s="465"/>
      <c r="AB212" s="465"/>
      <c r="AC212" s="465"/>
      <c r="AD212" s="465"/>
      <c r="AE212" s="465"/>
      <c r="AF212" s="465"/>
      <c r="AG212" s="465"/>
      <c r="AH212" s="465"/>
      <c r="AI212" s="465"/>
      <c r="AJ212" s="465"/>
      <c r="AK212" s="465"/>
      <c r="AL212" s="465"/>
      <c r="AM212" s="465"/>
      <c r="AN212" s="465"/>
      <c r="AO212" s="465"/>
      <c r="AP212" s="465"/>
      <c r="AQ212" s="465"/>
      <c r="AR212" s="465"/>
      <c r="AS212" s="465"/>
      <c r="AT212" s="465"/>
      <c r="AU212" s="465"/>
      <c r="AV212" s="465"/>
      <c r="AW212" s="465"/>
      <c r="AX212" s="465"/>
      <c r="AY212" s="465"/>
      <c r="AZ212" s="465"/>
      <c r="BA212" s="465"/>
      <c r="BB212" s="465"/>
      <c r="BC212" s="465"/>
    </row>
    <row r="213" spans="1:55">
      <c r="A213" s="465"/>
      <c r="B213" s="465"/>
      <c r="C213" s="465"/>
      <c r="D213" s="467"/>
      <c r="E213" s="465"/>
      <c r="F213" s="465"/>
      <c r="G213" s="465"/>
      <c r="H213" s="465"/>
      <c r="I213" s="465"/>
      <c r="J213" s="465"/>
      <c r="K213" s="465"/>
      <c r="L213" s="465"/>
      <c r="M213" s="465"/>
      <c r="N213" s="465"/>
      <c r="O213" s="465"/>
      <c r="P213" s="465"/>
      <c r="Q213" s="465"/>
      <c r="R213" s="465"/>
      <c r="S213" s="465"/>
      <c r="T213" s="465"/>
      <c r="U213" s="465"/>
      <c r="V213" s="465"/>
      <c r="W213" s="465"/>
      <c r="X213" s="465"/>
      <c r="Y213" s="465"/>
      <c r="Z213" s="465"/>
      <c r="AA213" s="465"/>
      <c r="AB213" s="465"/>
      <c r="AC213" s="465"/>
      <c r="AD213" s="465"/>
      <c r="AE213" s="465"/>
      <c r="AF213" s="465"/>
      <c r="AG213" s="465"/>
      <c r="AH213" s="465"/>
      <c r="AI213" s="465"/>
      <c r="AJ213" s="465"/>
      <c r="AK213" s="465"/>
      <c r="AL213" s="465"/>
      <c r="AM213" s="465"/>
      <c r="AN213" s="465"/>
      <c r="AO213" s="465"/>
      <c r="AP213" s="465"/>
      <c r="AQ213" s="465"/>
      <c r="AR213" s="465"/>
      <c r="AS213" s="465"/>
      <c r="AT213" s="465"/>
      <c r="AU213" s="465"/>
      <c r="AV213" s="465"/>
      <c r="AW213" s="465"/>
      <c r="AX213" s="465"/>
      <c r="AY213" s="465"/>
      <c r="AZ213" s="465"/>
      <c r="BA213" s="465"/>
      <c r="BB213" s="465"/>
      <c r="BC213" s="465"/>
    </row>
    <row r="214" spans="1:55">
      <c r="A214" s="465"/>
      <c r="B214" s="465"/>
      <c r="C214" s="465"/>
      <c r="D214" s="467"/>
      <c r="E214" s="465"/>
      <c r="F214" s="465"/>
      <c r="G214" s="465"/>
      <c r="H214" s="465"/>
      <c r="I214" s="465"/>
      <c r="J214" s="465"/>
      <c r="K214" s="465"/>
      <c r="L214" s="465"/>
      <c r="M214" s="465"/>
      <c r="N214" s="465"/>
      <c r="O214" s="465"/>
      <c r="P214" s="465"/>
      <c r="Q214" s="465"/>
      <c r="R214" s="465"/>
      <c r="S214" s="465"/>
      <c r="T214" s="465"/>
      <c r="U214" s="465"/>
      <c r="V214" s="465"/>
      <c r="W214" s="465"/>
      <c r="X214" s="465"/>
      <c r="Y214" s="465"/>
      <c r="Z214" s="465"/>
      <c r="AA214" s="465"/>
      <c r="AB214" s="465"/>
      <c r="AC214" s="465"/>
      <c r="AD214" s="465"/>
      <c r="AE214" s="465"/>
      <c r="AF214" s="465"/>
      <c r="AG214" s="465"/>
      <c r="AH214" s="465"/>
      <c r="AI214" s="465"/>
      <c r="AJ214" s="465"/>
      <c r="AK214" s="465"/>
      <c r="AL214" s="465"/>
      <c r="AM214" s="465"/>
      <c r="AN214" s="465"/>
      <c r="AO214" s="465"/>
      <c r="AP214" s="465"/>
      <c r="AQ214" s="465"/>
      <c r="AR214" s="465"/>
      <c r="AS214" s="465"/>
      <c r="AT214" s="465"/>
      <c r="AU214" s="465"/>
      <c r="AV214" s="465"/>
      <c r="AW214" s="465"/>
      <c r="AX214" s="465"/>
      <c r="AY214" s="465"/>
      <c r="AZ214" s="465"/>
      <c r="BA214" s="465"/>
      <c r="BB214" s="465"/>
      <c r="BC214" s="465"/>
    </row>
    <row r="215" spans="1:55">
      <c r="A215" s="465"/>
      <c r="B215" s="465"/>
      <c r="C215" s="465"/>
      <c r="D215" s="467"/>
      <c r="E215" s="465"/>
      <c r="F215" s="465"/>
      <c r="G215" s="465"/>
      <c r="H215" s="465"/>
      <c r="I215" s="465"/>
      <c r="J215" s="465"/>
      <c r="K215" s="465"/>
      <c r="L215" s="465"/>
      <c r="M215" s="465"/>
      <c r="N215" s="465"/>
      <c r="O215" s="465"/>
      <c r="P215" s="465"/>
      <c r="Q215" s="465"/>
      <c r="R215" s="465"/>
      <c r="S215" s="465"/>
      <c r="T215" s="465"/>
      <c r="U215" s="465"/>
      <c r="V215" s="465"/>
      <c r="W215" s="465"/>
      <c r="X215" s="465"/>
      <c r="Y215" s="465"/>
      <c r="Z215" s="465"/>
      <c r="AA215" s="465"/>
      <c r="AB215" s="465"/>
      <c r="AC215" s="465"/>
      <c r="AD215" s="465"/>
      <c r="AE215" s="465"/>
      <c r="AF215" s="465"/>
      <c r="AG215" s="465"/>
      <c r="AH215" s="465"/>
      <c r="AI215" s="465"/>
      <c r="AJ215" s="465"/>
      <c r="AK215" s="465"/>
      <c r="AL215" s="465"/>
      <c r="AM215" s="465"/>
      <c r="AN215" s="465"/>
      <c r="AO215" s="465"/>
      <c r="AP215" s="465"/>
      <c r="AQ215" s="465"/>
      <c r="AR215" s="465"/>
      <c r="AS215" s="465"/>
      <c r="AT215" s="465"/>
      <c r="AU215" s="465"/>
      <c r="AV215" s="465"/>
      <c r="AW215" s="465"/>
      <c r="AX215" s="465"/>
      <c r="AY215" s="465"/>
      <c r="AZ215" s="465"/>
      <c r="BA215" s="465"/>
      <c r="BB215" s="465"/>
      <c r="BC215" s="465"/>
    </row>
    <row r="216" spans="1:55">
      <c r="A216" s="465"/>
      <c r="B216" s="465"/>
      <c r="C216" s="465"/>
      <c r="D216" s="467"/>
      <c r="E216" s="465"/>
      <c r="F216" s="465"/>
      <c r="G216" s="465"/>
      <c r="H216" s="465"/>
      <c r="I216" s="465"/>
      <c r="J216" s="465"/>
      <c r="K216" s="465"/>
      <c r="L216" s="465"/>
      <c r="M216" s="465"/>
      <c r="N216" s="465"/>
      <c r="O216" s="465"/>
      <c r="P216" s="465"/>
      <c r="Q216" s="465"/>
      <c r="R216" s="465"/>
      <c r="S216" s="465"/>
      <c r="T216" s="465"/>
      <c r="U216" s="465"/>
      <c r="V216" s="465"/>
      <c r="W216" s="465"/>
      <c r="X216" s="465"/>
      <c r="Y216" s="465"/>
      <c r="Z216" s="465"/>
      <c r="AA216" s="465"/>
      <c r="AB216" s="465"/>
      <c r="AC216" s="465"/>
      <c r="AD216" s="465"/>
      <c r="AE216" s="465"/>
      <c r="AF216" s="465"/>
      <c r="AG216" s="465"/>
      <c r="AH216" s="465"/>
      <c r="AI216" s="465"/>
      <c r="AJ216" s="465"/>
      <c r="AK216" s="465"/>
      <c r="AL216" s="465"/>
      <c r="AM216" s="465"/>
      <c r="AN216" s="465"/>
      <c r="AO216" s="465"/>
      <c r="AP216" s="465"/>
      <c r="AQ216" s="465"/>
      <c r="AR216" s="465"/>
      <c r="AS216" s="465"/>
      <c r="AT216" s="465"/>
      <c r="AU216" s="465"/>
      <c r="AV216" s="465"/>
      <c r="AW216" s="465"/>
      <c r="AX216" s="465"/>
      <c r="AY216" s="465"/>
      <c r="AZ216" s="465"/>
      <c r="BA216" s="465"/>
      <c r="BB216" s="465"/>
      <c r="BC216" s="465"/>
    </row>
    <row r="217" spans="1:55">
      <c r="A217" s="465"/>
      <c r="B217" s="465"/>
      <c r="C217" s="465"/>
      <c r="D217" s="467"/>
      <c r="E217" s="465"/>
      <c r="F217" s="465"/>
      <c r="G217" s="465"/>
      <c r="H217" s="465"/>
      <c r="I217" s="465"/>
      <c r="J217" s="465"/>
      <c r="K217" s="465"/>
      <c r="L217" s="465"/>
      <c r="M217" s="465"/>
      <c r="N217" s="465"/>
      <c r="O217" s="465"/>
      <c r="P217" s="465"/>
      <c r="Q217" s="465"/>
      <c r="R217" s="465"/>
      <c r="S217" s="465"/>
      <c r="T217" s="465"/>
      <c r="U217" s="465"/>
      <c r="V217" s="465"/>
      <c r="W217" s="465"/>
      <c r="X217" s="465"/>
      <c r="Y217" s="465"/>
      <c r="Z217" s="465"/>
      <c r="AA217" s="465"/>
      <c r="AB217" s="465"/>
      <c r="AC217" s="465"/>
      <c r="AD217" s="465"/>
      <c r="AE217" s="465"/>
      <c r="AF217" s="465"/>
      <c r="AG217" s="465"/>
      <c r="AH217" s="465"/>
      <c r="AI217" s="465"/>
      <c r="AJ217" s="465"/>
      <c r="AK217" s="465"/>
      <c r="AL217" s="465"/>
      <c r="AM217" s="465"/>
      <c r="AN217" s="465"/>
      <c r="AO217" s="465"/>
      <c r="AP217" s="465"/>
      <c r="AQ217" s="465"/>
      <c r="AR217" s="465"/>
      <c r="AS217" s="465"/>
      <c r="AT217" s="465"/>
      <c r="AU217" s="465"/>
      <c r="AV217" s="465"/>
      <c r="AW217" s="465"/>
      <c r="AX217" s="465"/>
      <c r="AY217" s="465"/>
      <c r="AZ217" s="465"/>
      <c r="BA217" s="465"/>
      <c r="BB217" s="465"/>
      <c r="BC217" s="465"/>
    </row>
    <row r="218" spans="1:55">
      <c r="A218" s="465"/>
      <c r="B218" s="465"/>
      <c r="C218" s="465"/>
      <c r="D218" s="467"/>
      <c r="E218" s="465"/>
      <c r="F218" s="465"/>
      <c r="G218" s="465"/>
      <c r="H218" s="465"/>
      <c r="I218" s="465"/>
      <c r="J218" s="465"/>
      <c r="K218" s="465"/>
      <c r="L218" s="465"/>
      <c r="M218" s="465"/>
      <c r="N218" s="465"/>
      <c r="O218" s="465"/>
      <c r="P218" s="465"/>
      <c r="Q218" s="465"/>
      <c r="R218" s="465"/>
      <c r="S218" s="465"/>
      <c r="T218" s="465"/>
      <c r="U218" s="465"/>
      <c r="V218" s="465"/>
      <c r="W218" s="465"/>
      <c r="X218" s="465"/>
      <c r="Y218" s="465"/>
      <c r="Z218" s="465"/>
      <c r="AA218" s="465"/>
      <c r="AB218" s="465"/>
      <c r="AC218" s="465"/>
      <c r="AD218" s="465"/>
      <c r="AE218" s="465"/>
      <c r="AF218" s="465"/>
      <c r="AG218" s="465"/>
      <c r="AH218" s="465"/>
      <c r="AI218" s="465"/>
      <c r="AJ218" s="465"/>
      <c r="AK218" s="465"/>
      <c r="AL218" s="465"/>
      <c r="AM218" s="465"/>
      <c r="AN218" s="465"/>
      <c r="AO218" s="465"/>
      <c r="AP218" s="465"/>
      <c r="AQ218" s="465"/>
      <c r="AR218" s="465"/>
      <c r="AS218" s="465"/>
      <c r="AT218" s="465"/>
      <c r="AU218" s="465"/>
      <c r="AV218" s="465"/>
      <c r="AW218" s="465"/>
      <c r="AX218" s="465"/>
      <c r="AY218" s="465"/>
      <c r="AZ218" s="465"/>
      <c r="BA218" s="465"/>
      <c r="BB218" s="465"/>
      <c r="BC218" s="465"/>
    </row>
    <row r="219" spans="1:55">
      <c r="A219" s="465"/>
      <c r="B219" s="465"/>
      <c r="C219" s="465"/>
      <c r="D219" s="467"/>
      <c r="E219" s="465"/>
      <c r="F219" s="465"/>
      <c r="G219" s="465"/>
      <c r="H219" s="465"/>
      <c r="I219" s="465"/>
      <c r="J219" s="465"/>
      <c r="K219" s="465"/>
      <c r="L219" s="465"/>
      <c r="M219" s="465"/>
      <c r="N219" s="465"/>
      <c r="O219" s="465"/>
      <c r="P219" s="465"/>
      <c r="Q219" s="465"/>
      <c r="R219" s="465"/>
      <c r="S219" s="465"/>
      <c r="T219" s="465"/>
      <c r="U219" s="465"/>
      <c r="V219" s="465"/>
      <c r="W219" s="465"/>
      <c r="X219" s="465"/>
      <c r="Y219" s="465"/>
      <c r="Z219" s="465"/>
      <c r="AA219" s="465"/>
      <c r="AB219" s="465"/>
      <c r="AC219" s="465"/>
      <c r="AD219" s="465"/>
      <c r="AE219" s="465"/>
      <c r="AF219" s="465"/>
      <c r="AG219" s="465"/>
      <c r="AH219" s="465"/>
      <c r="AI219" s="465"/>
      <c r="AJ219" s="465"/>
      <c r="AK219" s="465"/>
      <c r="AL219" s="465"/>
      <c r="AM219" s="465"/>
      <c r="AN219" s="465"/>
      <c r="AO219" s="465"/>
      <c r="AP219" s="465"/>
      <c r="AQ219" s="465"/>
      <c r="AR219" s="465"/>
      <c r="AS219" s="465"/>
      <c r="AT219" s="465"/>
      <c r="AU219" s="465"/>
      <c r="AV219" s="465"/>
      <c r="AW219" s="465"/>
      <c r="AX219" s="465"/>
      <c r="AY219" s="465"/>
      <c r="AZ219" s="465"/>
      <c r="BA219" s="465"/>
      <c r="BB219" s="465"/>
      <c r="BC219" s="465"/>
    </row>
    <row r="220" spans="1:55">
      <c r="A220" s="465"/>
      <c r="B220" s="465"/>
      <c r="C220" s="465"/>
      <c r="D220" s="467"/>
      <c r="E220" s="465"/>
      <c r="F220" s="465"/>
      <c r="G220" s="465"/>
      <c r="H220" s="465"/>
      <c r="I220" s="465"/>
      <c r="J220" s="465"/>
      <c r="K220" s="465"/>
      <c r="L220" s="465"/>
      <c r="M220" s="465"/>
      <c r="N220" s="465"/>
      <c r="O220" s="465"/>
      <c r="P220" s="465"/>
      <c r="Q220" s="465"/>
      <c r="R220" s="465"/>
      <c r="S220" s="465"/>
      <c r="T220" s="465"/>
      <c r="U220" s="465"/>
      <c r="V220" s="465"/>
      <c r="W220" s="465"/>
      <c r="X220" s="465"/>
      <c r="Y220" s="465"/>
      <c r="Z220" s="465"/>
      <c r="AA220" s="465"/>
      <c r="AB220" s="465"/>
      <c r="AC220" s="465"/>
      <c r="AD220" s="465"/>
      <c r="AE220" s="465"/>
      <c r="AF220" s="465"/>
      <c r="AG220" s="465"/>
      <c r="AH220" s="465"/>
      <c r="AI220" s="465"/>
      <c r="AJ220" s="465"/>
      <c r="AK220" s="465"/>
      <c r="AL220" s="465"/>
      <c r="AM220" s="465"/>
      <c r="AN220" s="465"/>
      <c r="AO220" s="465"/>
      <c r="AP220" s="465"/>
      <c r="AQ220" s="465"/>
      <c r="AR220" s="465"/>
      <c r="AS220" s="465"/>
      <c r="AT220" s="465"/>
      <c r="AU220" s="465"/>
      <c r="AV220" s="465"/>
      <c r="AW220" s="465"/>
      <c r="AX220" s="465"/>
      <c r="AY220" s="465"/>
      <c r="AZ220" s="465"/>
      <c r="BA220" s="465"/>
      <c r="BB220" s="465"/>
      <c r="BC220" s="465"/>
    </row>
    <row r="221" spans="1:55">
      <c r="A221" s="465"/>
      <c r="B221" s="465"/>
      <c r="C221" s="465"/>
      <c r="D221" s="467"/>
      <c r="E221" s="465"/>
      <c r="F221" s="465"/>
      <c r="G221" s="465"/>
      <c r="H221" s="465"/>
      <c r="I221" s="465"/>
      <c r="J221" s="465"/>
      <c r="K221" s="465"/>
      <c r="L221" s="465"/>
      <c r="M221" s="465"/>
      <c r="N221" s="465"/>
      <c r="O221" s="465"/>
      <c r="P221" s="465"/>
      <c r="Q221" s="465"/>
      <c r="R221" s="465"/>
      <c r="S221" s="465"/>
      <c r="T221" s="465"/>
      <c r="U221" s="465"/>
      <c r="V221" s="465"/>
      <c r="W221" s="465"/>
      <c r="X221" s="465"/>
      <c r="Y221" s="465"/>
      <c r="Z221" s="465"/>
      <c r="AA221" s="465"/>
      <c r="AB221" s="465"/>
      <c r="AC221" s="465"/>
      <c r="AD221" s="465"/>
      <c r="AE221" s="465"/>
      <c r="AF221" s="465"/>
      <c r="AG221" s="465"/>
      <c r="AH221" s="465"/>
      <c r="AI221" s="465"/>
      <c r="AJ221" s="465"/>
      <c r="AK221" s="465"/>
      <c r="AL221" s="465"/>
      <c r="AM221" s="465"/>
      <c r="AN221" s="465"/>
      <c r="AO221" s="465"/>
      <c r="AP221" s="465"/>
      <c r="AQ221" s="465"/>
      <c r="AR221" s="465"/>
      <c r="AS221" s="465"/>
      <c r="AT221" s="465"/>
      <c r="AU221" s="465"/>
      <c r="AV221" s="465"/>
      <c r="AW221" s="465"/>
      <c r="AX221" s="465"/>
      <c r="AY221" s="465"/>
      <c r="AZ221" s="465"/>
      <c r="BA221" s="465"/>
      <c r="BB221" s="465"/>
      <c r="BC221" s="465"/>
    </row>
    <row r="222" spans="1:55">
      <c r="A222" s="465"/>
      <c r="B222" s="465"/>
      <c r="C222" s="465"/>
      <c r="D222" s="467"/>
      <c r="E222" s="465"/>
      <c r="F222" s="465"/>
      <c r="G222" s="465"/>
      <c r="H222" s="465"/>
      <c r="I222" s="465"/>
      <c r="J222" s="465"/>
      <c r="K222" s="465"/>
      <c r="L222" s="465"/>
      <c r="M222" s="465"/>
      <c r="N222" s="465"/>
      <c r="O222" s="465"/>
      <c r="P222" s="465"/>
      <c r="Q222" s="465"/>
      <c r="R222" s="465"/>
      <c r="S222" s="465"/>
      <c r="T222" s="465"/>
      <c r="U222" s="465"/>
      <c r="V222" s="465"/>
      <c r="W222" s="465"/>
      <c r="X222" s="465"/>
      <c r="Y222" s="465"/>
      <c r="Z222" s="465"/>
      <c r="AA222" s="465"/>
      <c r="AB222" s="465"/>
      <c r="AC222" s="465"/>
      <c r="AD222" s="465"/>
      <c r="AE222" s="465"/>
      <c r="AF222" s="465"/>
      <c r="AG222" s="465"/>
      <c r="AH222" s="465"/>
      <c r="AI222" s="465"/>
      <c r="AJ222" s="465"/>
      <c r="AK222" s="465"/>
      <c r="AL222" s="465"/>
      <c r="AM222" s="465"/>
      <c r="AN222" s="465"/>
      <c r="AO222" s="465"/>
      <c r="AP222" s="465"/>
      <c r="AQ222" s="465"/>
      <c r="AR222" s="465"/>
      <c r="AS222" s="465"/>
      <c r="AT222" s="465"/>
      <c r="AU222" s="465"/>
      <c r="AV222" s="465"/>
      <c r="AW222" s="465"/>
      <c r="AX222" s="465"/>
      <c r="AY222" s="465"/>
      <c r="AZ222" s="465"/>
      <c r="BA222" s="465"/>
      <c r="BB222" s="465"/>
      <c r="BC222" s="465"/>
    </row>
    <row r="223" spans="1:55">
      <c r="A223" s="465"/>
      <c r="B223" s="465"/>
      <c r="C223" s="465"/>
      <c r="D223" s="467"/>
      <c r="E223" s="465"/>
      <c r="F223" s="465"/>
      <c r="G223" s="465"/>
      <c r="H223" s="465"/>
      <c r="I223" s="465"/>
      <c r="J223" s="465"/>
      <c r="K223" s="465"/>
      <c r="L223" s="465"/>
      <c r="M223" s="465"/>
      <c r="N223" s="465"/>
      <c r="O223" s="465"/>
      <c r="P223" s="465"/>
      <c r="Q223" s="465"/>
      <c r="R223" s="465"/>
      <c r="S223" s="465"/>
      <c r="T223" s="465"/>
      <c r="U223" s="465"/>
      <c r="V223" s="465"/>
      <c r="W223" s="465"/>
      <c r="X223" s="465"/>
      <c r="Y223" s="465"/>
      <c r="Z223" s="465"/>
      <c r="AA223" s="465"/>
      <c r="AB223" s="465"/>
      <c r="AC223" s="465"/>
      <c r="AD223" s="465"/>
      <c r="AE223" s="465"/>
      <c r="AF223" s="465"/>
      <c r="AG223" s="465"/>
      <c r="AH223" s="465"/>
      <c r="AI223" s="465"/>
      <c r="AJ223" s="465"/>
      <c r="AK223" s="465"/>
      <c r="AL223" s="465"/>
      <c r="AM223" s="465"/>
      <c r="AN223" s="465"/>
      <c r="AO223" s="465"/>
      <c r="AP223" s="465"/>
      <c r="AQ223" s="465"/>
      <c r="AR223" s="465"/>
      <c r="AS223" s="465"/>
      <c r="AT223" s="465"/>
      <c r="AU223" s="465"/>
      <c r="AV223" s="465"/>
      <c r="AW223" s="465"/>
      <c r="AX223" s="465"/>
      <c r="AY223" s="465"/>
      <c r="AZ223" s="465"/>
      <c r="BA223" s="465"/>
      <c r="BB223" s="465"/>
      <c r="BC223" s="465"/>
    </row>
    <row r="224" spans="1:55">
      <c r="A224" s="465"/>
      <c r="B224" s="465"/>
      <c r="C224" s="465"/>
      <c r="D224" s="467"/>
      <c r="E224" s="465"/>
      <c r="F224" s="465"/>
      <c r="G224" s="465"/>
      <c r="H224" s="465"/>
      <c r="I224" s="465"/>
      <c r="J224" s="465"/>
      <c r="K224" s="465"/>
      <c r="L224" s="465"/>
      <c r="M224" s="465"/>
      <c r="N224" s="465"/>
      <c r="O224" s="465"/>
      <c r="P224" s="465"/>
      <c r="Q224" s="465"/>
      <c r="R224" s="465"/>
      <c r="S224" s="465"/>
      <c r="T224" s="465"/>
      <c r="U224" s="465"/>
      <c r="V224" s="465"/>
      <c r="W224" s="465"/>
      <c r="X224" s="465"/>
      <c r="Y224" s="465"/>
      <c r="Z224" s="465"/>
      <c r="AA224" s="465"/>
      <c r="AB224" s="465"/>
      <c r="AC224" s="465"/>
      <c r="AD224" s="465"/>
      <c r="AE224" s="465"/>
      <c r="AF224" s="465"/>
      <c r="AG224" s="465"/>
      <c r="AH224" s="465"/>
      <c r="AI224" s="465"/>
      <c r="AJ224" s="465"/>
      <c r="AK224" s="465"/>
      <c r="AL224" s="465"/>
      <c r="AM224" s="465"/>
      <c r="AN224" s="465"/>
      <c r="AO224" s="465"/>
      <c r="AP224" s="465"/>
      <c r="AQ224" s="465"/>
      <c r="AR224" s="465"/>
      <c r="AS224" s="465"/>
      <c r="AT224" s="465"/>
      <c r="AU224" s="465"/>
      <c r="AV224" s="465"/>
      <c r="AW224" s="465"/>
      <c r="AX224" s="465"/>
      <c r="AY224" s="465"/>
      <c r="AZ224" s="465"/>
      <c r="BA224" s="465"/>
      <c r="BB224" s="465"/>
      <c r="BC224" s="465"/>
    </row>
    <row r="225" spans="1:55">
      <c r="A225" s="465"/>
      <c r="B225" s="465"/>
      <c r="C225" s="465"/>
      <c r="D225" s="467"/>
      <c r="E225" s="465"/>
      <c r="F225" s="465"/>
      <c r="G225" s="465"/>
      <c r="H225" s="465"/>
      <c r="I225" s="465"/>
      <c r="J225" s="465"/>
      <c r="K225" s="465"/>
      <c r="L225" s="465"/>
      <c r="M225" s="465"/>
      <c r="N225" s="465"/>
      <c r="O225" s="465"/>
      <c r="P225" s="465"/>
      <c r="Q225" s="465"/>
      <c r="R225" s="465"/>
      <c r="S225" s="465"/>
      <c r="T225" s="465"/>
      <c r="U225" s="465"/>
      <c r="V225" s="465"/>
      <c r="W225" s="465"/>
      <c r="X225" s="465"/>
      <c r="Y225" s="465"/>
      <c r="Z225" s="465"/>
      <c r="AA225" s="465"/>
      <c r="AB225" s="465"/>
      <c r="AC225" s="465"/>
      <c r="AD225" s="465"/>
      <c r="AE225" s="465"/>
      <c r="AF225" s="465"/>
      <c r="AG225" s="465"/>
      <c r="AH225" s="465"/>
      <c r="AI225" s="465"/>
      <c r="AJ225" s="465"/>
      <c r="AK225" s="465"/>
      <c r="AL225" s="465"/>
      <c r="AM225" s="465"/>
      <c r="AN225" s="465"/>
      <c r="AO225" s="465"/>
      <c r="AP225" s="465"/>
      <c r="AQ225" s="465"/>
      <c r="AR225" s="465"/>
      <c r="AS225" s="465"/>
      <c r="AT225" s="465"/>
      <c r="AU225" s="465"/>
      <c r="AV225" s="465"/>
      <c r="AW225" s="465"/>
      <c r="AX225" s="465"/>
      <c r="AY225" s="465"/>
      <c r="AZ225" s="465"/>
      <c r="BA225" s="465"/>
      <c r="BB225" s="465"/>
      <c r="BC225" s="465"/>
    </row>
    <row r="226" spans="1:55">
      <c r="A226" s="465"/>
      <c r="B226" s="465"/>
      <c r="C226" s="465"/>
      <c r="D226" s="467"/>
      <c r="E226" s="465"/>
      <c r="F226" s="465"/>
      <c r="G226" s="465"/>
      <c r="H226" s="465"/>
      <c r="I226" s="465"/>
      <c r="J226" s="465"/>
      <c r="K226" s="465"/>
      <c r="L226" s="465"/>
      <c r="M226" s="465"/>
      <c r="N226" s="465"/>
      <c r="O226" s="465"/>
      <c r="P226" s="465"/>
      <c r="Q226" s="465"/>
      <c r="R226" s="465"/>
      <c r="S226" s="465"/>
      <c r="T226" s="465"/>
      <c r="U226" s="465"/>
      <c r="V226" s="465"/>
      <c r="W226" s="465"/>
      <c r="X226" s="465"/>
      <c r="Y226" s="465"/>
      <c r="Z226" s="465"/>
      <c r="AA226" s="465"/>
      <c r="AB226" s="465"/>
      <c r="AC226" s="465"/>
      <c r="AD226" s="465"/>
      <c r="AE226" s="465"/>
      <c r="AF226" s="465"/>
      <c r="AG226" s="465"/>
      <c r="AH226" s="465"/>
      <c r="AI226" s="465"/>
      <c r="AJ226" s="465"/>
      <c r="AK226" s="465"/>
      <c r="AL226" s="465"/>
      <c r="AM226" s="465"/>
      <c r="AN226" s="465"/>
      <c r="AO226" s="465"/>
      <c r="AP226" s="465"/>
      <c r="AQ226" s="465"/>
      <c r="AR226" s="465"/>
      <c r="AS226" s="465"/>
      <c r="AT226" s="465"/>
      <c r="AU226" s="465"/>
      <c r="AV226" s="465"/>
      <c r="AW226" s="465"/>
      <c r="AX226" s="465"/>
      <c r="AY226" s="465"/>
      <c r="AZ226" s="465"/>
      <c r="BA226" s="465"/>
      <c r="BB226" s="465"/>
      <c r="BC226" s="465"/>
    </row>
    <row r="227" spans="1:55">
      <c r="A227" s="465"/>
      <c r="B227" s="465"/>
      <c r="C227" s="465"/>
      <c r="D227" s="467"/>
      <c r="E227" s="465"/>
      <c r="F227" s="465"/>
      <c r="G227" s="465"/>
      <c r="H227" s="465"/>
      <c r="I227" s="465"/>
      <c r="J227" s="465"/>
      <c r="K227" s="465"/>
      <c r="L227" s="465"/>
      <c r="M227" s="465"/>
      <c r="N227" s="465"/>
      <c r="O227" s="465"/>
      <c r="P227" s="465"/>
      <c r="Q227" s="465"/>
      <c r="R227" s="465"/>
      <c r="S227" s="465"/>
      <c r="T227" s="465"/>
      <c r="U227" s="465"/>
      <c r="V227" s="465"/>
      <c r="W227" s="465"/>
      <c r="X227" s="465"/>
      <c r="Y227" s="465"/>
      <c r="Z227" s="465"/>
      <c r="AA227" s="465"/>
      <c r="AB227" s="465"/>
      <c r="AC227" s="465"/>
      <c r="AD227" s="465"/>
      <c r="AE227" s="465"/>
      <c r="AF227" s="465"/>
      <c r="AG227" s="465"/>
      <c r="AH227" s="465"/>
      <c r="AI227" s="465"/>
      <c r="AJ227" s="465"/>
      <c r="AK227" s="465"/>
      <c r="AL227" s="465"/>
      <c r="AM227" s="465"/>
      <c r="AN227" s="465"/>
      <c r="AO227" s="465"/>
      <c r="AP227" s="465"/>
      <c r="AQ227" s="465"/>
      <c r="AR227" s="465"/>
      <c r="AS227" s="465"/>
      <c r="AT227" s="465"/>
      <c r="AU227" s="465"/>
      <c r="AV227" s="465"/>
      <c r="AW227" s="465"/>
      <c r="AX227" s="465"/>
      <c r="AY227" s="465"/>
      <c r="AZ227" s="465"/>
      <c r="BA227" s="465"/>
      <c r="BB227" s="465"/>
      <c r="BC227" s="465"/>
    </row>
    <row r="228" spans="1:55">
      <c r="A228" s="465"/>
      <c r="B228" s="465"/>
      <c r="C228" s="465"/>
      <c r="D228" s="467"/>
      <c r="E228" s="465"/>
      <c r="F228" s="465"/>
      <c r="G228" s="465"/>
      <c r="H228" s="465"/>
      <c r="I228" s="465"/>
      <c r="J228" s="465"/>
      <c r="K228" s="465"/>
      <c r="L228" s="465"/>
      <c r="M228" s="465"/>
      <c r="N228" s="465"/>
      <c r="O228" s="465"/>
      <c r="P228" s="465"/>
      <c r="Q228" s="465"/>
      <c r="R228" s="465"/>
      <c r="S228" s="465"/>
      <c r="T228" s="465"/>
      <c r="U228" s="465"/>
      <c r="V228" s="465"/>
      <c r="W228" s="465"/>
      <c r="X228" s="465"/>
      <c r="Y228" s="465"/>
      <c r="Z228" s="465"/>
      <c r="AA228" s="465"/>
      <c r="AB228" s="465"/>
      <c r="AC228" s="465"/>
      <c r="AD228" s="465"/>
      <c r="AE228" s="465"/>
      <c r="AF228" s="465"/>
      <c r="AG228" s="465"/>
      <c r="AH228" s="465"/>
      <c r="AI228" s="465"/>
      <c r="AJ228" s="465"/>
      <c r="AK228" s="465"/>
      <c r="AL228" s="465"/>
      <c r="AM228" s="465"/>
      <c r="AN228" s="465"/>
      <c r="AO228" s="465"/>
      <c r="AP228" s="465"/>
      <c r="AQ228" s="465"/>
      <c r="AR228" s="465"/>
      <c r="AS228" s="465"/>
      <c r="AT228" s="465"/>
      <c r="AU228" s="465"/>
      <c r="AV228" s="465"/>
      <c r="AW228" s="465"/>
      <c r="AX228" s="465"/>
      <c r="AY228" s="465"/>
      <c r="AZ228" s="465"/>
      <c r="BA228" s="465"/>
      <c r="BB228" s="465"/>
      <c r="BC228" s="465"/>
    </row>
    <row r="229" spans="1:55">
      <c r="A229" s="465"/>
      <c r="B229" s="465"/>
      <c r="C229" s="465"/>
      <c r="D229" s="467"/>
      <c r="E229" s="465"/>
      <c r="F229" s="465"/>
      <c r="G229" s="465"/>
      <c r="H229" s="465"/>
      <c r="I229" s="465"/>
      <c r="J229" s="465"/>
      <c r="K229" s="465"/>
      <c r="L229" s="465"/>
      <c r="M229" s="465"/>
      <c r="N229" s="465"/>
      <c r="O229" s="465"/>
      <c r="P229" s="465"/>
      <c r="Q229" s="465"/>
      <c r="R229" s="465"/>
      <c r="S229" s="465"/>
      <c r="T229" s="465"/>
      <c r="U229" s="465"/>
      <c r="V229" s="465"/>
      <c r="W229" s="465"/>
      <c r="X229" s="465"/>
      <c r="Y229" s="465"/>
      <c r="Z229" s="465"/>
      <c r="AA229" s="465"/>
      <c r="AB229" s="465"/>
      <c r="AC229" s="465"/>
      <c r="AD229" s="465"/>
      <c r="AE229" s="465"/>
      <c r="AF229" s="465"/>
      <c r="AG229" s="465"/>
      <c r="AH229" s="465"/>
      <c r="AI229" s="465"/>
      <c r="AJ229" s="465"/>
      <c r="AK229" s="465"/>
      <c r="AL229" s="465"/>
      <c r="AM229" s="465"/>
      <c r="AN229" s="465"/>
      <c r="AO229" s="465"/>
      <c r="AP229" s="465"/>
      <c r="AQ229" s="465"/>
      <c r="AR229" s="465"/>
      <c r="AS229" s="465"/>
      <c r="AT229" s="465"/>
      <c r="AU229" s="465"/>
      <c r="AV229" s="465"/>
      <c r="AW229" s="465"/>
      <c r="AX229" s="465"/>
      <c r="AY229" s="465"/>
      <c r="AZ229" s="465"/>
      <c r="BA229" s="465"/>
      <c r="BB229" s="465"/>
      <c r="BC229" s="465"/>
    </row>
    <row r="230" spans="1:55">
      <c r="A230" s="465"/>
      <c r="B230" s="465"/>
      <c r="C230" s="465"/>
      <c r="D230" s="467"/>
      <c r="E230" s="465"/>
      <c r="F230" s="465"/>
      <c r="G230" s="465"/>
      <c r="H230" s="465"/>
      <c r="I230" s="465"/>
      <c r="J230" s="465"/>
      <c r="K230" s="465"/>
      <c r="L230" s="465"/>
      <c r="M230" s="465"/>
      <c r="N230" s="465"/>
      <c r="O230" s="465"/>
      <c r="P230" s="465"/>
      <c r="Q230" s="465"/>
      <c r="R230" s="465"/>
      <c r="S230" s="465"/>
      <c r="T230" s="465"/>
      <c r="U230" s="465"/>
      <c r="V230" s="465"/>
      <c r="W230" s="465"/>
      <c r="X230" s="465"/>
      <c r="Y230" s="465"/>
      <c r="Z230" s="465"/>
      <c r="AA230" s="465"/>
      <c r="AB230" s="465"/>
      <c r="AC230" s="465"/>
      <c r="AD230" s="465"/>
      <c r="AE230" s="465"/>
      <c r="AF230" s="465"/>
      <c r="AG230" s="465"/>
      <c r="AH230" s="465"/>
      <c r="AI230" s="465"/>
      <c r="AJ230" s="465"/>
      <c r="AK230" s="465"/>
      <c r="AL230" s="465"/>
      <c r="AM230" s="465"/>
      <c r="AN230" s="465"/>
      <c r="AO230" s="465"/>
      <c r="AP230" s="465"/>
      <c r="AQ230" s="465"/>
      <c r="AR230" s="465"/>
      <c r="AS230" s="465"/>
      <c r="AT230" s="465"/>
      <c r="AU230" s="465"/>
      <c r="AV230" s="465"/>
      <c r="AW230" s="465"/>
      <c r="AX230" s="465"/>
      <c r="AY230" s="465"/>
      <c r="AZ230" s="465"/>
      <c r="BA230" s="465"/>
      <c r="BB230" s="465"/>
      <c r="BC230" s="465"/>
    </row>
    <row r="231" spans="1:55">
      <c r="A231" s="465"/>
      <c r="B231" s="465"/>
      <c r="C231" s="465"/>
      <c r="D231" s="467"/>
      <c r="E231" s="465"/>
      <c r="F231" s="465"/>
      <c r="G231" s="465"/>
      <c r="H231" s="465"/>
      <c r="I231" s="465"/>
      <c r="J231" s="465"/>
      <c r="K231" s="465"/>
      <c r="L231" s="465"/>
      <c r="M231" s="465"/>
      <c r="N231" s="465"/>
      <c r="O231" s="465"/>
      <c r="P231" s="465"/>
      <c r="Q231" s="465"/>
      <c r="R231" s="465"/>
      <c r="S231" s="465"/>
      <c r="T231" s="465"/>
      <c r="U231" s="465"/>
      <c r="V231" s="465"/>
      <c r="W231" s="465"/>
      <c r="X231" s="465"/>
      <c r="Y231" s="465"/>
      <c r="Z231" s="465"/>
      <c r="AA231" s="465"/>
      <c r="AB231" s="465"/>
      <c r="AC231" s="465"/>
      <c r="AD231" s="465"/>
      <c r="AE231" s="465"/>
      <c r="AF231" s="465"/>
      <c r="AG231" s="465"/>
      <c r="AH231" s="465"/>
      <c r="AI231" s="465"/>
      <c r="AJ231" s="465"/>
      <c r="AK231" s="465"/>
      <c r="AL231" s="465"/>
      <c r="AM231" s="465"/>
      <c r="AN231" s="465"/>
      <c r="AO231" s="465"/>
      <c r="AP231" s="465"/>
      <c r="AQ231" s="465"/>
      <c r="AR231" s="465"/>
      <c r="AS231" s="465"/>
      <c r="AT231" s="465"/>
      <c r="AU231" s="465"/>
      <c r="AV231" s="465"/>
      <c r="AW231" s="465"/>
      <c r="AX231" s="465"/>
      <c r="AY231" s="465"/>
      <c r="AZ231" s="465"/>
      <c r="BA231" s="465"/>
      <c r="BB231" s="465"/>
      <c r="BC231" s="465"/>
    </row>
    <row r="232" spans="1:55">
      <c r="A232" s="465"/>
      <c r="B232" s="465"/>
      <c r="C232" s="465"/>
      <c r="D232" s="467"/>
      <c r="E232" s="465"/>
      <c r="F232" s="465"/>
      <c r="G232" s="465"/>
      <c r="H232" s="465"/>
      <c r="I232" s="465"/>
      <c r="J232" s="465"/>
      <c r="K232" s="465"/>
      <c r="L232" s="465"/>
      <c r="M232" s="465"/>
      <c r="N232" s="465"/>
      <c r="O232" s="465"/>
      <c r="P232" s="465"/>
      <c r="Q232" s="465"/>
      <c r="R232" s="465"/>
      <c r="S232" s="465"/>
      <c r="T232" s="465"/>
      <c r="U232" s="465"/>
      <c r="V232" s="465"/>
      <c r="W232" s="465"/>
      <c r="X232" s="465"/>
      <c r="Y232" s="465"/>
      <c r="Z232" s="465"/>
      <c r="AA232" s="465"/>
      <c r="AB232" s="465"/>
      <c r="AC232" s="465"/>
      <c r="AD232" s="465"/>
      <c r="AE232" s="465"/>
      <c r="AF232" s="465"/>
      <c r="AG232" s="465"/>
      <c r="AH232" s="465"/>
      <c r="AI232" s="465"/>
      <c r="AJ232" s="465"/>
      <c r="AK232" s="465"/>
      <c r="AL232" s="465"/>
      <c r="AM232" s="465"/>
      <c r="AN232" s="465"/>
      <c r="AO232" s="465"/>
      <c r="AP232" s="465"/>
      <c r="AQ232" s="465"/>
      <c r="AR232" s="465"/>
      <c r="AS232" s="465"/>
      <c r="AT232" s="465"/>
      <c r="AU232" s="465"/>
      <c r="AV232" s="465"/>
      <c r="AW232" s="465"/>
      <c r="AX232" s="465"/>
      <c r="AY232" s="465"/>
      <c r="AZ232" s="465"/>
      <c r="BA232" s="465"/>
      <c r="BB232" s="465"/>
      <c r="BC232" s="465"/>
    </row>
    <row r="233" spans="1:55">
      <c r="A233" s="465"/>
      <c r="B233" s="465"/>
      <c r="C233" s="465"/>
      <c r="D233" s="467"/>
      <c r="E233" s="465"/>
      <c r="F233" s="465"/>
      <c r="G233" s="465"/>
      <c r="H233" s="465"/>
      <c r="I233" s="465"/>
      <c r="J233" s="465"/>
      <c r="K233" s="465"/>
      <c r="L233" s="465"/>
      <c r="M233" s="465"/>
      <c r="N233" s="465"/>
      <c r="O233" s="465"/>
      <c r="P233" s="465"/>
      <c r="Q233" s="465"/>
      <c r="R233" s="465"/>
      <c r="S233" s="465"/>
      <c r="T233" s="465"/>
      <c r="U233" s="465"/>
      <c r="V233" s="465"/>
      <c r="W233" s="465"/>
      <c r="X233" s="465"/>
      <c r="Y233" s="465"/>
      <c r="Z233" s="465"/>
      <c r="AA233" s="465"/>
      <c r="AB233" s="465"/>
      <c r="AC233" s="465"/>
      <c r="AD233" s="465"/>
      <c r="AE233" s="465"/>
      <c r="AF233" s="465"/>
      <c r="AG233" s="465"/>
      <c r="AH233" s="465"/>
      <c r="AI233" s="465"/>
      <c r="AJ233" s="465"/>
      <c r="AK233" s="465"/>
      <c r="AL233" s="465"/>
      <c r="AM233" s="465"/>
      <c r="AN233" s="465"/>
      <c r="AO233" s="465"/>
      <c r="AP233" s="465"/>
      <c r="AQ233" s="465"/>
      <c r="AR233" s="465"/>
      <c r="AS233" s="465"/>
      <c r="AT233" s="465"/>
      <c r="AU233" s="465"/>
      <c r="AV233" s="465"/>
      <c r="AW233" s="465"/>
      <c r="AX233" s="465"/>
      <c r="AY233" s="465"/>
      <c r="AZ233" s="465"/>
      <c r="BA233" s="465"/>
      <c r="BB233" s="465"/>
      <c r="BC233" s="465"/>
    </row>
    <row r="234" spans="1:55">
      <c r="A234" s="465"/>
      <c r="B234" s="465"/>
      <c r="C234" s="465"/>
      <c r="D234" s="467"/>
      <c r="E234" s="465"/>
      <c r="F234" s="465"/>
      <c r="G234" s="465"/>
      <c r="H234" s="465"/>
      <c r="I234" s="465"/>
      <c r="J234" s="465"/>
      <c r="K234" s="465"/>
      <c r="L234" s="465"/>
      <c r="M234" s="465"/>
      <c r="N234" s="465"/>
      <c r="O234" s="465"/>
      <c r="P234" s="465"/>
      <c r="Q234" s="465"/>
      <c r="R234" s="465"/>
      <c r="S234" s="465"/>
      <c r="T234" s="465"/>
      <c r="U234" s="465"/>
      <c r="V234" s="465"/>
      <c r="W234" s="465"/>
      <c r="X234" s="465"/>
      <c r="Y234" s="465"/>
      <c r="Z234" s="465"/>
      <c r="AA234" s="465"/>
      <c r="AB234" s="465"/>
      <c r="AC234" s="465"/>
      <c r="AD234" s="465"/>
      <c r="AE234" s="465"/>
      <c r="AF234" s="465"/>
      <c r="AG234" s="465"/>
      <c r="AH234" s="465"/>
      <c r="AI234" s="465"/>
      <c r="AJ234" s="465"/>
      <c r="AK234" s="465"/>
      <c r="AL234" s="465"/>
      <c r="AM234" s="465"/>
      <c r="AN234" s="465"/>
      <c r="AO234" s="465"/>
      <c r="AP234" s="465"/>
      <c r="AQ234" s="465"/>
      <c r="AR234" s="465"/>
      <c r="AS234" s="465"/>
      <c r="AT234" s="465"/>
      <c r="AU234" s="465"/>
      <c r="AV234" s="465"/>
      <c r="AW234" s="465"/>
      <c r="AX234" s="465"/>
      <c r="AY234" s="465"/>
      <c r="AZ234" s="465"/>
      <c r="BA234" s="465"/>
      <c r="BB234" s="465"/>
      <c r="BC234" s="465"/>
    </row>
    <row r="235" spans="1:55">
      <c r="A235" s="465"/>
      <c r="B235" s="465"/>
      <c r="C235" s="465"/>
      <c r="D235" s="467"/>
      <c r="E235" s="465"/>
      <c r="F235" s="465"/>
      <c r="G235" s="465"/>
      <c r="H235" s="465"/>
      <c r="I235" s="465"/>
      <c r="J235" s="465"/>
      <c r="K235" s="465"/>
      <c r="L235" s="465"/>
      <c r="M235" s="465"/>
      <c r="N235" s="465"/>
      <c r="O235" s="465"/>
      <c r="P235" s="465"/>
      <c r="Q235" s="465"/>
      <c r="R235" s="465"/>
      <c r="S235" s="465"/>
      <c r="T235" s="465"/>
      <c r="U235" s="465"/>
      <c r="V235" s="465"/>
      <c r="W235" s="465"/>
      <c r="X235" s="465"/>
      <c r="Y235" s="465"/>
      <c r="Z235" s="465"/>
      <c r="AA235" s="465"/>
      <c r="AB235" s="465"/>
      <c r="AC235" s="465"/>
      <c r="AD235" s="465"/>
      <c r="AE235" s="465"/>
      <c r="AF235" s="465"/>
      <c r="AG235" s="465"/>
      <c r="AH235" s="465"/>
      <c r="AI235" s="465"/>
      <c r="AJ235" s="465"/>
      <c r="AK235" s="465"/>
      <c r="AL235" s="465"/>
      <c r="AM235" s="465"/>
      <c r="AN235" s="465"/>
      <c r="AO235" s="465"/>
      <c r="AP235" s="465"/>
      <c r="AQ235" s="465"/>
      <c r="AR235" s="465"/>
      <c r="AS235" s="465"/>
      <c r="AT235" s="465"/>
      <c r="AU235" s="465"/>
      <c r="AV235" s="465"/>
      <c r="AW235" s="465"/>
      <c r="AX235" s="465"/>
      <c r="AY235" s="465"/>
      <c r="AZ235" s="465"/>
      <c r="BA235" s="465"/>
      <c r="BB235" s="465"/>
      <c r="BC235" s="465"/>
    </row>
    <row r="236" spans="1:55">
      <c r="A236" s="465"/>
      <c r="B236" s="465"/>
      <c r="C236" s="465"/>
      <c r="D236" s="467"/>
      <c r="E236" s="465"/>
      <c r="F236" s="465"/>
      <c r="G236" s="465"/>
      <c r="H236" s="465"/>
      <c r="I236" s="465"/>
      <c r="J236" s="465"/>
      <c r="K236" s="465"/>
      <c r="L236" s="465"/>
      <c r="M236" s="465"/>
      <c r="N236" s="465"/>
      <c r="O236" s="465"/>
      <c r="P236" s="465"/>
      <c r="Q236" s="465"/>
      <c r="R236" s="465"/>
      <c r="S236" s="465"/>
      <c r="T236" s="465"/>
      <c r="U236" s="465"/>
      <c r="V236" s="465"/>
      <c r="W236" s="465"/>
      <c r="X236" s="465"/>
      <c r="Y236" s="465"/>
      <c r="Z236" s="465"/>
      <c r="AA236" s="465"/>
      <c r="AB236" s="465"/>
      <c r="AC236" s="465"/>
      <c r="AD236" s="465"/>
      <c r="AE236" s="465"/>
      <c r="AF236" s="465"/>
      <c r="AG236" s="465"/>
      <c r="AH236" s="465"/>
      <c r="AI236" s="465"/>
      <c r="AJ236" s="465"/>
      <c r="AK236" s="465"/>
      <c r="AL236" s="465"/>
      <c r="AM236" s="465"/>
      <c r="AN236" s="465"/>
      <c r="AO236" s="465"/>
      <c r="AP236" s="465"/>
      <c r="AQ236" s="465"/>
      <c r="AR236" s="465"/>
      <c r="AS236" s="465"/>
      <c r="AT236" s="465"/>
      <c r="AU236" s="465"/>
      <c r="AV236" s="465"/>
      <c r="AW236" s="465"/>
      <c r="AX236" s="465"/>
      <c r="AY236" s="465"/>
      <c r="AZ236" s="465"/>
      <c r="BA236" s="465"/>
      <c r="BB236" s="465"/>
      <c r="BC236" s="465"/>
    </row>
    <row r="237" spans="1:55">
      <c r="A237" s="465"/>
      <c r="B237" s="465"/>
      <c r="C237" s="465"/>
      <c r="D237" s="467"/>
      <c r="E237" s="465"/>
      <c r="F237" s="465"/>
      <c r="G237" s="465"/>
      <c r="H237" s="465"/>
      <c r="I237" s="465"/>
      <c r="J237" s="465"/>
      <c r="K237" s="465"/>
      <c r="L237" s="465"/>
      <c r="M237" s="465"/>
      <c r="N237" s="465"/>
      <c r="O237" s="465"/>
      <c r="P237" s="465"/>
      <c r="Q237" s="465"/>
      <c r="R237" s="465"/>
      <c r="S237" s="465"/>
      <c r="T237" s="465"/>
      <c r="U237" s="465"/>
      <c r="V237" s="465"/>
      <c r="W237" s="465"/>
      <c r="X237" s="465"/>
      <c r="Y237" s="465"/>
      <c r="Z237" s="465"/>
      <c r="AA237" s="465"/>
      <c r="AB237" s="465"/>
      <c r="AC237" s="465"/>
      <c r="AD237" s="465"/>
      <c r="AE237" s="465"/>
      <c r="AF237" s="465"/>
      <c r="AG237" s="465"/>
      <c r="AH237" s="465"/>
      <c r="AI237" s="465"/>
      <c r="AJ237" s="465"/>
      <c r="AK237" s="465"/>
      <c r="AL237" s="465"/>
      <c r="AM237" s="465"/>
      <c r="AN237" s="465"/>
      <c r="AO237" s="465"/>
      <c r="AP237" s="465"/>
      <c r="AQ237" s="465"/>
      <c r="AR237" s="465"/>
      <c r="AS237" s="465"/>
      <c r="AT237" s="465"/>
      <c r="AU237" s="465"/>
      <c r="AV237" s="465"/>
      <c r="AW237" s="465"/>
      <c r="AX237" s="465"/>
      <c r="AY237" s="465"/>
      <c r="AZ237" s="465"/>
      <c r="BA237" s="465"/>
      <c r="BB237" s="465"/>
      <c r="BC237" s="465"/>
    </row>
    <row r="238" spans="1:55">
      <c r="A238" s="465"/>
      <c r="B238" s="465"/>
      <c r="C238" s="465"/>
      <c r="D238" s="467"/>
      <c r="E238" s="465"/>
      <c r="F238" s="465"/>
      <c r="G238" s="465"/>
      <c r="H238" s="465"/>
      <c r="I238" s="465"/>
      <c r="J238" s="465"/>
      <c r="K238" s="465"/>
      <c r="L238" s="465"/>
      <c r="M238" s="465"/>
      <c r="N238" s="465"/>
      <c r="O238" s="465"/>
      <c r="P238" s="465"/>
      <c r="Q238" s="465"/>
      <c r="R238" s="465"/>
      <c r="S238" s="465"/>
      <c r="T238" s="465"/>
      <c r="U238" s="465"/>
      <c r="V238" s="465"/>
      <c r="W238" s="465"/>
      <c r="X238" s="465"/>
      <c r="Y238" s="465"/>
      <c r="Z238" s="465"/>
      <c r="AA238" s="465"/>
      <c r="AB238" s="465"/>
      <c r="AC238" s="465"/>
      <c r="AD238" s="465"/>
      <c r="AE238" s="465"/>
      <c r="AF238" s="465"/>
      <c r="AG238" s="465"/>
      <c r="AH238" s="465"/>
      <c r="AI238" s="465"/>
      <c r="AJ238" s="465"/>
      <c r="AK238" s="465"/>
      <c r="AL238" s="465"/>
      <c r="AM238" s="465"/>
      <c r="AN238" s="465"/>
      <c r="AO238" s="465"/>
      <c r="AP238" s="465"/>
      <c r="AQ238" s="465"/>
      <c r="AR238" s="465"/>
      <c r="AS238" s="465"/>
      <c r="AT238" s="465"/>
      <c r="AU238" s="465"/>
      <c r="AV238" s="465"/>
      <c r="AW238" s="465"/>
      <c r="AX238" s="465"/>
      <c r="AY238" s="465"/>
      <c r="AZ238" s="465"/>
      <c r="BA238" s="465"/>
      <c r="BB238" s="465"/>
      <c r="BC238" s="465"/>
    </row>
    <row r="239" spans="1:55">
      <c r="A239" s="465"/>
      <c r="B239" s="465"/>
      <c r="C239" s="465"/>
      <c r="D239" s="467"/>
      <c r="E239" s="465"/>
      <c r="F239" s="465"/>
      <c r="G239" s="465"/>
      <c r="H239" s="465"/>
      <c r="I239" s="465"/>
      <c r="J239" s="465"/>
      <c r="K239" s="465"/>
      <c r="L239" s="465"/>
      <c r="M239" s="465"/>
      <c r="N239" s="465"/>
      <c r="O239" s="465"/>
      <c r="P239" s="465"/>
      <c r="Q239" s="465"/>
      <c r="R239" s="465"/>
      <c r="S239" s="465"/>
      <c r="T239" s="465"/>
      <c r="U239" s="465"/>
      <c r="V239" s="465"/>
      <c r="W239" s="465"/>
      <c r="X239" s="465"/>
      <c r="Y239" s="465"/>
      <c r="Z239" s="465"/>
      <c r="AA239" s="465"/>
      <c r="AB239" s="465"/>
      <c r="AC239" s="465"/>
      <c r="AD239" s="465"/>
      <c r="AE239" s="465"/>
      <c r="AF239" s="465"/>
      <c r="AG239" s="465"/>
      <c r="AH239" s="465"/>
      <c r="AI239" s="465"/>
      <c r="AJ239" s="465"/>
      <c r="AK239" s="465"/>
      <c r="AL239" s="465"/>
      <c r="AM239" s="465"/>
      <c r="AN239" s="465"/>
      <c r="AO239" s="465"/>
      <c r="AP239" s="465"/>
      <c r="AQ239" s="465"/>
      <c r="AR239" s="465"/>
      <c r="AS239" s="465"/>
      <c r="AT239" s="465"/>
      <c r="AU239" s="465"/>
      <c r="AV239" s="465"/>
      <c r="AW239" s="465"/>
      <c r="AX239" s="465"/>
      <c r="AY239" s="465"/>
      <c r="AZ239" s="465"/>
      <c r="BA239" s="465"/>
      <c r="BB239" s="465"/>
      <c r="BC239" s="465"/>
    </row>
    <row r="240" spans="1:55">
      <c r="A240" s="465"/>
      <c r="B240" s="465"/>
      <c r="C240" s="465"/>
      <c r="D240" s="467"/>
      <c r="E240" s="465"/>
      <c r="F240" s="465"/>
      <c r="G240" s="465"/>
      <c r="H240" s="465"/>
      <c r="I240" s="465"/>
      <c r="J240" s="465"/>
      <c r="K240" s="465"/>
      <c r="L240" s="465"/>
      <c r="M240" s="465"/>
      <c r="N240" s="465"/>
      <c r="O240" s="465"/>
      <c r="P240" s="465"/>
      <c r="Q240" s="465"/>
      <c r="R240" s="465"/>
      <c r="S240" s="465"/>
      <c r="T240" s="465"/>
      <c r="U240" s="465"/>
      <c r="V240" s="465"/>
      <c r="W240" s="465"/>
      <c r="X240" s="465"/>
      <c r="Y240" s="465"/>
      <c r="Z240" s="465"/>
      <c r="AA240" s="465"/>
      <c r="AB240" s="465"/>
      <c r="AC240" s="465"/>
      <c r="AD240" s="465"/>
      <c r="AE240" s="465"/>
      <c r="AF240" s="465"/>
      <c r="AG240" s="465"/>
      <c r="AH240" s="465"/>
      <c r="AI240" s="465"/>
      <c r="AJ240" s="465"/>
      <c r="AK240" s="465"/>
      <c r="AL240" s="465"/>
      <c r="AM240" s="465"/>
      <c r="AN240" s="465"/>
      <c r="AO240" s="465"/>
      <c r="AP240" s="465"/>
      <c r="AQ240" s="465"/>
      <c r="AR240" s="465"/>
      <c r="AS240" s="465"/>
      <c r="AT240" s="465"/>
      <c r="AU240" s="465"/>
      <c r="AV240" s="465"/>
      <c r="AW240" s="465"/>
      <c r="AX240" s="465"/>
      <c r="AY240" s="465"/>
      <c r="AZ240" s="465"/>
      <c r="BA240" s="465"/>
      <c r="BB240" s="465"/>
      <c r="BC240" s="465"/>
    </row>
    <row r="241" spans="1:55">
      <c r="A241" s="465"/>
      <c r="B241" s="465"/>
      <c r="C241" s="465"/>
      <c r="D241" s="467"/>
      <c r="E241" s="465"/>
      <c r="F241" s="465"/>
      <c r="G241" s="465"/>
      <c r="H241" s="465"/>
      <c r="I241" s="465"/>
      <c r="J241" s="465"/>
      <c r="K241" s="465"/>
      <c r="L241" s="465"/>
      <c r="M241" s="465"/>
      <c r="N241" s="465"/>
      <c r="O241" s="465"/>
      <c r="P241" s="465"/>
      <c r="Q241" s="465"/>
      <c r="R241" s="465"/>
      <c r="S241" s="465"/>
      <c r="T241" s="465"/>
      <c r="U241" s="465"/>
      <c r="V241" s="465"/>
      <c r="W241" s="465"/>
      <c r="X241" s="465"/>
      <c r="Y241" s="465"/>
      <c r="Z241" s="465"/>
      <c r="AA241" s="465"/>
      <c r="AB241" s="465"/>
      <c r="AC241" s="465"/>
      <c r="AD241" s="465"/>
      <c r="AE241" s="465"/>
      <c r="AF241" s="465"/>
      <c r="AG241" s="465"/>
      <c r="AH241" s="465"/>
      <c r="AI241" s="465"/>
      <c r="AJ241" s="465"/>
      <c r="AK241" s="465"/>
      <c r="AL241" s="465"/>
      <c r="AM241" s="465"/>
      <c r="AN241" s="465"/>
      <c r="AO241" s="465"/>
      <c r="AP241" s="465"/>
      <c r="AQ241" s="465"/>
      <c r="AR241" s="465"/>
      <c r="AS241" s="465"/>
      <c r="AT241" s="465"/>
      <c r="AU241" s="465"/>
      <c r="AV241" s="465"/>
      <c r="AW241" s="465"/>
      <c r="AX241" s="465"/>
      <c r="AY241" s="465"/>
      <c r="AZ241" s="465"/>
      <c r="BA241" s="465"/>
      <c r="BB241" s="465"/>
      <c r="BC241" s="465"/>
    </row>
    <row r="242" spans="1:55">
      <c r="A242" s="465"/>
      <c r="B242" s="465"/>
      <c r="C242" s="465"/>
      <c r="D242" s="467"/>
      <c r="E242" s="465"/>
      <c r="F242" s="465"/>
      <c r="G242" s="465"/>
      <c r="H242" s="465"/>
      <c r="I242" s="465"/>
      <c r="J242" s="465"/>
      <c r="K242" s="465"/>
      <c r="L242" s="465"/>
      <c r="M242" s="465"/>
      <c r="N242" s="465"/>
      <c r="O242" s="465"/>
      <c r="P242" s="465"/>
      <c r="Q242" s="465"/>
      <c r="R242" s="465"/>
      <c r="S242" s="465"/>
      <c r="T242" s="465"/>
      <c r="U242" s="465"/>
      <c r="V242" s="465"/>
      <c r="W242" s="465"/>
      <c r="X242" s="465"/>
      <c r="Y242" s="465"/>
      <c r="Z242" s="465"/>
      <c r="AA242" s="465"/>
      <c r="AB242" s="465"/>
      <c r="AC242" s="465"/>
      <c r="AD242" s="465"/>
      <c r="AE242" s="465"/>
      <c r="AF242" s="465"/>
      <c r="AG242" s="465"/>
      <c r="AH242" s="465"/>
      <c r="AI242" s="465"/>
      <c r="AJ242" s="465"/>
      <c r="AK242" s="465"/>
      <c r="AL242" s="465"/>
      <c r="AM242" s="465"/>
      <c r="AN242" s="465"/>
      <c r="AO242" s="465"/>
      <c r="AP242" s="465"/>
      <c r="AQ242" s="465"/>
      <c r="AR242" s="465"/>
      <c r="AS242" s="465"/>
      <c r="AT242" s="465"/>
      <c r="AU242" s="465"/>
      <c r="AV242" s="465"/>
      <c r="AW242" s="465"/>
      <c r="AX242" s="465"/>
      <c r="AY242" s="465"/>
      <c r="AZ242" s="465"/>
      <c r="BA242" s="465"/>
      <c r="BB242" s="465"/>
      <c r="BC242" s="465"/>
    </row>
    <row r="243" spans="1:55">
      <c r="A243" s="465"/>
      <c r="B243" s="465"/>
      <c r="C243" s="465"/>
      <c r="D243" s="467"/>
      <c r="E243" s="465"/>
      <c r="F243" s="465"/>
      <c r="G243" s="465"/>
      <c r="H243" s="465"/>
      <c r="I243" s="465"/>
      <c r="J243" s="465"/>
      <c r="K243" s="465"/>
      <c r="L243" s="465"/>
      <c r="M243" s="465"/>
      <c r="N243" s="465"/>
      <c r="O243" s="465"/>
      <c r="P243" s="465"/>
      <c r="Q243" s="465"/>
      <c r="R243" s="465"/>
      <c r="S243" s="465"/>
      <c r="T243" s="465"/>
      <c r="U243" s="465"/>
      <c r="V243" s="465"/>
      <c r="W243" s="465"/>
      <c r="X243" s="465"/>
      <c r="Y243" s="465"/>
      <c r="Z243" s="465"/>
      <c r="AA243" s="465"/>
      <c r="AB243" s="465"/>
      <c r="AC243" s="465"/>
      <c r="AD243" s="465"/>
      <c r="AE243" s="465"/>
      <c r="AF243" s="465"/>
      <c r="AG243" s="465"/>
      <c r="AH243" s="465"/>
      <c r="AI243" s="465"/>
      <c r="AJ243" s="465"/>
      <c r="AK243" s="465"/>
      <c r="AL243" s="465"/>
      <c r="AM243" s="465"/>
      <c r="AN243" s="465"/>
      <c r="AO243" s="465"/>
      <c r="AP243" s="465"/>
      <c r="AQ243" s="465"/>
      <c r="AR243" s="465"/>
      <c r="AS243" s="465"/>
      <c r="AT243" s="465"/>
      <c r="AU243" s="465"/>
      <c r="AV243" s="465"/>
      <c r="AW243" s="465"/>
      <c r="AX243" s="465"/>
      <c r="AY243" s="465"/>
      <c r="AZ243" s="465"/>
      <c r="BA243" s="465"/>
      <c r="BB243" s="465"/>
      <c r="BC243" s="465"/>
    </row>
    <row r="244" spans="1:55">
      <c r="A244" s="465"/>
      <c r="B244" s="465"/>
      <c r="C244" s="465"/>
      <c r="D244" s="467"/>
      <c r="E244" s="465"/>
      <c r="F244" s="465"/>
      <c r="G244" s="465"/>
      <c r="H244" s="465"/>
      <c r="I244" s="465"/>
      <c r="J244" s="465"/>
      <c r="K244" s="465"/>
      <c r="L244" s="465"/>
      <c r="M244" s="465"/>
      <c r="N244" s="465"/>
      <c r="O244" s="465"/>
      <c r="P244" s="465"/>
      <c r="Q244" s="465"/>
      <c r="R244" s="465"/>
      <c r="S244" s="465"/>
      <c r="T244" s="465"/>
      <c r="U244" s="465"/>
      <c r="V244" s="465"/>
      <c r="W244" s="465"/>
      <c r="X244" s="465"/>
      <c r="Y244" s="465"/>
      <c r="Z244" s="465"/>
      <c r="AA244" s="465"/>
      <c r="AB244" s="465"/>
      <c r="AC244" s="465"/>
      <c r="AD244" s="465"/>
      <c r="AE244" s="465"/>
      <c r="AF244" s="465"/>
      <c r="AG244" s="465"/>
      <c r="AH244" s="465"/>
      <c r="AI244" s="465"/>
      <c r="AJ244" s="465"/>
      <c r="AK244" s="465"/>
      <c r="AL244" s="465"/>
      <c r="AM244" s="465"/>
      <c r="AN244" s="465"/>
      <c r="AO244" s="465"/>
      <c r="AP244" s="465"/>
      <c r="AQ244" s="465"/>
      <c r="AR244" s="465"/>
      <c r="AS244" s="465"/>
      <c r="AT244" s="465"/>
      <c r="AU244" s="465"/>
      <c r="AV244" s="465"/>
      <c r="AW244" s="465"/>
      <c r="AX244" s="465"/>
      <c r="AY244" s="465"/>
      <c r="AZ244" s="465"/>
      <c r="BA244" s="465"/>
      <c r="BB244" s="465"/>
      <c r="BC244" s="465"/>
    </row>
    <row r="245" spans="1:55">
      <c r="A245" s="465"/>
      <c r="B245" s="465"/>
      <c r="C245" s="465"/>
      <c r="D245" s="467"/>
      <c r="E245" s="465"/>
      <c r="F245" s="465"/>
      <c r="G245" s="465"/>
      <c r="H245" s="465"/>
      <c r="I245" s="465"/>
      <c r="J245" s="465"/>
      <c r="K245" s="465"/>
      <c r="L245" s="465"/>
      <c r="M245" s="465"/>
      <c r="N245" s="465"/>
      <c r="O245" s="465"/>
      <c r="P245" s="465"/>
      <c r="Q245" s="465"/>
      <c r="R245" s="465"/>
      <c r="S245" s="465"/>
      <c r="T245" s="465"/>
      <c r="U245" s="465"/>
      <c r="V245" s="465"/>
      <c r="W245" s="465"/>
      <c r="X245" s="465"/>
      <c r="Y245" s="465"/>
      <c r="Z245" s="465"/>
      <c r="AA245" s="465"/>
      <c r="AB245" s="465"/>
      <c r="AC245" s="465"/>
      <c r="AD245" s="465"/>
      <c r="AE245" s="465"/>
      <c r="AF245" s="465"/>
      <c r="AG245" s="465"/>
      <c r="AH245" s="465"/>
      <c r="AI245" s="465"/>
      <c r="AJ245" s="465"/>
      <c r="AK245" s="465"/>
      <c r="AL245" s="465"/>
      <c r="AM245" s="465"/>
      <c r="AN245" s="465"/>
      <c r="AO245" s="465"/>
      <c r="AP245" s="465"/>
      <c r="AQ245" s="465"/>
      <c r="AR245" s="465"/>
      <c r="AS245" s="465"/>
      <c r="AT245" s="465"/>
      <c r="AU245" s="465"/>
      <c r="AV245" s="465"/>
      <c r="AW245" s="465"/>
      <c r="AX245" s="465"/>
      <c r="AY245" s="465"/>
      <c r="AZ245" s="465"/>
      <c r="BA245" s="465"/>
      <c r="BB245" s="465"/>
      <c r="BC245" s="465"/>
    </row>
    <row r="246" spans="1:55">
      <c r="A246" s="465"/>
      <c r="B246" s="465"/>
      <c r="C246" s="465"/>
      <c r="D246" s="467"/>
      <c r="E246" s="465"/>
      <c r="F246" s="465"/>
      <c r="G246" s="465"/>
      <c r="H246" s="465"/>
      <c r="I246" s="465"/>
      <c r="J246" s="465"/>
      <c r="K246" s="465"/>
      <c r="L246" s="465"/>
      <c r="M246" s="465"/>
      <c r="N246" s="465"/>
      <c r="O246" s="465"/>
      <c r="P246" s="465"/>
      <c r="Q246" s="465"/>
      <c r="R246" s="465"/>
      <c r="S246" s="465"/>
      <c r="T246" s="465"/>
      <c r="U246" s="465"/>
      <c r="V246" s="465"/>
      <c r="W246" s="465"/>
      <c r="X246" s="465"/>
      <c r="Y246" s="465"/>
      <c r="Z246" s="465"/>
      <c r="AA246" s="465"/>
      <c r="AB246" s="465"/>
      <c r="AC246" s="465"/>
      <c r="AD246" s="465"/>
      <c r="AE246" s="465"/>
      <c r="AF246" s="465"/>
      <c r="AG246" s="465"/>
      <c r="AH246" s="465"/>
      <c r="AI246" s="465"/>
      <c r="AJ246" s="465"/>
      <c r="AK246" s="465"/>
      <c r="AL246" s="465"/>
      <c r="AM246" s="465"/>
      <c r="AN246" s="465"/>
      <c r="AO246" s="465"/>
      <c r="AP246" s="465"/>
      <c r="AQ246" s="465"/>
      <c r="AR246" s="465"/>
      <c r="AS246" s="465"/>
      <c r="AT246" s="465"/>
      <c r="AU246" s="465"/>
      <c r="AV246" s="465"/>
      <c r="AW246" s="465"/>
      <c r="AX246" s="465"/>
      <c r="AY246" s="465"/>
      <c r="AZ246" s="465"/>
      <c r="BA246" s="465"/>
      <c r="BB246" s="465"/>
      <c r="BC246" s="465"/>
    </row>
    <row r="247" spans="1:55">
      <c r="A247" s="465"/>
      <c r="B247" s="465"/>
      <c r="C247" s="465"/>
      <c r="D247" s="467"/>
      <c r="E247" s="465"/>
      <c r="F247" s="465"/>
      <c r="G247" s="465"/>
      <c r="H247" s="465"/>
      <c r="I247" s="465"/>
      <c r="J247" s="465"/>
      <c r="K247" s="465"/>
      <c r="L247" s="465"/>
      <c r="M247" s="465"/>
      <c r="N247" s="465"/>
      <c r="O247" s="465"/>
      <c r="P247" s="465"/>
      <c r="Q247" s="465"/>
      <c r="R247" s="465"/>
      <c r="S247" s="465"/>
      <c r="T247" s="465"/>
      <c r="U247" s="465"/>
      <c r="V247" s="465"/>
      <c r="W247" s="465"/>
      <c r="X247" s="465"/>
      <c r="Y247" s="465"/>
      <c r="Z247" s="465"/>
      <c r="AA247" s="465"/>
      <c r="AB247" s="465"/>
      <c r="AC247" s="465"/>
      <c r="AD247" s="465"/>
      <c r="AE247" s="465"/>
      <c r="AF247" s="465"/>
      <c r="AG247" s="465"/>
      <c r="AH247" s="465"/>
      <c r="AI247" s="465"/>
      <c r="AJ247" s="465"/>
      <c r="AK247" s="465"/>
      <c r="AL247" s="465"/>
      <c r="AM247" s="465"/>
      <c r="AN247" s="465"/>
      <c r="AO247" s="465"/>
      <c r="AP247" s="465"/>
      <c r="AQ247" s="465"/>
      <c r="AR247" s="465"/>
      <c r="AS247" s="465"/>
      <c r="AT247" s="465"/>
      <c r="AU247" s="465"/>
      <c r="AV247" s="465"/>
      <c r="AW247" s="465"/>
      <c r="AX247" s="465"/>
      <c r="AY247" s="465"/>
      <c r="AZ247" s="465"/>
      <c r="BA247" s="465"/>
      <c r="BB247" s="465"/>
      <c r="BC247" s="465"/>
    </row>
    <row r="248" spans="1:55">
      <c r="A248" s="465"/>
      <c r="B248" s="465"/>
      <c r="C248" s="465"/>
      <c r="D248" s="467"/>
      <c r="E248" s="465"/>
      <c r="F248" s="465"/>
      <c r="G248" s="465"/>
      <c r="H248" s="465"/>
      <c r="I248" s="465"/>
      <c r="J248" s="465"/>
      <c r="K248" s="465"/>
      <c r="L248" s="465"/>
      <c r="M248" s="465"/>
      <c r="N248" s="465"/>
      <c r="O248" s="465"/>
      <c r="P248" s="465"/>
      <c r="Q248" s="465"/>
      <c r="R248" s="465"/>
      <c r="S248" s="465"/>
      <c r="T248" s="465"/>
      <c r="U248" s="465"/>
      <c r="V248" s="465"/>
      <c r="W248" s="465"/>
      <c r="X248" s="465"/>
      <c r="Y248" s="465"/>
      <c r="Z248" s="465"/>
      <c r="AA248" s="465"/>
      <c r="AB248" s="465"/>
      <c r="AC248" s="465"/>
      <c r="AD248" s="465"/>
      <c r="AE248" s="465"/>
      <c r="AF248" s="465"/>
      <c r="AG248" s="465"/>
      <c r="AH248" s="465"/>
      <c r="AI248" s="465"/>
      <c r="AJ248" s="465"/>
      <c r="AK248" s="465"/>
      <c r="AL248" s="465"/>
      <c r="AM248" s="465"/>
      <c r="AN248" s="465"/>
      <c r="AO248" s="465"/>
      <c r="AP248" s="465"/>
      <c r="AQ248" s="465"/>
      <c r="AR248" s="465"/>
      <c r="AS248" s="465"/>
      <c r="AT248" s="465"/>
      <c r="AU248" s="465"/>
      <c r="AV248" s="465"/>
      <c r="AW248" s="465"/>
      <c r="AX248" s="465"/>
      <c r="AY248" s="465"/>
      <c r="AZ248" s="465"/>
      <c r="BA248" s="465"/>
      <c r="BB248" s="465"/>
      <c r="BC248" s="465"/>
    </row>
    <row r="249" spans="1:55">
      <c r="A249" s="465"/>
      <c r="B249" s="465"/>
      <c r="C249" s="465"/>
      <c r="D249" s="467"/>
      <c r="E249" s="465"/>
      <c r="F249" s="465"/>
      <c r="G249" s="465"/>
      <c r="H249" s="465"/>
      <c r="I249" s="465"/>
      <c r="J249" s="465"/>
      <c r="K249" s="465"/>
      <c r="L249" s="465"/>
      <c r="M249" s="465"/>
      <c r="N249" s="465"/>
      <c r="O249" s="465"/>
      <c r="P249" s="465"/>
      <c r="Q249" s="465"/>
      <c r="R249" s="465"/>
      <c r="S249" s="465"/>
      <c r="T249" s="465"/>
      <c r="U249" s="465"/>
      <c r="V249" s="465"/>
      <c r="W249" s="465"/>
      <c r="X249" s="465"/>
      <c r="Y249" s="465"/>
      <c r="Z249" s="465"/>
      <c r="AA249" s="465"/>
      <c r="AB249" s="465"/>
      <c r="AC249" s="465"/>
      <c r="AD249" s="465"/>
      <c r="AE249" s="465"/>
      <c r="AF249" s="465"/>
      <c r="AG249" s="465"/>
      <c r="AH249" s="465"/>
      <c r="AI249" s="465"/>
      <c r="AJ249" s="465"/>
      <c r="AK249" s="465"/>
      <c r="AL249" s="465"/>
      <c r="AM249" s="465"/>
      <c r="AN249" s="465"/>
      <c r="AO249" s="465"/>
      <c r="AP249" s="465"/>
      <c r="AQ249" s="465"/>
      <c r="AR249" s="465"/>
      <c r="AS249" s="465"/>
      <c r="AT249" s="465"/>
      <c r="AU249" s="465"/>
      <c r="AV249" s="465"/>
      <c r="AW249" s="465"/>
      <c r="AX249" s="465"/>
      <c r="AY249" s="465"/>
      <c r="AZ249" s="465"/>
      <c r="BA249" s="465"/>
      <c r="BB249" s="465"/>
      <c r="BC249" s="465"/>
    </row>
    <row r="250" spans="1:55">
      <c r="A250" s="465"/>
      <c r="B250" s="465"/>
      <c r="C250" s="465"/>
      <c r="D250" s="467"/>
      <c r="E250" s="465"/>
      <c r="F250" s="465"/>
      <c r="G250" s="465"/>
      <c r="H250" s="465"/>
      <c r="I250" s="465"/>
      <c r="J250" s="465"/>
      <c r="K250" s="465"/>
      <c r="L250" s="465"/>
      <c r="M250" s="465"/>
      <c r="N250" s="465"/>
      <c r="O250" s="465"/>
      <c r="P250" s="465"/>
      <c r="Q250" s="465"/>
      <c r="R250" s="465"/>
      <c r="S250" s="465"/>
      <c r="T250" s="465"/>
      <c r="U250" s="465"/>
      <c r="V250" s="465"/>
      <c r="W250" s="465"/>
      <c r="X250" s="465"/>
      <c r="Y250" s="465"/>
      <c r="Z250" s="465"/>
      <c r="AA250" s="465"/>
      <c r="AB250" s="465"/>
      <c r="AC250" s="465"/>
      <c r="AD250" s="465"/>
      <c r="AE250" s="465"/>
      <c r="AF250" s="465"/>
      <c r="AG250" s="465"/>
      <c r="AH250" s="465"/>
      <c r="AI250" s="465"/>
      <c r="AJ250" s="465"/>
      <c r="AK250" s="465"/>
      <c r="AL250" s="465"/>
      <c r="AM250" s="465"/>
      <c r="AN250" s="465"/>
      <c r="AO250" s="465"/>
      <c r="AP250" s="465"/>
      <c r="AQ250" s="465"/>
      <c r="AR250" s="465"/>
      <c r="AS250" s="465"/>
      <c r="AT250" s="465"/>
      <c r="AU250" s="465"/>
      <c r="AV250" s="465"/>
      <c r="AW250" s="465"/>
      <c r="AX250" s="465"/>
      <c r="AY250" s="465"/>
      <c r="AZ250" s="465"/>
      <c r="BA250" s="465"/>
      <c r="BB250" s="465"/>
      <c r="BC250" s="465"/>
    </row>
    <row r="251" spans="1:55">
      <c r="A251" s="465"/>
      <c r="B251" s="465"/>
      <c r="C251" s="465"/>
      <c r="D251" s="467"/>
      <c r="E251" s="465"/>
      <c r="F251" s="465"/>
      <c r="G251" s="465"/>
      <c r="H251" s="465"/>
      <c r="I251" s="465"/>
      <c r="J251" s="465"/>
      <c r="K251" s="465"/>
      <c r="L251" s="465"/>
      <c r="M251" s="465"/>
      <c r="N251" s="465"/>
      <c r="O251" s="465"/>
      <c r="P251" s="465"/>
      <c r="Q251" s="465"/>
      <c r="R251" s="465"/>
      <c r="S251" s="465"/>
      <c r="T251" s="465"/>
      <c r="U251" s="465"/>
      <c r="V251" s="465"/>
      <c r="W251" s="465"/>
      <c r="X251" s="465"/>
      <c r="Y251" s="465"/>
      <c r="Z251" s="465"/>
      <c r="AA251" s="465"/>
      <c r="AB251" s="465"/>
      <c r="AC251" s="465"/>
      <c r="AD251" s="465"/>
      <c r="AE251" s="465"/>
      <c r="AF251" s="465"/>
      <c r="AG251" s="465"/>
      <c r="AH251" s="465"/>
      <c r="AI251" s="465"/>
      <c r="AJ251" s="465"/>
      <c r="AK251" s="465"/>
      <c r="AL251" s="465"/>
      <c r="AM251" s="465"/>
      <c r="AN251" s="465"/>
      <c r="AO251" s="465"/>
      <c r="AP251" s="465"/>
      <c r="AQ251" s="465"/>
      <c r="AR251" s="465"/>
      <c r="AS251" s="465"/>
      <c r="AT251" s="465"/>
      <c r="AU251" s="465"/>
      <c r="AV251" s="465"/>
      <c r="AW251" s="465"/>
      <c r="AX251" s="465"/>
      <c r="AY251" s="465"/>
      <c r="AZ251" s="465"/>
      <c r="BA251" s="465"/>
      <c r="BB251" s="465"/>
      <c r="BC251" s="465"/>
    </row>
    <row r="252" spans="1:55">
      <c r="A252" s="465"/>
      <c r="B252" s="465"/>
      <c r="C252" s="465"/>
      <c r="D252" s="467"/>
      <c r="E252" s="465"/>
      <c r="F252" s="465"/>
      <c r="G252" s="465"/>
      <c r="H252" s="465"/>
      <c r="I252" s="465"/>
      <c r="J252" s="465"/>
      <c r="K252" s="465"/>
      <c r="L252" s="465"/>
      <c r="M252" s="465"/>
      <c r="N252" s="465"/>
      <c r="O252" s="465"/>
      <c r="P252" s="465"/>
      <c r="Q252" s="465"/>
      <c r="R252" s="465"/>
      <c r="S252" s="465"/>
      <c r="T252" s="465"/>
      <c r="U252" s="465"/>
      <c r="V252" s="465"/>
      <c r="W252" s="465"/>
      <c r="X252" s="465"/>
      <c r="Y252" s="465"/>
      <c r="Z252" s="465"/>
      <c r="AA252" s="465"/>
      <c r="AB252" s="465"/>
      <c r="AC252" s="465"/>
      <c r="AD252" s="465"/>
      <c r="AE252" s="465"/>
      <c r="AF252" s="465"/>
      <c r="AG252" s="465"/>
      <c r="AH252" s="465"/>
      <c r="AI252" s="465"/>
      <c r="AJ252" s="465"/>
      <c r="AK252" s="465"/>
      <c r="AL252" s="465"/>
      <c r="AM252" s="465"/>
      <c r="AN252" s="465"/>
      <c r="AO252" s="465"/>
      <c r="AP252" s="465"/>
      <c r="AQ252" s="465"/>
      <c r="AR252" s="465"/>
      <c r="AS252" s="465"/>
      <c r="AT252" s="465"/>
      <c r="AU252" s="465"/>
      <c r="AV252" s="465"/>
      <c r="AW252" s="465"/>
      <c r="AX252" s="465"/>
      <c r="AY252" s="465"/>
      <c r="AZ252" s="465"/>
      <c r="BA252" s="465"/>
      <c r="BB252" s="465"/>
      <c r="BC252" s="465"/>
    </row>
    <row r="253" spans="1:55">
      <c r="A253" s="465"/>
      <c r="B253" s="465"/>
      <c r="C253" s="465"/>
      <c r="D253" s="467"/>
      <c r="E253" s="465"/>
      <c r="F253" s="465"/>
      <c r="G253" s="465"/>
      <c r="H253" s="465"/>
      <c r="I253" s="465"/>
      <c r="J253" s="465"/>
      <c r="K253" s="465"/>
      <c r="L253" s="465"/>
      <c r="M253" s="465"/>
      <c r="N253" s="465"/>
      <c r="O253" s="465"/>
      <c r="P253" s="465"/>
      <c r="Q253" s="465"/>
      <c r="R253" s="465"/>
      <c r="S253" s="465"/>
      <c r="T253" s="465"/>
      <c r="U253" s="465"/>
      <c r="V253" s="465"/>
      <c r="W253" s="465"/>
      <c r="X253" s="465"/>
      <c r="Y253" s="465"/>
      <c r="Z253" s="465"/>
      <c r="AA253" s="465"/>
      <c r="AB253" s="465"/>
      <c r="AC253" s="465"/>
      <c r="AD253" s="465"/>
      <c r="AE253" s="465"/>
      <c r="AF253" s="465"/>
      <c r="AG253" s="465"/>
      <c r="AH253" s="465"/>
      <c r="AI253" s="465"/>
      <c r="AJ253" s="465"/>
      <c r="AK253" s="465"/>
      <c r="AL253" s="465"/>
      <c r="AM253" s="465"/>
      <c r="AN253" s="465"/>
      <c r="AO253" s="465"/>
      <c r="AP253" s="465"/>
      <c r="AQ253" s="465"/>
      <c r="AR253" s="465"/>
      <c r="AS253" s="465"/>
      <c r="AT253" s="465"/>
      <c r="AU253" s="465"/>
      <c r="AV253" s="465"/>
      <c r="AW253" s="465"/>
      <c r="AX253" s="465"/>
      <c r="AY253" s="465"/>
      <c r="AZ253" s="465"/>
      <c r="BA253" s="465"/>
      <c r="BB253" s="465"/>
      <c r="BC253" s="465"/>
    </row>
    <row r="254" spans="1:55">
      <c r="A254" s="465"/>
      <c r="B254" s="465"/>
      <c r="C254" s="465"/>
      <c r="D254" s="467"/>
      <c r="E254" s="465"/>
      <c r="F254" s="465"/>
      <c r="G254" s="465"/>
      <c r="H254" s="465"/>
      <c r="I254" s="465"/>
      <c r="J254" s="465"/>
      <c r="K254" s="465"/>
      <c r="L254" s="465"/>
      <c r="M254" s="465"/>
      <c r="N254" s="465"/>
      <c r="O254" s="465"/>
      <c r="P254" s="465"/>
      <c r="Q254" s="465"/>
      <c r="R254" s="465"/>
      <c r="S254" s="465"/>
      <c r="T254" s="465"/>
      <c r="U254" s="465"/>
      <c r="V254" s="465"/>
      <c r="W254" s="465"/>
      <c r="X254" s="465"/>
      <c r="Y254" s="465"/>
      <c r="Z254" s="465"/>
      <c r="AA254" s="465"/>
      <c r="AB254" s="465"/>
      <c r="AC254" s="465"/>
      <c r="AD254" s="465"/>
      <c r="AE254" s="465"/>
      <c r="AF254" s="465"/>
      <c r="AG254" s="465"/>
      <c r="AH254" s="465"/>
      <c r="AI254" s="465"/>
      <c r="AJ254" s="465"/>
      <c r="AK254" s="465"/>
      <c r="AL254" s="465"/>
      <c r="AM254" s="465"/>
      <c r="AN254" s="465"/>
      <c r="AO254" s="465"/>
      <c r="AP254" s="465"/>
      <c r="AQ254" s="465"/>
      <c r="AR254" s="465"/>
      <c r="AS254" s="465"/>
      <c r="AT254" s="465"/>
      <c r="AU254" s="465"/>
      <c r="AV254" s="465"/>
      <c r="AW254" s="465"/>
      <c r="AX254" s="465"/>
      <c r="AY254" s="465"/>
      <c r="AZ254" s="465"/>
      <c r="BA254" s="465"/>
      <c r="BB254" s="465"/>
      <c r="BC254" s="465"/>
    </row>
    <row r="255" spans="1:55">
      <c r="A255" s="465"/>
      <c r="B255" s="465"/>
      <c r="C255" s="465"/>
      <c r="D255" s="467"/>
      <c r="E255" s="465"/>
      <c r="F255" s="465"/>
      <c r="G255" s="465"/>
      <c r="H255" s="465"/>
      <c r="I255" s="465"/>
      <c r="J255" s="465"/>
      <c r="K255" s="465"/>
      <c r="L255" s="465"/>
      <c r="M255" s="465"/>
      <c r="N255" s="465"/>
      <c r="O255" s="465"/>
      <c r="P255" s="465"/>
      <c r="Q255" s="465"/>
      <c r="R255" s="465"/>
      <c r="S255" s="465"/>
      <c r="T255" s="465"/>
      <c r="U255" s="465"/>
      <c r="V255" s="465"/>
      <c r="W255" s="465"/>
      <c r="X255" s="465"/>
      <c r="Y255" s="465"/>
      <c r="Z255" s="465"/>
      <c r="AA255" s="465"/>
      <c r="AB255" s="465"/>
      <c r="AC255" s="465"/>
      <c r="AD255" s="465"/>
      <c r="AE255" s="465"/>
      <c r="AF255" s="465"/>
      <c r="AG255" s="465"/>
      <c r="AH255" s="465"/>
      <c r="AI255" s="465"/>
      <c r="AJ255" s="465"/>
      <c r="AK255" s="465"/>
      <c r="AL255" s="465"/>
      <c r="AM255" s="465"/>
      <c r="AN255" s="465"/>
      <c r="AO255" s="465"/>
      <c r="AP255" s="465"/>
      <c r="AQ255" s="465"/>
      <c r="AR255" s="465"/>
      <c r="AS255" s="465"/>
      <c r="AT255" s="465"/>
      <c r="AU255" s="465"/>
      <c r="AV255" s="465"/>
      <c r="AW255" s="465"/>
      <c r="AX255" s="465"/>
      <c r="AY255" s="465"/>
      <c r="AZ255" s="465"/>
      <c r="BA255" s="465"/>
      <c r="BB255" s="465"/>
      <c r="BC255" s="465"/>
    </row>
    <row r="256" spans="1:55">
      <c r="A256" s="465"/>
      <c r="B256" s="465"/>
      <c r="C256" s="465"/>
      <c r="D256" s="467"/>
      <c r="E256" s="465"/>
      <c r="F256" s="465"/>
      <c r="G256" s="465"/>
      <c r="H256" s="465"/>
      <c r="I256" s="465"/>
      <c r="J256" s="465"/>
      <c r="K256" s="465"/>
      <c r="L256" s="465"/>
      <c r="M256" s="465"/>
      <c r="N256" s="465"/>
      <c r="O256" s="465"/>
      <c r="P256" s="465"/>
      <c r="Q256" s="465"/>
      <c r="R256" s="465"/>
      <c r="S256" s="465"/>
      <c r="T256" s="465"/>
      <c r="U256" s="465"/>
      <c r="V256" s="465"/>
      <c r="W256" s="465"/>
      <c r="X256" s="465"/>
      <c r="Y256" s="465"/>
      <c r="Z256" s="465"/>
      <c r="AA256" s="465"/>
      <c r="AB256" s="465"/>
      <c r="AC256" s="465"/>
      <c r="AD256" s="465"/>
      <c r="AE256" s="465"/>
      <c r="AF256" s="465"/>
      <c r="AG256" s="465"/>
      <c r="AH256" s="465"/>
      <c r="AI256" s="465"/>
      <c r="AJ256" s="465"/>
      <c r="AK256" s="465"/>
      <c r="AL256" s="465"/>
      <c r="AM256" s="465"/>
      <c r="AN256" s="465"/>
      <c r="AO256" s="465"/>
      <c r="AP256" s="465"/>
      <c r="AQ256" s="465"/>
      <c r="AR256" s="465"/>
      <c r="AS256" s="465"/>
      <c r="AT256" s="465"/>
      <c r="AU256" s="465"/>
      <c r="AV256" s="465"/>
      <c r="AW256" s="465"/>
      <c r="AX256" s="465"/>
      <c r="AY256" s="465"/>
      <c r="AZ256" s="465"/>
      <c r="BA256" s="465"/>
      <c r="BB256" s="465"/>
      <c r="BC256" s="465"/>
    </row>
    <row r="257" spans="1:55">
      <c r="A257" s="465"/>
      <c r="B257" s="465"/>
      <c r="C257" s="465"/>
      <c r="D257" s="467"/>
      <c r="E257" s="465"/>
      <c r="F257" s="465"/>
      <c r="G257" s="465"/>
      <c r="H257" s="465"/>
      <c r="I257" s="465"/>
      <c r="J257" s="465"/>
      <c r="K257" s="465"/>
      <c r="L257" s="465"/>
      <c r="M257" s="465"/>
      <c r="N257" s="465"/>
      <c r="O257" s="465"/>
      <c r="P257" s="465"/>
      <c r="Q257" s="465"/>
      <c r="R257" s="465"/>
      <c r="S257" s="465"/>
      <c r="T257" s="465"/>
      <c r="U257" s="465"/>
      <c r="V257" s="465"/>
      <c r="W257" s="465"/>
      <c r="X257" s="465"/>
      <c r="Y257" s="465"/>
      <c r="Z257" s="465"/>
      <c r="AA257" s="465"/>
      <c r="AB257" s="465"/>
      <c r="AC257" s="465"/>
      <c r="AD257" s="465"/>
      <c r="AE257" s="465"/>
      <c r="AF257" s="465"/>
      <c r="AG257" s="465"/>
      <c r="AH257" s="465"/>
      <c r="AI257" s="465"/>
      <c r="AJ257" s="465"/>
      <c r="AK257" s="465"/>
      <c r="AL257" s="465"/>
      <c r="AM257" s="465"/>
      <c r="AN257" s="465"/>
      <c r="AO257" s="465"/>
      <c r="AP257" s="465"/>
      <c r="AQ257" s="465"/>
      <c r="AR257" s="465"/>
      <c r="AS257" s="465"/>
      <c r="AT257" s="465"/>
      <c r="AU257" s="465"/>
      <c r="AV257" s="465"/>
      <c r="AW257" s="465"/>
      <c r="AX257" s="465"/>
      <c r="AY257" s="465"/>
      <c r="AZ257" s="465"/>
      <c r="BA257" s="465"/>
      <c r="BB257" s="465"/>
      <c r="BC257" s="465"/>
    </row>
    <row r="258" spans="1:55">
      <c r="A258" s="465"/>
      <c r="B258" s="465"/>
      <c r="C258" s="465"/>
      <c r="D258" s="467"/>
      <c r="E258" s="465"/>
      <c r="F258" s="465"/>
      <c r="G258" s="465"/>
      <c r="H258" s="465"/>
      <c r="I258" s="465"/>
      <c r="J258" s="465"/>
      <c r="K258" s="465"/>
      <c r="L258" s="465"/>
      <c r="M258" s="465"/>
      <c r="N258" s="465"/>
      <c r="O258" s="465"/>
      <c r="P258" s="465"/>
      <c r="Q258" s="465"/>
      <c r="R258" s="465"/>
      <c r="S258" s="465"/>
      <c r="T258" s="465"/>
      <c r="U258" s="465"/>
      <c r="V258" s="465"/>
      <c r="W258" s="465"/>
      <c r="X258" s="465"/>
      <c r="Y258" s="465"/>
      <c r="Z258" s="465"/>
      <c r="AA258" s="465"/>
      <c r="AB258" s="465"/>
      <c r="AC258" s="465"/>
      <c r="AD258" s="465"/>
      <c r="AE258" s="465"/>
      <c r="AF258" s="465"/>
      <c r="AG258" s="465"/>
      <c r="AH258" s="465"/>
      <c r="AI258" s="465"/>
      <c r="AJ258" s="465"/>
      <c r="AK258" s="465"/>
      <c r="AL258" s="465"/>
      <c r="AM258" s="465"/>
      <c r="AN258" s="465"/>
      <c r="AO258" s="465"/>
      <c r="AP258" s="465"/>
      <c r="AQ258" s="465"/>
      <c r="AR258" s="465"/>
      <c r="AS258" s="465"/>
      <c r="AT258" s="465"/>
      <c r="AU258" s="465"/>
      <c r="AV258" s="465"/>
      <c r="AW258" s="465"/>
      <c r="AX258" s="465"/>
      <c r="AY258" s="465"/>
      <c r="AZ258" s="465"/>
      <c r="BA258" s="465"/>
      <c r="BB258" s="465"/>
      <c r="BC258" s="465"/>
    </row>
    <row r="259" spans="1:55">
      <c r="A259" s="465"/>
      <c r="B259" s="465"/>
      <c r="C259" s="465"/>
      <c r="D259" s="467"/>
      <c r="E259" s="465"/>
      <c r="F259" s="465"/>
      <c r="G259" s="465"/>
      <c r="H259" s="465"/>
      <c r="I259" s="465"/>
      <c r="J259" s="465"/>
      <c r="K259" s="465"/>
      <c r="L259" s="465"/>
      <c r="M259" s="465"/>
      <c r="N259" s="465"/>
      <c r="O259" s="465"/>
      <c r="P259" s="465"/>
      <c r="Q259" s="465"/>
      <c r="R259" s="465"/>
      <c r="S259" s="465"/>
      <c r="T259" s="465"/>
      <c r="U259" s="465"/>
      <c r="V259" s="465"/>
      <c r="W259" s="465"/>
      <c r="X259" s="465"/>
      <c r="Y259" s="465"/>
      <c r="Z259" s="465"/>
      <c r="AA259" s="465"/>
      <c r="AB259" s="465"/>
      <c r="AC259" s="465"/>
      <c r="AD259" s="465"/>
      <c r="AE259" s="465"/>
      <c r="AF259" s="465"/>
      <c r="AG259" s="465"/>
      <c r="AH259" s="465"/>
      <c r="AI259" s="465"/>
      <c r="AJ259" s="465"/>
      <c r="AK259" s="465"/>
      <c r="AL259" s="465"/>
      <c r="AM259" s="465"/>
      <c r="AN259" s="465"/>
      <c r="AO259" s="465"/>
      <c r="AP259" s="465"/>
      <c r="AQ259" s="465"/>
      <c r="AR259" s="465"/>
      <c r="AS259" s="465"/>
      <c r="AT259" s="465"/>
      <c r="AU259" s="465"/>
      <c r="AV259" s="465"/>
      <c r="AW259" s="465"/>
      <c r="AX259" s="465"/>
      <c r="AY259" s="465"/>
      <c r="AZ259" s="465"/>
      <c r="BA259" s="465"/>
      <c r="BB259" s="465"/>
      <c r="BC259" s="465"/>
    </row>
    <row r="260" spans="1:55">
      <c r="A260" s="465"/>
      <c r="B260" s="465"/>
      <c r="C260" s="465"/>
      <c r="D260" s="467"/>
      <c r="E260" s="465"/>
      <c r="F260" s="465"/>
      <c r="G260" s="465"/>
      <c r="H260" s="465"/>
      <c r="I260" s="465"/>
      <c r="J260" s="465"/>
      <c r="K260" s="465"/>
      <c r="L260" s="465"/>
      <c r="M260" s="465"/>
      <c r="N260" s="465"/>
      <c r="O260" s="465"/>
      <c r="P260" s="465"/>
      <c r="Q260" s="465"/>
      <c r="R260" s="465"/>
      <c r="S260" s="465"/>
      <c r="T260" s="465"/>
      <c r="U260" s="465"/>
      <c r="V260" s="465"/>
      <c r="W260" s="465"/>
      <c r="X260" s="465"/>
      <c r="Y260" s="465"/>
      <c r="Z260" s="465"/>
      <c r="AA260" s="465"/>
      <c r="AB260" s="465"/>
      <c r="AC260" s="465"/>
      <c r="AD260" s="465"/>
      <c r="AE260" s="465"/>
      <c r="AF260" s="465"/>
      <c r="AG260" s="465"/>
      <c r="AH260" s="465"/>
      <c r="AI260" s="465"/>
      <c r="AJ260" s="465"/>
      <c r="AK260" s="465"/>
      <c r="AL260" s="465"/>
      <c r="AM260" s="465"/>
      <c r="AN260" s="465"/>
      <c r="AO260" s="465"/>
      <c r="AP260" s="465"/>
      <c r="AQ260" s="465"/>
      <c r="AR260" s="465"/>
      <c r="AS260" s="465"/>
      <c r="AT260" s="465"/>
      <c r="AU260" s="465"/>
      <c r="AV260" s="465"/>
      <c r="AW260" s="465"/>
      <c r="AX260" s="465"/>
      <c r="AY260" s="465"/>
      <c r="AZ260" s="465"/>
      <c r="BA260" s="465"/>
      <c r="BB260" s="465"/>
      <c r="BC260" s="465"/>
    </row>
    <row r="261" spans="1:55">
      <c r="A261" s="465"/>
      <c r="B261" s="465"/>
      <c r="C261" s="465"/>
      <c r="D261" s="467"/>
      <c r="E261" s="465"/>
      <c r="F261" s="465"/>
      <c r="G261" s="465"/>
      <c r="H261" s="465"/>
      <c r="I261" s="465"/>
      <c r="J261" s="465"/>
      <c r="K261" s="465"/>
      <c r="L261" s="465"/>
      <c r="M261" s="465"/>
      <c r="N261" s="465"/>
      <c r="O261" s="465"/>
      <c r="P261" s="465"/>
      <c r="Q261" s="465"/>
      <c r="R261" s="465"/>
      <c r="S261" s="465"/>
      <c r="T261" s="465"/>
      <c r="U261" s="465"/>
      <c r="V261" s="465"/>
      <c r="W261" s="465"/>
      <c r="X261" s="465"/>
      <c r="Y261" s="465"/>
      <c r="Z261" s="465"/>
      <c r="AA261" s="465"/>
      <c r="AB261" s="465"/>
      <c r="AC261" s="465"/>
      <c r="AD261" s="465"/>
      <c r="AE261" s="465"/>
      <c r="AF261" s="465"/>
      <c r="AG261" s="465"/>
      <c r="AH261" s="465"/>
      <c r="AI261" s="465"/>
      <c r="AJ261" s="465"/>
      <c r="AK261" s="465"/>
      <c r="AL261" s="465"/>
      <c r="AM261" s="465"/>
      <c r="AN261" s="465"/>
      <c r="AO261" s="465"/>
      <c r="AP261" s="465"/>
      <c r="AQ261" s="465"/>
      <c r="AR261" s="465"/>
      <c r="AS261" s="465"/>
      <c r="AT261" s="465"/>
      <c r="AU261" s="465"/>
      <c r="AV261" s="465"/>
      <c r="AW261" s="465"/>
      <c r="AX261" s="465"/>
      <c r="AY261" s="465"/>
      <c r="AZ261" s="465"/>
      <c r="BA261" s="465"/>
      <c r="BB261" s="465"/>
      <c r="BC261" s="465"/>
    </row>
    <row r="262" spans="1:55">
      <c r="A262" s="465"/>
      <c r="B262" s="465"/>
      <c r="C262" s="465"/>
      <c r="D262" s="467"/>
      <c r="E262" s="465"/>
      <c r="F262" s="465"/>
      <c r="G262" s="465"/>
      <c r="H262" s="465"/>
      <c r="I262" s="465"/>
      <c r="J262" s="465"/>
      <c r="K262" s="465"/>
      <c r="L262" s="465"/>
      <c r="M262" s="465"/>
      <c r="N262" s="465"/>
      <c r="O262" s="465"/>
      <c r="P262" s="465"/>
      <c r="Q262" s="465"/>
      <c r="R262" s="465"/>
      <c r="S262" s="465"/>
      <c r="T262" s="465"/>
      <c r="U262" s="465"/>
      <c r="V262" s="465"/>
      <c r="W262" s="465"/>
      <c r="X262" s="465"/>
      <c r="Y262" s="465"/>
      <c r="Z262" s="465"/>
      <c r="AA262" s="465"/>
      <c r="AB262" s="465"/>
      <c r="AC262" s="465"/>
      <c r="AD262" s="465"/>
      <c r="AE262" s="465"/>
      <c r="AF262" s="465"/>
      <c r="AG262" s="465"/>
      <c r="AH262" s="465"/>
      <c r="AI262" s="465"/>
      <c r="AJ262" s="465"/>
      <c r="AK262" s="465"/>
      <c r="AL262" s="465"/>
      <c r="AM262" s="465"/>
      <c r="AN262" s="465"/>
      <c r="AO262" s="465"/>
      <c r="AP262" s="465"/>
      <c r="AQ262" s="465"/>
      <c r="AR262" s="465"/>
      <c r="AS262" s="465"/>
      <c r="AT262" s="465"/>
      <c r="AU262" s="465"/>
      <c r="AV262" s="465"/>
      <c r="AW262" s="465"/>
      <c r="AX262" s="465"/>
      <c r="AY262" s="465"/>
      <c r="AZ262" s="465"/>
      <c r="BA262" s="465"/>
      <c r="BB262" s="465"/>
      <c r="BC262" s="465"/>
    </row>
    <row r="263" spans="1:55">
      <c r="A263" s="465"/>
      <c r="B263" s="465"/>
      <c r="C263" s="465"/>
      <c r="D263" s="467"/>
      <c r="E263" s="465"/>
      <c r="F263" s="465"/>
      <c r="G263" s="465"/>
      <c r="H263" s="465"/>
      <c r="I263" s="465"/>
      <c r="J263" s="465"/>
      <c r="K263" s="465"/>
      <c r="L263" s="465"/>
      <c r="M263" s="465"/>
      <c r="N263" s="465"/>
      <c r="O263" s="465"/>
      <c r="P263" s="465"/>
      <c r="Q263" s="465"/>
      <c r="R263" s="465"/>
      <c r="S263" s="465"/>
      <c r="T263" s="465"/>
      <c r="U263" s="465"/>
      <c r="V263" s="465"/>
      <c r="W263" s="465"/>
      <c r="X263" s="465"/>
      <c r="Y263" s="465"/>
      <c r="Z263" s="465"/>
      <c r="AA263" s="465"/>
      <c r="AB263" s="465"/>
      <c r="AC263" s="465"/>
      <c r="AD263" s="465"/>
      <c r="AE263" s="465"/>
      <c r="AF263" s="465"/>
      <c r="AG263" s="465"/>
      <c r="AH263" s="465"/>
      <c r="AI263" s="465"/>
      <c r="AJ263" s="465"/>
      <c r="AK263" s="465"/>
      <c r="AL263" s="465"/>
      <c r="AM263" s="465"/>
      <c r="AN263" s="465"/>
      <c r="AO263" s="465"/>
      <c r="AP263" s="465"/>
      <c r="AQ263" s="465"/>
      <c r="AR263" s="465"/>
      <c r="AS263" s="465"/>
      <c r="AT263" s="465"/>
      <c r="AU263" s="465"/>
      <c r="AV263" s="465"/>
      <c r="AW263" s="465"/>
      <c r="AX263" s="465"/>
      <c r="AY263" s="465"/>
      <c r="AZ263" s="465"/>
      <c r="BA263" s="465"/>
      <c r="BB263" s="465"/>
      <c r="BC263" s="465"/>
    </row>
    <row r="264" spans="1:55">
      <c r="A264" s="465"/>
      <c r="B264" s="465"/>
      <c r="C264" s="465"/>
      <c r="D264" s="467"/>
      <c r="E264" s="465"/>
      <c r="F264" s="465"/>
      <c r="G264" s="465"/>
      <c r="H264" s="465"/>
      <c r="I264" s="465"/>
      <c r="J264" s="465"/>
      <c r="K264" s="465"/>
      <c r="L264" s="465"/>
      <c r="M264" s="465"/>
      <c r="N264" s="465"/>
      <c r="O264" s="465"/>
      <c r="P264" s="465"/>
      <c r="Q264" s="465"/>
      <c r="R264" s="465"/>
      <c r="S264" s="465"/>
      <c r="T264" s="465"/>
      <c r="U264" s="465"/>
      <c r="V264" s="465"/>
      <c r="W264" s="465"/>
      <c r="X264" s="465"/>
      <c r="Y264" s="465"/>
      <c r="Z264" s="465"/>
      <c r="AA264" s="465"/>
      <c r="AB264" s="465"/>
      <c r="AC264" s="465"/>
      <c r="AD264" s="465"/>
      <c r="AE264" s="465"/>
      <c r="AF264" s="465"/>
      <c r="AG264" s="465"/>
      <c r="AH264" s="465"/>
      <c r="AI264" s="465"/>
      <c r="AJ264" s="465"/>
      <c r="AK264" s="465"/>
      <c r="AL264" s="465"/>
      <c r="AM264" s="465"/>
      <c r="AN264" s="465"/>
      <c r="AO264" s="465"/>
      <c r="AP264" s="465"/>
      <c r="AQ264" s="465"/>
      <c r="AR264" s="465"/>
      <c r="AS264" s="465"/>
      <c r="AT264" s="465"/>
      <c r="AU264" s="465"/>
      <c r="AV264" s="465"/>
      <c r="AW264" s="465"/>
      <c r="AX264" s="465"/>
      <c r="AY264" s="465"/>
      <c r="AZ264" s="465"/>
      <c r="BA264" s="465"/>
      <c r="BB264" s="465"/>
      <c r="BC264" s="465"/>
    </row>
    <row r="265" spans="1:55">
      <c r="A265" s="465"/>
      <c r="B265" s="465"/>
      <c r="C265" s="465"/>
      <c r="D265" s="467"/>
      <c r="E265" s="465"/>
      <c r="F265" s="465"/>
      <c r="G265" s="465"/>
      <c r="H265" s="465"/>
      <c r="I265" s="465"/>
      <c r="J265" s="465"/>
      <c r="K265" s="465"/>
      <c r="L265" s="465"/>
      <c r="M265" s="465"/>
      <c r="N265" s="465"/>
      <c r="O265" s="465"/>
      <c r="P265" s="465"/>
      <c r="Q265" s="465"/>
      <c r="R265" s="465"/>
      <c r="S265" s="465"/>
      <c r="T265" s="465"/>
      <c r="U265" s="465"/>
      <c r="V265" s="465"/>
      <c r="W265" s="465"/>
      <c r="X265" s="465"/>
      <c r="Y265" s="465"/>
      <c r="Z265" s="465"/>
      <c r="AA265" s="465"/>
      <c r="AB265" s="465"/>
      <c r="AC265" s="465"/>
      <c r="AD265" s="465"/>
      <c r="AE265" s="465"/>
      <c r="AF265" s="465"/>
      <c r="AG265" s="465"/>
      <c r="AH265" s="465"/>
      <c r="AI265" s="465"/>
      <c r="AJ265" s="465"/>
      <c r="AK265" s="465"/>
      <c r="AL265" s="465"/>
      <c r="AM265" s="465"/>
      <c r="AN265" s="465"/>
      <c r="AO265" s="465"/>
      <c r="AP265" s="465"/>
      <c r="AQ265" s="465"/>
      <c r="AR265" s="465"/>
      <c r="AS265" s="465"/>
      <c r="AT265" s="465"/>
      <c r="AU265" s="465"/>
      <c r="AV265" s="465"/>
      <c r="AW265" s="465"/>
      <c r="AX265" s="465"/>
      <c r="AY265" s="465"/>
      <c r="AZ265" s="465"/>
      <c r="BA265" s="465"/>
      <c r="BB265" s="465"/>
      <c r="BC265" s="465"/>
    </row>
    <row r="266" spans="1:55">
      <c r="A266" s="465"/>
      <c r="B266" s="465"/>
      <c r="C266" s="465"/>
      <c r="D266" s="467"/>
      <c r="E266" s="465"/>
      <c r="F266" s="465"/>
      <c r="G266" s="465"/>
      <c r="H266" s="465"/>
      <c r="I266" s="465"/>
      <c r="J266" s="465"/>
      <c r="K266" s="465"/>
      <c r="L266" s="465"/>
      <c r="M266" s="465"/>
      <c r="N266" s="465"/>
      <c r="O266" s="465"/>
      <c r="P266" s="465"/>
      <c r="Q266" s="465"/>
      <c r="R266" s="465"/>
      <c r="S266" s="465"/>
      <c r="T266" s="465"/>
      <c r="U266" s="465"/>
      <c r="V266" s="465"/>
      <c r="W266" s="465"/>
      <c r="X266" s="465"/>
      <c r="Y266" s="465"/>
      <c r="Z266" s="465"/>
      <c r="AA266" s="465"/>
      <c r="AB266" s="465"/>
      <c r="AC266" s="465"/>
      <c r="AD266" s="465"/>
      <c r="AE266" s="465"/>
      <c r="AF266" s="465"/>
      <c r="AG266" s="465"/>
      <c r="AH266" s="465"/>
      <c r="AI266" s="465"/>
      <c r="AJ266" s="465"/>
      <c r="AK266" s="465"/>
      <c r="AL266" s="465"/>
      <c r="AM266" s="465"/>
      <c r="AN266" s="465"/>
      <c r="AO266" s="465"/>
      <c r="AP266" s="465"/>
      <c r="AQ266" s="465"/>
      <c r="AR266" s="465"/>
      <c r="AS266" s="465"/>
      <c r="AT266" s="465"/>
      <c r="AU266" s="465"/>
      <c r="AV266" s="465"/>
      <c r="AW266" s="465"/>
      <c r="AX266" s="465"/>
      <c r="AY266" s="465"/>
      <c r="AZ266" s="465"/>
      <c r="BA266" s="465"/>
      <c r="BB266" s="465"/>
      <c r="BC266" s="465"/>
    </row>
    <row r="267" spans="1:55">
      <c r="A267" s="465"/>
      <c r="B267" s="465"/>
      <c r="C267" s="465"/>
      <c r="D267" s="467"/>
      <c r="E267" s="465"/>
      <c r="F267" s="465"/>
      <c r="G267" s="465"/>
      <c r="H267" s="465"/>
      <c r="I267" s="465"/>
      <c r="J267" s="465"/>
      <c r="K267" s="465"/>
      <c r="L267" s="465"/>
      <c r="M267" s="465"/>
      <c r="N267" s="465"/>
      <c r="O267" s="465"/>
      <c r="P267" s="465"/>
      <c r="Q267" s="465"/>
      <c r="R267" s="465"/>
      <c r="S267" s="465"/>
      <c r="T267" s="465"/>
      <c r="U267" s="465"/>
      <c r="V267" s="465"/>
      <c r="W267" s="465"/>
      <c r="X267" s="465"/>
      <c r="Y267" s="465"/>
      <c r="Z267" s="465"/>
      <c r="AA267" s="465"/>
      <c r="AB267" s="465"/>
      <c r="AC267" s="465"/>
      <c r="AD267" s="465"/>
      <c r="AE267" s="465"/>
      <c r="AF267" s="465"/>
      <c r="AG267" s="465"/>
      <c r="AH267" s="465"/>
      <c r="AI267" s="465"/>
      <c r="AJ267" s="465"/>
      <c r="AK267" s="465"/>
      <c r="AL267" s="465"/>
      <c r="AM267" s="465"/>
      <c r="AN267" s="465"/>
      <c r="AO267" s="465"/>
      <c r="AP267" s="465"/>
      <c r="AQ267" s="465"/>
      <c r="AR267" s="465"/>
      <c r="AS267" s="465"/>
      <c r="AT267" s="465"/>
      <c r="AU267" s="465"/>
      <c r="AV267" s="465"/>
      <c r="AW267" s="465"/>
      <c r="AX267" s="465"/>
      <c r="AY267" s="465"/>
      <c r="AZ267" s="465"/>
      <c r="BA267" s="465"/>
      <c r="BB267" s="465"/>
      <c r="BC267" s="465"/>
    </row>
    <row r="268" spans="1:55">
      <c r="A268" s="465"/>
      <c r="B268" s="465"/>
      <c r="C268" s="465"/>
      <c r="D268" s="467"/>
      <c r="E268" s="465"/>
      <c r="F268" s="465"/>
      <c r="G268" s="465"/>
      <c r="H268" s="465"/>
      <c r="I268" s="465"/>
      <c r="J268" s="465"/>
      <c r="K268" s="465"/>
      <c r="L268" s="465"/>
      <c r="M268" s="465"/>
      <c r="N268" s="465"/>
      <c r="O268" s="465"/>
      <c r="P268" s="465"/>
      <c r="Q268" s="465"/>
      <c r="R268" s="465"/>
      <c r="S268" s="465"/>
      <c r="T268" s="465"/>
      <c r="U268" s="465"/>
      <c r="V268" s="465"/>
      <c r="W268" s="465"/>
      <c r="X268" s="465"/>
      <c r="Y268" s="465"/>
      <c r="Z268" s="465"/>
      <c r="AA268" s="465"/>
      <c r="AB268" s="465"/>
      <c r="AC268" s="465"/>
      <c r="AD268" s="465"/>
      <c r="AE268" s="465"/>
      <c r="AF268" s="465"/>
      <c r="AG268" s="465"/>
      <c r="AH268" s="465"/>
      <c r="AI268" s="465"/>
      <c r="AJ268" s="465"/>
      <c r="AK268" s="465"/>
      <c r="AL268" s="465"/>
      <c r="AM268" s="465"/>
      <c r="AN268" s="465"/>
      <c r="AO268" s="465"/>
      <c r="AP268" s="465"/>
      <c r="AQ268" s="465"/>
      <c r="AR268" s="465"/>
      <c r="AS268" s="465"/>
      <c r="AT268" s="465"/>
      <c r="AU268" s="465"/>
      <c r="AV268" s="465"/>
      <c r="AW268" s="465"/>
      <c r="AX268" s="465"/>
      <c r="AY268" s="465"/>
      <c r="AZ268" s="465"/>
      <c r="BA268" s="465"/>
      <c r="BB268" s="465"/>
      <c r="BC268" s="465"/>
    </row>
    <row r="269" spans="1:55">
      <c r="A269" s="465"/>
      <c r="B269" s="465"/>
      <c r="C269" s="465"/>
      <c r="D269" s="467"/>
      <c r="E269" s="465"/>
      <c r="F269" s="465"/>
      <c r="G269" s="465"/>
      <c r="H269" s="465"/>
      <c r="I269" s="465"/>
      <c r="J269" s="465"/>
      <c r="K269" s="465"/>
      <c r="L269" s="465"/>
      <c r="M269" s="465"/>
      <c r="N269" s="465"/>
      <c r="O269" s="465"/>
      <c r="P269" s="465"/>
      <c r="Q269" s="465"/>
      <c r="R269" s="465"/>
      <c r="S269" s="465"/>
      <c r="T269" s="465"/>
      <c r="U269" s="465"/>
      <c r="V269" s="465"/>
      <c r="W269" s="465"/>
      <c r="X269" s="465"/>
      <c r="Y269" s="465"/>
      <c r="Z269" s="465"/>
      <c r="AA269" s="465"/>
      <c r="AB269" s="465"/>
      <c r="AC269" s="465"/>
      <c r="AD269" s="465"/>
      <c r="AE269" s="465"/>
      <c r="AF269" s="465"/>
      <c r="AG269" s="465"/>
      <c r="AH269" s="465"/>
      <c r="AI269" s="465"/>
      <c r="AJ269" s="465"/>
      <c r="AK269" s="465"/>
      <c r="AL269" s="465"/>
      <c r="AM269" s="465"/>
      <c r="AN269" s="465"/>
      <c r="AO269" s="465"/>
      <c r="AP269" s="465"/>
      <c r="AQ269" s="465"/>
      <c r="AR269" s="465"/>
      <c r="AS269" s="465"/>
      <c r="AT269" s="465"/>
      <c r="AU269" s="465"/>
      <c r="AV269" s="465"/>
      <c r="AW269" s="465"/>
      <c r="AX269" s="465"/>
      <c r="AY269" s="465"/>
      <c r="AZ269" s="465"/>
      <c r="BA269" s="465"/>
      <c r="BB269" s="465"/>
      <c r="BC269" s="465"/>
    </row>
    <row r="270" spans="1:55">
      <c r="A270" s="465"/>
      <c r="B270" s="465"/>
      <c r="C270" s="465"/>
      <c r="D270" s="467"/>
      <c r="E270" s="465"/>
      <c r="F270" s="465"/>
      <c r="G270" s="465"/>
      <c r="H270" s="465"/>
      <c r="I270" s="465"/>
      <c r="J270" s="465"/>
      <c r="K270" s="465"/>
      <c r="L270" s="465"/>
      <c r="M270" s="465"/>
      <c r="N270" s="465"/>
      <c r="O270" s="465"/>
      <c r="P270" s="465"/>
      <c r="Q270" s="465"/>
      <c r="R270" s="465"/>
      <c r="S270" s="465"/>
      <c r="T270" s="465"/>
      <c r="U270" s="465"/>
      <c r="V270" s="465"/>
      <c r="W270" s="465"/>
      <c r="X270" s="465"/>
      <c r="Y270" s="465"/>
      <c r="Z270" s="465"/>
      <c r="AA270" s="465"/>
      <c r="AB270" s="465"/>
      <c r="AC270" s="465"/>
      <c r="AD270" s="465"/>
      <c r="AE270" s="465"/>
      <c r="AF270" s="465"/>
      <c r="AG270" s="465"/>
      <c r="AH270" s="465"/>
      <c r="AI270" s="465"/>
      <c r="AJ270" s="465"/>
      <c r="AK270" s="465"/>
      <c r="AL270" s="465"/>
      <c r="AM270" s="465"/>
      <c r="AN270" s="465"/>
      <c r="AO270" s="465"/>
      <c r="AP270" s="465"/>
      <c r="AQ270" s="465"/>
      <c r="AR270" s="465"/>
      <c r="AS270" s="465"/>
      <c r="AT270" s="465"/>
      <c r="AU270" s="465"/>
      <c r="AV270" s="465"/>
      <c r="AW270" s="465"/>
      <c r="AX270" s="465"/>
      <c r="AY270" s="465"/>
      <c r="AZ270" s="465"/>
      <c r="BA270" s="465"/>
      <c r="BB270" s="465"/>
      <c r="BC270" s="465"/>
    </row>
    <row r="271" spans="1:55">
      <c r="A271" s="465"/>
      <c r="B271" s="465"/>
      <c r="C271" s="465"/>
      <c r="D271" s="467"/>
      <c r="E271" s="465"/>
      <c r="F271" s="465"/>
      <c r="G271" s="465"/>
      <c r="H271" s="465"/>
      <c r="I271" s="465"/>
      <c r="J271" s="465"/>
      <c r="K271" s="465"/>
      <c r="L271" s="465"/>
      <c r="M271" s="465"/>
      <c r="N271" s="465"/>
      <c r="O271" s="465"/>
      <c r="P271" s="465"/>
      <c r="Q271" s="465"/>
      <c r="R271" s="465"/>
      <c r="S271" s="465"/>
      <c r="T271" s="465"/>
      <c r="U271" s="465"/>
      <c r="V271" s="465"/>
      <c r="W271" s="465"/>
      <c r="X271" s="465"/>
      <c r="Y271" s="465"/>
      <c r="Z271" s="465"/>
      <c r="AA271" s="465"/>
      <c r="AB271" s="465"/>
      <c r="AC271" s="465"/>
      <c r="AD271" s="465"/>
      <c r="AE271" s="465"/>
      <c r="AF271" s="465"/>
      <c r="AG271" s="465"/>
      <c r="AH271" s="465"/>
      <c r="AI271" s="465"/>
      <c r="AJ271" s="465"/>
      <c r="AK271" s="465"/>
      <c r="AL271" s="465"/>
      <c r="AM271" s="465"/>
      <c r="AN271" s="465"/>
      <c r="AO271" s="465"/>
      <c r="AP271" s="465"/>
      <c r="AQ271" s="465"/>
      <c r="AR271" s="465"/>
      <c r="AS271" s="465"/>
      <c r="AT271" s="465"/>
      <c r="AU271" s="465"/>
      <c r="AV271" s="465"/>
      <c r="AW271" s="465"/>
      <c r="AX271" s="465"/>
      <c r="AY271" s="465"/>
      <c r="AZ271" s="465"/>
      <c r="BA271" s="465"/>
      <c r="BB271" s="465"/>
      <c r="BC271" s="465"/>
    </row>
    <row r="272" spans="1:55">
      <c r="A272" s="465"/>
      <c r="B272" s="465"/>
      <c r="C272" s="465"/>
      <c r="D272" s="467"/>
      <c r="E272" s="465"/>
      <c r="F272" s="465"/>
      <c r="G272" s="465"/>
      <c r="H272" s="465"/>
      <c r="I272" s="465"/>
      <c r="J272" s="465"/>
      <c r="K272" s="465"/>
      <c r="L272" s="465"/>
      <c r="M272" s="465"/>
      <c r="N272" s="465"/>
      <c r="O272" s="465"/>
      <c r="P272" s="465"/>
      <c r="Q272" s="465"/>
      <c r="R272" s="465"/>
      <c r="S272" s="465"/>
      <c r="T272" s="465"/>
      <c r="U272" s="465"/>
      <c r="V272" s="465"/>
      <c r="W272" s="465"/>
      <c r="X272" s="465"/>
      <c r="Y272" s="465"/>
      <c r="Z272" s="465"/>
      <c r="AA272" s="465"/>
      <c r="AB272" s="465"/>
      <c r="AC272" s="465"/>
      <c r="AD272" s="465"/>
      <c r="AE272" s="465"/>
      <c r="AF272" s="465"/>
      <c r="AG272" s="465"/>
      <c r="AH272" s="465"/>
      <c r="AI272" s="465"/>
      <c r="AJ272" s="465"/>
      <c r="AK272" s="465"/>
      <c r="AL272" s="465"/>
      <c r="AM272" s="465"/>
      <c r="AN272" s="465"/>
      <c r="AO272" s="465"/>
      <c r="AP272" s="465"/>
      <c r="AQ272" s="465"/>
      <c r="AR272" s="465"/>
      <c r="AS272" s="465"/>
      <c r="AT272" s="465"/>
      <c r="AU272" s="465"/>
      <c r="AV272" s="465"/>
      <c r="AW272" s="465"/>
      <c r="AX272" s="465"/>
      <c r="AY272" s="465"/>
      <c r="AZ272" s="465"/>
      <c r="BA272" s="465"/>
      <c r="BB272" s="465"/>
      <c r="BC272" s="465"/>
    </row>
    <row r="273" spans="1:55">
      <c r="A273" s="465"/>
      <c r="B273" s="465"/>
      <c r="C273" s="465"/>
      <c r="D273" s="467"/>
      <c r="E273" s="465"/>
      <c r="F273" s="465"/>
      <c r="G273" s="465"/>
      <c r="H273" s="465"/>
      <c r="I273" s="465"/>
      <c r="J273" s="465"/>
      <c r="K273" s="465"/>
      <c r="L273" s="465"/>
      <c r="M273" s="465"/>
      <c r="N273" s="465"/>
      <c r="O273" s="465"/>
      <c r="P273" s="465"/>
      <c r="Q273" s="465"/>
      <c r="R273" s="465"/>
      <c r="S273" s="465"/>
      <c r="T273" s="465"/>
      <c r="U273" s="465"/>
      <c r="V273" s="465"/>
      <c r="W273" s="465"/>
      <c r="X273" s="465"/>
      <c r="Y273" s="465"/>
      <c r="Z273" s="465"/>
      <c r="AA273" s="465"/>
      <c r="AB273" s="465"/>
      <c r="AC273" s="465"/>
      <c r="AD273" s="465"/>
      <c r="AE273" s="465"/>
      <c r="AF273" s="465"/>
      <c r="AG273" s="465"/>
      <c r="AH273" s="465"/>
      <c r="AI273" s="465"/>
      <c r="AJ273" s="465"/>
      <c r="AK273" s="465"/>
      <c r="AL273" s="465"/>
      <c r="AM273" s="465"/>
      <c r="AN273" s="465"/>
      <c r="AO273" s="465"/>
      <c r="AP273" s="465"/>
      <c r="AQ273" s="465"/>
      <c r="AR273" s="465"/>
      <c r="AS273" s="465"/>
      <c r="AT273" s="465"/>
      <c r="AU273" s="465"/>
      <c r="AV273" s="465"/>
      <c r="AW273" s="465"/>
      <c r="AX273" s="465"/>
      <c r="AY273" s="465"/>
      <c r="AZ273" s="465"/>
      <c r="BA273" s="465"/>
      <c r="BB273" s="465"/>
      <c r="BC273" s="465"/>
    </row>
    <row r="274" spans="1:55">
      <c r="A274" s="465"/>
      <c r="B274" s="465"/>
      <c r="C274" s="465"/>
      <c r="D274" s="467"/>
      <c r="E274" s="465"/>
      <c r="F274" s="465"/>
      <c r="G274" s="465"/>
      <c r="H274" s="465"/>
      <c r="I274" s="465"/>
      <c r="J274" s="465"/>
      <c r="K274" s="465"/>
      <c r="L274" s="465"/>
      <c r="M274" s="465"/>
      <c r="N274" s="465"/>
      <c r="O274" s="465"/>
      <c r="P274" s="465"/>
      <c r="Q274" s="465"/>
      <c r="R274" s="465"/>
      <c r="S274" s="465"/>
      <c r="T274" s="465"/>
      <c r="U274" s="465"/>
      <c r="V274" s="465"/>
      <c r="W274" s="465"/>
      <c r="X274" s="465"/>
      <c r="Y274" s="465"/>
      <c r="Z274" s="465"/>
      <c r="AA274" s="465"/>
      <c r="AB274" s="465"/>
      <c r="AC274" s="465"/>
      <c r="AD274" s="465"/>
      <c r="AE274" s="465"/>
      <c r="AF274" s="465"/>
      <c r="AG274" s="465"/>
      <c r="AH274" s="465"/>
      <c r="AI274" s="465"/>
      <c r="AJ274" s="465"/>
      <c r="AK274" s="465"/>
      <c r="AL274" s="465"/>
      <c r="AM274" s="465"/>
      <c r="AN274" s="465"/>
      <c r="AO274" s="465"/>
      <c r="AP274" s="465"/>
      <c r="AQ274" s="465"/>
      <c r="AR274" s="465"/>
      <c r="AS274" s="465"/>
      <c r="AT274" s="465"/>
      <c r="AU274" s="465"/>
      <c r="AV274" s="465"/>
      <c r="AW274" s="465"/>
      <c r="AX274" s="465"/>
      <c r="AY274" s="465"/>
      <c r="AZ274" s="465"/>
      <c r="BA274" s="465"/>
      <c r="BB274" s="465"/>
      <c r="BC274" s="465"/>
    </row>
    <row r="275" spans="1:55">
      <c r="A275" s="465"/>
      <c r="B275" s="465"/>
      <c r="C275" s="465"/>
      <c r="D275" s="467"/>
      <c r="E275" s="465"/>
      <c r="F275" s="465"/>
      <c r="G275" s="465"/>
      <c r="H275" s="465"/>
      <c r="I275" s="465"/>
      <c r="J275" s="465"/>
      <c r="K275" s="465"/>
      <c r="L275" s="465"/>
      <c r="M275" s="465"/>
      <c r="N275" s="465"/>
      <c r="O275" s="465"/>
      <c r="P275" s="465"/>
      <c r="Q275" s="465"/>
      <c r="R275" s="465"/>
      <c r="S275" s="465"/>
      <c r="T275" s="465"/>
      <c r="U275" s="465"/>
      <c r="V275" s="465"/>
      <c r="W275" s="465"/>
      <c r="X275" s="465"/>
      <c r="Y275" s="465"/>
      <c r="Z275" s="465"/>
      <c r="AA275" s="465"/>
      <c r="AB275" s="465"/>
      <c r="AC275" s="465"/>
      <c r="AD275" s="465"/>
      <c r="AE275" s="465"/>
      <c r="AF275" s="465"/>
      <c r="AG275" s="465"/>
      <c r="AH275" s="465"/>
      <c r="AI275" s="465"/>
      <c r="AJ275" s="465"/>
      <c r="AK275" s="465"/>
      <c r="AL275" s="465"/>
      <c r="AM275" s="465"/>
      <c r="AN275" s="465"/>
      <c r="AO275" s="465"/>
      <c r="AP275" s="465"/>
      <c r="AQ275" s="465"/>
      <c r="AR275" s="465"/>
      <c r="AS275" s="465"/>
      <c r="AT275" s="465"/>
      <c r="AU275" s="465"/>
      <c r="AV275" s="465"/>
      <c r="AW275" s="465"/>
      <c r="AX275" s="465"/>
      <c r="AY275" s="465"/>
      <c r="AZ275" s="465"/>
      <c r="BA275" s="465"/>
      <c r="BB275" s="465"/>
      <c r="BC275" s="465"/>
    </row>
    <row r="276" spans="1:55">
      <c r="A276" s="465"/>
      <c r="B276" s="465"/>
      <c r="C276" s="465"/>
      <c r="D276" s="467"/>
      <c r="E276" s="465"/>
      <c r="F276" s="465"/>
      <c r="G276" s="465"/>
      <c r="H276" s="465"/>
      <c r="I276" s="465"/>
      <c r="J276" s="465"/>
      <c r="K276" s="465"/>
      <c r="L276" s="465"/>
      <c r="M276" s="465"/>
      <c r="N276" s="465"/>
      <c r="O276" s="465"/>
      <c r="P276" s="465"/>
      <c r="Q276" s="465"/>
      <c r="R276" s="465"/>
      <c r="S276" s="465"/>
      <c r="T276" s="465"/>
      <c r="U276" s="465"/>
      <c r="V276" s="465"/>
      <c r="W276" s="465"/>
      <c r="X276" s="465"/>
      <c r="Y276" s="465"/>
      <c r="Z276" s="465"/>
      <c r="AA276" s="465"/>
      <c r="AB276" s="465"/>
      <c r="AC276" s="465"/>
      <c r="AD276" s="465"/>
      <c r="AE276" s="465"/>
      <c r="AF276" s="465"/>
      <c r="AG276" s="465"/>
      <c r="AH276" s="465"/>
      <c r="AI276" s="465"/>
      <c r="AJ276" s="465"/>
      <c r="AK276" s="465"/>
      <c r="AL276" s="465"/>
      <c r="AM276" s="465"/>
      <c r="AN276" s="465"/>
      <c r="AO276" s="465"/>
      <c r="AP276" s="465"/>
      <c r="AQ276" s="465"/>
      <c r="AR276" s="465"/>
      <c r="AS276" s="465"/>
      <c r="AT276" s="465"/>
      <c r="AU276" s="465"/>
      <c r="AV276" s="465"/>
      <c r="AW276" s="465"/>
      <c r="AX276" s="465"/>
      <c r="AY276" s="465"/>
      <c r="AZ276" s="465"/>
      <c r="BA276" s="465"/>
      <c r="BB276" s="465"/>
      <c r="BC276" s="465"/>
    </row>
    <row r="277" spans="1:55">
      <c r="A277" s="465"/>
      <c r="B277" s="465"/>
      <c r="C277" s="465"/>
      <c r="D277" s="467"/>
      <c r="E277" s="465"/>
      <c r="F277" s="465"/>
      <c r="G277" s="465"/>
      <c r="H277" s="465"/>
      <c r="I277" s="465"/>
      <c r="J277" s="465"/>
      <c r="K277" s="465"/>
      <c r="L277" s="465"/>
      <c r="M277" s="465"/>
      <c r="N277" s="465"/>
      <c r="O277" s="465"/>
      <c r="P277" s="465"/>
      <c r="Q277" s="465"/>
      <c r="R277" s="465"/>
      <c r="S277" s="465"/>
      <c r="T277" s="465"/>
      <c r="U277" s="465"/>
      <c r="V277" s="465"/>
      <c r="W277" s="465"/>
      <c r="X277" s="465"/>
      <c r="Y277" s="465"/>
      <c r="Z277" s="465"/>
      <c r="AA277" s="465"/>
      <c r="AB277" s="465"/>
      <c r="AC277" s="465"/>
      <c r="AD277" s="465"/>
      <c r="AE277" s="465"/>
      <c r="AF277" s="465"/>
      <c r="AG277" s="465"/>
      <c r="AH277" s="465"/>
      <c r="AI277" s="465"/>
      <c r="AJ277" s="465"/>
      <c r="AK277" s="465"/>
      <c r="AL277" s="465"/>
      <c r="AM277" s="465"/>
      <c r="AN277" s="465"/>
      <c r="AO277" s="465"/>
      <c r="AP277" s="465"/>
      <c r="AQ277" s="465"/>
      <c r="AR277" s="465"/>
      <c r="AS277" s="465"/>
      <c r="AT277" s="465"/>
      <c r="AU277" s="465"/>
      <c r="AV277" s="465"/>
      <c r="AW277" s="465"/>
      <c r="AX277" s="465"/>
      <c r="AY277" s="465"/>
      <c r="AZ277" s="465"/>
      <c r="BA277" s="465"/>
      <c r="BB277" s="465"/>
      <c r="BC277" s="465"/>
    </row>
    <row r="278" spans="1:55">
      <c r="A278" s="465"/>
      <c r="B278" s="465"/>
      <c r="C278" s="465"/>
      <c r="D278" s="467"/>
      <c r="E278" s="465"/>
      <c r="F278" s="465"/>
      <c r="G278" s="465"/>
      <c r="H278" s="465"/>
      <c r="I278" s="465"/>
      <c r="J278" s="465"/>
      <c r="K278" s="465"/>
      <c r="L278" s="465"/>
      <c r="M278" s="465"/>
      <c r="N278" s="465"/>
      <c r="O278" s="465"/>
      <c r="P278" s="465"/>
      <c r="Q278" s="465"/>
      <c r="R278" s="465"/>
      <c r="S278" s="465"/>
      <c r="T278" s="465"/>
      <c r="U278" s="465"/>
      <c r="V278" s="465"/>
      <c r="W278" s="465"/>
      <c r="X278" s="465"/>
      <c r="Y278" s="465"/>
      <c r="Z278" s="465"/>
      <c r="AA278" s="465"/>
      <c r="AB278" s="465"/>
      <c r="AC278" s="465"/>
      <c r="AD278" s="465"/>
      <c r="AE278" s="465"/>
      <c r="AF278" s="465"/>
      <c r="AG278" s="465"/>
      <c r="AH278" s="465"/>
      <c r="AI278" s="465"/>
      <c r="AJ278" s="465"/>
      <c r="AK278" s="465"/>
      <c r="AL278" s="465"/>
      <c r="AM278" s="465"/>
      <c r="AN278" s="465"/>
      <c r="AO278" s="465"/>
      <c r="AP278" s="465"/>
      <c r="AQ278" s="465"/>
      <c r="AR278" s="465"/>
      <c r="AS278" s="465"/>
      <c r="AT278" s="465"/>
      <c r="AU278" s="465"/>
      <c r="AV278" s="465"/>
      <c r="AW278" s="465"/>
      <c r="AX278" s="465"/>
      <c r="AY278" s="465"/>
      <c r="AZ278" s="465"/>
      <c r="BA278" s="465"/>
      <c r="BB278" s="465"/>
      <c r="BC278" s="465"/>
    </row>
    <row r="279" spans="1:55">
      <c r="A279" s="465"/>
      <c r="B279" s="465"/>
      <c r="C279" s="465"/>
      <c r="D279" s="467"/>
      <c r="E279" s="465"/>
      <c r="F279" s="465"/>
      <c r="G279" s="465"/>
      <c r="H279" s="465"/>
      <c r="I279" s="465"/>
      <c r="J279" s="465"/>
      <c r="K279" s="465"/>
      <c r="L279" s="465"/>
      <c r="M279" s="465"/>
      <c r="N279" s="465"/>
      <c r="O279" s="465"/>
      <c r="P279" s="465"/>
      <c r="Q279" s="465"/>
      <c r="R279" s="465"/>
      <c r="S279" s="465"/>
      <c r="T279" s="465"/>
      <c r="U279" s="465"/>
      <c r="V279" s="465"/>
      <c r="W279" s="465"/>
      <c r="X279" s="465"/>
      <c r="Y279" s="465"/>
      <c r="Z279" s="465"/>
      <c r="AA279" s="465"/>
      <c r="AB279" s="465"/>
      <c r="AC279" s="465"/>
      <c r="AD279" s="465"/>
      <c r="AE279" s="465"/>
      <c r="AF279" s="465"/>
      <c r="AG279" s="465"/>
      <c r="AH279" s="465"/>
      <c r="AI279" s="465"/>
      <c r="AJ279" s="465"/>
      <c r="AK279" s="465"/>
      <c r="AL279" s="465"/>
      <c r="AM279" s="465"/>
      <c r="AN279" s="465"/>
      <c r="AO279" s="465"/>
      <c r="AP279" s="465"/>
      <c r="AQ279" s="465"/>
      <c r="AR279" s="465"/>
      <c r="AS279" s="465"/>
      <c r="AT279" s="465"/>
      <c r="AU279" s="465"/>
      <c r="AV279" s="465"/>
      <c r="AW279" s="465"/>
      <c r="AX279" s="465"/>
      <c r="AY279" s="465"/>
      <c r="AZ279" s="465"/>
      <c r="BA279" s="465"/>
      <c r="BB279" s="465"/>
      <c r="BC279" s="465"/>
    </row>
    <row r="280" spans="1:55">
      <c r="A280" s="465"/>
      <c r="B280" s="465"/>
      <c r="C280" s="465"/>
      <c r="D280" s="467"/>
      <c r="E280" s="465"/>
      <c r="F280" s="465"/>
      <c r="G280" s="465"/>
      <c r="H280" s="465"/>
      <c r="I280" s="465"/>
      <c r="J280" s="465"/>
      <c r="K280" s="465"/>
      <c r="L280" s="465"/>
      <c r="M280" s="465"/>
      <c r="N280" s="465"/>
      <c r="O280" s="465"/>
      <c r="P280" s="465"/>
      <c r="Q280" s="465"/>
      <c r="R280" s="465"/>
      <c r="S280" s="465"/>
      <c r="T280" s="465"/>
      <c r="U280" s="465"/>
      <c r="V280" s="465"/>
      <c r="W280" s="465"/>
      <c r="X280" s="465"/>
      <c r="Y280" s="465"/>
      <c r="Z280" s="465"/>
      <c r="AA280" s="465"/>
      <c r="AB280" s="465"/>
      <c r="AC280" s="465"/>
      <c r="AD280" s="465"/>
      <c r="AE280" s="465"/>
      <c r="AF280" s="465"/>
      <c r="AG280" s="465"/>
      <c r="AH280" s="465"/>
      <c r="AI280" s="465"/>
      <c r="AJ280" s="465"/>
      <c r="AK280" s="465"/>
      <c r="AL280" s="465"/>
      <c r="AM280" s="465"/>
      <c r="AN280" s="465"/>
      <c r="AO280" s="465"/>
      <c r="AP280" s="465"/>
      <c r="AQ280" s="465"/>
      <c r="AR280" s="465"/>
      <c r="AS280" s="465"/>
      <c r="AT280" s="465"/>
      <c r="AU280" s="465"/>
      <c r="AV280" s="465"/>
      <c r="AW280" s="465"/>
      <c r="AX280" s="465"/>
      <c r="AY280" s="465"/>
      <c r="AZ280" s="465"/>
      <c r="BA280" s="465"/>
      <c r="BB280" s="465"/>
      <c r="BC280" s="465"/>
    </row>
    <row r="281" spans="1:55">
      <c r="A281" s="465"/>
      <c r="B281" s="465"/>
      <c r="C281" s="465"/>
      <c r="D281" s="467"/>
      <c r="E281" s="465"/>
      <c r="F281" s="465"/>
      <c r="G281" s="465"/>
      <c r="H281" s="465"/>
      <c r="I281" s="465"/>
      <c r="J281" s="465"/>
      <c r="K281" s="465"/>
      <c r="L281" s="465"/>
      <c r="M281" s="465"/>
      <c r="N281" s="465"/>
      <c r="O281" s="465"/>
      <c r="P281" s="465"/>
      <c r="Q281" s="465"/>
      <c r="R281" s="465"/>
      <c r="S281" s="465"/>
      <c r="T281" s="465"/>
      <c r="U281" s="465"/>
      <c r="V281" s="465"/>
      <c r="W281" s="465"/>
      <c r="X281" s="465"/>
      <c r="Y281" s="465"/>
      <c r="Z281" s="465"/>
      <c r="AA281" s="465"/>
      <c r="AB281" s="465"/>
      <c r="AC281" s="465"/>
      <c r="AD281" s="465"/>
      <c r="AE281" s="465"/>
      <c r="AF281" s="465"/>
      <c r="AG281" s="465"/>
      <c r="AH281" s="465"/>
      <c r="AI281" s="465"/>
      <c r="AJ281" s="465"/>
      <c r="AK281" s="465"/>
      <c r="AL281" s="465"/>
      <c r="AM281" s="465"/>
      <c r="AN281" s="465"/>
      <c r="AO281" s="465"/>
      <c r="AP281" s="465"/>
      <c r="AQ281" s="465"/>
      <c r="AR281" s="465"/>
      <c r="AS281" s="465"/>
      <c r="AT281" s="465"/>
      <c r="AU281" s="465"/>
      <c r="AV281" s="465"/>
      <c r="AW281" s="465"/>
      <c r="AX281" s="465"/>
      <c r="AY281" s="465"/>
      <c r="AZ281" s="465"/>
      <c r="BA281" s="465"/>
      <c r="BB281" s="465"/>
      <c r="BC281" s="465"/>
    </row>
    <row r="282" spans="1:55">
      <c r="A282" s="465"/>
      <c r="B282" s="465"/>
      <c r="C282" s="465"/>
      <c r="D282" s="467"/>
      <c r="E282" s="465"/>
      <c r="F282" s="465"/>
      <c r="G282" s="465"/>
      <c r="H282" s="465"/>
      <c r="I282" s="465"/>
      <c r="J282" s="465"/>
      <c r="K282" s="465"/>
      <c r="L282" s="465"/>
      <c r="M282" s="465"/>
      <c r="N282" s="465"/>
      <c r="O282" s="465"/>
      <c r="P282" s="465"/>
      <c r="Q282" s="465"/>
      <c r="R282" s="465"/>
      <c r="S282" s="465"/>
      <c r="T282" s="465"/>
      <c r="U282" s="465"/>
      <c r="V282" s="465"/>
      <c r="W282" s="465"/>
      <c r="X282" s="465"/>
      <c r="Y282" s="465"/>
      <c r="Z282" s="465"/>
      <c r="AA282" s="465"/>
      <c r="AB282" s="465"/>
      <c r="AC282" s="465"/>
      <c r="AD282" s="465"/>
      <c r="AE282" s="465"/>
      <c r="AF282" s="465"/>
      <c r="AG282" s="465"/>
      <c r="AH282" s="465"/>
      <c r="AI282" s="465"/>
      <c r="AJ282" s="465"/>
      <c r="AK282" s="465"/>
      <c r="AL282" s="465"/>
      <c r="AM282" s="465"/>
      <c r="AN282" s="465"/>
      <c r="AO282" s="465"/>
      <c r="AP282" s="465"/>
      <c r="AQ282" s="465"/>
      <c r="AR282" s="465"/>
      <c r="AS282" s="465"/>
      <c r="AT282" s="465"/>
      <c r="AU282" s="465"/>
      <c r="AV282" s="465"/>
      <c r="AW282" s="465"/>
      <c r="AX282" s="465"/>
      <c r="AY282" s="465"/>
      <c r="AZ282" s="465"/>
      <c r="BA282" s="465"/>
      <c r="BB282" s="465"/>
      <c r="BC282" s="465"/>
    </row>
    <row r="283" spans="1:55">
      <c r="A283" s="465"/>
      <c r="B283" s="465"/>
      <c r="C283" s="465"/>
      <c r="D283" s="467"/>
      <c r="E283" s="465"/>
      <c r="F283" s="465"/>
      <c r="G283" s="465"/>
      <c r="H283" s="465"/>
      <c r="I283" s="465"/>
      <c r="J283" s="465"/>
      <c r="K283" s="465"/>
      <c r="L283" s="465"/>
      <c r="M283" s="465"/>
      <c r="N283" s="465"/>
      <c r="O283" s="465"/>
      <c r="P283" s="465"/>
      <c r="Q283" s="465"/>
      <c r="R283" s="465"/>
      <c r="S283" s="465"/>
      <c r="T283" s="465"/>
      <c r="U283" s="465"/>
      <c r="V283" s="465"/>
      <c r="W283" s="465"/>
      <c r="X283" s="465"/>
      <c r="Y283" s="465"/>
      <c r="Z283" s="465"/>
      <c r="AA283" s="465"/>
      <c r="AB283" s="465"/>
      <c r="AC283" s="465"/>
      <c r="AD283" s="465"/>
      <c r="AE283" s="465"/>
      <c r="AF283" s="465"/>
      <c r="AG283" s="465"/>
      <c r="AH283" s="465"/>
      <c r="AI283" s="465"/>
      <c r="AJ283" s="465"/>
      <c r="AK283" s="465"/>
      <c r="AL283" s="465"/>
      <c r="AM283" s="465"/>
      <c r="AN283" s="465"/>
      <c r="AO283" s="465"/>
      <c r="AP283" s="465"/>
      <c r="AQ283" s="465"/>
      <c r="AR283" s="465"/>
      <c r="AS283" s="465"/>
      <c r="AT283" s="465"/>
      <c r="AU283" s="465"/>
      <c r="AV283" s="465"/>
      <c r="AW283" s="465"/>
      <c r="AX283" s="465"/>
      <c r="AY283" s="465"/>
      <c r="AZ283" s="465"/>
      <c r="BA283" s="465"/>
      <c r="BB283" s="465"/>
      <c r="BC283" s="465"/>
    </row>
    <row r="284" spans="1:55">
      <c r="A284" s="465"/>
      <c r="B284" s="465"/>
      <c r="C284" s="465"/>
      <c r="D284" s="467"/>
      <c r="E284" s="465"/>
      <c r="F284" s="465"/>
      <c r="G284" s="465"/>
      <c r="H284" s="465"/>
      <c r="I284" s="465"/>
      <c r="J284" s="465"/>
      <c r="K284" s="465"/>
      <c r="L284" s="465"/>
      <c r="M284" s="465"/>
      <c r="N284" s="465"/>
      <c r="O284" s="465"/>
      <c r="P284" s="465"/>
      <c r="Q284" s="465"/>
      <c r="R284" s="465"/>
      <c r="S284" s="465"/>
      <c r="T284" s="465"/>
      <c r="U284" s="465"/>
      <c r="V284" s="465"/>
      <c r="W284" s="465"/>
      <c r="X284" s="465"/>
      <c r="Y284" s="465"/>
      <c r="Z284" s="465"/>
      <c r="AA284" s="465"/>
      <c r="AB284" s="465"/>
      <c r="AC284" s="465"/>
      <c r="AD284" s="465"/>
      <c r="AE284" s="465"/>
      <c r="AF284" s="465"/>
      <c r="AG284" s="465"/>
      <c r="AH284" s="465"/>
      <c r="AI284" s="465"/>
      <c r="AJ284" s="465"/>
      <c r="AK284" s="465"/>
      <c r="AL284" s="465"/>
      <c r="AM284" s="465"/>
      <c r="AN284" s="465"/>
      <c r="AO284" s="465"/>
      <c r="AP284" s="465"/>
      <c r="AQ284" s="465"/>
      <c r="AR284" s="465"/>
      <c r="AS284" s="465"/>
      <c r="AT284" s="465"/>
      <c r="AU284" s="465"/>
      <c r="AV284" s="465"/>
      <c r="AW284" s="465"/>
      <c r="AX284" s="465"/>
      <c r="AY284" s="465"/>
      <c r="AZ284" s="465"/>
      <c r="BA284" s="465"/>
      <c r="BB284" s="465"/>
      <c r="BC284" s="465"/>
    </row>
    <row r="285" spans="1:55">
      <c r="A285" s="465"/>
      <c r="B285" s="465"/>
      <c r="C285" s="465"/>
      <c r="D285" s="467"/>
      <c r="E285" s="465"/>
      <c r="F285" s="465"/>
      <c r="G285" s="465"/>
      <c r="H285" s="465"/>
      <c r="I285" s="465"/>
      <c r="J285" s="465"/>
      <c r="K285" s="465"/>
      <c r="L285" s="465"/>
      <c r="M285" s="465"/>
      <c r="N285" s="465"/>
      <c r="O285" s="465"/>
      <c r="P285" s="465"/>
      <c r="Q285" s="465"/>
      <c r="R285" s="465"/>
      <c r="S285" s="465"/>
      <c r="T285" s="465"/>
      <c r="U285" s="465"/>
      <c r="V285" s="465"/>
      <c r="W285" s="465"/>
      <c r="X285" s="465"/>
      <c r="Y285" s="465"/>
      <c r="Z285" s="465"/>
      <c r="AA285" s="465"/>
      <c r="AB285" s="465"/>
      <c r="AC285" s="465"/>
      <c r="AD285" s="465"/>
      <c r="AE285" s="465"/>
      <c r="AF285" s="465"/>
      <c r="AG285" s="465"/>
      <c r="AH285" s="465"/>
      <c r="AI285" s="465"/>
      <c r="AJ285" s="465"/>
      <c r="AK285" s="465"/>
      <c r="AL285" s="465"/>
      <c r="AM285" s="465"/>
      <c r="AN285" s="465"/>
      <c r="AO285" s="465"/>
      <c r="AP285" s="465"/>
      <c r="AQ285" s="465"/>
      <c r="AR285" s="465"/>
      <c r="AS285" s="465"/>
      <c r="AT285" s="465"/>
      <c r="AU285" s="465"/>
      <c r="AV285" s="465"/>
      <c r="AW285" s="465"/>
      <c r="AX285" s="465"/>
      <c r="AY285" s="465"/>
      <c r="AZ285" s="465"/>
      <c r="BA285" s="465"/>
      <c r="BB285" s="465"/>
      <c r="BC285" s="465"/>
    </row>
    <row r="286" spans="1:55">
      <c r="A286" s="465"/>
      <c r="B286" s="465"/>
      <c r="C286" s="465"/>
      <c r="D286" s="467"/>
      <c r="E286" s="465"/>
      <c r="F286" s="465"/>
      <c r="G286" s="465"/>
      <c r="H286" s="465"/>
      <c r="I286" s="465"/>
      <c r="J286" s="465"/>
      <c r="K286" s="465"/>
      <c r="L286" s="465"/>
      <c r="M286" s="465"/>
      <c r="N286" s="465"/>
      <c r="O286" s="465"/>
      <c r="P286" s="465"/>
      <c r="Q286" s="465"/>
      <c r="R286" s="465"/>
      <c r="S286" s="465"/>
      <c r="T286" s="465"/>
      <c r="U286" s="465"/>
      <c r="V286" s="465"/>
      <c r="W286" s="465"/>
      <c r="X286" s="465"/>
      <c r="Y286" s="465"/>
      <c r="Z286" s="465"/>
      <c r="AA286" s="465"/>
      <c r="AB286" s="465"/>
      <c r="AC286" s="465"/>
      <c r="AD286" s="465"/>
      <c r="AE286" s="465"/>
      <c r="AF286" s="465"/>
      <c r="AG286" s="465"/>
      <c r="AH286" s="465"/>
      <c r="AI286" s="465"/>
      <c r="AJ286" s="465"/>
      <c r="AK286" s="465"/>
      <c r="AL286" s="465"/>
      <c r="AM286" s="465"/>
      <c r="AN286" s="465"/>
      <c r="AO286" s="465"/>
      <c r="AP286" s="465"/>
      <c r="AQ286" s="465"/>
      <c r="AR286" s="465"/>
      <c r="AS286" s="465"/>
      <c r="AT286" s="465"/>
      <c r="AU286" s="465"/>
      <c r="AV286" s="465"/>
      <c r="AW286" s="465"/>
      <c r="AX286" s="465"/>
      <c r="AY286" s="465"/>
      <c r="AZ286" s="465"/>
      <c r="BA286" s="465"/>
      <c r="BB286" s="465"/>
      <c r="BC286" s="465"/>
    </row>
    <row r="287" spans="1:55">
      <c r="A287" s="465"/>
      <c r="B287" s="465"/>
      <c r="C287" s="465"/>
      <c r="D287" s="467"/>
      <c r="E287" s="465"/>
      <c r="F287" s="465"/>
      <c r="G287" s="465"/>
      <c r="H287" s="465"/>
      <c r="I287" s="465"/>
      <c r="J287" s="465"/>
      <c r="K287" s="465"/>
      <c r="L287" s="465"/>
      <c r="M287" s="465"/>
      <c r="N287" s="465"/>
      <c r="O287" s="465"/>
      <c r="P287" s="465"/>
      <c r="Q287" s="465"/>
      <c r="R287" s="465"/>
      <c r="S287" s="465"/>
      <c r="T287" s="465"/>
      <c r="U287" s="465"/>
      <c r="V287" s="465"/>
      <c r="W287" s="465"/>
      <c r="X287" s="465"/>
      <c r="Y287" s="465"/>
      <c r="Z287" s="465"/>
      <c r="AA287" s="465"/>
      <c r="AB287" s="465"/>
      <c r="AC287" s="465"/>
      <c r="AD287" s="465"/>
      <c r="AE287" s="465"/>
      <c r="AF287" s="465"/>
      <c r="AG287" s="465"/>
      <c r="AH287" s="465"/>
      <c r="AI287" s="465"/>
      <c r="AJ287" s="465"/>
      <c r="AK287" s="465"/>
      <c r="AL287" s="465"/>
      <c r="AM287" s="465"/>
      <c r="AN287" s="465"/>
      <c r="AO287" s="465"/>
      <c r="AP287" s="465"/>
      <c r="AQ287" s="465"/>
      <c r="AR287" s="465"/>
      <c r="AS287" s="465"/>
      <c r="AT287" s="465"/>
      <c r="AU287" s="465"/>
      <c r="AV287" s="465"/>
      <c r="AW287" s="465"/>
      <c r="AX287" s="465"/>
      <c r="AY287" s="465"/>
      <c r="AZ287" s="465"/>
      <c r="BA287" s="465"/>
      <c r="BB287" s="465"/>
      <c r="BC287" s="465"/>
    </row>
    <row r="288" spans="1:55">
      <c r="A288" s="465"/>
      <c r="B288" s="465"/>
      <c r="C288" s="465"/>
      <c r="D288" s="467"/>
      <c r="E288" s="465"/>
      <c r="F288" s="465"/>
      <c r="G288" s="465"/>
      <c r="H288" s="465"/>
      <c r="I288" s="465"/>
      <c r="J288" s="465"/>
      <c r="K288" s="465"/>
      <c r="L288" s="465"/>
      <c r="M288" s="465"/>
      <c r="N288" s="465"/>
      <c r="O288" s="465"/>
      <c r="P288" s="465"/>
      <c r="Q288" s="465"/>
      <c r="R288" s="465"/>
      <c r="S288" s="465"/>
      <c r="T288" s="465"/>
      <c r="U288" s="465"/>
      <c r="V288" s="465"/>
      <c r="W288" s="465"/>
      <c r="X288" s="465"/>
      <c r="Y288" s="465"/>
      <c r="Z288" s="465"/>
      <c r="AA288" s="465"/>
      <c r="AB288" s="465"/>
      <c r="AC288" s="465"/>
      <c r="AD288" s="465"/>
      <c r="AE288" s="465"/>
      <c r="AF288" s="465"/>
      <c r="AG288" s="465"/>
      <c r="AH288" s="465"/>
      <c r="AI288" s="465"/>
      <c r="AJ288" s="465"/>
      <c r="AK288" s="465"/>
      <c r="AL288" s="465"/>
      <c r="AM288" s="465"/>
      <c r="AN288" s="465"/>
      <c r="AO288" s="465"/>
      <c r="AP288" s="465"/>
      <c r="AQ288" s="465"/>
      <c r="AR288" s="465"/>
      <c r="AS288" s="465"/>
      <c r="AT288" s="465"/>
      <c r="AU288" s="465"/>
      <c r="AV288" s="465"/>
      <c r="AW288" s="465"/>
      <c r="AX288" s="465"/>
      <c r="AY288" s="465"/>
      <c r="AZ288" s="465"/>
      <c r="BA288" s="465"/>
      <c r="BB288" s="465"/>
      <c r="BC288" s="465"/>
    </row>
    <row r="289" spans="1:55">
      <c r="A289" s="465"/>
      <c r="B289" s="465"/>
      <c r="C289" s="465"/>
      <c r="D289" s="467"/>
      <c r="E289" s="465"/>
      <c r="F289" s="465"/>
      <c r="G289" s="465"/>
      <c r="H289" s="465"/>
      <c r="I289" s="465"/>
      <c r="J289" s="465"/>
      <c r="K289" s="465"/>
      <c r="L289" s="465"/>
      <c r="M289" s="465"/>
      <c r="N289" s="465"/>
      <c r="O289" s="465"/>
      <c r="P289" s="465"/>
      <c r="Q289" s="465"/>
      <c r="R289" s="465"/>
      <c r="S289" s="465"/>
      <c r="T289" s="465"/>
      <c r="U289" s="465"/>
      <c r="V289" s="465"/>
      <c r="W289" s="465"/>
      <c r="X289" s="465"/>
      <c r="Y289" s="465"/>
      <c r="Z289" s="465"/>
      <c r="AA289" s="465"/>
      <c r="AB289" s="465"/>
      <c r="AC289" s="465"/>
      <c r="AD289" s="465"/>
      <c r="AE289" s="465"/>
      <c r="AF289" s="465"/>
      <c r="AG289" s="465"/>
      <c r="AH289" s="465"/>
      <c r="AI289" s="465"/>
      <c r="AJ289" s="465"/>
      <c r="AK289" s="465"/>
      <c r="AL289" s="465"/>
      <c r="AM289" s="465"/>
      <c r="AN289" s="465"/>
      <c r="AO289" s="465"/>
      <c r="AP289" s="465"/>
      <c r="AQ289" s="465"/>
      <c r="AR289" s="465"/>
      <c r="AS289" s="465"/>
      <c r="AT289" s="465"/>
      <c r="AU289" s="465"/>
      <c r="AV289" s="465"/>
      <c r="AW289" s="465"/>
      <c r="AX289" s="465"/>
      <c r="AY289" s="465"/>
      <c r="AZ289" s="465"/>
      <c r="BA289" s="465"/>
      <c r="BB289" s="465"/>
      <c r="BC289" s="465"/>
    </row>
    <row r="290" spans="1:55">
      <c r="A290" s="465"/>
      <c r="B290" s="465"/>
      <c r="C290" s="465"/>
      <c r="D290" s="467"/>
      <c r="E290" s="465"/>
      <c r="F290" s="465"/>
      <c r="G290" s="465"/>
      <c r="H290" s="465"/>
      <c r="I290" s="465"/>
      <c r="J290" s="465"/>
      <c r="K290" s="465"/>
      <c r="L290" s="465"/>
      <c r="M290" s="465"/>
      <c r="N290" s="465"/>
      <c r="O290" s="465"/>
      <c r="P290" s="465"/>
      <c r="Q290" s="465"/>
      <c r="R290" s="465"/>
      <c r="S290" s="465"/>
      <c r="T290" s="465"/>
      <c r="U290" s="465"/>
      <c r="V290" s="465"/>
      <c r="W290" s="465"/>
      <c r="X290" s="465"/>
      <c r="Y290" s="465"/>
      <c r="Z290" s="465"/>
      <c r="AA290" s="465"/>
      <c r="AB290" s="465"/>
      <c r="AC290" s="465"/>
      <c r="AD290" s="465"/>
      <c r="AE290" s="465"/>
      <c r="AF290" s="465"/>
      <c r="AG290" s="465"/>
      <c r="AH290" s="465"/>
      <c r="AI290" s="465"/>
      <c r="AJ290" s="465"/>
      <c r="AK290" s="465"/>
      <c r="AL290" s="465"/>
      <c r="AM290" s="465"/>
      <c r="AN290" s="465"/>
      <c r="AO290" s="465"/>
      <c r="AP290" s="465"/>
      <c r="AQ290" s="465"/>
      <c r="AR290" s="465"/>
      <c r="AS290" s="465"/>
      <c r="AT290" s="465"/>
      <c r="AU290" s="465"/>
      <c r="AV290" s="465"/>
      <c r="AW290" s="465"/>
      <c r="AX290" s="465"/>
      <c r="AY290" s="465"/>
      <c r="AZ290" s="465"/>
      <c r="BA290" s="465"/>
      <c r="BB290" s="465"/>
      <c r="BC290" s="465"/>
    </row>
    <row r="291" spans="1:55">
      <c r="A291" s="465"/>
      <c r="B291" s="465"/>
      <c r="C291" s="465"/>
      <c r="D291" s="467"/>
      <c r="E291" s="465"/>
      <c r="F291" s="465"/>
      <c r="G291" s="465"/>
      <c r="H291" s="465"/>
      <c r="I291" s="465"/>
      <c r="J291" s="465"/>
      <c r="K291" s="465"/>
      <c r="L291" s="465"/>
      <c r="M291" s="465"/>
      <c r="N291" s="465"/>
      <c r="O291" s="465"/>
      <c r="P291" s="465"/>
      <c r="Q291" s="465"/>
      <c r="R291" s="465"/>
      <c r="S291" s="465"/>
      <c r="T291" s="465"/>
      <c r="U291" s="465"/>
      <c r="V291" s="465"/>
      <c r="W291" s="465"/>
      <c r="X291" s="465"/>
      <c r="Y291" s="465"/>
      <c r="Z291" s="465"/>
      <c r="AA291" s="465"/>
      <c r="AB291" s="465"/>
      <c r="AC291" s="465"/>
      <c r="AD291" s="465"/>
      <c r="AE291" s="465"/>
      <c r="AF291" s="465"/>
      <c r="AG291" s="465"/>
      <c r="AH291" s="465"/>
      <c r="AI291" s="465"/>
      <c r="AJ291" s="465"/>
      <c r="AK291" s="465"/>
      <c r="AL291" s="465"/>
      <c r="AM291" s="465"/>
      <c r="AN291" s="465"/>
      <c r="AO291" s="465"/>
      <c r="AP291" s="465"/>
      <c r="AQ291" s="465"/>
      <c r="AR291" s="465"/>
      <c r="AS291" s="465"/>
      <c r="AT291" s="465"/>
      <c r="AU291" s="465"/>
      <c r="AV291" s="465"/>
      <c r="AW291" s="465"/>
      <c r="AX291" s="465"/>
      <c r="AY291" s="465"/>
      <c r="AZ291" s="465"/>
      <c r="BA291" s="465"/>
      <c r="BB291" s="465"/>
      <c r="BC291" s="465"/>
    </row>
    <row r="292" spans="1:55">
      <c r="A292" s="465"/>
      <c r="B292" s="465"/>
      <c r="C292" s="465"/>
      <c r="D292" s="467"/>
      <c r="E292" s="465"/>
      <c r="F292" s="465"/>
      <c r="G292" s="465"/>
      <c r="H292" s="465"/>
      <c r="I292" s="465"/>
      <c r="J292" s="465"/>
      <c r="K292" s="465"/>
      <c r="L292" s="465"/>
      <c r="M292" s="465"/>
      <c r="N292" s="465"/>
      <c r="O292" s="465"/>
      <c r="P292" s="465"/>
      <c r="Q292" s="465"/>
      <c r="R292" s="465"/>
      <c r="S292" s="465"/>
      <c r="T292" s="465"/>
      <c r="U292" s="465"/>
      <c r="V292" s="465"/>
      <c r="W292" s="465"/>
      <c r="X292" s="465"/>
      <c r="Y292" s="465"/>
      <c r="Z292" s="465"/>
      <c r="AA292" s="465"/>
      <c r="AB292" s="465"/>
      <c r="AC292" s="465"/>
      <c r="AD292" s="465"/>
      <c r="AE292" s="465"/>
      <c r="AF292" s="465"/>
      <c r="AG292" s="465"/>
      <c r="AH292" s="465"/>
      <c r="AI292" s="465"/>
      <c r="AJ292" s="465"/>
      <c r="AK292" s="465"/>
      <c r="AL292" s="465"/>
      <c r="AM292" s="465"/>
      <c r="AN292" s="465"/>
      <c r="AO292" s="465"/>
      <c r="AP292" s="465"/>
      <c r="AQ292" s="465"/>
      <c r="AR292" s="465"/>
      <c r="AS292" s="465"/>
      <c r="AT292" s="465"/>
      <c r="AU292" s="465"/>
      <c r="AV292" s="465"/>
      <c r="AW292" s="465"/>
      <c r="AX292" s="465"/>
      <c r="AY292" s="465"/>
      <c r="AZ292" s="465"/>
      <c r="BA292" s="465"/>
      <c r="BB292" s="465"/>
      <c r="BC292" s="465"/>
    </row>
    <row r="293" spans="1:55">
      <c r="A293" s="465"/>
      <c r="B293" s="465"/>
      <c r="C293" s="465"/>
      <c r="D293" s="467"/>
      <c r="E293" s="465"/>
      <c r="F293" s="465"/>
      <c r="G293" s="465"/>
      <c r="H293" s="465"/>
      <c r="I293" s="465"/>
      <c r="J293" s="465"/>
      <c r="K293" s="465"/>
      <c r="L293" s="465"/>
      <c r="M293" s="465"/>
      <c r="N293" s="465"/>
      <c r="O293" s="465"/>
      <c r="P293" s="465"/>
      <c r="Q293" s="465"/>
      <c r="R293" s="465"/>
      <c r="S293" s="465"/>
      <c r="T293" s="465"/>
      <c r="U293" s="465"/>
      <c r="V293" s="465"/>
      <c r="W293" s="465"/>
      <c r="X293" s="465"/>
      <c r="Y293" s="465"/>
      <c r="Z293" s="465"/>
      <c r="AA293" s="465"/>
      <c r="AB293" s="465"/>
      <c r="AC293" s="465"/>
      <c r="AD293" s="465"/>
      <c r="AE293" s="465"/>
      <c r="AF293" s="465"/>
      <c r="AG293" s="465"/>
      <c r="AH293" s="465"/>
      <c r="AI293" s="465"/>
      <c r="AJ293" s="465"/>
      <c r="AK293" s="465"/>
      <c r="AL293" s="465"/>
      <c r="AM293" s="465"/>
      <c r="AN293" s="465"/>
      <c r="AO293" s="465"/>
      <c r="AP293" s="465"/>
      <c r="AQ293" s="465"/>
      <c r="AR293" s="465"/>
      <c r="AS293" s="465"/>
      <c r="AT293" s="465"/>
      <c r="AU293" s="465"/>
      <c r="AV293" s="465"/>
      <c r="AW293" s="465"/>
      <c r="AX293" s="465"/>
      <c r="AY293" s="465"/>
      <c r="AZ293" s="465"/>
      <c r="BA293" s="465"/>
      <c r="BB293" s="465"/>
      <c r="BC293" s="465"/>
    </row>
    <row r="294" spans="1:55">
      <c r="A294" s="465"/>
      <c r="B294" s="465"/>
      <c r="C294" s="465"/>
      <c r="D294" s="467"/>
      <c r="E294" s="465"/>
      <c r="F294" s="465"/>
      <c r="G294" s="465"/>
      <c r="H294" s="465"/>
      <c r="I294" s="465"/>
      <c r="J294" s="465"/>
      <c r="K294" s="465"/>
      <c r="L294" s="465"/>
      <c r="M294" s="465"/>
      <c r="N294" s="465"/>
      <c r="O294" s="465"/>
      <c r="P294" s="465"/>
      <c r="Q294" s="465"/>
      <c r="R294" s="465"/>
      <c r="S294" s="465"/>
      <c r="T294" s="465"/>
      <c r="U294" s="465"/>
      <c r="V294" s="465"/>
      <c r="W294" s="465"/>
      <c r="X294" s="465"/>
      <c r="Y294" s="465"/>
      <c r="Z294" s="465"/>
      <c r="AA294" s="465"/>
      <c r="AB294" s="465"/>
      <c r="AC294" s="465"/>
      <c r="AD294" s="465"/>
      <c r="AE294" s="465"/>
      <c r="AF294" s="465"/>
      <c r="AG294" s="465"/>
      <c r="AH294" s="465"/>
      <c r="AI294" s="465"/>
      <c r="AJ294" s="465"/>
      <c r="AK294" s="465"/>
      <c r="AL294" s="465"/>
      <c r="AM294" s="465"/>
      <c r="AN294" s="465"/>
      <c r="AO294" s="465"/>
      <c r="AP294" s="465"/>
      <c r="AQ294" s="465"/>
      <c r="AR294" s="465"/>
      <c r="AS294" s="465"/>
      <c r="AT294" s="465"/>
      <c r="AU294" s="465"/>
      <c r="AV294" s="465"/>
      <c r="AW294" s="465"/>
      <c r="AX294" s="465"/>
      <c r="AY294" s="465"/>
      <c r="AZ294" s="465"/>
      <c r="BA294" s="465"/>
      <c r="BB294" s="465"/>
      <c r="BC294" s="465"/>
    </row>
    <row r="295" spans="1:55">
      <c r="A295" s="465"/>
      <c r="B295" s="465"/>
      <c r="C295" s="465"/>
      <c r="D295" s="467"/>
      <c r="E295" s="465"/>
      <c r="F295" s="465"/>
      <c r="G295" s="465"/>
      <c r="H295" s="465"/>
      <c r="I295" s="465"/>
      <c r="J295" s="465"/>
      <c r="K295" s="465"/>
      <c r="L295" s="465"/>
      <c r="M295" s="465"/>
      <c r="N295" s="465"/>
      <c r="O295" s="465"/>
      <c r="P295" s="465"/>
      <c r="Q295" s="465"/>
      <c r="R295" s="465"/>
      <c r="S295" s="465"/>
      <c r="T295" s="465"/>
      <c r="U295" s="465"/>
      <c r="V295" s="465"/>
      <c r="W295" s="465"/>
      <c r="X295" s="465"/>
      <c r="Y295" s="465"/>
      <c r="Z295" s="465"/>
      <c r="AA295" s="465"/>
      <c r="AB295" s="465"/>
      <c r="AC295" s="465"/>
      <c r="AD295" s="465"/>
      <c r="AE295" s="465"/>
      <c r="AF295" s="465"/>
      <c r="AG295" s="465"/>
      <c r="AH295" s="465"/>
      <c r="AI295" s="465"/>
      <c r="AJ295" s="465"/>
      <c r="AK295" s="465"/>
      <c r="AL295" s="465"/>
      <c r="AM295" s="465"/>
      <c r="AN295" s="465"/>
      <c r="AO295" s="465"/>
      <c r="AP295" s="465"/>
      <c r="AQ295" s="465"/>
      <c r="AR295" s="465"/>
      <c r="AS295" s="465"/>
      <c r="AT295" s="465"/>
      <c r="AU295" s="465"/>
      <c r="AV295" s="465"/>
      <c r="AW295" s="465"/>
      <c r="AX295" s="465"/>
      <c r="AY295" s="465"/>
      <c r="AZ295" s="465"/>
      <c r="BA295" s="465"/>
      <c r="BB295" s="465"/>
      <c r="BC295" s="465"/>
    </row>
    <row r="296" spans="1:55">
      <c r="A296" s="465"/>
      <c r="B296" s="465"/>
      <c r="C296" s="465"/>
      <c r="D296" s="467"/>
      <c r="E296" s="465"/>
      <c r="F296" s="465"/>
      <c r="G296" s="465"/>
      <c r="H296" s="465"/>
      <c r="I296" s="465"/>
      <c r="J296" s="465"/>
      <c r="K296" s="465"/>
      <c r="L296" s="465"/>
      <c r="M296" s="465"/>
      <c r="N296" s="465"/>
      <c r="O296" s="465"/>
      <c r="P296" s="465"/>
      <c r="Q296" s="465"/>
      <c r="R296" s="465"/>
      <c r="S296" s="465"/>
      <c r="T296" s="465"/>
      <c r="U296" s="465"/>
      <c r="V296" s="465"/>
      <c r="W296" s="465"/>
      <c r="X296" s="465"/>
      <c r="Y296" s="465"/>
      <c r="Z296" s="465"/>
      <c r="AA296" s="465"/>
      <c r="AB296" s="465"/>
      <c r="AC296" s="465"/>
      <c r="AD296" s="465"/>
      <c r="AE296" s="465"/>
      <c r="AF296" s="465"/>
      <c r="AG296" s="465"/>
      <c r="AH296" s="465"/>
      <c r="AI296" s="465"/>
      <c r="AJ296" s="465"/>
      <c r="AK296" s="465"/>
      <c r="AL296" s="465"/>
      <c r="AM296" s="465"/>
      <c r="AN296" s="465"/>
      <c r="AO296" s="465"/>
      <c r="AP296" s="465"/>
      <c r="AQ296" s="465"/>
      <c r="AR296" s="465"/>
      <c r="AS296" s="465"/>
      <c r="AT296" s="465"/>
      <c r="AU296" s="465"/>
      <c r="AV296" s="465"/>
      <c r="AW296" s="465"/>
      <c r="AX296" s="465"/>
      <c r="AY296" s="465"/>
      <c r="AZ296" s="465"/>
      <c r="BA296" s="465"/>
      <c r="BB296" s="465"/>
      <c r="BC296" s="465"/>
    </row>
    <row r="297" spans="1:55">
      <c r="A297" s="465"/>
      <c r="B297" s="465"/>
      <c r="C297" s="465"/>
      <c r="D297" s="467"/>
      <c r="E297" s="465"/>
      <c r="F297" s="465"/>
      <c r="G297" s="465"/>
      <c r="H297" s="465"/>
      <c r="I297" s="465"/>
      <c r="J297" s="465"/>
      <c r="K297" s="465"/>
      <c r="L297" s="465"/>
      <c r="M297" s="465"/>
      <c r="N297" s="465"/>
      <c r="O297" s="465"/>
      <c r="P297" s="465"/>
      <c r="Q297" s="465"/>
      <c r="R297" s="465"/>
      <c r="S297" s="465"/>
      <c r="T297" s="465"/>
      <c r="U297" s="465"/>
      <c r="V297" s="465"/>
      <c r="W297" s="465"/>
      <c r="X297" s="465"/>
      <c r="Y297" s="465"/>
      <c r="Z297" s="465"/>
      <c r="AA297" s="465"/>
      <c r="AB297" s="465"/>
      <c r="AC297" s="465"/>
      <c r="AD297" s="465"/>
      <c r="AE297" s="465"/>
      <c r="AF297" s="465"/>
      <c r="AG297" s="465"/>
      <c r="AH297" s="465"/>
      <c r="AI297" s="465"/>
      <c r="AJ297" s="465"/>
      <c r="AK297" s="465"/>
      <c r="AL297" s="465"/>
      <c r="AM297" s="465"/>
      <c r="AN297" s="465"/>
      <c r="AO297" s="465"/>
      <c r="AP297" s="465"/>
      <c r="AQ297" s="465"/>
      <c r="AR297" s="465"/>
      <c r="AS297" s="465"/>
      <c r="AT297" s="465"/>
      <c r="AU297" s="465"/>
      <c r="AV297" s="465"/>
      <c r="AW297" s="465"/>
      <c r="AX297" s="465"/>
      <c r="AY297" s="465"/>
      <c r="AZ297" s="465"/>
      <c r="BA297" s="465"/>
      <c r="BB297" s="465"/>
      <c r="BC297" s="465"/>
    </row>
    <row r="298" spans="1:55">
      <c r="A298" s="465"/>
      <c r="B298" s="465"/>
      <c r="C298" s="465"/>
      <c r="D298" s="467"/>
      <c r="E298" s="465"/>
      <c r="F298" s="465"/>
      <c r="G298" s="465"/>
      <c r="H298" s="465"/>
      <c r="I298" s="465"/>
      <c r="J298" s="465"/>
      <c r="K298" s="465"/>
      <c r="L298" s="465"/>
      <c r="M298" s="465"/>
      <c r="N298" s="465"/>
      <c r="O298" s="465"/>
      <c r="P298" s="465"/>
      <c r="Q298" s="465"/>
      <c r="R298" s="465"/>
      <c r="S298" s="465"/>
      <c r="T298" s="465"/>
      <c r="U298" s="465"/>
      <c r="V298" s="465"/>
      <c r="W298" s="465"/>
      <c r="X298" s="465"/>
      <c r="Y298" s="465"/>
      <c r="Z298" s="465"/>
      <c r="AA298" s="465"/>
      <c r="AB298" s="465"/>
      <c r="AC298" s="465"/>
      <c r="AD298" s="465"/>
      <c r="AE298" s="465"/>
      <c r="AF298" s="465"/>
      <c r="AG298" s="465"/>
      <c r="AH298" s="465"/>
      <c r="AI298" s="465"/>
      <c r="AJ298" s="465"/>
      <c r="AK298" s="465"/>
      <c r="AL298" s="465"/>
      <c r="AM298" s="465"/>
      <c r="AN298" s="465"/>
      <c r="AO298" s="465"/>
      <c r="AP298" s="465"/>
      <c r="AQ298" s="465"/>
      <c r="AR298" s="465"/>
      <c r="AS298" s="465"/>
      <c r="AT298" s="465"/>
      <c r="AU298" s="465"/>
      <c r="AV298" s="465"/>
      <c r="AW298" s="465"/>
      <c r="AX298" s="465"/>
      <c r="AY298" s="465"/>
      <c r="AZ298" s="465"/>
      <c r="BA298" s="465"/>
      <c r="BB298" s="465"/>
      <c r="BC298" s="465"/>
    </row>
    <row r="299" spans="1:55">
      <c r="A299" s="465"/>
      <c r="B299" s="465"/>
      <c r="C299" s="465"/>
      <c r="D299" s="467"/>
      <c r="E299" s="465"/>
      <c r="F299" s="465"/>
      <c r="G299" s="465"/>
      <c r="H299" s="465"/>
      <c r="I299" s="465"/>
      <c r="J299" s="465"/>
      <c r="K299" s="465"/>
      <c r="L299" s="465"/>
      <c r="M299" s="465"/>
      <c r="N299" s="465"/>
      <c r="O299" s="465"/>
      <c r="P299" s="465"/>
      <c r="Q299" s="465"/>
      <c r="R299" s="465"/>
      <c r="S299" s="465"/>
      <c r="T299" s="465"/>
      <c r="U299" s="465"/>
      <c r="V299" s="465"/>
      <c r="W299" s="465"/>
      <c r="X299" s="465"/>
      <c r="Y299" s="465"/>
      <c r="Z299" s="465"/>
      <c r="AA299" s="465"/>
      <c r="AB299" s="465"/>
      <c r="AC299" s="465"/>
      <c r="AD299" s="465"/>
      <c r="AE299" s="465"/>
      <c r="AF299" s="465"/>
      <c r="AG299" s="465"/>
      <c r="AH299" s="465"/>
      <c r="AI299" s="465"/>
      <c r="AJ299" s="465"/>
      <c r="AK299" s="465"/>
      <c r="AL299" s="465"/>
      <c r="AM299" s="465"/>
      <c r="AN299" s="465"/>
      <c r="AO299" s="465"/>
      <c r="AP299" s="465"/>
      <c r="AQ299" s="465"/>
      <c r="AR299" s="465"/>
      <c r="AS299" s="465"/>
      <c r="AT299" s="465"/>
      <c r="AU299" s="465"/>
      <c r="AV299" s="465"/>
      <c r="AW299" s="465"/>
      <c r="AX299" s="465"/>
      <c r="AY299" s="465"/>
      <c r="AZ299" s="465"/>
      <c r="BA299" s="465"/>
      <c r="BB299" s="465"/>
      <c r="BC299" s="465"/>
    </row>
    <row r="300" spans="1:55">
      <c r="A300" s="465"/>
      <c r="B300" s="465"/>
      <c r="C300" s="465"/>
      <c r="D300" s="467"/>
      <c r="E300" s="465"/>
      <c r="F300" s="465"/>
      <c r="G300" s="465"/>
      <c r="H300" s="465"/>
      <c r="I300" s="465"/>
      <c r="J300" s="465"/>
      <c r="K300" s="465"/>
      <c r="L300" s="465"/>
      <c r="M300" s="465"/>
      <c r="N300" s="465"/>
      <c r="O300" s="465"/>
      <c r="P300" s="465"/>
      <c r="Q300" s="465"/>
      <c r="R300" s="465"/>
      <c r="S300" s="465"/>
      <c r="T300" s="465"/>
      <c r="U300" s="465"/>
      <c r="V300" s="465"/>
      <c r="W300" s="465"/>
      <c r="X300" s="465"/>
      <c r="Y300" s="465"/>
      <c r="Z300" s="465"/>
      <c r="AA300" s="465"/>
      <c r="AB300" s="465"/>
      <c r="AC300" s="465"/>
      <c r="AD300" s="465"/>
      <c r="AE300" s="465"/>
      <c r="AF300" s="465"/>
      <c r="AG300" s="465"/>
      <c r="AH300" s="465"/>
      <c r="AI300" s="465"/>
      <c r="AJ300" s="465"/>
      <c r="AK300" s="465"/>
      <c r="AL300" s="465"/>
      <c r="AM300" s="465"/>
      <c r="AN300" s="465"/>
      <c r="AO300" s="465"/>
      <c r="AP300" s="465"/>
      <c r="AQ300" s="465"/>
      <c r="AR300" s="465"/>
      <c r="AS300" s="465"/>
      <c r="AT300" s="465"/>
      <c r="AU300" s="465"/>
      <c r="AV300" s="465"/>
      <c r="AW300" s="465"/>
      <c r="AX300" s="465"/>
      <c r="AY300" s="465"/>
      <c r="AZ300" s="465"/>
      <c r="BA300" s="465"/>
      <c r="BB300" s="465"/>
      <c r="BC300" s="465"/>
    </row>
    <row r="301" spans="1:55">
      <c r="A301" s="465"/>
      <c r="B301" s="465"/>
      <c r="C301" s="465"/>
      <c r="D301" s="467"/>
      <c r="E301" s="465"/>
      <c r="F301" s="465"/>
      <c r="G301" s="465"/>
      <c r="H301" s="465"/>
      <c r="I301" s="465"/>
      <c r="J301" s="465"/>
      <c r="K301" s="465"/>
      <c r="L301" s="465"/>
      <c r="M301" s="465"/>
      <c r="N301" s="465"/>
      <c r="O301" s="465"/>
      <c r="P301" s="465"/>
      <c r="Q301" s="465"/>
      <c r="R301" s="465"/>
      <c r="S301" s="465"/>
      <c r="T301" s="465"/>
      <c r="U301" s="465"/>
      <c r="V301" s="465"/>
      <c r="W301" s="465"/>
      <c r="X301" s="465"/>
      <c r="Y301" s="465"/>
      <c r="Z301" s="465"/>
      <c r="AA301" s="465"/>
      <c r="AB301" s="465"/>
      <c r="AC301" s="465"/>
      <c r="AD301" s="465"/>
      <c r="AE301" s="465"/>
      <c r="AF301" s="465"/>
      <c r="AG301" s="465"/>
      <c r="AH301" s="465"/>
      <c r="AI301" s="465"/>
      <c r="AJ301" s="465"/>
      <c r="AK301" s="465"/>
      <c r="AL301" s="465"/>
      <c r="AM301" s="465"/>
      <c r="AN301" s="465"/>
      <c r="AO301" s="465"/>
      <c r="AP301" s="465"/>
      <c r="AQ301" s="465"/>
      <c r="AR301" s="465"/>
      <c r="AS301" s="465"/>
      <c r="AT301" s="465"/>
      <c r="AU301" s="465"/>
      <c r="AV301" s="465"/>
      <c r="AW301" s="465"/>
      <c r="AX301" s="465"/>
      <c r="AY301" s="465"/>
      <c r="AZ301" s="465"/>
      <c r="BA301" s="465"/>
      <c r="BB301" s="465"/>
      <c r="BC301" s="465"/>
    </row>
    <row r="302" spans="1:55">
      <c r="A302" s="465"/>
      <c r="B302" s="465"/>
      <c r="C302" s="465"/>
      <c r="D302" s="467"/>
      <c r="E302" s="465"/>
      <c r="F302" s="465"/>
      <c r="G302" s="465"/>
      <c r="H302" s="465"/>
      <c r="I302" s="465"/>
      <c r="J302" s="465"/>
      <c r="K302" s="465"/>
      <c r="L302" s="465"/>
      <c r="M302" s="465"/>
      <c r="N302" s="465"/>
      <c r="O302" s="465"/>
      <c r="P302" s="465"/>
      <c r="Q302" s="465"/>
      <c r="R302" s="465"/>
      <c r="S302" s="465"/>
      <c r="T302" s="465"/>
      <c r="U302" s="465"/>
      <c r="V302" s="465"/>
      <c r="W302" s="465"/>
      <c r="X302" s="465"/>
      <c r="Y302" s="465"/>
      <c r="Z302" s="465"/>
      <c r="AA302" s="465"/>
      <c r="AB302" s="465"/>
      <c r="AC302" s="465"/>
      <c r="AD302" s="465"/>
      <c r="AE302" s="465"/>
      <c r="AF302" s="465"/>
      <c r="AG302" s="465"/>
      <c r="AH302" s="465"/>
      <c r="AI302" s="465"/>
      <c r="AJ302" s="465"/>
      <c r="AK302" s="465"/>
      <c r="AL302" s="465"/>
      <c r="AM302" s="465"/>
      <c r="AN302" s="465"/>
      <c r="AO302" s="465"/>
      <c r="AP302" s="465"/>
      <c r="AQ302" s="465"/>
      <c r="AR302" s="465"/>
      <c r="AS302" s="465"/>
      <c r="AT302" s="465"/>
      <c r="AU302" s="465"/>
      <c r="AV302" s="465"/>
      <c r="AW302" s="465"/>
      <c r="AX302" s="465"/>
      <c r="AY302" s="465"/>
      <c r="AZ302" s="465"/>
      <c r="BA302" s="465"/>
      <c r="BB302" s="465"/>
      <c r="BC302" s="465"/>
    </row>
    <row r="303" spans="1:55">
      <c r="A303" s="465"/>
      <c r="B303" s="465"/>
      <c r="C303" s="465"/>
      <c r="D303" s="467"/>
      <c r="E303" s="465"/>
      <c r="F303" s="465"/>
      <c r="G303" s="465"/>
      <c r="H303" s="465"/>
      <c r="I303" s="465"/>
      <c r="J303" s="465"/>
      <c r="K303" s="465"/>
      <c r="L303" s="465"/>
      <c r="M303" s="465"/>
      <c r="N303" s="465"/>
      <c r="O303" s="465"/>
      <c r="P303" s="465"/>
      <c r="Q303" s="465"/>
      <c r="R303" s="465"/>
      <c r="S303" s="465"/>
      <c r="T303" s="465"/>
      <c r="U303" s="465"/>
      <c r="V303" s="465"/>
      <c r="W303" s="465"/>
      <c r="X303" s="465"/>
      <c r="Y303" s="465"/>
      <c r="Z303" s="465"/>
      <c r="AA303" s="465"/>
      <c r="AB303" s="465"/>
      <c r="AC303" s="465"/>
      <c r="AD303" s="465"/>
      <c r="AE303" s="465"/>
      <c r="AF303" s="465"/>
      <c r="AG303" s="465"/>
      <c r="AH303" s="465"/>
      <c r="AI303" s="465"/>
      <c r="AJ303" s="465"/>
      <c r="AK303" s="465"/>
      <c r="AL303" s="465"/>
      <c r="AM303" s="465"/>
      <c r="AN303" s="465"/>
      <c r="AO303" s="465"/>
      <c r="AP303" s="465"/>
      <c r="AQ303" s="465"/>
      <c r="AR303" s="465"/>
      <c r="AS303" s="465"/>
      <c r="AT303" s="465"/>
      <c r="AU303" s="465"/>
      <c r="AV303" s="465"/>
      <c r="AW303" s="465"/>
      <c r="AX303" s="465"/>
      <c r="AY303" s="465"/>
      <c r="AZ303" s="465"/>
      <c r="BA303" s="465"/>
      <c r="BB303" s="465"/>
      <c r="BC303" s="465"/>
    </row>
    <row r="304" spans="1:55">
      <c r="A304" s="465"/>
      <c r="B304" s="465"/>
      <c r="C304" s="465"/>
      <c r="D304" s="467"/>
      <c r="E304" s="465"/>
      <c r="F304" s="465"/>
      <c r="G304" s="465"/>
      <c r="H304" s="465"/>
      <c r="I304" s="465"/>
      <c r="J304" s="465"/>
      <c r="K304" s="465"/>
      <c r="L304" s="465"/>
      <c r="M304" s="465"/>
      <c r="N304" s="465"/>
      <c r="O304" s="465"/>
      <c r="P304" s="465"/>
      <c r="Q304" s="465"/>
      <c r="R304" s="465"/>
      <c r="S304" s="465"/>
      <c r="T304" s="465"/>
      <c r="U304" s="465"/>
      <c r="V304" s="465"/>
      <c r="W304" s="465"/>
      <c r="X304" s="465"/>
      <c r="Y304" s="465"/>
      <c r="Z304" s="465"/>
      <c r="AA304" s="465"/>
      <c r="AB304" s="465"/>
      <c r="AC304" s="465"/>
      <c r="AD304" s="465"/>
      <c r="AE304" s="465"/>
      <c r="AF304" s="465"/>
      <c r="AG304" s="465"/>
      <c r="AH304" s="465"/>
      <c r="AI304" s="465"/>
      <c r="AJ304" s="465"/>
      <c r="AK304" s="465"/>
      <c r="AL304" s="465"/>
      <c r="AM304" s="465"/>
      <c r="AN304" s="465"/>
      <c r="AO304" s="465"/>
      <c r="AP304" s="465"/>
      <c r="AQ304" s="465"/>
      <c r="AR304" s="465"/>
      <c r="AS304" s="465"/>
      <c r="AT304" s="465"/>
      <c r="AU304" s="465"/>
      <c r="AV304" s="465"/>
      <c r="AW304" s="465"/>
      <c r="AX304" s="465"/>
      <c r="AY304" s="465"/>
      <c r="AZ304" s="465"/>
      <c r="BA304" s="465"/>
      <c r="BB304" s="465"/>
      <c r="BC304" s="465"/>
    </row>
    <row r="305" spans="1:55">
      <c r="A305" s="465"/>
      <c r="B305" s="465"/>
      <c r="C305" s="465"/>
      <c r="D305" s="467"/>
      <c r="E305" s="465"/>
      <c r="F305" s="465"/>
      <c r="G305" s="465"/>
      <c r="H305" s="465"/>
      <c r="I305" s="465"/>
      <c r="J305" s="465"/>
      <c r="K305" s="465"/>
      <c r="L305" s="465"/>
      <c r="M305" s="465"/>
      <c r="N305" s="465"/>
      <c r="O305" s="465"/>
      <c r="P305" s="465"/>
      <c r="Q305" s="465"/>
      <c r="R305" s="465"/>
      <c r="S305" s="465"/>
      <c r="T305" s="465"/>
      <c r="U305" s="465"/>
      <c r="V305" s="465"/>
      <c r="W305" s="465"/>
      <c r="X305" s="465"/>
      <c r="Y305" s="465"/>
      <c r="Z305" s="465"/>
      <c r="AA305" s="465"/>
      <c r="AB305" s="465"/>
      <c r="AC305" s="465"/>
      <c r="AD305" s="465"/>
      <c r="AE305" s="465"/>
      <c r="AF305" s="465"/>
      <c r="AG305" s="465"/>
      <c r="AH305" s="465"/>
      <c r="AI305" s="465"/>
      <c r="AJ305" s="465"/>
      <c r="AK305" s="465"/>
      <c r="AL305" s="465"/>
      <c r="AM305" s="465"/>
      <c r="AN305" s="465"/>
      <c r="AO305" s="465"/>
      <c r="AP305" s="465"/>
      <c r="AQ305" s="465"/>
      <c r="AR305" s="465"/>
      <c r="AS305" s="465"/>
      <c r="AT305" s="465"/>
      <c r="AU305" s="465"/>
      <c r="AV305" s="465"/>
      <c r="AW305" s="465"/>
      <c r="AX305" s="465"/>
      <c r="AY305" s="465"/>
      <c r="AZ305" s="465"/>
      <c r="BA305" s="465"/>
      <c r="BB305" s="465"/>
      <c r="BC305" s="465"/>
    </row>
    <row r="306" spans="1:55">
      <c r="A306" s="465"/>
      <c r="B306" s="465"/>
      <c r="C306" s="465"/>
      <c r="D306" s="467"/>
      <c r="E306" s="465"/>
      <c r="F306" s="465"/>
      <c r="G306" s="465"/>
      <c r="H306" s="465"/>
      <c r="I306" s="465"/>
      <c r="J306" s="465"/>
      <c r="K306" s="465"/>
      <c r="L306" s="465"/>
      <c r="M306" s="465"/>
      <c r="N306" s="465"/>
      <c r="O306" s="465"/>
      <c r="P306" s="465"/>
      <c r="Q306" s="465"/>
      <c r="R306" s="465"/>
      <c r="S306" s="465"/>
      <c r="T306" s="465"/>
      <c r="U306" s="465"/>
      <c r="V306" s="465"/>
      <c r="W306" s="465"/>
      <c r="X306" s="465"/>
      <c r="Y306" s="465"/>
      <c r="Z306" s="465"/>
      <c r="AA306" s="465"/>
      <c r="AB306" s="465"/>
      <c r="AC306" s="465"/>
      <c r="AD306" s="465"/>
      <c r="AE306" s="465"/>
      <c r="AF306" s="465"/>
      <c r="AG306" s="465"/>
      <c r="AH306" s="465"/>
      <c r="AI306" s="465"/>
      <c r="AJ306" s="465"/>
      <c r="AK306" s="465"/>
      <c r="AL306" s="465"/>
      <c r="AM306" s="465"/>
      <c r="AN306" s="465"/>
      <c r="AO306" s="465"/>
      <c r="AP306" s="465"/>
      <c r="AQ306" s="465"/>
      <c r="AR306" s="465"/>
      <c r="AS306" s="465"/>
      <c r="AT306" s="465"/>
      <c r="AU306" s="465"/>
      <c r="AV306" s="465"/>
      <c r="AW306" s="465"/>
      <c r="AX306" s="465"/>
      <c r="AY306" s="465"/>
      <c r="AZ306" s="465"/>
      <c r="BA306" s="465"/>
      <c r="BB306" s="465"/>
      <c r="BC306" s="465"/>
    </row>
    <row r="307" spans="1:55">
      <c r="A307" s="465"/>
      <c r="B307" s="465"/>
      <c r="C307" s="465"/>
      <c r="D307" s="467"/>
      <c r="E307" s="465"/>
      <c r="F307" s="465"/>
      <c r="G307" s="465"/>
      <c r="H307" s="465"/>
      <c r="I307" s="465"/>
      <c r="J307" s="465"/>
      <c r="K307" s="465"/>
      <c r="L307" s="465"/>
      <c r="M307" s="465"/>
      <c r="N307" s="465"/>
      <c r="O307" s="465"/>
      <c r="P307" s="465"/>
      <c r="Q307" s="465"/>
      <c r="R307" s="465"/>
      <c r="S307" s="465"/>
      <c r="T307" s="465"/>
      <c r="U307" s="465"/>
      <c r="V307" s="465"/>
      <c r="W307" s="465"/>
      <c r="X307" s="465"/>
      <c r="Y307" s="465"/>
      <c r="Z307" s="465"/>
      <c r="AA307" s="465"/>
      <c r="AB307" s="465"/>
      <c r="AC307" s="465"/>
      <c r="AD307" s="465"/>
      <c r="AE307" s="465"/>
      <c r="AF307" s="465"/>
      <c r="AG307" s="465"/>
      <c r="AH307" s="465"/>
      <c r="AI307" s="465"/>
      <c r="AJ307" s="465"/>
      <c r="AK307" s="465"/>
      <c r="AL307" s="465"/>
      <c r="AM307" s="465"/>
      <c r="AN307" s="465"/>
      <c r="AO307" s="465"/>
      <c r="AP307" s="465"/>
      <c r="AQ307" s="465"/>
      <c r="AR307" s="465"/>
      <c r="AS307" s="465"/>
      <c r="AT307" s="465"/>
      <c r="AU307" s="465"/>
      <c r="AV307" s="465"/>
      <c r="AW307" s="465"/>
      <c r="AX307" s="465"/>
      <c r="AY307" s="465"/>
      <c r="AZ307" s="465"/>
      <c r="BA307" s="465"/>
      <c r="BB307" s="465"/>
      <c r="BC307" s="465"/>
    </row>
    <row r="308" spans="1:55">
      <c r="A308" s="465"/>
      <c r="B308" s="465"/>
      <c r="C308" s="465"/>
      <c r="D308" s="467"/>
      <c r="E308" s="465"/>
      <c r="F308" s="465"/>
      <c r="G308" s="465"/>
      <c r="H308" s="465"/>
      <c r="I308" s="465"/>
      <c r="J308" s="465"/>
      <c r="K308" s="465"/>
      <c r="L308" s="465"/>
      <c r="M308" s="465"/>
      <c r="N308" s="465"/>
      <c r="O308" s="465"/>
      <c r="P308" s="465"/>
      <c r="Q308" s="465"/>
      <c r="R308" s="465"/>
      <c r="S308" s="465"/>
      <c r="T308" s="465"/>
      <c r="U308" s="465"/>
      <c r="V308" s="465"/>
      <c r="W308" s="465"/>
      <c r="X308" s="465"/>
      <c r="Y308" s="465"/>
      <c r="Z308" s="465"/>
      <c r="AA308" s="465"/>
      <c r="AB308" s="465"/>
      <c r="AC308" s="465"/>
      <c r="AD308" s="465"/>
      <c r="AE308" s="465"/>
      <c r="AF308" s="465"/>
      <c r="AG308" s="465"/>
      <c r="AH308" s="465"/>
      <c r="AI308" s="465"/>
      <c r="AJ308" s="465"/>
      <c r="AK308" s="465"/>
      <c r="AL308" s="465"/>
      <c r="AM308" s="465"/>
      <c r="AN308" s="465"/>
      <c r="AO308" s="465"/>
      <c r="AP308" s="465"/>
      <c r="AQ308" s="465"/>
      <c r="AR308" s="465"/>
      <c r="AS308" s="465"/>
      <c r="AT308" s="465"/>
      <c r="AU308" s="465"/>
      <c r="AV308" s="465"/>
      <c r="AW308" s="465"/>
      <c r="AX308" s="465"/>
      <c r="AY308" s="465"/>
      <c r="AZ308" s="465"/>
      <c r="BA308" s="465"/>
      <c r="BB308" s="465"/>
      <c r="BC308" s="465"/>
    </row>
    <row r="309" spans="1:55">
      <c r="A309" s="465"/>
      <c r="B309" s="465"/>
      <c r="C309" s="465"/>
      <c r="D309" s="467"/>
      <c r="E309" s="465"/>
      <c r="F309" s="465"/>
      <c r="G309" s="465"/>
      <c r="H309" s="465"/>
      <c r="I309" s="465"/>
      <c r="J309" s="465"/>
      <c r="K309" s="465"/>
      <c r="L309" s="465"/>
      <c r="M309" s="465"/>
      <c r="N309" s="465"/>
      <c r="O309" s="465"/>
      <c r="P309" s="465"/>
      <c r="Q309" s="465"/>
      <c r="R309" s="465"/>
      <c r="S309" s="465"/>
      <c r="T309" s="465"/>
      <c r="U309" s="465"/>
      <c r="V309" s="465"/>
      <c r="W309" s="465"/>
      <c r="X309" s="465"/>
      <c r="Y309" s="465"/>
      <c r="Z309" s="465"/>
      <c r="AA309" s="465"/>
      <c r="AB309" s="465"/>
      <c r="AC309" s="465"/>
      <c r="AD309" s="465"/>
      <c r="AE309" s="465"/>
      <c r="AF309" s="465"/>
      <c r="AG309" s="465"/>
      <c r="AH309" s="465"/>
      <c r="AI309" s="465"/>
      <c r="AJ309" s="465"/>
      <c r="AK309" s="465"/>
      <c r="AL309" s="465"/>
      <c r="AM309" s="465"/>
      <c r="AN309" s="465"/>
      <c r="AO309" s="465"/>
      <c r="AP309" s="465"/>
      <c r="AQ309" s="465"/>
      <c r="AR309" s="465"/>
      <c r="AS309" s="465"/>
      <c r="AT309" s="465"/>
      <c r="AU309" s="465"/>
      <c r="AV309" s="465"/>
      <c r="AW309" s="465"/>
      <c r="AX309" s="465"/>
      <c r="AY309" s="465"/>
      <c r="AZ309" s="465"/>
      <c r="BA309" s="465"/>
      <c r="BB309" s="465"/>
      <c r="BC309" s="465"/>
    </row>
    <row r="310" spans="1:55">
      <c r="A310" s="465"/>
      <c r="B310" s="465"/>
      <c r="C310" s="465"/>
      <c r="D310" s="467"/>
      <c r="E310" s="465"/>
      <c r="F310" s="465"/>
      <c r="G310" s="465"/>
      <c r="H310" s="465"/>
      <c r="I310" s="465"/>
      <c r="J310" s="465"/>
      <c r="K310" s="465"/>
      <c r="L310" s="465"/>
      <c r="M310" s="465"/>
      <c r="N310" s="465"/>
      <c r="O310" s="465"/>
      <c r="P310" s="465"/>
      <c r="Q310" s="465"/>
      <c r="R310" s="465"/>
      <c r="S310" s="465"/>
      <c r="T310" s="465"/>
      <c r="U310" s="465"/>
      <c r="V310" s="465"/>
      <c r="W310" s="465"/>
      <c r="X310" s="465"/>
      <c r="Y310" s="465"/>
      <c r="Z310" s="465"/>
      <c r="AA310" s="465"/>
      <c r="AB310" s="465"/>
      <c r="AC310" s="465"/>
      <c r="AD310" s="465"/>
      <c r="AE310" s="465"/>
      <c r="AF310" s="465"/>
      <c r="AG310" s="465"/>
      <c r="AH310" s="465"/>
      <c r="AI310" s="465"/>
      <c r="AJ310" s="465"/>
      <c r="AK310" s="465"/>
      <c r="AL310" s="465"/>
      <c r="AM310" s="465"/>
      <c r="AN310" s="465"/>
      <c r="AO310" s="465"/>
      <c r="AP310" s="465"/>
      <c r="AQ310" s="465"/>
      <c r="AR310" s="465"/>
      <c r="AS310" s="465"/>
      <c r="AT310" s="465"/>
      <c r="AU310" s="465"/>
      <c r="AV310" s="465"/>
      <c r="AW310" s="465"/>
      <c r="AX310" s="465"/>
      <c r="AY310" s="465"/>
      <c r="AZ310" s="465"/>
      <c r="BA310" s="465"/>
      <c r="BB310" s="465"/>
      <c r="BC310" s="465"/>
    </row>
    <row r="311" spans="1:55">
      <c r="A311" s="465"/>
      <c r="B311" s="465"/>
      <c r="C311" s="465"/>
      <c r="D311" s="467"/>
      <c r="E311" s="465"/>
      <c r="F311" s="465"/>
      <c r="G311" s="465"/>
      <c r="H311" s="465"/>
      <c r="I311" s="465"/>
      <c r="J311" s="465"/>
      <c r="K311" s="465"/>
      <c r="L311" s="465"/>
      <c r="M311" s="465"/>
      <c r="N311" s="465"/>
      <c r="O311" s="465"/>
      <c r="P311" s="465"/>
      <c r="Q311" s="465"/>
      <c r="R311" s="465"/>
      <c r="S311" s="465"/>
      <c r="T311" s="465"/>
      <c r="U311" s="465"/>
      <c r="V311" s="465"/>
      <c r="W311" s="465"/>
      <c r="X311" s="465"/>
      <c r="Y311" s="465"/>
      <c r="Z311" s="465"/>
      <c r="AA311" s="465"/>
      <c r="AB311" s="465"/>
      <c r="AC311" s="465"/>
      <c r="AD311" s="465"/>
      <c r="AE311" s="465"/>
      <c r="AF311" s="465"/>
      <c r="AG311" s="465"/>
      <c r="AH311" s="465"/>
      <c r="AI311" s="465"/>
      <c r="AJ311" s="465"/>
      <c r="AK311" s="465"/>
      <c r="AL311" s="465"/>
      <c r="AM311" s="465"/>
      <c r="AN311" s="465"/>
      <c r="AO311" s="465"/>
      <c r="AP311" s="465"/>
      <c r="AQ311" s="465"/>
      <c r="AR311" s="465"/>
      <c r="AS311" s="465"/>
      <c r="AT311" s="465"/>
      <c r="AU311" s="465"/>
      <c r="AV311" s="465"/>
      <c r="AW311" s="465"/>
      <c r="AX311" s="465"/>
      <c r="AY311" s="465"/>
      <c r="AZ311" s="465"/>
      <c r="BA311" s="465"/>
      <c r="BB311" s="465"/>
      <c r="BC311" s="465"/>
    </row>
    <row r="312" spans="1:55">
      <c r="A312" s="465"/>
      <c r="B312" s="465"/>
      <c r="C312" s="465"/>
      <c r="D312" s="467"/>
      <c r="E312" s="465"/>
      <c r="F312" s="465"/>
      <c r="G312" s="465"/>
      <c r="H312" s="465"/>
      <c r="I312" s="465"/>
      <c r="J312" s="465"/>
      <c r="K312" s="465"/>
      <c r="L312" s="465"/>
      <c r="M312" s="465"/>
      <c r="N312" s="465"/>
      <c r="O312" s="465"/>
      <c r="P312" s="465"/>
      <c r="Q312" s="465"/>
      <c r="R312" s="465"/>
      <c r="S312" s="465"/>
      <c r="T312" s="465"/>
      <c r="U312" s="465"/>
      <c r="V312" s="465"/>
      <c r="W312" s="465"/>
      <c r="X312" s="465"/>
      <c r="Y312" s="465"/>
      <c r="Z312" s="465"/>
      <c r="AA312" s="465"/>
      <c r="AB312" s="465"/>
      <c r="AC312" s="465"/>
      <c r="AD312" s="465"/>
      <c r="AE312" s="465"/>
      <c r="AF312" s="465"/>
      <c r="AG312" s="465"/>
      <c r="AH312" s="465"/>
      <c r="AI312" s="465"/>
      <c r="AJ312" s="465"/>
      <c r="AK312" s="465"/>
      <c r="AL312" s="465"/>
      <c r="AM312" s="465"/>
      <c r="AN312" s="465"/>
      <c r="AO312" s="465"/>
      <c r="AP312" s="465"/>
      <c r="AQ312" s="465"/>
      <c r="AR312" s="465"/>
      <c r="AS312" s="465"/>
      <c r="AT312" s="465"/>
      <c r="AU312" s="465"/>
      <c r="AV312" s="465"/>
      <c r="AW312" s="465"/>
      <c r="AX312" s="465"/>
      <c r="AY312" s="465"/>
      <c r="AZ312" s="465"/>
      <c r="BA312" s="465"/>
      <c r="BB312" s="465"/>
      <c r="BC312" s="465"/>
    </row>
    <row r="313" spans="1:55">
      <c r="A313" s="465"/>
      <c r="B313" s="465"/>
      <c r="C313" s="465"/>
      <c r="D313" s="467"/>
      <c r="E313" s="465"/>
      <c r="F313" s="465"/>
      <c r="G313" s="465"/>
      <c r="H313" s="465"/>
      <c r="I313" s="465"/>
      <c r="J313" s="465"/>
      <c r="K313" s="465"/>
      <c r="L313" s="465"/>
      <c r="M313" s="465"/>
      <c r="N313" s="465"/>
      <c r="O313" s="465"/>
      <c r="P313" s="465"/>
      <c r="Q313" s="465"/>
      <c r="R313" s="465"/>
      <c r="S313" s="465"/>
      <c r="T313" s="465"/>
      <c r="U313" s="465"/>
      <c r="V313" s="465"/>
      <c r="W313" s="465"/>
      <c r="X313" s="465"/>
      <c r="Y313" s="465"/>
      <c r="Z313" s="465"/>
      <c r="AA313" s="465"/>
      <c r="AB313" s="465"/>
      <c r="AC313" s="465"/>
      <c r="AD313" s="465"/>
      <c r="AE313" s="465"/>
      <c r="AF313" s="465"/>
      <c r="AG313" s="465"/>
      <c r="AH313" s="465"/>
      <c r="AI313" s="465"/>
      <c r="AJ313" s="465"/>
      <c r="AK313" s="465"/>
      <c r="AL313" s="465"/>
      <c r="AM313" s="465"/>
      <c r="AN313" s="465"/>
      <c r="AO313" s="465"/>
      <c r="AP313" s="465"/>
      <c r="AQ313" s="465"/>
      <c r="AR313" s="465"/>
      <c r="AS313" s="465"/>
      <c r="AT313" s="465"/>
      <c r="AU313" s="465"/>
      <c r="AV313" s="465"/>
      <c r="AW313" s="465"/>
      <c r="AX313" s="465"/>
      <c r="AY313" s="465"/>
      <c r="AZ313" s="465"/>
      <c r="BA313" s="465"/>
      <c r="BB313" s="465"/>
      <c r="BC313" s="465"/>
    </row>
    <row r="314" spans="1:55">
      <c r="A314" s="465"/>
      <c r="B314" s="465"/>
      <c r="C314" s="465"/>
      <c r="D314" s="467"/>
      <c r="E314" s="465"/>
      <c r="F314" s="465"/>
      <c r="G314" s="465"/>
      <c r="H314" s="465"/>
      <c r="I314" s="465"/>
      <c r="J314" s="465"/>
      <c r="K314" s="465"/>
      <c r="L314" s="465"/>
      <c r="M314" s="465"/>
      <c r="N314" s="465"/>
      <c r="O314" s="465"/>
      <c r="P314" s="465"/>
      <c r="Q314" s="465"/>
      <c r="R314" s="465"/>
      <c r="S314" s="465"/>
      <c r="T314" s="465"/>
      <c r="U314" s="465"/>
      <c r="V314" s="465"/>
      <c r="W314" s="465"/>
      <c r="X314" s="465"/>
      <c r="Y314" s="465"/>
      <c r="Z314" s="465"/>
      <c r="AA314" s="465"/>
      <c r="AB314" s="465"/>
      <c r="AC314" s="465"/>
      <c r="AD314" s="465"/>
      <c r="AE314" s="465"/>
      <c r="AF314" s="465"/>
      <c r="AG314" s="465"/>
      <c r="AH314" s="465"/>
      <c r="AI314" s="465"/>
      <c r="AJ314" s="465"/>
      <c r="AK314" s="465"/>
      <c r="AL314" s="465"/>
      <c r="AM314" s="465"/>
      <c r="AN314" s="465"/>
      <c r="AO314" s="465"/>
      <c r="AP314" s="465"/>
      <c r="AQ314" s="465"/>
      <c r="AR314" s="465"/>
      <c r="AS314" s="465"/>
      <c r="AT314" s="465"/>
      <c r="AU314" s="465"/>
      <c r="AV314" s="465"/>
      <c r="AW314" s="465"/>
      <c r="AX314" s="465"/>
      <c r="AY314" s="465"/>
      <c r="AZ314" s="465"/>
      <c r="BA314" s="465"/>
      <c r="BB314" s="465"/>
      <c r="BC314" s="465"/>
    </row>
    <row r="315" spans="1:55">
      <c r="A315" s="465"/>
      <c r="B315" s="465"/>
      <c r="C315" s="465"/>
      <c r="D315" s="467"/>
      <c r="E315" s="465"/>
      <c r="F315" s="465"/>
      <c r="G315" s="465"/>
      <c r="H315" s="465"/>
      <c r="I315" s="465"/>
      <c r="J315" s="465"/>
      <c r="K315" s="465"/>
      <c r="L315" s="465"/>
      <c r="M315" s="465"/>
      <c r="N315" s="465"/>
      <c r="O315" s="465"/>
      <c r="P315" s="465"/>
      <c r="Q315" s="465"/>
      <c r="R315" s="465"/>
      <c r="S315" s="465"/>
      <c r="T315" s="465"/>
      <c r="U315" s="465"/>
      <c r="V315" s="465"/>
      <c r="W315" s="465"/>
      <c r="X315" s="465"/>
      <c r="Y315" s="465"/>
      <c r="Z315" s="465"/>
      <c r="AA315" s="465"/>
      <c r="AB315" s="465"/>
      <c r="AC315" s="465"/>
      <c r="AD315" s="465"/>
      <c r="AE315" s="465"/>
      <c r="AF315" s="465"/>
      <c r="AG315" s="465"/>
      <c r="AH315" s="465"/>
      <c r="AI315" s="465"/>
      <c r="AJ315" s="465"/>
      <c r="AK315" s="465"/>
      <c r="AL315" s="465"/>
      <c r="AM315" s="465"/>
      <c r="AN315" s="465"/>
      <c r="AO315" s="465"/>
      <c r="AP315" s="465"/>
      <c r="AQ315" s="465"/>
      <c r="AR315" s="465"/>
      <c r="AS315" s="465"/>
      <c r="AT315" s="465"/>
      <c r="AU315" s="465"/>
      <c r="AV315" s="465"/>
      <c r="AW315" s="465"/>
      <c r="AX315" s="465"/>
      <c r="AY315" s="465"/>
      <c r="AZ315" s="465"/>
      <c r="BA315" s="465"/>
      <c r="BB315" s="465"/>
      <c r="BC315" s="465"/>
    </row>
    <row r="316" spans="1:55">
      <c r="A316" s="465"/>
      <c r="B316" s="465"/>
      <c r="C316" s="465"/>
      <c r="D316" s="467"/>
      <c r="E316" s="465"/>
      <c r="F316" s="465"/>
      <c r="G316" s="465"/>
      <c r="H316" s="465"/>
      <c r="I316" s="465"/>
      <c r="J316" s="465"/>
      <c r="K316" s="465"/>
      <c r="L316" s="465"/>
      <c r="M316" s="465"/>
      <c r="N316" s="465"/>
      <c r="O316" s="465"/>
      <c r="P316" s="465"/>
      <c r="Q316" s="465"/>
      <c r="R316" s="465"/>
      <c r="S316" s="465"/>
      <c r="T316" s="465"/>
      <c r="U316" s="465"/>
      <c r="V316" s="465"/>
      <c r="W316" s="465"/>
      <c r="X316" s="465"/>
      <c r="Y316" s="465"/>
      <c r="Z316" s="465"/>
      <c r="AA316" s="465"/>
      <c r="AB316" s="465"/>
      <c r="AC316" s="465"/>
      <c r="AD316" s="465"/>
      <c r="AE316" s="465"/>
      <c r="AF316" s="465"/>
      <c r="AG316" s="465"/>
      <c r="AH316" s="465"/>
      <c r="AI316" s="465"/>
      <c r="AJ316" s="465"/>
      <c r="AK316" s="465"/>
      <c r="AL316" s="465"/>
      <c r="AM316" s="465"/>
      <c r="AN316" s="465"/>
      <c r="AO316" s="465"/>
      <c r="AP316" s="465"/>
      <c r="AQ316" s="465"/>
      <c r="AR316" s="465"/>
      <c r="AS316" s="465"/>
      <c r="AT316" s="465"/>
      <c r="AU316" s="465"/>
      <c r="AV316" s="465"/>
      <c r="AW316" s="465"/>
      <c r="AX316" s="465"/>
      <c r="AY316" s="465"/>
      <c r="AZ316" s="465"/>
      <c r="BA316" s="465"/>
      <c r="BB316" s="465"/>
      <c r="BC316" s="465"/>
    </row>
    <row r="317" spans="1:55">
      <c r="A317" s="465"/>
      <c r="B317" s="465"/>
      <c r="C317" s="465"/>
      <c r="D317" s="467"/>
      <c r="E317" s="465"/>
      <c r="F317" s="465"/>
      <c r="G317" s="465"/>
      <c r="H317" s="465"/>
      <c r="I317" s="465"/>
      <c r="J317" s="465"/>
      <c r="K317" s="465"/>
      <c r="L317" s="465"/>
      <c r="M317" s="465"/>
      <c r="N317" s="465"/>
      <c r="O317" s="465"/>
      <c r="P317" s="465"/>
      <c r="Q317" s="465"/>
      <c r="R317" s="465"/>
      <c r="S317" s="465"/>
      <c r="T317" s="465"/>
      <c r="U317" s="465"/>
      <c r="V317" s="465"/>
      <c r="W317" s="465"/>
      <c r="X317" s="465"/>
      <c r="Y317" s="465"/>
      <c r="Z317" s="465"/>
      <c r="AA317" s="465"/>
      <c r="AB317" s="465"/>
      <c r="AC317" s="465"/>
      <c r="AD317" s="465"/>
      <c r="AE317" s="465"/>
      <c r="AF317" s="465"/>
      <c r="AG317" s="465"/>
      <c r="AH317" s="465"/>
      <c r="AI317" s="465"/>
      <c r="AJ317" s="465"/>
      <c r="AK317" s="465"/>
      <c r="AL317" s="465"/>
      <c r="AM317" s="465"/>
      <c r="AN317" s="465"/>
      <c r="AO317" s="465"/>
      <c r="AP317" s="465"/>
      <c r="AQ317" s="465"/>
      <c r="AR317" s="465"/>
      <c r="AS317" s="465"/>
      <c r="AT317" s="465"/>
      <c r="AU317" s="465"/>
      <c r="AV317" s="465"/>
      <c r="AW317" s="465"/>
      <c r="AX317" s="465"/>
      <c r="AY317" s="465"/>
      <c r="AZ317" s="465"/>
      <c r="BA317" s="465"/>
      <c r="BB317" s="465"/>
      <c r="BC317" s="465"/>
    </row>
    <row r="318" spans="1:55">
      <c r="A318" s="465"/>
      <c r="B318" s="465"/>
      <c r="C318" s="465"/>
      <c r="D318" s="467"/>
      <c r="E318" s="465"/>
      <c r="F318" s="465"/>
      <c r="G318" s="465"/>
      <c r="H318" s="465"/>
      <c r="I318" s="465"/>
      <c r="J318" s="465"/>
      <c r="K318" s="465"/>
      <c r="L318" s="465"/>
      <c r="M318" s="465"/>
      <c r="N318" s="465"/>
      <c r="O318" s="465"/>
      <c r="P318" s="465"/>
      <c r="Q318" s="465"/>
      <c r="R318" s="465"/>
      <c r="S318" s="465"/>
      <c r="T318" s="465"/>
      <c r="U318" s="465"/>
      <c r="V318" s="465"/>
      <c r="W318" s="465"/>
      <c r="X318" s="465"/>
      <c r="Y318" s="465"/>
      <c r="Z318" s="465"/>
      <c r="AA318" s="465"/>
      <c r="AB318" s="465"/>
      <c r="AC318" s="465"/>
      <c r="AD318" s="465"/>
      <c r="AE318" s="465"/>
      <c r="AF318" s="465"/>
      <c r="AG318" s="465"/>
      <c r="AH318" s="465"/>
      <c r="AI318" s="465"/>
      <c r="AJ318" s="465"/>
      <c r="AK318" s="465"/>
      <c r="AL318" s="465"/>
      <c r="AM318" s="465"/>
      <c r="AN318" s="465"/>
      <c r="AO318" s="465"/>
      <c r="AP318" s="465"/>
      <c r="AQ318" s="465"/>
      <c r="AR318" s="465"/>
      <c r="AS318" s="465"/>
      <c r="AT318" s="465"/>
      <c r="AU318" s="465"/>
      <c r="AV318" s="465"/>
      <c r="AW318" s="465"/>
      <c r="AX318" s="465"/>
      <c r="AY318" s="465"/>
      <c r="AZ318" s="465"/>
      <c r="BA318" s="465"/>
      <c r="BB318" s="465"/>
      <c r="BC318" s="465"/>
    </row>
    <row r="319" spans="1:55">
      <c r="A319" s="465"/>
      <c r="B319" s="465"/>
      <c r="C319" s="465"/>
      <c r="D319" s="467"/>
      <c r="E319" s="465"/>
      <c r="F319" s="465"/>
      <c r="G319" s="465"/>
      <c r="H319" s="465"/>
      <c r="I319" s="465"/>
      <c r="J319" s="465"/>
      <c r="K319" s="465"/>
      <c r="L319" s="465"/>
      <c r="M319" s="465"/>
      <c r="N319" s="465"/>
      <c r="O319" s="465"/>
      <c r="P319" s="465"/>
      <c r="Q319" s="465"/>
      <c r="R319" s="465"/>
      <c r="S319" s="465"/>
      <c r="T319" s="465"/>
      <c r="U319" s="465"/>
      <c r="V319" s="465"/>
      <c r="W319" s="465"/>
      <c r="X319" s="465"/>
      <c r="Y319" s="465"/>
      <c r="Z319" s="465"/>
      <c r="AA319" s="465"/>
      <c r="AB319" s="465"/>
      <c r="AC319" s="465"/>
      <c r="AD319" s="465"/>
      <c r="AE319" s="465"/>
      <c r="AF319" s="465"/>
      <c r="AG319" s="465"/>
      <c r="AH319" s="465"/>
      <c r="AI319" s="465"/>
      <c r="AJ319" s="465"/>
      <c r="AK319" s="465"/>
      <c r="AL319" s="465"/>
      <c r="AM319" s="465"/>
      <c r="AN319" s="465"/>
      <c r="AO319" s="465"/>
      <c r="AP319" s="465"/>
      <c r="AQ319" s="465"/>
      <c r="AR319" s="465"/>
      <c r="AS319" s="465"/>
      <c r="AT319" s="465"/>
      <c r="AU319" s="465"/>
      <c r="AV319" s="465"/>
      <c r="AW319" s="465"/>
      <c r="AX319" s="465"/>
      <c r="AY319" s="465"/>
      <c r="AZ319" s="465"/>
      <c r="BA319" s="465"/>
      <c r="BB319" s="465"/>
      <c r="BC319" s="465"/>
    </row>
    <row r="320" spans="1:55">
      <c r="A320" s="465"/>
      <c r="B320" s="465"/>
      <c r="C320" s="465"/>
      <c r="D320" s="467"/>
      <c r="E320" s="465"/>
      <c r="F320" s="465"/>
      <c r="G320" s="465"/>
      <c r="H320" s="465"/>
      <c r="I320" s="465"/>
      <c r="J320" s="465"/>
      <c r="K320" s="465"/>
      <c r="L320" s="465"/>
      <c r="M320" s="465"/>
      <c r="N320" s="465"/>
      <c r="O320" s="465"/>
      <c r="P320" s="465"/>
      <c r="Q320" s="465"/>
      <c r="R320" s="465"/>
      <c r="S320" s="465"/>
      <c r="T320" s="465"/>
      <c r="U320" s="465"/>
      <c r="V320" s="465"/>
      <c r="W320" s="465"/>
      <c r="X320" s="465"/>
      <c r="Y320" s="465"/>
      <c r="Z320" s="465"/>
      <c r="AA320" s="465"/>
      <c r="AB320" s="465"/>
      <c r="AC320" s="465"/>
      <c r="AD320" s="465"/>
      <c r="AE320" s="465"/>
      <c r="AF320" s="465"/>
      <c r="AG320" s="465"/>
      <c r="AH320" s="465"/>
      <c r="AI320" s="465"/>
      <c r="AJ320" s="465"/>
      <c r="AK320" s="465"/>
      <c r="AL320" s="465"/>
      <c r="AM320" s="465"/>
      <c r="AN320" s="465"/>
      <c r="AO320" s="465"/>
      <c r="AP320" s="465"/>
      <c r="AQ320" s="465"/>
      <c r="AR320" s="465"/>
      <c r="AS320" s="465"/>
      <c r="AT320" s="465"/>
      <c r="AU320" s="465"/>
      <c r="AV320" s="465"/>
      <c r="AW320" s="465"/>
      <c r="AX320" s="465"/>
      <c r="AY320" s="465"/>
      <c r="AZ320" s="465"/>
      <c r="BA320" s="465"/>
      <c r="BB320" s="465"/>
      <c r="BC320" s="465"/>
    </row>
    <row r="321" spans="1:55">
      <c r="A321" s="465"/>
      <c r="B321" s="465"/>
      <c r="C321" s="465"/>
      <c r="D321" s="467"/>
      <c r="E321" s="465"/>
      <c r="F321" s="465"/>
      <c r="G321" s="465"/>
      <c r="H321" s="465"/>
      <c r="I321" s="465"/>
      <c r="J321" s="465"/>
      <c r="K321" s="465"/>
      <c r="L321" s="465"/>
      <c r="M321" s="465"/>
      <c r="N321" s="465"/>
      <c r="O321" s="465"/>
      <c r="P321" s="465"/>
      <c r="Q321" s="465"/>
      <c r="R321" s="465"/>
      <c r="S321" s="465"/>
      <c r="T321" s="465"/>
      <c r="U321" s="465"/>
      <c r="V321" s="465"/>
      <c r="W321" s="465"/>
      <c r="X321" s="465"/>
      <c r="Y321" s="465"/>
      <c r="Z321" s="465"/>
      <c r="AA321" s="465"/>
      <c r="AB321" s="465"/>
      <c r="AC321" s="465"/>
      <c r="AD321" s="465"/>
      <c r="AE321" s="465"/>
      <c r="AF321" s="465"/>
      <c r="AG321" s="465"/>
      <c r="AH321" s="465"/>
      <c r="AI321" s="465"/>
      <c r="AJ321" s="465"/>
      <c r="AK321" s="465"/>
      <c r="AL321" s="465"/>
      <c r="AM321" s="465"/>
      <c r="AN321" s="465"/>
      <c r="AO321" s="465"/>
      <c r="AP321" s="465"/>
      <c r="AQ321" s="465"/>
      <c r="AR321" s="465"/>
      <c r="AS321" s="465"/>
      <c r="AT321" s="465"/>
      <c r="AU321" s="465"/>
      <c r="AV321" s="465"/>
      <c r="AW321" s="465"/>
      <c r="AX321" s="465"/>
      <c r="AY321" s="465"/>
      <c r="AZ321" s="465"/>
      <c r="BA321" s="465"/>
      <c r="BB321" s="465"/>
      <c r="BC321" s="465"/>
    </row>
    <row r="322" spans="1:55">
      <c r="A322" s="465"/>
      <c r="B322" s="465"/>
      <c r="C322" s="465"/>
      <c r="D322" s="467"/>
      <c r="E322" s="465"/>
      <c r="F322" s="465"/>
      <c r="G322" s="465"/>
      <c r="H322" s="465"/>
      <c r="I322" s="465"/>
      <c r="J322" s="465"/>
      <c r="K322" s="465"/>
      <c r="L322" s="465"/>
      <c r="M322" s="465"/>
      <c r="N322" s="465"/>
      <c r="O322" s="465"/>
      <c r="P322" s="465"/>
      <c r="Q322" s="465"/>
      <c r="R322" s="465"/>
      <c r="S322" s="465"/>
      <c r="T322" s="465"/>
      <c r="U322" s="465"/>
      <c r="V322" s="465"/>
      <c r="W322" s="465"/>
      <c r="X322" s="465"/>
      <c r="Y322" s="465"/>
      <c r="Z322" s="465"/>
      <c r="AA322" s="465"/>
      <c r="AB322" s="465"/>
      <c r="AC322" s="465"/>
      <c r="AD322" s="465"/>
      <c r="AE322" s="465"/>
      <c r="AF322" s="465"/>
      <c r="AG322" s="465"/>
      <c r="AH322" s="465"/>
      <c r="AI322" s="465"/>
      <c r="AJ322" s="465"/>
      <c r="AK322" s="465"/>
      <c r="AL322" s="465"/>
      <c r="AM322" s="465"/>
      <c r="AN322" s="465"/>
      <c r="AO322" s="465"/>
      <c r="AP322" s="465"/>
      <c r="AQ322" s="465"/>
      <c r="AR322" s="465"/>
      <c r="AS322" s="465"/>
      <c r="AT322" s="465"/>
      <c r="AU322" s="465"/>
      <c r="AV322" s="465"/>
      <c r="AW322" s="465"/>
      <c r="AX322" s="465"/>
      <c r="AY322" s="465"/>
      <c r="AZ322" s="465"/>
      <c r="BA322" s="465"/>
      <c r="BB322" s="465"/>
      <c r="BC322" s="465"/>
    </row>
    <row r="323" spans="1:55">
      <c r="A323" s="465"/>
      <c r="B323" s="465"/>
      <c r="C323" s="465"/>
      <c r="D323" s="467"/>
      <c r="E323" s="465"/>
      <c r="F323" s="465"/>
      <c r="G323" s="465"/>
      <c r="H323" s="465"/>
      <c r="I323" s="465"/>
      <c r="J323" s="465"/>
      <c r="K323" s="465"/>
      <c r="L323" s="465"/>
      <c r="M323" s="465"/>
      <c r="N323" s="465"/>
      <c r="O323" s="465"/>
      <c r="P323" s="465"/>
      <c r="Q323" s="465"/>
      <c r="R323" s="465"/>
      <c r="S323" s="465"/>
      <c r="T323" s="465"/>
      <c r="U323" s="465"/>
      <c r="V323" s="465"/>
      <c r="W323" s="465"/>
      <c r="X323" s="465"/>
      <c r="Y323" s="465"/>
      <c r="Z323" s="465"/>
      <c r="AA323" s="465"/>
      <c r="AB323" s="465"/>
      <c r="AC323" s="465"/>
      <c r="AD323" s="465"/>
      <c r="AE323" s="465"/>
      <c r="AF323" s="465"/>
      <c r="AG323" s="465"/>
      <c r="AH323" s="465"/>
      <c r="AI323" s="465"/>
      <c r="AJ323" s="465"/>
      <c r="AK323" s="465"/>
      <c r="AL323" s="465"/>
      <c r="AM323" s="465"/>
      <c r="AN323" s="465"/>
      <c r="AO323" s="465"/>
      <c r="AP323" s="465"/>
      <c r="AQ323" s="465"/>
      <c r="AR323" s="465"/>
      <c r="AS323" s="465"/>
      <c r="AT323" s="465"/>
      <c r="AU323" s="465"/>
      <c r="AV323" s="465"/>
      <c r="AW323" s="465"/>
      <c r="AX323" s="465"/>
      <c r="AY323" s="465"/>
      <c r="AZ323" s="465"/>
      <c r="BA323" s="465"/>
      <c r="BB323" s="465"/>
      <c r="BC323" s="465"/>
    </row>
    <row r="324" spans="1:55">
      <c r="A324" s="465"/>
      <c r="B324" s="465"/>
      <c r="C324" s="465"/>
      <c r="D324" s="467"/>
      <c r="E324" s="465"/>
      <c r="F324" s="465"/>
      <c r="G324" s="465"/>
      <c r="H324" s="465"/>
      <c r="I324" s="465"/>
      <c r="J324" s="465"/>
      <c r="K324" s="465"/>
      <c r="L324" s="465"/>
      <c r="M324" s="465"/>
      <c r="N324" s="465"/>
      <c r="O324" s="465"/>
      <c r="P324" s="465"/>
      <c r="Q324" s="465"/>
      <c r="R324" s="465"/>
      <c r="S324" s="465"/>
      <c r="T324" s="465"/>
      <c r="U324" s="465"/>
      <c r="V324" s="465"/>
      <c r="W324" s="465"/>
      <c r="X324" s="465"/>
      <c r="Y324" s="465"/>
      <c r="Z324" s="465"/>
      <c r="AA324" s="465"/>
      <c r="AB324" s="465"/>
      <c r="AC324" s="465"/>
      <c r="AD324" s="465"/>
      <c r="AE324" s="465"/>
      <c r="AF324" s="465"/>
      <c r="AG324" s="465"/>
      <c r="AH324" s="465"/>
      <c r="AI324" s="465"/>
      <c r="AJ324" s="465"/>
      <c r="AK324" s="465"/>
      <c r="AL324" s="465"/>
      <c r="AM324" s="465"/>
      <c r="AN324" s="465"/>
      <c r="AO324" s="465"/>
      <c r="AP324" s="465"/>
      <c r="AQ324" s="465"/>
      <c r="AR324" s="465"/>
      <c r="AS324" s="465"/>
      <c r="AT324" s="465"/>
      <c r="AU324" s="465"/>
      <c r="AV324" s="465"/>
      <c r="AW324" s="465"/>
      <c r="AX324" s="465"/>
      <c r="AY324" s="465"/>
      <c r="AZ324" s="465"/>
      <c r="BA324" s="465"/>
      <c r="BB324" s="465"/>
      <c r="BC324" s="465"/>
    </row>
    <row r="325" spans="1:55">
      <c r="A325" s="465"/>
      <c r="B325" s="465"/>
      <c r="C325" s="465"/>
      <c r="D325" s="467"/>
      <c r="E325" s="465"/>
      <c r="F325" s="465"/>
      <c r="G325" s="465"/>
      <c r="H325" s="465"/>
      <c r="I325" s="465"/>
      <c r="J325" s="465"/>
      <c r="K325" s="465"/>
      <c r="L325" s="465"/>
      <c r="M325" s="465"/>
      <c r="N325" s="465"/>
      <c r="O325" s="465"/>
      <c r="P325" s="465"/>
      <c r="Q325" s="465"/>
      <c r="R325" s="465"/>
      <c r="S325" s="465"/>
      <c r="T325" s="465"/>
      <c r="U325" s="465"/>
      <c r="V325" s="465"/>
      <c r="W325" s="465"/>
      <c r="X325" s="465"/>
      <c r="Y325" s="465"/>
      <c r="Z325" s="465"/>
      <c r="AA325" s="465"/>
      <c r="AB325" s="465"/>
      <c r="AC325" s="465"/>
      <c r="AD325" s="465"/>
      <c r="AE325" s="465"/>
      <c r="AF325" s="465"/>
      <c r="AG325" s="465"/>
      <c r="AH325" s="465"/>
      <c r="AI325" s="465"/>
      <c r="AJ325" s="465"/>
      <c r="AK325" s="465"/>
      <c r="AL325" s="465"/>
      <c r="AM325" s="465"/>
      <c r="AN325" s="465"/>
      <c r="AO325" s="465"/>
      <c r="AP325" s="465"/>
      <c r="AQ325" s="465"/>
      <c r="AR325" s="465"/>
      <c r="AS325" s="465"/>
      <c r="AT325" s="465"/>
      <c r="AU325" s="465"/>
      <c r="AV325" s="465"/>
      <c r="AW325" s="465"/>
      <c r="AX325" s="465"/>
      <c r="AY325" s="465"/>
      <c r="AZ325" s="465"/>
      <c r="BA325" s="465"/>
      <c r="BB325" s="465"/>
      <c r="BC325" s="465"/>
    </row>
    <row r="326" spans="1:55">
      <c r="A326" s="465"/>
      <c r="B326" s="465"/>
      <c r="C326" s="465"/>
      <c r="D326" s="467"/>
      <c r="E326" s="465"/>
      <c r="F326" s="465"/>
      <c r="G326" s="465"/>
      <c r="H326" s="465"/>
      <c r="I326" s="465"/>
      <c r="J326" s="465"/>
      <c r="K326" s="465"/>
      <c r="L326" s="465"/>
      <c r="M326" s="465"/>
      <c r="N326" s="465"/>
      <c r="O326" s="465"/>
      <c r="P326" s="465"/>
      <c r="Q326" s="465"/>
      <c r="R326" s="465"/>
      <c r="S326" s="465"/>
      <c r="T326" s="465"/>
      <c r="U326" s="465"/>
      <c r="V326" s="465"/>
      <c r="W326" s="465"/>
      <c r="X326" s="465"/>
      <c r="Y326" s="465"/>
      <c r="Z326" s="465"/>
      <c r="AA326" s="465"/>
      <c r="AB326" s="465"/>
      <c r="AC326" s="465"/>
      <c r="AD326" s="465"/>
      <c r="AE326" s="465"/>
      <c r="AF326" s="465"/>
      <c r="AG326" s="465"/>
      <c r="AH326" s="465"/>
      <c r="AI326" s="465"/>
      <c r="AJ326" s="465"/>
      <c r="AK326" s="465"/>
      <c r="AL326" s="465"/>
      <c r="AM326" s="465"/>
      <c r="AN326" s="465"/>
      <c r="AO326" s="465"/>
      <c r="AP326" s="465"/>
      <c r="AQ326" s="465"/>
      <c r="AR326" s="465"/>
      <c r="AS326" s="465"/>
      <c r="AT326" s="465"/>
      <c r="AU326" s="465"/>
      <c r="AV326" s="465"/>
      <c r="AW326" s="465"/>
      <c r="AX326" s="465"/>
      <c r="AY326" s="465"/>
      <c r="AZ326" s="465"/>
      <c r="BA326" s="465"/>
      <c r="BB326" s="465"/>
      <c r="BC326" s="465"/>
    </row>
    <row r="327" spans="1:55">
      <c r="A327" s="465"/>
      <c r="B327" s="465"/>
      <c r="C327" s="465"/>
      <c r="D327" s="467"/>
      <c r="E327" s="465"/>
      <c r="F327" s="465"/>
      <c r="G327" s="465"/>
      <c r="H327" s="465"/>
      <c r="I327" s="465"/>
      <c r="J327" s="465"/>
      <c r="K327" s="465"/>
      <c r="L327" s="465"/>
      <c r="M327" s="465"/>
      <c r="N327" s="465"/>
      <c r="O327" s="465"/>
      <c r="P327" s="465"/>
      <c r="Q327" s="465"/>
      <c r="R327" s="465"/>
      <c r="S327" s="465"/>
      <c r="T327" s="465"/>
      <c r="U327" s="465"/>
      <c r="V327" s="465"/>
      <c r="W327" s="465"/>
      <c r="X327" s="465"/>
      <c r="Y327" s="465"/>
      <c r="Z327" s="465"/>
      <c r="AA327" s="465"/>
      <c r="AB327" s="465"/>
      <c r="AC327" s="465"/>
      <c r="AD327" s="465"/>
      <c r="AE327" s="465"/>
      <c r="AF327" s="465"/>
      <c r="AG327" s="465"/>
      <c r="AH327" s="465"/>
      <c r="AI327" s="465"/>
      <c r="AJ327" s="465"/>
      <c r="AK327" s="465"/>
      <c r="AL327" s="465"/>
      <c r="AM327" s="465"/>
      <c r="AN327" s="465"/>
      <c r="AO327" s="465"/>
      <c r="AP327" s="465"/>
      <c r="AQ327" s="465"/>
      <c r="AR327" s="465"/>
      <c r="AS327" s="465"/>
      <c r="AT327" s="465"/>
      <c r="AU327" s="465"/>
      <c r="AV327" s="465"/>
      <c r="AW327" s="465"/>
      <c r="AX327" s="465"/>
      <c r="AY327" s="465"/>
      <c r="AZ327" s="465"/>
      <c r="BA327" s="465"/>
      <c r="BB327" s="465"/>
      <c r="BC327" s="465"/>
    </row>
    <row r="328" spans="1:55">
      <c r="A328" s="465"/>
      <c r="B328" s="465"/>
      <c r="C328" s="465"/>
      <c r="D328" s="467"/>
      <c r="E328" s="465"/>
      <c r="F328" s="465"/>
      <c r="G328" s="465"/>
      <c r="H328" s="465"/>
      <c r="I328" s="465"/>
      <c r="J328" s="465"/>
      <c r="K328" s="465"/>
      <c r="L328" s="465"/>
      <c r="M328" s="465"/>
      <c r="N328" s="465"/>
      <c r="O328" s="465"/>
      <c r="P328" s="465"/>
      <c r="Q328" s="465"/>
      <c r="R328" s="465"/>
      <c r="S328" s="465"/>
      <c r="T328" s="465"/>
      <c r="U328" s="465"/>
      <c r="V328" s="465"/>
      <c r="W328" s="465"/>
      <c r="X328" s="465"/>
      <c r="Y328" s="465"/>
      <c r="Z328" s="465"/>
      <c r="AA328" s="465"/>
      <c r="AB328" s="465"/>
      <c r="AC328" s="465"/>
      <c r="AD328" s="465"/>
      <c r="AE328" s="465"/>
      <c r="AF328" s="465"/>
      <c r="AG328" s="465"/>
      <c r="AH328" s="465"/>
      <c r="AI328" s="465"/>
      <c r="AJ328" s="465"/>
      <c r="AK328" s="465"/>
      <c r="AL328" s="465"/>
      <c r="AM328" s="465"/>
      <c r="AN328" s="465"/>
      <c r="AO328" s="465"/>
      <c r="AP328" s="465"/>
      <c r="AQ328" s="465"/>
      <c r="AR328" s="465"/>
      <c r="AS328" s="465"/>
      <c r="AT328" s="465"/>
      <c r="AU328" s="465"/>
      <c r="AV328" s="465"/>
      <c r="AW328" s="465"/>
      <c r="AX328" s="465"/>
      <c r="AY328" s="465"/>
      <c r="AZ328" s="465"/>
      <c r="BA328" s="465"/>
      <c r="BB328" s="465"/>
      <c r="BC328" s="465"/>
    </row>
    <row r="329" spans="1:55">
      <c r="A329" s="465"/>
      <c r="B329" s="465"/>
      <c r="C329" s="465"/>
      <c r="D329" s="467"/>
      <c r="E329" s="465"/>
      <c r="F329" s="465"/>
      <c r="G329" s="465"/>
      <c r="H329" s="465"/>
      <c r="I329" s="465"/>
      <c r="J329" s="465"/>
      <c r="K329" s="465"/>
      <c r="L329" s="465"/>
      <c r="M329" s="465"/>
      <c r="N329" s="465"/>
      <c r="O329" s="465"/>
      <c r="P329" s="465"/>
      <c r="Q329" s="465"/>
      <c r="R329" s="465"/>
      <c r="S329" s="465"/>
      <c r="T329" s="465"/>
      <c r="U329" s="465"/>
      <c r="V329" s="465"/>
      <c r="W329" s="465"/>
      <c r="X329" s="465"/>
      <c r="Y329" s="465"/>
      <c r="Z329" s="465"/>
      <c r="AA329" s="465"/>
      <c r="AB329" s="465"/>
      <c r="AC329" s="465"/>
      <c r="AD329" s="465"/>
      <c r="AE329" s="465"/>
      <c r="AF329" s="465"/>
      <c r="AG329" s="465"/>
      <c r="AH329" s="465"/>
      <c r="AI329" s="465"/>
      <c r="AJ329" s="465"/>
      <c r="AK329" s="465"/>
      <c r="AL329" s="465"/>
      <c r="AM329" s="465"/>
      <c r="AN329" s="465"/>
      <c r="AO329" s="465"/>
      <c r="AP329" s="465"/>
      <c r="AQ329" s="465"/>
      <c r="AR329" s="465"/>
      <c r="AS329" s="465"/>
      <c r="AT329" s="465"/>
      <c r="AU329" s="465"/>
      <c r="AV329" s="465"/>
      <c r="AW329" s="465"/>
      <c r="AX329" s="465"/>
      <c r="AY329" s="465"/>
      <c r="AZ329" s="465"/>
      <c r="BA329" s="465"/>
      <c r="BB329" s="465"/>
      <c r="BC329" s="465"/>
    </row>
    <row r="330" spans="1:55">
      <c r="A330" s="465"/>
      <c r="B330" s="465"/>
      <c r="C330" s="465"/>
      <c r="D330" s="467"/>
      <c r="E330" s="465"/>
      <c r="F330" s="465"/>
      <c r="G330" s="465"/>
      <c r="H330" s="465"/>
      <c r="I330" s="465"/>
      <c r="J330" s="465"/>
      <c r="K330" s="465"/>
      <c r="L330" s="465"/>
      <c r="M330" s="465"/>
      <c r="N330" s="465"/>
      <c r="O330" s="465"/>
      <c r="P330" s="465"/>
      <c r="Q330" s="465"/>
      <c r="R330" s="465"/>
      <c r="S330" s="465"/>
      <c r="T330" s="465"/>
      <c r="U330" s="465"/>
      <c r="V330" s="465"/>
      <c r="W330" s="465"/>
      <c r="X330" s="465"/>
      <c r="Y330" s="465"/>
      <c r="Z330" s="465"/>
      <c r="AA330" s="465"/>
      <c r="AB330" s="465"/>
      <c r="AC330" s="465"/>
      <c r="AD330" s="465"/>
      <c r="AE330" s="465"/>
      <c r="AF330" s="465"/>
      <c r="AG330" s="465"/>
      <c r="AH330" s="465"/>
      <c r="AI330" s="465"/>
      <c r="AJ330" s="465"/>
      <c r="AK330" s="465"/>
      <c r="AL330" s="465"/>
      <c r="AM330" s="465"/>
      <c r="AN330" s="465"/>
      <c r="AO330" s="465"/>
      <c r="AP330" s="465"/>
      <c r="AQ330" s="465"/>
      <c r="AR330" s="465"/>
      <c r="AS330" s="465"/>
      <c r="AT330" s="465"/>
      <c r="AU330" s="465"/>
      <c r="AV330" s="465"/>
      <c r="AW330" s="465"/>
      <c r="AX330" s="465"/>
      <c r="AY330" s="465"/>
      <c r="AZ330" s="465"/>
      <c r="BA330" s="465"/>
      <c r="BB330" s="465"/>
      <c r="BC330" s="465"/>
    </row>
    <row r="331" spans="1:55">
      <c r="A331" s="465"/>
      <c r="B331" s="465"/>
      <c r="C331" s="465"/>
      <c r="D331" s="467"/>
      <c r="E331" s="465"/>
      <c r="F331" s="465"/>
      <c r="G331" s="465"/>
      <c r="H331" s="465"/>
      <c r="I331" s="465"/>
      <c r="J331" s="465"/>
      <c r="K331" s="465"/>
      <c r="L331" s="465"/>
      <c r="M331" s="465"/>
      <c r="N331" s="465"/>
      <c r="O331" s="465"/>
      <c r="P331" s="465"/>
      <c r="Q331" s="465"/>
      <c r="R331" s="465"/>
      <c r="S331" s="465"/>
      <c r="T331" s="465"/>
      <c r="U331" s="465"/>
      <c r="V331" s="465"/>
      <c r="W331" s="465"/>
      <c r="X331" s="465"/>
      <c r="Y331" s="465"/>
      <c r="Z331" s="465"/>
      <c r="AA331" s="465"/>
      <c r="AB331" s="465"/>
      <c r="AC331" s="465"/>
      <c r="AD331" s="465"/>
      <c r="AE331" s="465"/>
      <c r="AF331" s="465"/>
      <c r="AG331" s="465"/>
      <c r="AH331" s="465"/>
      <c r="AI331" s="465"/>
      <c r="AJ331" s="465"/>
      <c r="AK331" s="465"/>
      <c r="AL331" s="465"/>
      <c r="AM331" s="465"/>
      <c r="AN331" s="465"/>
      <c r="AO331" s="465"/>
      <c r="AP331" s="465"/>
      <c r="AQ331" s="465"/>
      <c r="AR331" s="465"/>
      <c r="AS331" s="465"/>
      <c r="AT331" s="465"/>
      <c r="AU331" s="465"/>
      <c r="AV331" s="465"/>
      <c r="AW331" s="465"/>
      <c r="AX331" s="465"/>
      <c r="AY331" s="465"/>
      <c r="AZ331" s="465"/>
      <c r="BA331" s="465"/>
      <c r="BB331" s="465"/>
      <c r="BC331" s="465"/>
    </row>
    <row r="332" spans="1:55">
      <c r="A332" s="465"/>
      <c r="B332" s="465"/>
      <c r="C332" s="465"/>
      <c r="D332" s="467"/>
      <c r="E332" s="465"/>
      <c r="F332" s="465"/>
      <c r="G332" s="465"/>
      <c r="H332" s="465"/>
      <c r="I332" s="465"/>
      <c r="J332" s="465"/>
      <c r="K332" s="465"/>
      <c r="L332" s="465"/>
      <c r="M332" s="465"/>
      <c r="N332" s="465"/>
      <c r="O332" s="465"/>
      <c r="P332" s="465"/>
      <c r="Q332" s="465"/>
      <c r="R332" s="465"/>
      <c r="S332" s="465"/>
      <c r="T332" s="465"/>
      <c r="U332" s="465"/>
      <c r="V332" s="465"/>
      <c r="W332" s="465"/>
      <c r="X332" s="465"/>
      <c r="Y332" s="465"/>
      <c r="Z332" s="465"/>
      <c r="AA332" s="465"/>
      <c r="AB332" s="465"/>
      <c r="AC332" s="465"/>
      <c r="AD332" s="465"/>
      <c r="AE332" s="465"/>
      <c r="AF332" s="465"/>
      <c r="AG332" s="465"/>
      <c r="AH332" s="465"/>
      <c r="AI332" s="465"/>
      <c r="AJ332" s="465"/>
      <c r="AK332" s="465"/>
      <c r="AL332" s="465"/>
      <c r="AM332" s="465"/>
      <c r="AN332" s="465"/>
      <c r="AO332" s="465"/>
      <c r="AP332" s="465"/>
      <c r="AQ332" s="465"/>
      <c r="AR332" s="465"/>
      <c r="AS332" s="465"/>
      <c r="AT332" s="465"/>
      <c r="AU332" s="465"/>
      <c r="AV332" s="465"/>
      <c r="AW332" s="465"/>
      <c r="AX332" s="465"/>
      <c r="AY332" s="465"/>
      <c r="AZ332" s="465"/>
      <c r="BA332" s="465"/>
      <c r="BB332" s="465"/>
      <c r="BC332" s="465"/>
    </row>
    <row r="333" spans="1:55">
      <c r="A333" s="465"/>
      <c r="B333" s="465"/>
      <c r="C333" s="465"/>
      <c r="D333" s="467"/>
      <c r="E333" s="465"/>
      <c r="F333" s="465"/>
      <c r="G333" s="465"/>
      <c r="H333" s="465"/>
      <c r="I333" s="465"/>
      <c r="J333" s="465"/>
      <c r="K333" s="465"/>
      <c r="L333" s="465"/>
      <c r="M333" s="465"/>
      <c r="N333" s="465"/>
      <c r="O333" s="465"/>
      <c r="P333" s="465"/>
      <c r="Q333" s="465"/>
      <c r="R333" s="465"/>
      <c r="S333" s="465"/>
      <c r="T333" s="465"/>
      <c r="U333" s="465"/>
      <c r="V333" s="465"/>
      <c r="W333" s="465"/>
      <c r="X333" s="465"/>
      <c r="Y333" s="465"/>
      <c r="Z333" s="465"/>
      <c r="AA333" s="465"/>
      <c r="AB333" s="465"/>
      <c r="AC333" s="465"/>
      <c r="AD333" s="465"/>
      <c r="AE333" s="465"/>
      <c r="AF333" s="465"/>
      <c r="AG333" s="465"/>
      <c r="AH333" s="465"/>
      <c r="AI333" s="465"/>
      <c r="AJ333" s="465"/>
      <c r="AK333" s="465"/>
      <c r="AL333" s="465"/>
      <c r="AM333" s="465"/>
      <c r="AN333" s="465"/>
      <c r="AO333" s="465"/>
      <c r="AP333" s="465"/>
      <c r="AQ333" s="465"/>
      <c r="AR333" s="465"/>
      <c r="AS333" s="465"/>
      <c r="AT333" s="465"/>
      <c r="AU333" s="465"/>
      <c r="AV333" s="465"/>
      <c r="AW333" s="465"/>
      <c r="AX333" s="465"/>
      <c r="AY333" s="465"/>
      <c r="AZ333" s="465"/>
      <c r="BA333" s="465"/>
      <c r="BB333" s="465"/>
      <c r="BC333" s="465"/>
    </row>
    <row r="334" spans="1:55">
      <c r="A334" s="465"/>
      <c r="B334" s="465"/>
      <c r="C334" s="465"/>
      <c r="D334" s="467"/>
      <c r="E334" s="465"/>
      <c r="F334" s="465"/>
      <c r="G334" s="465"/>
      <c r="H334" s="465"/>
      <c r="I334" s="465"/>
      <c r="J334" s="465"/>
      <c r="K334" s="465"/>
      <c r="L334" s="465"/>
      <c r="M334" s="465"/>
      <c r="N334" s="465"/>
      <c r="O334" s="465"/>
      <c r="P334" s="465"/>
      <c r="Q334" s="465"/>
      <c r="R334" s="465"/>
      <c r="S334" s="465"/>
      <c r="T334" s="465"/>
      <c r="U334" s="465"/>
      <c r="V334" s="465"/>
      <c r="W334" s="465"/>
      <c r="X334" s="465"/>
      <c r="Y334" s="465"/>
      <c r="Z334" s="465"/>
      <c r="AA334" s="465"/>
      <c r="AB334" s="465"/>
      <c r="AC334" s="465"/>
      <c r="AD334" s="465"/>
      <c r="AE334" s="465"/>
      <c r="AF334" s="465"/>
      <c r="AG334" s="465"/>
      <c r="AH334" s="465"/>
      <c r="AI334" s="465"/>
      <c r="AJ334" s="465"/>
      <c r="AK334" s="465"/>
      <c r="AL334" s="465"/>
      <c r="AM334" s="465"/>
      <c r="AN334" s="465"/>
      <c r="AO334" s="465"/>
      <c r="AP334" s="465"/>
      <c r="AQ334" s="465"/>
      <c r="AR334" s="465"/>
      <c r="AS334" s="465"/>
      <c r="AT334" s="465"/>
      <c r="AU334" s="465"/>
      <c r="AV334" s="465"/>
      <c r="AW334" s="465"/>
      <c r="AX334" s="465"/>
      <c r="AY334" s="465"/>
      <c r="AZ334" s="465"/>
      <c r="BA334" s="465"/>
      <c r="BB334" s="465"/>
      <c r="BC334" s="465"/>
    </row>
    <row r="335" spans="1:55">
      <c r="A335" s="465"/>
      <c r="B335" s="465"/>
      <c r="C335" s="465"/>
      <c r="D335" s="467"/>
      <c r="E335" s="465"/>
      <c r="F335" s="465"/>
      <c r="G335" s="465"/>
      <c r="H335" s="465"/>
      <c r="I335" s="465"/>
      <c r="J335" s="465"/>
      <c r="K335" s="465"/>
      <c r="L335" s="465"/>
      <c r="M335" s="465"/>
      <c r="N335" s="465"/>
      <c r="O335" s="465"/>
      <c r="P335" s="465"/>
      <c r="Q335" s="465"/>
      <c r="R335" s="465"/>
      <c r="S335" s="465"/>
      <c r="T335" s="465"/>
      <c r="U335" s="465"/>
      <c r="V335" s="465"/>
      <c r="W335" s="465"/>
      <c r="X335" s="465"/>
      <c r="Y335" s="465"/>
      <c r="Z335" s="465"/>
      <c r="AA335" s="465"/>
      <c r="AB335" s="465"/>
      <c r="AC335" s="465"/>
      <c r="AD335" s="465"/>
      <c r="AE335" s="465"/>
      <c r="AF335" s="465"/>
      <c r="AG335" s="465"/>
      <c r="AH335" s="465"/>
      <c r="AI335" s="465"/>
      <c r="AJ335" s="465"/>
      <c r="AK335" s="465"/>
      <c r="AL335" s="465"/>
      <c r="AM335" s="465"/>
      <c r="AN335" s="465"/>
      <c r="AO335" s="465"/>
      <c r="AP335" s="465"/>
      <c r="AQ335" s="465"/>
      <c r="AR335" s="465"/>
      <c r="AS335" s="465"/>
      <c r="AT335" s="465"/>
      <c r="AU335" s="465"/>
      <c r="AV335" s="465"/>
      <c r="AW335" s="465"/>
      <c r="AX335" s="465"/>
      <c r="AY335" s="465"/>
      <c r="AZ335" s="465"/>
      <c r="BA335" s="465"/>
      <c r="BB335" s="465"/>
      <c r="BC335" s="465"/>
    </row>
    <row r="336" spans="1:55">
      <c r="A336" s="465"/>
      <c r="B336" s="465"/>
      <c r="C336" s="465"/>
      <c r="D336" s="467"/>
      <c r="E336" s="465"/>
      <c r="F336" s="465"/>
      <c r="G336" s="465"/>
      <c r="H336" s="465"/>
      <c r="I336" s="465"/>
      <c r="J336" s="465"/>
      <c r="K336" s="465"/>
      <c r="L336" s="465"/>
      <c r="M336" s="465"/>
      <c r="N336" s="465"/>
      <c r="O336" s="465"/>
      <c r="P336" s="465"/>
      <c r="Q336" s="465"/>
      <c r="R336" s="465"/>
      <c r="S336" s="465"/>
      <c r="T336" s="465"/>
      <c r="U336" s="465"/>
      <c r="V336" s="465"/>
      <c r="W336" s="465"/>
      <c r="X336" s="465"/>
      <c r="Y336" s="465"/>
      <c r="Z336" s="465"/>
      <c r="AA336" s="465"/>
      <c r="AB336" s="465"/>
      <c r="AC336" s="465"/>
      <c r="AD336" s="465"/>
      <c r="AE336" s="465"/>
      <c r="AF336" s="465"/>
      <c r="AG336" s="465"/>
      <c r="AH336" s="465"/>
      <c r="AI336" s="465"/>
      <c r="AJ336" s="465"/>
      <c r="AK336" s="465"/>
      <c r="AL336" s="465"/>
      <c r="AM336" s="465"/>
      <c r="AN336" s="465"/>
      <c r="AO336" s="465"/>
      <c r="AP336" s="465"/>
      <c r="AQ336" s="465"/>
      <c r="AR336" s="465"/>
      <c r="AS336" s="465"/>
      <c r="AT336" s="465"/>
      <c r="AU336" s="465"/>
      <c r="AV336" s="465"/>
      <c r="AW336" s="465"/>
      <c r="AX336" s="465"/>
      <c r="AY336" s="465"/>
      <c r="AZ336" s="465"/>
      <c r="BA336" s="465"/>
      <c r="BB336" s="465"/>
      <c r="BC336" s="465"/>
    </row>
    <row r="337" spans="1:55">
      <c r="A337" s="465"/>
      <c r="B337" s="465"/>
      <c r="C337" s="465"/>
      <c r="D337" s="467"/>
      <c r="E337" s="465"/>
      <c r="F337" s="465"/>
      <c r="G337" s="465"/>
      <c r="H337" s="465"/>
      <c r="I337" s="465"/>
      <c r="J337" s="465"/>
      <c r="K337" s="465"/>
      <c r="L337" s="465"/>
      <c r="M337" s="465"/>
      <c r="N337" s="465"/>
      <c r="O337" s="465"/>
      <c r="P337" s="465"/>
      <c r="Q337" s="465"/>
      <c r="R337" s="465"/>
      <c r="S337" s="465"/>
      <c r="T337" s="465"/>
      <c r="U337" s="465"/>
      <c r="V337" s="465"/>
      <c r="W337" s="465"/>
      <c r="X337" s="465"/>
      <c r="Y337" s="465"/>
      <c r="Z337" s="465"/>
      <c r="AA337" s="465"/>
      <c r="AB337" s="465"/>
      <c r="AC337" s="465"/>
      <c r="AD337" s="465"/>
      <c r="AE337" s="465"/>
      <c r="AF337" s="465"/>
      <c r="AG337" s="465"/>
      <c r="AH337" s="465"/>
      <c r="AI337" s="465"/>
      <c r="AJ337" s="465"/>
      <c r="AK337" s="465"/>
      <c r="AL337" s="465"/>
      <c r="AM337" s="465"/>
      <c r="AN337" s="465"/>
      <c r="AO337" s="465"/>
      <c r="AP337" s="465"/>
      <c r="AQ337" s="465"/>
      <c r="AR337" s="465"/>
      <c r="AS337" s="465"/>
      <c r="AT337" s="465"/>
      <c r="AU337" s="465"/>
      <c r="AV337" s="465"/>
      <c r="AW337" s="465"/>
      <c r="AX337" s="465"/>
      <c r="AY337" s="465"/>
      <c r="AZ337" s="465"/>
      <c r="BA337" s="465"/>
      <c r="BB337" s="465"/>
      <c r="BC337" s="465"/>
    </row>
    <row r="338" spans="1:55">
      <c r="A338" s="465"/>
      <c r="B338" s="465"/>
      <c r="C338" s="465"/>
      <c r="D338" s="467"/>
      <c r="E338" s="465"/>
      <c r="F338" s="465"/>
      <c r="G338" s="465"/>
      <c r="H338" s="465"/>
      <c r="I338" s="465"/>
      <c r="J338" s="465"/>
      <c r="K338" s="465"/>
      <c r="L338" s="465"/>
      <c r="M338" s="465"/>
      <c r="N338" s="465"/>
      <c r="O338" s="465"/>
      <c r="P338" s="465"/>
      <c r="Q338" s="465"/>
      <c r="R338" s="465"/>
      <c r="S338" s="465"/>
      <c r="T338" s="465"/>
      <c r="U338" s="465"/>
      <c r="V338" s="465"/>
      <c r="W338" s="465"/>
      <c r="X338" s="465"/>
      <c r="Y338" s="465"/>
      <c r="Z338" s="465"/>
      <c r="AA338" s="465"/>
      <c r="AB338" s="465"/>
      <c r="AC338" s="465"/>
      <c r="AD338" s="465"/>
      <c r="AE338" s="465"/>
      <c r="AF338" s="465"/>
      <c r="AG338" s="465"/>
      <c r="AH338" s="465"/>
      <c r="AI338" s="465"/>
      <c r="AJ338" s="465"/>
      <c r="AK338" s="465"/>
      <c r="AL338" s="465"/>
      <c r="AM338" s="465"/>
      <c r="AN338" s="465"/>
      <c r="AO338" s="465"/>
      <c r="AP338" s="465"/>
      <c r="AQ338" s="465"/>
      <c r="AR338" s="465"/>
      <c r="AS338" s="465"/>
      <c r="AT338" s="465"/>
      <c r="AU338" s="465"/>
      <c r="AV338" s="465"/>
      <c r="AW338" s="465"/>
      <c r="AX338" s="465"/>
      <c r="AY338" s="465"/>
      <c r="AZ338" s="465"/>
      <c r="BA338" s="465"/>
      <c r="BB338" s="465"/>
      <c r="BC338" s="465"/>
    </row>
    <row r="339" spans="1:55">
      <c r="A339" s="465"/>
      <c r="B339" s="465"/>
      <c r="C339" s="465"/>
      <c r="D339" s="467"/>
      <c r="E339" s="465"/>
      <c r="F339" s="465"/>
      <c r="G339" s="465"/>
      <c r="H339" s="465"/>
      <c r="I339" s="465"/>
      <c r="J339" s="465"/>
      <c r="K339" s="465"/>
      <c r="L339" s="465"/>
      <c r="M339" s="465"/>
      <c r="N339" s="465"/>
      <c r="O339" s="465"/>
      <c r="P339" s="465"/>
      <c r="Q339" s="465"/>
      <c r="R339" s="465"/>
      <c r="S339" s="465"/>
      <c r="T339" s="465"/>
      <c r="U339" s="465"/>
      <c r="V339" s="465"/>
      <c r="W339" s="465"/>
      <c r="X339" s="465"/>
      <c r="Y339" s="465"/>
      <c r="Z339" s="465"/>
      <c r="AA339" s="465"/>
      <c r="AB339" s="465"/>
      <c r="AC339" s="465"/>
      <c r="AD339" s="465"/>
      <c r="AE339" s="465"/>
      <c r="AF339" s="465"/>
      <c r="AG339" s="465"/>
      <c r="AH339" s="465"/>
      <c r="AI339" s="465"/>
      <c r="AJ339" s="465"/>
      <c r="AK339" s="465"/>
      <c r="AL339" s="465"/>
      <c r="AM339" s="465"/>
      <c r="AN339" s="465"/>
      <c r="AO339" s="465"/>
      <c r="AP339" s="465"/>
      <c r="AQ339" s="465"/>
      <c r="AR339" s="465"/>
      <c r="AS339" s="465"/>
      <c r="AT339" s="465"/>
      <c r="AU339" s="465"/>
      <c r="AV339" s="465"/>
      <c r="AW339" s="465"/>
      <c r="AX339" s="465"/>
      <c r="AY339" s="465"/>
      <c r="AZ339" s="465"/>
      <c r="BA339" s="465"/>
      <c r="BB339" s="465"/>
      <c r="BC339" s="465"/>
    </row>
    <row r="340" spans="1:55">
      <c r="A340" s="465"/>
      <c r="B340" s="465"/>
      <c r="C340" s="465"/>
      <c r="D340" s="467"/>
      <c r="E340" s="465"/>
      <c r="F340" s="465"/>
      <c r="G340" s="465"/>
      <c r="H340" s="465"/>
      <c r="I340" s="465"/>
      <c r="J340" s="465"/>
      <c r="K340" s="465"/>
      <c r="L340" s="465"/>
      <c r="M340" s="465"/>
      <c r="N340" s="465"/>
      <c r="O340" s="465"/>
      <c r="P340" s="465"/>
      <c r="Q340" s="465"/>
      <c r="R340" s="465"/>
      <c r="S340" s="465"/>
      <c r="T340" s="465"/>
      <c r="U340" s="465"/>
      <c r="V340" s="465"/>
      <c r="W340" s="465"/>
      <c r="X340" s="465"/>
      <c r="Y340" s="465"/>
      <c r="Z340" s="465"/>
      <c r="AA340" s="465"/>
      <c r="AB340" s="465"/>
      <c r="AC340" s="465"/>
      <c r="AD340" s="465"/>
      <c r="AE340" s="465"/>
      <c r="AF340" s="465"/>
      <c r="AG340" s="465"/>
      <c r="AH340" s="465"/>
      <c r="AI340" s="465"/>
      <c r="AJ340" s="465"/>
      <c r="AK340" s="465"/>
      <c r="AL340" s="465"/>
      <c r="AM340" s="465"/>
      <c r="AN340" s="465"/>
      <c r="AO340" s="465"/>
      <c r="AP340" s="465"/>
      <c r="AQ340" s="465"/>
      <c r="AR340" s="465"/>
      <c r="AS340" s="465"/>
      <c r="AT340" s="465"/>
      <c r="AU340" s="465"/>
      <c r="AV340" s="465"/>
      <c r="AW340" s="465"/>
      <c r="AX340" s="465"/>
      <c r="AY340" s="465"/>
      <c r="AZ340" s="465"/>
      <c r="BA340" s="465"/>
      <c r="BB340" s="465"/>
      <c r="BC340" s="465"/>
    </row>
    <row r="341" spans="1:55">
      <c r="A341" s="465"/>
      <c r="B341" s="465"/>
      <c r="C341" s="465"/>
      <c r="D341" s="467"/>
      <c r="E341" s="465"/>
      <c r="F341" s="465"/>
      <c r="G341" s="465"/>
      <c r="H341" s="465"/>
      <c r="I341" s="465"/>
      <c r="J341" s="465"/>
      <c r="K341" s="465"/>
      <c r="L341" s="465"/>
      <c r="M341" s="465"/>
      <c r="N341" s="465"/>
      <c r="O341" s="465"/>
      <c r="P341" s="465"/>
      <c r="Q341" s="465"/>
      <c r="R341" s="465"/>
      <c r="S341" s="465"/>
      <c r="T341" s="465"/>
      <c r="U341" s="465"/>
      <c r="V341" s="465"/>
      <c r="W341" s="465"/>
      <c r="X341" s="465"/>
      <c r="Y341" s="465"/>
      <c r="Z341" s="465"/>
      <c r="AA341" s="465"/>
      <c r="AB341" s="465"/>
      <c r="AC341" s="465"/>
      <c r="AD341" s="465"/>
      <c r="AE341" s="465"/>
      <c r="AF341" s="465"/>
      <c r="AG341" s="465"/>
      <c r="AH341" s="465"/>
      <c r="AI341" s="465"/>
      <c r="AJ341" s="465"/>
      <c r="AK341" s="465"/>
      <c r="AL341" s="465"/>
      <c r="AM341" s="465"/>
      <c r="AN341" s="465"/>
      <c r="AO341" s="465"/>
      <c r="AP341" s="465"/>
      <c r="AQ341" s="465"/>
      <c r="AR341" s="465"/>
      <c r="AS341" s="465"/>
      <c r="AT341" s="465"/>
      <c r="AU341" s="465"/>
      <c r="AV341" s="465"/>
      <c r="AW341" s="465"/>
      <c r="AX341" s="465"/>
      <c r="AY341" s="465"/>
      <c r="AZ341" s="465"/>
      <c r="BA341" s="465"/>
      <c r="BB341" s="465"/>
      <c r="BC341" s="465"/>
    </row>
    <row r="342" spans="1:55">
      <c r="A342" s="465"/>
      <c r="B342" s="465"/>
      <c r="C342" s="465"/>
      <c r="D342" s="467"/>
      <c r="E342" s="465"/>
      <c r="F342" s="465"/>
      <c r="G342" s="465"/>
      <c r="H342" s="465"/>
      <c r="I342" s="465"/>
      <c r="J342" s="465"/>
      <c r="K342" s="465"/>
      <c r="L342" s="465"/>
      <c r="M342" s="465"/>
      <c r="N342" s="465"/>
      <c r="O342" s="465"/>
      <c r="P342" s="465"/>
      <c r="Q342" s="465"/>
      <c r="R342" s="465"/>
      <c r="S342" s="465"/>
      <c r="T342" s="465"/>
      <c r="U342" s="465"/>
      <c r="V342" s="465"/>
      <c r="W342" s="465"/>
      <c r="X342" s="465"/>
      <c r="Y342" s="465"/>
      <c r="Z342" s="465"/>
      <c r="AA342" s="465"/>
      <c r="AB342" s="465"/>
      <c r="AC342" s="465"/>
      <c r="AD342" s="465"/>
      <c r="AE342" s="465"/>
      <c r="AF342" s="465"/>
      <c r="AG342" s="465"/>
      <c r="AH342" s="465"/>
      <c r="AI342" s="465"/>
      <c r="AJ342" s="465"/>
      <c r="AK342" s="465"/>
      <c r="AL342" s="465"/>
      <c r="AM342" s="465"/>
      <c r="AN342" s="465"/>
      <c r="AO342" s="465"/>
      <c r="AP342" s="465"/>
      <c r="AQ342" s="465"/>
      <c r="AR342" s="465"/>
      <c r="AS342" s="465"/>
      <c r="AT342" s="465"/>
      <c r="AU342" s="465"/>
      <c r="AV342" s="465"/>
      <c r="AW342" s="465"/>
      <c r="AX342" s="465"/>
      <c r="AY342" s="465"/>
      <c r="AZ342" s="465"/>
      <c r="BA342" s="465"/>
      <c r="BB342" s="465"/>
      <c r="BC342" s="465"/>
    </row>
    <row r="343" spans="1:55">
      <c r="A343" s="465"/>
      <c r="B343" s="465"/>
      <c r="C343" s="465"/>
      <c r="D343" s="467"/>
      <c r="E343" s="465"/>
      <c r="F343" s="465"/>
      <c r="G343" s="465"/>
      <c r="H343" s="465"/>
      <c r="I343" s="465"/>
      <c r="J343" s="465"/>
      <c r="K343" s="465"/>
      <c r="L343" s="465"/>
      <c r="M343" s="465"/>
      <c r="N343" s="465"/>
      <c r="O343" s="465"/>
      <c r="P343" s="465"/>
      <c r="Q343" s="465"/>
      <c r="R343" s="465"/>
      <c r="S343" s="465"/>
      <c r="T343" s="465"/>
      <c r="U343" s="465"/>
      <c r="V343" s="465"/>
      <c r="W343" s="465"/>
      <c r="X343" s="465"/>
      <c r="Y343" s="465"/>
      <c r="Z343" s="465"/>
      <c r="AA343" s="465"/>
      <c r="AB343" s="465"/>
      <c r="AC343" s="465"/>
      <c r="AD343" s="465"/>
      <c r="AE343" s="465"/>
      <c r="AF343" s="465"/>
      <c r="AG343" s="465"/>
      <c r="AH343" s="465"/>
      <c r="AI343" s="465"/>
      <c r="AJ343" s="465"/>
      <c r="AK343" s="465"/>
      <c r="AL343" s="465"/>
      <c r="AM343" s="465"/>
      <c r="AN343" s="465"/>
      <c r="AO343" s="465"/>
      <c r="AP343" s="465"/>
      <c r="AQ343" s="465"/>
      <c r="AR343" s="465"/>
      <c r="AS343" s="465"/>
      <c r="AT343" s="465"/>
      <c r="AU343" s="465"/>
      <c r="AV343" s="465"/>
      <c r="AW343" s="465"/>
      <c r="AX343" s="465"/>
      <c r="AY343" s="465"/>
      <c r="AZ343" s="465"/>
      <c r="BA343" s="465"/>
      <c r="BB343" s="465"/>
      <c r="BC343" s="465"/>
    </row>
    <row r="344" spans="1:55">
      <c r="A344" s="465"/>
      <c r="B344" s="465"/>
      <c r="C344" s="465"/>
      <c r="D344" s="467"/>
      <c r="E344" s="465"/>
      <c r="F344" s="465"/>
      <c r="G344" s="465"/>
      <c r="H344" s="465"/>
      <c r="I344" s="465"/>
      <c r="J344" s="465"/>
      <c r="K344" s="465"/>
      <c r="L344" s="465"/>
      <c r="M344" s="465"/>
      <c r="N344" s="465"/>
      <c r="O344" s="465"/>
      <c r="P344" s="465"/>
      <c r="Q344" s="465"/>
      <c r="R344" s="465"/>
      <c r="S344" s="465"/>
      <c r="T344" s="465"/>
      <c r="U344" s="465"/>
      <c r="V344" s="465"/>
      <c r="W344" s="465"/>
      <c r="X344" s="465"/>
      <c r="Y344" s="465"/>
      <c r="Z344" s="465"/>
      <c r="AA344" s="465"/>
      <c r="AB344" s="465"/>
      <c r="AC344" s="465"/>
      <c r="AD344" s="465"/>
      <c r="AE344" s="465"/>
      <c r="AF344" s="465"/>
      <c r="AG344" s="465"/>
      <c r="AH344" s="465"/>
      <c r="AI344" s="465"/>
      <c r="AJ344" s="465"/>
      <c r="AK344" s="465"/>
      <c r="AL344" s="465"/>
      <c r="AM344" s="465"/>
      <c r="AN344" s="465"/>
      <c r="AO344" s="465"/>
      <c r="AP344" s="465"/>
      <c r="AQ344" s="465"/>
      <c r="AR344" s="465"/>
      <c r="AS344" s="465"/>
      <c r="AT344" s="465"/>
      <c r="AU344" s="465"/>
      <c r="AV344" s="465"/>
      <c r="AW344" s="465"/>
      <c r="AX344" s="465"/>
      <c r="AY344" s="465"/>
      <c r="AZ344" s="465"/>
      <c r="BA344" s="465"/>
      <c r="BB344" s="465"/>
      <c r="BC344" s="465"/>
    </row>
    <row r="345" spans="1:55">
      <c r="A345" s="465"/>
      <c r="B345" s="465"/>
      <c r="C345" s="465"/>
      <c r="D345" s="467"/>
      <c r="E345" s="465"/>
      <c r="F345" s="465"/>
      <c r="G345" s="465"/>
      <c r="H345" s="465"/>
      <c r="I345" s="465"/>
      <c r="J345" s="465"/>
      <c r="K345" s="465"/>
      <c r="L345" s="465"/>
      <c r="M345" s="465"/>
      <c r="N345" s="465"/>
      <c r="O345" s="465"/>
      <c r="P345" s="465"/>
      <c r="Q345" s="465"/>
      <c r="R345" s="465"/>
      <c r="S345" s="465"/>
      <c r="T345" s="465"/>
      <c r="U345" s="465"/>
      <c r="V345" s="465"/>
      <c r="W345" s="465"/>
      <c r="X345" s="465"/>
      <c r="Y345" s="465"/>
      <c r="Z345" s="465"/>
      <c r="AA345" s="465"/>
      <c r="AB345" s="465"/>
      <c r="AC345" s="465"/>
      <c r="AD345" s="465"/>
      <c r="AE345" s="465"/>
      <c r="AF345" s="465"/>
      <c r="AG345" s="465"/>
      <c r="AH345" s="465"/>
      <c r="AI345" s="465"/>
      <c r="AJ345" s="465"/>
      <c r="AK345" s="465"/>
      <c r="AL345" s="465"/>
      <c r="AM345" s="465"/>
      <c r="AN345" s="465"/>
      <c r="AO345" s="465"/>
      <c r="AP345" s="465"/>
      <c r="AQ345" s="465"/>
      <c r="AR345" s="465"/>
      <c r="AS345" s="465"/>
      <c r="AT345" s="465"/>
      <c r="AU345" s="465"/>
      <c r="AV345" s="465"/>
      <c r="AW345" s="465"/>
      <c r="AX345" s="465"/>
      <c r="AY345" s="465"/>
      <c r="AZ345" s="465"/>
      <c r="BA345" s="465"/>
      <c r="BB345" s="465"/>
      <c r="BC345" s="465"/>
    </row>
    <row r="346" spans="1:55">
      <c r="A346" s="465"/>
      <c r="B346" s="465"/>
      <c r="C346" s="465"/>
      <c r="D346" s="467"/>
      <c r="E346" s="465"/>
      <c r="F346" s="465"/>
      <c r="G346" s="465"/>
      <c r="H346" s="465"/>
      <c r="I346" s="465"/>
      <c r="J346" s="465"/>
      <c r="K346" s="465"/>
      <c r="L346" s="465"/>
      <c r="M346" s="465"/>
      <c r="N346" s="465"/>
      <c r="O346" s="465"/>
      <c r="P346" s="465"/>
      <c r="Q346" s="465"/>
      <c r="R346" s="465"/>
      <c r="S346" s="465"/>
      <c r="T346" s="465"/>
      <c r="U346" s="465"/>
      <c r="V346" s="465"/>
      <c r="W346" s="465"/>
      <c r="X346" s="465"/>
      <c r="Y346" s="465"/>
      <c r="Z346" s="465"/>
      <c r="AA346" s="465"/>
      <c r="AB346" s="465"/>
      <c r="AC346" s="465"/>
      <c r="AD346" s="465"/>
      <c r="AE346" s="465"/>
      <c r="AF346" s="465"/>
      <c r="AG346" s="465"/>
      <c r="AH346" s="465"/>
      <c r="AI346" s="465"/>
      <c r="AJ346" s="465"/>
      <c r="AK346" s="465"/>
      <c r="AL346" s="465"/>
      <c r="AM346" s="465"/>
      <c r="AN346" s="465"/>
      <c r="AO346" s="465"/>
      <c r="AP346" s="465"/>
      <c r="AQ346" s="465"/>
      <c r="AR346" s="465"/>
      <c r="AS346" s="465"/>
      <c r="AT346" s="465"/>
      <c r="AU346" s="465"/>
      <c r="AV346" s="465"/>
      <c r="AW346" s="465"/>
      <c r="AX346" s="465"/>
      <c r="AY346" s="465"/>
      <c r="AZ346" s="465"/>
      <c r="BA346" s="465"/>
      <c r="BB346" s="465"/>
      <c r="BC346" s="465"/>
    </row>
    <row r="347" spans="1:55">
      <c r="A347" s="465"/>
      <c r="B347" s="465"/>
      <c r="C347" s="465"/>
      <c r="D347" s="467"/>
      <c r="E347" s="465"/>
      <c r="F347" s="465"/>
      <c r="G347" s="465"/>
      <c r="H347" s="465"/>
      <c r="I347" s="465"/>
      <c r="J347" s="465"/>
      <c r="K347" s="465"/>
      <c r="L347" s="465"/>
      <c r="M347" s="465"/>
      <c r="N347" s="465"/>
      <c r="O347" s="465"/>
      <c r="P347" s="465"/>
      <c r="Q347" s="465"/>
      <c r="R347" s="465"/>
      <c r="S347" s="465"/>
      <c r="T347" s="465"/>
      <c r="U347" s="465"/>
      <c r="V347" s="465"/>
      <c r="W347" s="465"/>
      <c r="X347" s="465"/>
      <c r="Y347" s="465"/>
      <c r="Z347" s="465"/>
      <c r="AA347" s="465"/>
      <c r="AB347" s="465"/>
      <c r="AC347" s="465"/>
      <c r="AD347" s="465"/>
      <c r="AE347" s="465"/>
      <c r="AF347" s="465"/>
      <c r="AG347" s="465"/>
      <c r="AH347" s="465"/>
      <c r="AI347" s="465"/>
      <c r="AJ347" s="465"/>
      <c r="AK347" s="465"/>
      <c r="AL347" s="465"/>
      <c r="AM347" s="465"/>
      <c r="AN347" s="465"/>
      <c r="AO347" s="465"/>
      <c r="AP347" s="465"/>
      <c r="AQ347" s="465"/>
      <c r="AR347" s="465"/>
      <c r="AS347" s="465"/>
      <c r="AT347" s="465"/>
      <c r="AU347" s="465"/>
      <c r="AV347" s="465"/>
      <c r="AW347" s="465"/>
      <c r="AX347" s="465"/>
      <c r="AY347" s="465"/>
      <c r="AZ347" s="465"/>
      <c r="BA347" s="465"/>
      <c r="BB347" s="465"/>
      <c r="BC347" s="465"/>
    </row>
    <row r="348" spans="1:55">
      <c r="A348" s="465"/>
      <c r="B348" s="465"/>
      <c r="C348" s="465"/>
      <c r="D348" s="467"/>
      <c r="E348" s="465"/>
      <c r="F348" s="465"/>
      <c r="G348" s="465"/>
      <c r="H348" s="465"/>
      <c r="I348" s="465"/>
      <c r="J348" s="465"/>
      <c r="K348" s="465"/>
      <c r="L348" s="465"/>
      <c r="M348" s="465"/>
      <c r="N348" s="465"/>
      <c r="O348" s="465"/>
      <c r="P348" s="465"/>
      <c r="Q348" s="465"/>
      <c r="R348" s="465"/>
      <c r="S348" s="465"/>
      <c r="T348" s="465"/>
      <c r="U348" s="465"/>
      <c r="V348" s="465"/>
      <c r="W348" s="465"/>
      <c r="X348" s="465"/>
      <c r="Y348" s="465"/>
      <c r="Z348" s="465"/>
      <c r="AA348" s="465"/>
      <c r="AB348" s="465"/>
      <c r="AC348" s="465"/>
      <c r="AD348" s="465"/>
      <c r="AE348" s="465"/>
      <c r="AF348" s="465"/>
      <c r="AG348" s="465"/>
      <c r="AH348" s="465"/>
      <c r="AI348" s="465"/>
      <c r="AJ348" s="465"/>
      <c r="AK348" s="465"/>
      <c r="AL348" s="465"/>
      <c r="AM348" s="465"/>
      <c r="AN348" s="465"/>
      <c r="AO348" s="465"/>
      <c r="AP348" s="465"/>
      <c r="AQ348" s="465"/>
      <c r="AR348" s="465"/>
      <c r="AS348" s="465"/>
      <c r="AT348" s="465"/>
      <c r="AU348" s="465"/>
      <c r="AV348" s="465"/>
      <c r="AW348" s="465"/>
      <c r="AX348" s="465"/>
      <c r="AY348" s="465"/>
      <c r="AZ348" s="465"/>
      <c r="BA348" s="465"/>
      <c r="BB348" s="465"/>
      <c r="BC348" s="465"/>
    </row>
    <row r="349" spans="1:55">
      <c r="A349" s="465"/>
      <c r="B349" s="465"/>
      <c r="C349" s="465"/>
      <c r="D349" s="467"/>
      <c r="E349" s="465"/>
      <c r="F349" s="465"/>
      <c r="G349" s="465"/>
      <c r="H349" s="465"/>
      <c r="I349" s="465"/>
      <c r="J349" s="465"/>
      <c r="K349" s="465"/>
      <c r="L349" s="465"/>
      <c r="M349" s="465"/>
      <c r="N349" s="465"/>
      <c r="O349" s="465"/>
      <c r="P349" s="465"/>
      <c r="Q349" s="465"/>
      <c r="R349" s="465"/>
      <c r="S349" s="465"/>
      <c r="T349" s="465"/>
      <c r="U349" s="465"/>
      <c r="V349" s="465"/>
      <c r="W349" s="465"/>
      <c r="X349" s="465"/>
      <c r="Y349" s="465"/>
      <c r="Z349" s="465"/>
      <c r="AA349" s="465"/>
      <c r="AB349" s="465"/>
      <c r="AC349" s="465"/>
      <c r="AD349" s="465"/>
      <c r="AE349" s="465"/>
      <c r="AF349" s="465"/>
      <c r="AG349" s="465"/>
      <c r="AH349" s="465"/>
      <c r="AI349" s="465"/>
      <c r="AJ349" s="465"/>
      <c r="AK349" s="465"/>
      <c r="AL349" s="465"/>
      <c r="AM349" s="465"/>
      <c r="AN349" s="465"/>
      <c r="AO349" s="465"/>
      <c r="AP349" s="465"/>
      <c r="AQ349" s="465"/>
      <c r="AR349" s="465"/>
      <c r="AS349" s="465"/>
      <c r="AT349" s="465"/>
      <c r="AU349" s="465"/>
      <c r="AV349" s="465"/>
      <c r="AW349" s="465"/>
      <c r="AX349" s="465"/>
      <c r="AY349" s="465"/>
      <c r="AZ349" s="465"/>
      <c r="BA349" s="465"/>
      <c r="BB349" s="465"/>
      <c r="BC349" s="465"/>
    </row>
    <row r="350" spans="1:55">
      <c r="A350" s="465"/>
      <c r="B350" s="465"/>
      <c r="C350" s="465"/>
      <c r="D350" s="467"/>
      <c r="E350" s="465"/>
      <c r="F350" s="465"/>
      <c r="G350" s="465"/>
      <c r="H350" s="465"/>
      <c r="I350" s="465"/>
      <c r="J350" s="465"/>
      <c r="K350" s="465"/>
      <c r="L350" s="465"/>
      <c r="M350" s="465"/>
      <c r="N350" s="465"/>
      <c r="O350" s="465"/>
      <c r="P350" s="465"/>
      <c r="Q350" s="465"/>
      <c r="R350" s="465"/>
      <c r="S350" s="465"/>
      <c r="T350" s="465"/>
      <c r="U350" s="465"/>
      <c r="V350" s="465"/>
      <c r="W350" s="465"/>
      <c r="X350" s="465"/>
      <c r="Y350" s="465"/>
      <c r="Z350" s="465"/>
      <c r="AA350" s="465"/>
      <c r="AB350" s="465"/>
      <c r="AC350" s="465"/>
      <c r="AD350" s="465"/>
      <c r="AE350" s="465"/>
      <c r="AF350" s="465"/>
      <c r="AG350" s="465"/>
      <c r="AH350" s="465"/>
      <c r="AI350" s="465"/>
      <c r="AJ350" s="465"/>
      <c r="AK350" s="465"/>
      <c r="AL350" s="465"/>
      <c r="AM350" s="465"/>
      <c r="AN350" s="465"/>
      <c r="AO350" s="465"/>
      <c r="AP350" s="465"/>
      <c r="AQ350" s="465"/>
      <c r="AR350" s="465"/>
      <c r="AS350" s="465"/>
      <c r="AT350" s="465"/>
      <c r="AU350" s="465"/>
      <c r="AV350" s="465"/>
      <c r="AW350" s="465"/>
      <c r="AX350" s="465"/>
      <c r="AY350" s="465"/>
      <c r="AZ350" s="465"/>
      <c r="BA350" s="465"/>
      <c r="BB350" s="465"/>
      <c r="BC350" s="465"/>
    </row>
    <row r="351" spans="1:55">
      <c r="A351" s="465"/>
      <c r="B351" s="465"/>
      <c r="C351" s="465"/>
      <c r="D351" s="467"/>
      <c r="E351" s="465"/>
      <c r="F351" s="465"/>
      <c r="G351" s="465"/>
      <c r="H351" s="465"/>
      <c r="I351" s="465"/>
      <c r="J351" s="465"/>
      <c r="K351" s="465"/>
      <c r="L351" s="465"/>
      <c r="M351" s="465"/>
      <c r="N351" s="465"/>
      <c r="O351" s="465"/>
      <c r="P351" s="465"/>
      <c r="Q351" s="465"/>
      <c r="R351" s="465"/>
      <c r="S351" s="465"/>
      <c r="T351" s="465"/>
      <c r="U351" s="465"/>
      <c r="V351" s="465"/>
      <c r="W351" s="465"/>
      <c r="X351" s="465"/>
      <c r="Y351" s="465"/>
      <c r="Z351" s="465"/>
      <c r="AA351" s="465"/>
      <c r="AB351" s="465"/>
      <c r="AC351" s="465"/>
      <c r="AD351" s="465"/>
      <c r="AE351" s="465"/>
      <c r="AF351" s="465"/>
      <c r="AG351" s="465"/>
      <c r="AH351" s="465"/>
      <c r="AI351" s="465"/>
      <c r="AJ351" s="465"/>
      <c r="AK351" s="465"/>
      <c r="AL351" s="465"/>
      <c r="AM351" s="465"/>
      <c r="AN351" s="465"/>
      <c r="AO351" s="465"/>
      <c r="AP351" s="465"/>
      <c r="AQ351" s="465"/>
      <c r="AR351" s="465"/>
      <c r="AS351" s="465"/>
      <c r="AT351" s="465"/>
      <c r="AU351" s="465"/>
      <c r="AV351" s="465"/>
      <c r="AW351" s="465"/>
      <c r="AX351" s="465"/>
      <c r="AY351" s="465"/>
      <c r="AZ351" s="465"/>
      <c r="BA351" s="465"/>
      <c r="BB351" s="465"/>
      <c r="BC351" s="465"/>
    </row>
    <row r="352" spans="1:55">
      <c r="A352" s="465"/>
      <c r="B352" s="465"/>
      <c r="C352" s="465"/>
      <c r="D352" s="467"/>
      <c r="E352" s="465"/>
      <c r="F352" s="465"/>
      <c r="G352" s="465"/>
      <c r="H352" s="465"/>
      <c r="I352" s="465"/>
      <c r="J352" s="465"/>
      <c r="K352" s="465"/>
      <c r="L352" s="465"/>
      <c r="M352" s="465"/>
      <c r="N352" s="465"/>
      <c r="O352" s="465"/>
      <c r="P352" s="465"/>
      <c r="Q352" s="465"/>
      <c r="R352" s="465"/>
      <c r="S352" s="465"/>
      <c r="T352" s="465"/>
      <c r="U352" s="465"/>
      <c r="V352" s="465"/>
      <c r="W352" s="465"/>
      <c r="X352" s="465"/>
      <c r="Y352" s="465"/>
      <c r="Z352" s="465"/>
      <c r="AA352" s="465"/>
      <c r="AB352" s="465"/>
      <c r="AC352" s="465"/>
      <c r="AD352" s="465"/>
      <c r="AE352" s="465"/>
      <c r="AF352" s="465"/>
      <c r="AG352" s="465"/>
      <c r="AH352" s="465"/>
      <c r="AI352" s="465"/>
      <c r="AJ352" s="465"/>
      <c r="AK352" s="465"/>
      <c r="AL352" s="465"/>
      <c r="AM352" s="465"/>
      <c r="AN352" s="465"/>
      <c r="AO352" s="465"/>
      <c r="AP352" s="465"/>
      <c r="AQ352" s="465"/>
      <c r="AR352" s="465"/>
      <c r="AS352" s="465"/>
      <c r="AT352" s="465"/>
      <c r="AU352" s="465"/>
      <c r="AV352" s="465"/>
      <c r="AW352" s="465"/>
      <c r="AX352" s="465"/>
      <c r="AY352" s="465"/>
      <c r="AZ352" s="465"/>
      <c r="BA352" s="465"/>
      <c r="BB352" s="465"/>
      <c r="BC352" s="465"/>
    </row>
    <row r="353" spans="1:55">
      <c r="A353" s="465"/>
      <c r="B353" s="465"/>
      <c r="C353" s="465"/>
      <c r="D353" s="467"/>
      <c r="E353" s="465"/>
      <c r="F353" s="465"/>
      <c r="G353" s="465"/>
      <c r="H353" s="465"/>
      <c r="I353" s="465"/>
      <c r="J353" s="465"/>
      <c r="K353" s="465"/>
      <c r="L353" s="465"/>
      <c r="M353" s="465"/>
      <c r="N353" s="465"/>
      <c r="O353" s="465"/>
      <c r="P353" s="465"/>
      <c r="Q353" s="465"/>
      <c r="R353" s="465"/>
      <c r="S353" s="465"/>
      <c r="T353" s="465"/>
      <c r="U353" s="465"/>
      <c r="V353" s="465"/>
      <c r="W353" s="465"/>
      <c r="X353" s="465"/>
      <c r="Y353" s="465"/>
      <c r="Z353" s="465"/>
      <c r="AA353" s="465"/>
      <c r="AB353" s="465"/>
      <c r="AC353" s="465"/>
      <c r="AD353" s="465"/>
      <c r="AE353" s="465"/>
      <c r="AF353" s="465"/>
      <c r="AG353" s="465"/>
      <c r="AH353" s="465"/>
      <c r="AI353" s="465"/>
      <c r="AJ353" s="465"/>
      <c r="AK353" s="465"/>
      <c r="AL353" s="465"/>
      <c r="AM353" s="465"/>
      <c r="AN353" s="465"/>
      <c r="AO353" s="465"/>
      <c r="AP353" s="465"/>
      <c r="AQ353" s="465"/>
      <c r="AR353" s="465"/>
      <c r="AS353" s="465"/>
      <c r="AT353" s="465"/>
      <c r="AU353" s="465"/>
      <c r="AV353" s="465"/>
      <c r="AW353" s="465"/>
      <c r="AX353" s="465"/>
      <c r="AY353" s="465"/>
      <c r="AZ353" s="465"/>
      <c r="BA353" s="465"/>
      <c r="BB353" s="465"/>
      <c r="BC353" s="465"/>
    </row>
    <row r="354" spans="1:55">
      <c r="A354" s="465"/>
      <c r="B354" s="465"/>
      <c r="C354" s="465"/>
      <c r="D354" s="467"/>
      <c r="E354" s="465"/>
      <c r="F354" s="465"/>
      <c r="G354" s="465"/>
      <c r="H354" s="465"/>
      <c r="I354" s="465"/>
      <c r="J354" s="465"/>
      <c r="K354" s="465"/>
      <c r="L354" s="465"/>
      <c r="M354" s="465"/>
      <c r="N354" s="465"/>
      <c r="O354" s="465"/>
      <c r="P354" s="465"/>
      <c r="Q354" s="465"/>
      <c r="R354" s="465"/>
      <c r="S354" s="465"/>
      <c r="T354" s="465"/>
      <c r="U354" s="465"/>
      <c r="V354" s="465"/>
      <c r="W354" s="465"/>
      <c r="X354" s="465"/>
      <c r="Y354" s="465"/>
      <c r="Z354" s="465"/>
      <c r="AA354" s="465"/>
      <c r="AB354" s="465"/>
      <c r="AC354" s="465"/>
      <c r="AD354" s="465"/>
      <c r="AE354" s="465"/>
      <c r="AF354" s="465"/>
      <c r="AG354" s="465"/>
      <c r="AH354" s="465"/>
      <c r="AI354" s="465"/>
      <c r="AJ354" s="465"/>
      <c r="AK354" s="465"/>
      <c r="AL354" s="465"/>
      <c r="AM354" s="465"/>
      <c r="AN354" s="465"/>
      <c r="AO354" s="465"/>
      <c r="AP354" s="465"/>
      <c r="AQ354" s="465"/>
      <c r="AR354" s="465"/>
      <c r="AS354" s="465"/>
      <c r="AT354" s="465"/>
      <c r="AU354" s="465"/>
      <c r="AV354" s="465"/>
      <c r="AW354" s="465"/>
      <c r="AX354" s="465"/>
      <c r="AY354" s="465"/>
      <c r="AZ354" s="465"/>
      <c r="BA354" s="465"/>
      <c r="BB354" s="465"/>
      <c r="BC354" s="465"/>
    </row>
    <row r="355" spans="1:55">
      <c r="A355" s="465"/>
      <c r="B355" s="465"/>
      <c r="C355" s="465"/>
      <c r="D355" s="467"/>
      <c r="E355" s="465"/>
      <c r="F355" s="465"/>
      <c r="G355" s="465"/>
      <c r="H355" s="465"/>
      <c r="I355" s="465"/>
      <c r="J355" s="465"/>
      <c r="K355" s="465"/>
      <c r="L355" s="465"/>
      <c r="M355" s="465"/>
      <c r="N355" s="465"/>
      <c r="O355" s="465"/>
      <c r="P355" s="465"/>
      <c r="Q355" s="465"/>
      <c r="R355" s="465"/>
      <c r="S355" s="465"/>
      <c r="T355" s="465"/>
      <c r="U355" s="465"/>
      <c r="V355" s="465"/>
      <c r="W355" s="465"/>
      <c r="X355" s="465"/>
      <c r="Y355" s="465"/>
      <c r="Z355" s="465"/>
      <c r="AA355" s="465"/>
      <c r="AB355" s="465"/>
      <c r="AC355" s="465"/>
      <c r="AD355" s="465"/>
      <c r="AE355" s="465"/>
      <c r="AF355" s="465"/>
      <c r="AG355" s="465"/>
      <c r="AH355" s="465"/>
      <c r="AI355" s="465"/>
      <c r="AJ355" s="465"/>
      <c r="AK355" s="465"/>
      <c r="AL355" s="465"/>
      <c r="AM355" s="465"/>
      <c r="AN355" s="465"/>
      <c r="AO355" s="465"/>
      <c r="AP355" s="465"/>
      <c r="AQ355" s="465"/>
      <c r="AR355" s="465"/>
      <c r="AS355" s="465"/>
      <c r="AT355" s="465"/>
      <c r="AU355" s="465"/>
      <c r="AV355" s="465"/>
      <c r="AW355" s="465"/>
      <c r="AX355" s="465"/>
      <c r="AY355" s="465"/>
      <c r="AZ355" s="465"/>
      <c r="BA355" s="465"/>
      <c r="BB355" s="465"/>
      <c r="BC355" s="465"/>
    </row>
    <row r="356" spans="1:55">
      <c r="A356" s="465"/>
      <c r="B356" s="465"/>
      <c r="C356" s="465"/>
      <c r="D356" s="467"/>
      <c r="E356" s="465"/>
      <c r="F356" s="465"/>
      <c r="G356" s="465"/>
      <c r="H356" s="465"/>
      <c r="I356" s="465"/>
      <c r="J356" s="465"/>
      <c r="K356" s="465"/>
      <c r="L356" s="465"/>
      <c r="M356" s="465"/>
      <c r="N356" s="465"/>
      <c r="O356" s="465"/>
      <c r="P356" s="465"/>
      <c r="Q356" s="465"/>
      <c r="R356" s="465"/>
      <c r="S356" s="465"/>
      <c r="T356" s="465"/>
      <c r="U356" s="465"/>
      <c r="V356" s="465"/>
      <c r="W356" s="465"/>
      <c r="X356" s="465"/>
      <c r="Y356" s="465"/>
      <c r="Z356" s="465"/>
      <c r="AA356" s="465"/>
      <c r="AB356" s="465"/>
      <c r="AC356" s="465"/>
      <c r="AD356" s="465"/>
      <c r="AE356" s="465"/>
      <c r="AF356" s="465"/>
      <c r="AG356" s="465"/>
      <c r="AH356" s="465"/>
      <c r="AI356" s="465"/>
      <c r="AJ356" s="465"/>
      <c r="AK356" s="465"/>
      <c r="AL356" s="465"/>
      <c r="AM356" s="465"/>
      <c r="AN356" s="465"/>
      <c r="AO356" s="465"/>
      <c r="AP356" s="465"/>
      <c r="AQ356" s="465"/>
      <c r="AR356" s="465"/>
      <c r="AS356" s="465"/>
      <c r="AT356" s="465"/>
      <c r="AU356" s="465"/>
      <c r="AV356" s="465"/>
      <c r="AW356" s="465"/>
      <c r="AX356" s="465"/>
      <c r="AY356" s="465"/>
      <c r="AZ356" s="465"/>
      <c r="BA356" s="465"/>
      <c r="BB356" s="465"/>
      <c r="BC356" s="465"/>
    </row>
    <row r="357" spans="1:55">
      <c r="A357" s="465"/>
      <c r="B357" s="465"/>
      <c r="C357" s="465"/>
      <c r="D357" s="467"/>
      <c r="E357" s="465"/>
      <c r="F357" s="465"/>
      <c r="G357" s="465"/>
      <c r="H357" s="465"/>
      <c r="I357" s="465"/>
      <c r="J357" s="465"/>
      <c r="K357" s="465"/>
      <c r="L357" s="465"/>
      <c r="M357" s="465"/>
      <c r="N357" s="465"/>
      <c r="O357" s="465"/>
      <c r="P357" s="465"/>
      <c r="Q357" s="465"/>
      <c r="R357" s="465"/>
      <c r="S357" s="465"/>
      <c r="T357" s="465"/>
      <c r="U357" s="465"/>
      <c r="V357" s="465"/>
      <c r="W357" s="465"/>
      <c r="X357" s="465"/>
      <c r="Y357" s="465"/>
      <c r="Z357" s="465"/>
      <c r="AA357" s="465"/>
      <c r="AB357" s="465"/>
      <c r="AC357" s="465"/>
      <c r="AD357" s="465"/>
      <c r="AE357" s="465"/>
      <c r="AF357" s="465"/>
      <c r="AG357" s="465"/>
      <c r="AH357" s="465"/>
      <c r="AI357" s="465"/>
      <c r="AJ357" s="465"/>
      <c r="AK357" s="465"/>
      <c r="AL357" s="465"/>
      <c r="AM357" s="465"/>
      <c r="AN357" s="465"/>
      <c r="AO357" s="465"/>
      <c r="AP357" s="465"/>
      <c r="AQ357" s="465"/>
      <c r="AR357" s="465"/>
      <c r="AS357" s="465"/>
      <c r="AT357" s="465"/>
      <c r="AU357" s="465"/>
      <c r="AV357" s="465"/>
      <c r="AW357" s="465"/>
      <c r="AX357" s="465"/>
      <c r="AY357" s="465"/>
      <c r="AZ357" s="465"/>
      <c r="BA357" s="465"/>
      <c r="BB357" s="465"/>
      <c r="BC357" s="465"/>
    </row>
    <row r="358" spans="1:55">
      <c r="A358" s="465"/>
      <c r="B358" s="465"/>
      <c r="C358" s="465"/>
      <c r="D358" s="467"/>
      <c r="E358" s="465"/>
      <c r="F358" s="465"/>
      <c r="G358" s="465"/>
      <c r="H358" s="465"/>
      <c r="I358" s="465"/>
      <c r="J358" s="465"/>
      <c r="K358" s="465"/>
      <c r="L358" s="465"/>
      <c r="M358" s="465"/>
      <c r="N358" s="465"/>
      <c r="O358" s="465"/>
      <c r="P358" s="465"/>
      <c r="Q358" s="465"/>
      <c r="R358" s="465"/>
      <c r="S358" s="465"/>
      <c r="T358" s="465"/>
      <c r="U358" s="465"/>
      <c r="V358" s="465"/>
      <c r="W358" s="465"/>
      <c r="X358" s="465"/>
      <c r="Y358" s="465"/>
      <c r="Z358" s="465"/>
      <c r="AA358" s="465"/>
      <c r="AB358" s="465"/>
      <c r="AC358" s="465"/>
      <c r="AD358" s="465"/>
      <c r="AE358" s="465"/>
      <c r="AF358" s="465"/>
      <c r="AG358" s="465"/>
      <c r="AH358" s="465"/>
      <c r="AI358" s="465"/>
      <c r="AJ358" s="465"/>
      <c r="AK358" s="465"/>
      <c r="AL358" s="465"/>
      <c r="AM358" s="465"/>
      <c r="AN358" s="465"/>
      <c r="AO358" s="465"/>
      <c r="AP358" s="465"/>
      <c r="AQ358" s="465"/>
      <c r="AR358" s="465"/>
      <c r="AS358" s="465"/>
      <c r="AT358" s="465"/>
      <c r="AU358" s="465"/>
      <c r="AV358" s="465"/>
      <c r="AW358" s="465"/>
      <c r="AX358" s="465"/>
      <c r="AY358" s="465"/>
      <c r="AZ358" s="465"/>
      <c r="BA358" s="465"/>
      <c r="BB358" s="465"/>
      <c r="BC358" s="465"/>
    </row>
    <row r="359" spans="1:55">
      <c r="A359" s="465"/>
      <c r="B359" s="465"/>
      <c r="C359" s="465"/>
      <c r="D359" s="467"/>
      <c r="E359" s="465"/>
      <c r="F359" s="465"/>
      <c r="G359" s="465"/>
      <c r="H359" s="465"/>
      <c r="I359" s="465"/>
      <c r="J359" s="465"/>
      <c r="K359" s="465"/>
      <c r="L359" s="465"/>
      <c r="M359" s="465"/>
      <c r="N359" s="465"/>
      <c r="O359" s="465"/>
      <c r="P359" s="465"/>
      <c r="Q359" s="465"/>
      <c r="R359" s="465"/>
      <c r="S359" s="465"/>
      <c r="T359" s="465"/>
      <c r="U359" s="465"/>
      <c r="V359" s="465"/>
      <c r="W359" s="465"/>
      <c r="X359" s="465"/>
      <c r="Y359" s="465"/>
      <c r="Z359" s="465"/>
      <c r="AA359" s="465"/>
      <c r="AB359" s="465"/>
      <c r="AC359" s="465"/>
      <c r="AD359" s="465"/>
      <c r="AE359" s="465"/>
      <c r="AF359" s="465"/>
      <c r="AG359" s="465"/>
      <c r="AH359" s="465"/>
      <c r="AI359" s="465"/>
      <c r="AJ359" s="465"/>
      <c r="AK359" s="465"/>
      <c r="AL359" s="465"/>
      <c r="AM359" s="465"/>
      <c r="AN359" s="465"/>
      <c r="AO359" s="465"/>
      <c r="AP359" s="465"/>
      <c r="AQ359" s="465"/>
      <c r="AR359" s="465"/>
      <c r="AS359" s="465"/>
      <c r="AT359" s="465"/>
      <c r="AU359" s="465"/>
      <c r="AV359" s="465"/>
      <c r="AW359" s="465"/>
      <c r="AX359" s="465"/>
      <c r="AY359" s="465"/>
      <c r="AZ359" s="465"/>
      <c r="BA359" s="465"/>
      <c r="BB359" s="465"/>
      <c r="BC359" s="465"/>
    </row>
    <row r="360" spans="1:55">
      <c r="A360" s="465"/>
      <c r="B360" s="465"/>
      <c r="C360" s="465"/>
      <c r="D360" s="467"/>
      <c r="E360" s="465"/>
      <c r="F360" s="465"/>
      <c r="G360" s="465"/>
      <c r="H360" s="465"/>
      <c r="I360" s="465"/>
      <c r="J360" s="465"/>
      <c r="K360" s="465"/>
      <c r="L360" s="465"/>
      <c r="M360" s="465"/>
      <c r="N360" s="465"/>
      <c r="O360" s="465"/>
      <c r="P360" s="465"/>
      <c r="Q360" s="465"/>
      <c r="R360" s="465"/>
      <c r="S360" s="465"/>
      <c r="T360" s="465"/>
      <c r="U360" s="465"/>
      <c r="V360" s="465"/>
      <c r="W360" s="465"/>
      <c r="X360" s="465"/>
      <c r="Y360" s="465"/>
      <c r="Z360" s="465"/>
      <c r="AA360" s="465"/>
      <c r="AB360" s="465"/>
      <c r="AC360" s="465"/>
      <c r="AD360" s="465"/>
      <c r="AE360" s="465"/>
      <c r="AF360" s="465"/>
      <c r="AG360" s="465"/>
      <c r="AH360" s="465"/>
      <c r="AI360" s="465"/>
      <c r="AJ360" s="465"/>
      <c r="AK360" s="465"/>
      <c r="AL360" s="465"/>
      <c r="AM360" s="465"/>
      <c r="AN360" s="465"/>
      <c r="AO360" s="465"/>
      <c r="AP360" s="465"/>
      <c r="AQ360" s="465"/>
      <c r="AR360" s="465"/>
      <c r="AS360" s="465"/>
      <c r="AT360" s="465"/>
      <c r="AU360" s="465"/>
      <c r="AV360" s="465"/>
      <c r="AW360" s="465"/>
      <c r="AX360" s="465"/>
      <c r="AY360" s="465"/>
      <c r="AZ360" s="465"/>
      <c r="BA360" s="465"/>
      <c r="BB360" s="465"/>
      <c r="BC360" s="465"/>
    </row>
    <row r="361" spans="1:55">
      <c r="A361" s="465"/>
      <c r="B361" s="465"/>
      <c r="C361" s="465"/>
      <c r="D361" s="467"/>
      <c r="E361" s="465"/>
      <c r="F361" s="465"/>
      <c r="G361" s="465"/>
      <c r="H361" s="465"/>
      <c r="I361" s="465"/>
      <c r="J361" s="465"/>
      <c r="K361" s="465"/>
      <c r="L361" s="465"/>
      <c r="M361" s="465"/>
      <c r="N361" s="465"/>
      <c r="O361" s="465"/>
      <c r="P361" s="465"/>
      <c r="Q361" s="465"/>
      <c r="R361" s="465"/>
      <c r="S361" s="465"/>
      <c r="T361" s="465"/>
      <c r="U361" s="465"/>
      <c r="V361" s="465"/>
      <c r="W361" s="465"/>
      <c r="X361" s="465"/>
      <c r="Y361" s="465"/>
      <c r="Z361" s="465"/>
      <c r="AA361" s="465"/>
      <c r="AB361" s="465"/>
      <c r="AC361" s="465"/>
      <c r="AD361" s="465"/>
      <c r="AE361" s="465"/>
      <c r="AF361" s="465"/>
      <c r="AG361" s="465"/>
      <c r="AH361" s="465"/>
      <c r="AI361" s="465"/>
      <c r="AJ361" s="465"/>
      <c r="AK361" s="465"/>
      <c r="AL361" s="465"/>
      <c r="AM361" s="465"/>
      <c r="AN361" s="465"/>
      <c r="AO361" s="465"/>
      <c r="AP361" s="465"/>
      <c r="AQ361" s="465"/>
      <c r="AR361" s="465"/>
      <c r="AS361" s="465"/>
      <c r="AT361" s="465"/>
      <c r="AU361" s="465"/>
      <c r="AV361" s="465"/>
      <c r="AW361" s="465"/>
      <c r="AX361" s="465"/>
      <c r="AY361" s="465"/>
      <c r="AZ361" s="465"/>
      <c r="BA361" s="465"/>
      <c r="BB361" s="465"/>
      <c r="BC361" s="465"/>
    </row>
    <row r="362" spans="1:55">
      <c r="A362" s="465"/>
      <c r="B362" s="465"/>
      <c r="C362" s="465"/>
      <c r="D362" s="467"/>
      <c r="E362" s="465"/>
      <c r="F362" s="465"/>
      <c r="G362" s="465"/>
      <c r="H362" s="465"/>
      <c r="I362" s="465"/>
      <c r="J362" s="465"/>
      <c r="K362" s="465"/>
      <c r="L362" s="465"/>
      <c r="M362" s="465"/>
      <c r="N362" s="465"/>
      <c r="O362" s="465"/>
      <c r="P362" s="465"/>
      <c r="Q362" s="465"/>
      <c r="R362" s="465"/>
      <c r="S362" s="465"/>
      <c r="T362" s="465"/>
      <c r="U362" s="465"/>
      <c r="V362" s="465"/>
      <c r="W362" s="465"/>
      <c r="X362" s="465"/>
      <c r="Y362" s="465"/>
      <c r="Z362" s="465"/>
      <c r="AA362" s="465"/>
      <c r="AB362" s="465"/>
      <c r="AC362" s="465"/>
      <c r="AD362" s="465"/>
      <c r="AE362" s="465"/>
      <c r="AF362" s="465"/>
      <c r="AG362" s="465"/>
      <c r="AH362" s="465"/>
      <c r="AI362" s="465"/>
      <c r="AJ362" s="465"/>
      <c r="AK362" s="465"/>
      <c r="AL362" s="465"/>
      <c r="AM362" s="465"/>
      <c r="AN362" s="465"/>
      <c r="AO362" s="465"/>
      <c r="AP362" s="465"/>
      <c r="AQ362" s="465"/>
      <c r="AR362" s="465"/>
      <c r="AS362" s="465"/>
      <c r="AT362" s="465"/>
      <c r="AU362" s="465"/>
      <c r="AV362" s="465"/>
      <c r="AW362" s="465"/>
      <c r="AX362" s="465"/>
      <c r="AY362" s="465"/>
      <c r="AZ362" s="465"/>
      <c r="BA362" s="465"/>
      <c r="BB362" s="465"/>
      <c r="BC362" s="465"/>
    </row>
    <row r="363" spans="1:55">
      <c r="A363" s="465"/>
      <c r="B363" s="465"/>
      <c r="C363" s="465"/>
      <c r="D363" s="467"/>
      <c r="E363" s="465"/>
      <c r="F363" s="465"/>
      <c r="G363" s="465"/>
      <c r="H363" s="465"/>
      <c r="I363" s="465"/>
      <c r="J363" s="465"/>
      <c r="K363" s="465"/>
      <c r="L363" s="465"/>
      <c r="M363" s="465"/>
      <c r="N363" s="465"/>
      <c r="O363" s="465"/>
      <c r="P363" s="465"/>
      <c r="Q363" s="465"/>
      <c r="R363" s="465"/>
      <c r="S363" s="465"/>
      <c r="T363" s="465"/>
      <c r="U363" s="465"/>
      <c r="V363" s="465"/>
      <c r="W363" s="465"/>
      <c r="X363" s="465"/>
      <c r="Y363" s="465"/>
      <c r="Z363" s="465"/>
      <c r="AA363" s="465"/>
      <c r="AB363" s="465"/>
      <c r="AC363" s="465"/>
      <c r="AD363" s="465"/>
      <c r="AE363" s="465"/>
      <c r="AF363" s="465"/>
      <c r="AG363" s="465"/>
      <c r="AH363" s="465"/>
      <c r="AI363" s="465"/>
      <c r="AJ363" s="465"/>
      <c r="AK363" s="465"/>
      <c r="AL363" s="465"/>
      <c r="AM363" s="465"/>
      <c r="AN363" s="465"/>
      <c r="AO363" s="465"/>
      <c r="AP363" s="465"/>
      <c r="AQ363" s="465"/>
      <c r="AR363" s="465"/>
      <c r="AS363" s="465"/>
      <c r="AT363" s="465"/>
      <c r="AU363" s="465"/>
      <c r="AV363" s="465"/>
      <c r="AW363" s="465"/>
      <c r="AX363" s="465"/>
      <c r="AY363" s="465"/>
      <c r="AZ363" s="465"/>
      <c r="BA363" s="465"/>
      <c r="BB363" s="465"/>
      <c r="BC363" s="465"/>
    </row>
    <row r="364" spans="1:55">
      <c r="A364" s="465"/>
      <c r="B364" s="465"/>
      <c r="C364" s="465"/>
      <c r="D364" s="467"/>
      <c r="E364" s="465"/>
      <c r="F364" s="465"/>
      <c r="G364" s="465"/>
      <c r="H364" s="465"/>
      <c r="I364" s="465"/>
      <c r="J364" s="465"/>
      <c r="K364" s="465"/>
      <c r="L364" s="465"/>
      <c r="M364" s="465"/>
      <c r="N364" s="465"/>
      <c r="O364" s="465"/>
      <c r="P364" s="465"/>
      <c r="Q364" s="465"/>
      <c r="R364" s="465"/>
      <c r="S364" s="465"/>
      <c r="T364" s="465"/>
      <c r="U364" s="465"/>
      <c r="V364" s="465"/>
      <c r="W364" s="465"/>
      <c r="X364" s="465"/>
      <c r="Y364" s="465"/>
      <c r="Z364" s="465"/>
      <c r="AA364" s="465"/>
      <c r="AB364" s="465"/>
      <c r="AC364" s="465"/>
      <c r="AD364" s="465"/>
      <c r="AE364" s="465"/>
      <c r="AF364" s="465"/>
      <c r="AG364" s="465"/>
      <c r="AH364" s="465"/>
      <c r="AI364" s="465"/>
      <c r="AJ364" s="465"/>
      <c r="AK364" s="465"/>
      <c r="AL364" s="465"/>
      <c r="AM364" s="465"/>
      <c r="AN364" s="465"/>
      <c r="AO364" s="465"/>
      <c r="AP364" s="465"/>
      <c r="AQ364" s="465"/>
      <c r="AR364" s="465"/>
      <c r="AS364" s="465"/>
      <c r="AT364" s="465"/>
      <c r="AU364" s="465"/>
      <c r="AV364" s="465"/>
      <c r="AW364" s="465"/>
      <c r="AX364" s="465"/>
      <c r="AY364" s="465"/>
      <c r="AZ364" s="465"/>
      <c r="BA364" s="465"/>
      <c r="BB364" s="465"/>
      <c r="BC364" s="465"/>
    </row>
    <row r="365" spans="1:55">
      <c r="A365" s="465"/>
      <c r="B365" s="465"/>
      <c r="C365" s="465"/>
      <c r="D365" s="467"/>
      <c r="E365" s="465"/>
      <c r="F365" s="465"/>
      <c r="G365" s="465"/>
      <c r="H365" s="465"/>
      <c r="I365" s="465"/>
      <c r="J365" s="465"/>
      <c r="K365" s="465"/>
      <c r="L365" s="465"/>
      <c r="M365" s="465"/>
      <c r="N365" s="465"/>
      <c r="O365" s="465"/>
      <c r="P365" s="465"/>
      <c r="Q365" s="465"/>
      <c r="R365" s="465"/>
      <c r="S365" s="465"/>
      <c r="T365" s="465"/>
      <c r="U365" s="465"/>
      <c r="V365" s="465"/>
      <c r="W365" s="465"/>
      <c r="X365" s="465"/>
      <c r="Y365" s="465"/>
      <c r="Z365" s="465"/>
      <c r="AA365" s="465"/>
      <c r="AB365" s="465"/>
      <c r="AC365" s="465"/>
      <c r="AD365" s="465"/>
      <c r="AE365" s="465"/>
      <c r="AF365" s="465"/>
      <c r="AG365" s="465"/>
      <c r="AH365" s="465"/>
      <c r="AI365" s="465"/>
      <c r="AJ365" s="465"/>
      <c r="AK365" s="465"/>
      <c r="AL365" s="465"/>
      <c r="AM365" s="465"/>
      <c r="AN365" s="465"/>
      <c r="AO365" s="465"/>
      <c r="AP365" s="465"/>
      <c r="AQ365" s="465"/>
      <c r="AR365" s="465"/>
      <c r="AS365" s="465"/>
      <c r="AT365" s="465"/>
      <c r="AU365" s="465"/>
      <c r="AV365" s="465"/>
      <c r="AW365" s="465"/>
      <c r="AX365" s="465"/>
      <c r="AY365" s="465"/>
      <c r="AZ365" s="465"/>
      <c r="BA365" s="465"/>
      <c r="BB365" s="465"/>
      <c r="BC365" s="465"/>
    </row>
    <row r="366" spans="1:55">
      <c r="A366" s="465"/>
      <c r="B366" s="465"/>
      <c r="C366" s="465"/>
      <c r="D366" s="467"/>
      <c r="E366" s="465"/>
      <c r="F366" s="465"/>
      <c r="G366" s="465"/>
      <c r="H366" s="465"/>
      <c r="I366" s="465"/>
      <c r="J366" s="465"/>
      <c r="K366" s="465"/>
      <c r="L366" s="465"/>
      <c r="M366" s="465"/>
      <c r="N366" s="465"/>
      <c r="O366" s="465"/>
      <c r="P366" s="465"/>
      <c r="Q366" s="465"/>
      <c r="R366" s="465"/>
      <c r="S366" s="465"/>
      <c r="T366" s="465"/>
      <c r="U366" s="465"/>
      <c r="V366" s="465"/>
      <c r="W366" s="465"/>
      <c r="X366" s="465"/>
      <c r="Y366" s="465"/>
      <c r="Z366" s="465"/>
      <c r="AA366" s="465"/>
      <c r="AB366" s="465"/>
      <c r="AC366" s="465"/>
      <c r="AD366" s="465"/>
      <c r="AE366" s="465"/>
      <c r="AF366" s="465"/>
      <c r="AG366" s="465"/>
      <c r="AH366" s="465"/>
      <c r="AI366" s="465"/>
      <c r="AJ366" s="465"/>
      <c r="AK366" s="465"/>
      <c r="AL366" s="465"/>
      <c r="AM366" s="465"/>
      <c r="AN366" s="465"/>
      <c r="AO366" s="465"/>
      <c r="AP366" s="465"/>
      <c r="AQ366" s="465"/>
      <c r="AR366" s="465"/>
      <c r="AS366" s="465"/>
      <c r="AT366" s="465"/>
      <c r="AU366" s="465"/>
      <c r="AV366" s="465"/>
      <c r="AW366" s="465"/>
      <c r="AX366" s="465"/>
      <c r="AY366" s="465"/>
      <c r="AZ366" s="465"/>
      <c r="BA366" s="465"/>
      <c r="BB366" s="465"/>
      <c r="BC366" s="465"/>
    </row>
    <row r="367" spans="1:55">
      <c r="A367" s="465"/>
      <c r="B367" s="465"/>
      <c r="C367" s="465"/>
      <c r="D367" s="467"/>
      <c r="E367" s="465"/>
      <c r="F367" s="465"/>
      <c r="G367" s="465"/>
      <c r="H367" s="465"/>
      <c r="I367" s="465"/>
      <c r="J367" s="465"/>
      <c r="K367" s="465"/>
      <c r="L367" s="465"/>
      <c r="M367" s="465"/>
      <c r="N367" s="465"/>
      <c r="O367" s="465"/>
      <c r="P367" s="465"/>
      <c r="Q367" s="465"/>
      <c r="R367" s="465"/>
      <c r="S367" s="465"/>
      <c r="T367" s="465"/>
      <c r="U367" s="465"/>
      <c r="V367" s="465"/>
      <c r="W367" s="465"/>
      <c r="X367" s="465"/>
      <c r="Y367" s="465"/>
      <c r="Z367" s="465"/>
      <c r="AA367" s="465"/>
      <c r="AB367" s="465"/>
      <c r="AC367" s="465"/>
      <c r="AD367" s="465"/>
      <c r="AE367" s="465"/>
      <c r="AF367" s="465"/>
      <c r="AG367" s="465"/>
      <c r="AH367" s="465"/>
      <c r="AI367" s="465"/>
      <c r="AJ367" s="465"/>
      <c r="AK367" s="465"/>
      <c r="AL367" s="465"/>
      <c r="AM367" s="465"/>
      <c r="AN367" s="465"/>
      <c r="AO367" s="465"/>
      <c r="AP367" s="465"/>
      <c r="AQ367" s="465"/>
      <c r="AR367" s="465"/>
      <c r="AS367" s="465"/>
      <c r="AT367" s="465"/>
      <c r="AU367" s="465"/>
      <c r="AV367" s="465"/>
      <c r="AW367" s="465"/>
      <c r="AX367" s="465"/>
      <c r="AY367" s="465"/>
      <c r="AZ367" s="465"/>
      <c r="BA367" s="465"/>
      <c r="BB367" s="465"/>
      <c r="BC367" s="465"/>
    </row>
    <row r="368" spans="1:55">
      <c r="A368" s="465"/>
      <c r="B368" s="465"/>
      <c r="C368" s="465"/>
      <c r="D368" s="467"/>
      <c r="E368" s="465"/>
      <c r="F368" s="465"/>
      <c r="G368" s="465"/>
      <c r="H368" s="465"/>
      <c r="I368" s="465"/>
      <c r="J368" s="465"/>
      <c r="K368" s="465"/>
      <c r="L368" s="465"/>
      <c r="M368" s="465"/>
      <c r="N368" s="465"/>
      <c r="O368" s="465"/>
      <c r="P368" s="465"/>
      <c r="Q368" s="465"/>
      <c r="R368" s="465"/>
      <c r="S368" s="465"/>
      <c r="T368" s="465"/>
      <c r="U368" s="465"/>
      <c r="V368" s="465"/>
      <c r="W368" s="465"/>
      <c r="X368" s="465"/>
      <c r="Y368" s="465"/>
      <c r="Z368" s="465"/>
      <c r="AA368" s="465"/>
      <c r="AB368" s="465"/>
      <c r="AC368" s="465"/>
      <c r="AD368" s="465"/>
      <c r="AE368" s="465"/>
      <c r="AF368" s="465"/>
      <c r="AG368" s="465"/>
      <c r="AH368" s="465"/>
      <c r="AI368" s="465"/>
      <c r="AJ368" s="465"/>
      <c r="AK368" s="465"/>
      <c r="AL368" s="465"/>
      <c r="AM368" s="465"/>
      <c r="AN368" s="465"/>
      <c r="AO368" s="465"/>
      <c r="AP368" s="465"/>
      <c r="AQ368" s="465"/>
      <c r="AR368" s="465"/>
      <c r="AS368" s="465"/>
      <c r="AT368" s="465"/>
      <c r="AU368" s="465"/>
      <c r="AV368" s="465"/>
      <c r="AW368" s="465"/>
      <c r="AX368" s="465"/>
      <c r="AY368" s="465"/>
      <c r="AZ368" s="465"/>
      <c r="BA368" s="465"/>
      <c r="BB368" s="465"/>
      <c r="BC368" s="465"/>
    </row>
    <row r="369" spans="1:55">
      <c r="A369" s="465"/>
      <c r="B369" s="465"/>
      <c r="C369" s="465"/>
      <c r="D369" s="467"/>
      <c r="E369" s="465"/>
      <c r="F369" s="465"/>
      <c r="G369" s="465"/>
      <c r="H369" s="465"/>
      <c r="I369" s="465"/>
      <c r="J369" s="465"/>
      <c r="K369" s="465"/>
      <c r="L369" s="465"/>
      <c r="M369" s="465"/>
      <c r="N369" s="465"/>
      <c r="O369" s="465"/>
      <c r="P369" s="465"/>
      <c r="Q369" s="465"/>
      <c r="R369" s="465"/>
      <c r="S369" s="465"/>
      <c r="T369" s="465"/>
      <c r="U369" s="465"/>
      <c r="V369" s="465"/>
      <c r="W369" s="465"/>
      <c r="X369" s="465"/>
      <c r="Y369" s="465"/>
      <c r="Z369" s="465"/>
      <c r="AA369" s="465"/>
      <c r="AB369" s="465"/>
      <c r="AC369" s="465"/>
      <c r="AD369" s="465"/>
      <c r="AE369" s="465"/>
      <c r="AF369" s="465"/>
      <c r="AG369" s="465"/>
      <c r="AH369" s="465"/>
      <c r="AI369" s="465"/>
      <c r="AJ369" s="465"/>
      <c r="AK369" s="465"/>
      <c r="AL369" s="465"/>
      <c r="AM369" s="465"/>
      <c r="AN369" s="465"/>
      <c r="AO369" s="465"/>
      <c r="AP369" s="465"/>
      <c r="AQ369" s="465"/>
      <c r="AR369" s="465"/>
      <c r="AS369" s="465"/>
      <c r="AT369" s="465"/>
      <c r="AU369" s="465"/>
      <c r="AV369" s="465"/>
      <c r="AW369" s="465"/>
      <c r="AX369" s="465"/>
      <c r="AY369" s="465"/>
      <c r="AZ369" s="465"/>
      <c r="BA369" s="465"/>
      <c r="BB369" s="465"/>
      <c r="BC369" s="465"/>
    </row>
    <row r="370" spans="1:55">
      <c r="A370" s="465"/>
      <c r="B370" s="465"/>
      <c r="C370" s="465"/>
      <c r="D370" s="467"/>
      <c r="E370" s="465"/>
      <c r="F370" s="465"/>
      <c r="G370" s="465"/>
      <c r="H370" s="465"/>
      <c r="I370" s="465"/>
      <c r="J370" s="465"/>
      <c r="K370" s="465"/>
      <c r="L370" s="465"/>
      <c r="M370" s="465"/>
      <c r="N370" s="465"/>
      <c r="O370" s="465"/>
      <c r="P370" s="465"/>
      <c r="Q370" s="465"/>
      <c r="R370" s="465"/>
      <c r="S370" s="465"/>
      <c r="T370" s="465"/>
      <c r="U370" s="465"/>
      <c r="V370" s="465"/>
      <c r="W370" s="465"/>
      <c r="X370" s="465"/>
      <c r="Y370" s="465"/>
      <c r="Z370" s="465"/>
      <c r="AA370" s="465"/>
      <c r="AB370" s="465"/>
      <c r="AC370" s="465"/>
      <c r="AD370" s="465"/>
      <c r="AE370" s="465"/>
      <c r="AF370" s="465"/>
      <c r="AG370" s="465"/>
      <c r="AH370" s="465"/>
      <c r="AI370" s="465"/>
      <c r="AJ370" s="465"/>
      <c r="AK370" s="465"/>
      <c r="AL370" s="465"/>
      <c r="AM370" s="465"/>
      <c r="AN370" s="465"/>
      <c r="AO370" s="465"/>
      <c r="AP370" s="465"/>
      <c r="AQ370" s="465"/>
      <c r="AR370" s="465"/>
      <c r="AS370" s="465"/>
      <c r="AT370" s="465"/>
      <c r="AU370" s="465"/>
      <c r="AV370" s="465"/>
      <c r="AW370" s="465"/>
      <c r="AX370" s="465"/>
      <c r="AY370" s="465"/>
      <c r="AZ370" s="465"/>
      <c r="BA370" s="465"/>
      <c r="BB370" s="465"/>
      <c r="BC370" s="465"/>
    </row>
    <row r="371" spans="1:55">
      <c r="A371" s="465"/>
      <c r="B371" s="465"/>
      <c r="C371" s="465"/>
      <c r="D371" s="467"/>
      <c r="E371" s="465"/>
      <c r="F371" s="465"/>
      <c r="G371" s="465"/>
      <c r="H371" s="465"/>
      <c r="I371" s="465"/>
      <c r="J371" s="465"/>
      <c r="K371" s="465"/>
      <c r="L371" s="465"/>
      <c r="M371" s="465"/>
      <c r="N371" s="465"/>
      <c r="O371" s="465"/>
      <c r="P371" s="465"/>
      <c r="Q371" s="465"/>
      <c r="R371" s="465"/>
      <c r="S371" s="465"/>
      <c r="T371" s="465"/>
      <c r="U371" s="465"/>
      <c r="V371" s="465"/>
      <c r="W371" s="465"/>
      <c r="X371" s="465"/>
      <c r="Y371" s="465"/>
      <c r="Z371" s="465"/>
      <c r="AA371" s="465"/>
      <c r="AB371" s="465"/>
      <c r="AC371" s="465"/>
      <c r="AD371" s="465"/>
      <c r="AE371" s="465"/>
      <c r="AF371" s="465"/>
      <c r="AG371" s="465"/>
      <c r="AH371" s="465"/>
      <c r="AI371" s="465"/>
      <c r="AJ371" s="465"/>
      <c r="AK371" s="465"/>
      <c r="AL371" s="465"/>
      <c r="AM371" s="465"/>
      <c r="AN371" s="465"/>
      <c r="AO371" s="465"/>
      <c r="AP371" s="465"/>
      <c r="AQ371" s="465"/>
      <c r="AR371" s="465"/>
      <c r="AS371" s="465"/>
      <c r="AT371" s="465"/>
      <c r="AU371" s="465"/>
      <c r="AV371" s="465"/>
      <c r="AW371" s="465"/>
      <c r="AX371" s="465"/>
      <c r="AY371" s="465"/>
      <c r="AZ371" s="465"/>
      <c r="BA371" s="465"/>
      <c r="BB371" s="465"/>
      <c r="BC371" s="465"/>
    </row>
    <row r="372" spans="1:55">
      <c r="A372" s="465"/>
      <c r="B372" s="465"/>
      <c r="C372" s="465"/>
      <c r="D372" s="467"/>
      <c r="E372" s="465"/>
      <c r="F372" s="465"/>
      <c r="G372" s="465"/>
      <c r="H372" s="465"/>
      <c r="I372" s="465"/>
      <c r="J372" s="465"/>
      <c r="K372" s="465"/>
      <c r="L372" s="465"/>
      <c r="M372" s="465"/>
      <c r="N372" s="465"/>
      <c r="O372" s="465"/>
      <c r="P372" s="465"/>
      <c r="Q372" s="465"/>
      <c r="R372" s="465"/>
      <c r="S372" s="465"/>
      <c r="T372" s="465"/>
      <c r="U372" s="465"/>
      <c r="V372" s="465"/>
      <c r="W372" s="465"/>
      <c r="X372" s="465"/>
      <c r="Y372" s="465"/>
      <c r="Z372" s="465"/>
      <c r="AA372" s="465"/>
      <c r="AB372" s="465"/>
      <c r="AC372" s="465"/>
      <c r="AD372" s="465"/>
      <c r="AE372" s="465"/>
      <c r="AF372" s="465"/>
      <c r="AG372" s="465"/>
      <c r="AH372" s="465"/>
      <c r="AI372" s="465"/>
      <c r="AJ372" s="465"/>
      <c r="AK372" s="465"/>
      <c r="AL372" s="465"/>
      <c r="AM372" s="465"/>
      <c r="AN372" s="465"/>
      <c r="AO372" s="465"/>
      <c r="AP372" s="465"/>
      <c r="AQ372" s="465"/>
      <c r="AR372" s="465"/>
      <c r="AS372" s="465"/>
      <c r="AT372" s="465"/>
      <c r="AU372" s="465"/>
      <c r="AV372" s="465"/>
      <c r="AW372" s="465"/>
      <c r="AX372" s="465"/>
      <c r="AY372" s="465"/>
      <c r="AZ372" s="465"/>
      <c r="BA372" s="465"/>
      <c r="BB372" s="465"/>
      <c r="BC372" s="465"/>
    </row>
    <row r="373" spans="1:55">
      <c r="A373" s="465"/>
      <c r="B373" s="465"/>
      <c r="C373" s="465"/>
      <c r="D373" s="467"/>
      <c r="E373" s="465"/>
      <c r="F373" s="465"/>
      <c r="G373" s="465"/>
      <c r="H373" s="465"/>
      <c r="I373" s="465"/>
      <c r="J373" s="465"/>
      <c r="K373" s="465"/>
      <c r="L373" s="465"/>
      <c r="M373" s="465"/>
      <c r="N373" s="465"/>
      <c r="O373" s="465"/>
      <c r="P373" s="465"/>
      <c r="Q373" s="465"/>
      <c r="R373" s="465"/>
      <c r="S373" s="465"/>
      <c r="T373" s="465"/>
      <c r="U373" s="465"/>
      <c r="V373" s="465"/>
      <c r="W373" s="465"/>
      <c r="X373" s="465"/>
      <c r="Y373" s="465"/>
      <c r="Z373" s="465"/>
      <c r="AA373" s="465"/>
      <c r="AB373" s="465"/>
      <c r="AC373" s="465"/>
      <c r="AD373" s="465"/>
      <c r="AE373" s="465"/>
      <c r="AF373" s="465"/>
      <c r="AG373" s="465"/>
      <c r="AH373" s="465"/>
      <c r="AI373" s="465"/>
      <c r="AJ373" s="465"/>
      <c r="AK373" s="465"/>
      <c r="AL373" s="465"/>
      <c r="AM373" s="465"/>
      <c r="AN373" s="465"/>
      <c r="AO373" s="465"/>
      <c r="AP373" s="465"/>
      <c r="AQ373" s="465"/>
      <c r="AR373" s="465"/>
      <c r="AS373" s="465"/>
      <c r="AT373" s="465"/>
      <c r="AU373" s="465"/>
      <c r="AV373" s="465"/>
      <c r="AW373" s="465"/>
      <c r="AX373" s="465"/>
      <c r="AY373" s="465"/>
      <c r="AZ373" s="465"/>
      <c r="BA373" s="465"/>
      <c r="BB373" s="465"/>
      <c r="BC373" s="465"/>
    </row>
    <row r="374" spans="1:55">
      <c r="A374" s="465"/>
      <c r="B374" s="465"/>
      <c r="C374" s="465"/>
      <c r="D374" s="467"/>
      <c r="E374" s="465"/>
      <c r="F374" s="465"/>
      <c r="G374" s="465"/>
      <c r="H374" s="465"/>
      <c r="I374" s="465"/>
      <c r="J374" s="465"/>
      <c r="K374" s="465"/>
      <c r="L374" s="465"/>
      <c r="M374" s="465"/>
      <c r="N374" s="465"/>
      <c r="O374" s="465"/>
      <c r="P374" s="465"/>
      <c r="Q374" s="465"/>
      <c r="R374" s="465"/>
      <c r="S374" s="465"/>
      <c r="T374" s="465"/>
      <c r="U374" s="465"/>
      <c r="V374" s="465"/>
      <c r="W374" s="465"/>
      <c r="X374" s="465"/>
      <c r="Y374" s="465"/>
      <c r="Z374" s="465"/>
      <c r="AA374" s="465"/>
      <c r="AB374" s="465"/>
      <c r="AC374" s="465"/>
      <c r="AD374" s="465"/>
      <c r="AE374" s="465"/>
      <c r="AF374" s="465"/>
      <c r="AG374" s="465"/>
      <c r="AH374" s="465"/>
      <c r="AI374" s="465"/>
      <c r="AJ374" s="465"/>
      <c r="AK374" s="465"/>
      <c r="AL374" s="465"/>
      <c r="AM374" s="465"/>
      <c r="AN374" s="465"/>
      <c r="AO374" s="465"/>
      <c r="AP374" s="465"/>
      <c r="AQ374" s="465"/>
      <c r="AR374" s="465"/>
      <c r="AS374" s="465"/>
      <c r="AT374" s="465"/>
      <c r="AU374" s="465"/>
      <c r="AV374" s="465"/>
      <c r="AW374" s="465"/>
      <c r="AX374" s="465"/>
      <c r="AY374" s="465"/>
      <c r="AZ374" s="465"/>
      <c r="BA374" s="465"/>
      <c r="BB374" s="465"/>
      <c r="BC374" s="465"/>
    </row>
    <row r="375" spans="1:55">
      <c r="A375" s="465"/>
      <c r="B375" s="465"/>
      <c r="C375" s="465"/>
      <c r="D375" s="467"/>
      <c r="E375" s="465"/>
      <c r="F375" s="465"/>
      <c r="G375" s="465"/>
      <c r="H375" s="465"/>
      <c r="I375" s="465"/>
      <c r="J375" s="465"/>
      <c r="K375" s="465"/>
      <c r="L375" s="465"/>
      <c r="M375" s="465"/>
      <c r="N375" s="465"/>
      <c r="O375" s="465"/>
      <c r="P375" s="465"/>
      <c r="Q375" s="465"/>
      <c r="R375" s="465"/>
      <c r="S375" s="465"/>
      <c r="T375" s="465"/>
      <c r="U375" s="465"/>
      <c r="V375" s="465"/>
      <c r="W375" s="465"/>
      <c r="X375" s="465"/>
      <c r="Y375" s="465"/>
      <c r="Z375" s="465"/>
      <c r="AA375" s="465"/>
      <c r="AB375" s="465"/>
      <c r="AC375" s="465"/>
      <c r="AD375" s="465"/>
      <c r="AE375" s="465"/>
      <c r="AF375" s="465"/>
      <c r="AG375" s="465"/>
      <c r="AH375" s="465"/>
      <c r="AI375" s="465"/>
      <c r="AJ375" s="465"/>
      <c r="AK375" s="465"/>
      <c r="AL375" s="465"/>
      <c r="AM375" s="465"/>
      <c r="AN375" s="465"/>
      <c r="AO375" s="465"/>
      <c r="AP375" s="465"/>
      <c r="AQ375" s="465"/>
      <c r="AR375" s="465"/>
      <c r="AS375" s="465"/>
      <c r="AT375" s="465"/>
      <c r="AU375" s="465"/>
      <c r="AV375" s="465"/>
      <c r="AW375" s="465"/>
      <c r="AX375" s="465"/>
      <c r="AY375" s="465"/>
      <c r="AZ375" s="465"/>
      <c r="BA375" s="465"/>
      <c r="BB375" s="465"/>
      <c r="BC375" s="465"/>
    </row>
    <row r="376" spans="1:55">
      <c r="A376" s="465"/>
      <c r="B376" s="465"/>
      <c r="C376" s="465"/>
      <c r="D376" s="467"/>
      <c r="E376" s="465"/>
      <c r="F376" s="465"/>
      <c r="G376" s="465"/>
      <c r="H376" s="465"/>
      <c r="I376" s="465"/>
      <c r="J376" s="465"/>
      <c r="K376" s="465"/>
      <c r="L376" s="465"/>
      <c r="M376" s="465"/>
      <c r="N376" s="465"/>
      <c r="O376" s="465"/>
      <c r="P376" s="465"/>
      <c r="Q376" s="465"/>
      <c r="R376" s="465"/>
      <c r="S376" s="465"/>
      <c r="T376" s="465"/>
      <c r="U376" s="465"/>
      <c r="V376" s="465"/>
      <c r="W376" s="465"/>
      <c r="X376" s="465"/>
      <c r="Y376" s="465"/>
      <c r="Z376" s="465"/>
      <c r="AA376" s="465"/>
      <c r="AB376" s="465"/>
      <c r="AC376" s="465"/>
      <c r="AD376" s="465"/>
      <c r="AE376" s="465"/>
      <c r="AF376" s="465"/>
      <c r="AG376" s="465"/>
      <c r="AH376" s="465"/>
      <c r="AI376" s="465"/>
      <c r="AJ376" s="465"/>
      <c r="AK376" s="465"/>
      <c r="AL376" s="465"/>
      <c r="AM376" s="465"/>
      <c r="AN376" s="465"/>
      <c r="AO376" s="465"/>
      <c r="AP376" s="465"/>
      <c r="AQ376" s="465"/>
      <c r="AR376" s="465"/>
      <c r="AS376" s="465"/>
      <c r="AT376" s="465"/>
      <c r="AU376" s="465"/>
      <c r="AV376" s="465"/>
      <c r="AW376" s="465"/>
      <c r="AX376" s="465"/>
      <c r="AY376" s="465"/>
      <c r="AZ376" s="465"/>
      <c r="BA376" s="465"/>
      <c r="BB376" s="465"/>
      <c r="BC376" s="465"/>
    </row>
    <row r="377" spans="1:55">
      <c r="A377" s="465"/>
      <c r="B377" s="465"/>
      <c r="C377" s="465"/>
      <c r="D377" s="467"/>
      <c r="E377" s="465"/>
      <c r="F377" s="465"/>
      <c r="G377" s="465"/>
      <c r="H377" s="465"/>
      <c r="I377" s="465"/>
      <c r="J377" s="465"/>
      <c r="K377" s="465"/>
      <c r="L377" s="465"/>
      <c r="M377" s="465"/>
      <c r="N377" s="465"/>
      <c r="O377" s="465"/>
      <c r="P377" s="465"/>
      <c r="Q377" s="465"/>
      <c r="R377" s="465"/>
      <c r="S377" s="465"/>
      <c r="T377" s="465"/>
      <c r="U377" s="465"/>
      <c r="V377" s="465"/>
      <c r="W377" s="465"/>
      <c r="X377" s="465"/>
      <c r="Y377" s="465"/>
      <c r="Z377" s="465"/>
      <c r="AA377" s="465"/>
      <c r="AB377" s="465"/>
      <c r="AC377" s="465"/>
      <c r="AD377" s="465"/>
      <c r="AE377" s="465"/>
      <c r="AF377" s="465"/>
      <c r="AG377" s="465"/>
      <c r="AH377" s="465"/>
      <c r="AI377" s="465"/>
      <c r="AJ377" s="465"/>
      <c r="AK377" s="465"/>
      <c r="AL377" s="465"/>
      <c r="AM377" s="465"/>
      <c r="AN377" s="465"/>
      <c r="AO377" s="465"/>
      <c r="AP377" s="465"/>
      <c r="AQ377" s="465"/>
      <c r="AR377" s="465"/>
      <c r="AS377" s="465"/>
      <c r="AT377" s="465"/>
      <c r="AU377" s="465"/>
      <c r="AV377" s="465"/>
      <c r="AW377" s="465"/>
      <c r="AX377" s="465"/>
      <c r="AY377" s="465"/>
      <c r="AZ377" s="465"/>
      <c r="BA377" s="465"/>
      <c r="BB377" s="465"/>
      <c r="BC377" s="465"/>
    </row>
    <row r="378" spans="1:55">
      <c r="A378" s="465"/>
      <c r="B378" s="465"/>
      <c r="C378" s="465"/>
      <c r="D378" s="467"/>
      <c r="E378" s="465"/>
      <c r="F378" s="465"/>
      <c r="G378" s="465"/>
      <c r="H378" s="465"/>
      <c r="I378" s="465"/>
      <c r="J378" s="465"/>
      <c r="K378" s="465"/>
      <c r="L378" s="465"/>
      <c r="M378" s="465"/>
      <c r="N378" s="465"/>
      <c r="O378" s="465"/>
      <c r="P378" s="465"/>
      <c r="Q378" s="465"/>
      <c r="R378" s="465"/>
      <c r="S378" s="465"/>
      <c r="T378" s="465"/>
      <c r="U378" s="465"/>
      <c r="V378" s="465"/>
      <c r="W378" s="465"/>
      <c r="X378" s="465"/>
      <c r="Y378" s="465"/>
      <c r="Z378" s="465"/>
      <c r="AA378" s="465"/>
      <c r="AB378" s="465"/>
      <c r="AC378" s="465"/>
      <c r="AD378" s="465"/>
      <c r="AE378" s="465"/>
      <c r="AF378" s="465"/>
      <c r="AG378" s="465"/>
      <c r="AH378" s="465"/>
      <c r="AI378" s="465"/>
      <c r="AJ378" s="465"/>
      <c r="AK378" s="465"/>
      <c r="AL378" s="465"/>
      <c r="AM378" s="465"/>
      <c r="AN378" s="465"/>
      <c r="AO378" s="465"/>
      <c r="AP378" s="465"/>
      <c r="AQ378" s="465"/>
      <c r="AR378" s="465"/>
      <c r="AS378" s="465"/>
      <c r="AT378" s="465"/>
      <c r="AU378" s="465"/>
      <c r="AV378" s="465"/>
      <c r="AW378" s="465"/>
      <c r="AX378" s="465"/>
      <c r="AY378" s="465"/>
      <c r="AZ378" s="465"/>
      <c r="BA378" s="465"/>
      <c r="BB378" s="465"/>
      <c r="BC378" s="465"/>
    </row>
    <row r="379" spans="1:55">
      <c r="A379" s="465"/>
      <c r="B379" s="465"/>
      <c r="C379" s="465"/>
      <c r="D379" s="467"/>
      <c r="E379" s="465"/>
      <c r="F379" s="465"/>
      <c r="G379" s="465"/>
      <c r="H379" s="465"/>
      <c r="I379" s="465"/>
      <c r="J379" s="465"/>
      <c r="K379" s="465"/>
      <c r="L379" s="465"/>
      <c r="M379" s="465"/>
      <c r="N379" s="465"/>
      <c r="O379" s="465"/>
      <c r="P379" s="465"/>
      <c r="Q379" s="465"/>
      <c r="R379" s="465"/>
      <c r="S379" s="465"/>
      <c r="T379" s="465"/>
      <c r="U379" s="465"/>
      <c r="V379" s="465"/>
      <c r="W379" s="465"/>
      <c r="X379" s="465"/>
      <c r="Y379" s="465"/>
      <c r="Z379" s="465"/>
      <c r="AA379" s="465"/>
      <c r="AB379" s="465"/>
      <c r="AC379" s="465"/>
      <c r="AD379" s="465"/>
      <c r="AE379" s="465"/>
      <c r="AF379" s="465"/>
      <c r="AG379" s="465"/>
      <c r="AH379" s="465"/>
      <c r="AI379" s="465"/>
      <c r="AJ379" s="465"/>
      <c r="AK379" s="465"/>
      <c r="AL379" s="465"/>
      <c r="AM379" s="465"/>
      <c r="AN379" s="465"/>
      <c r="AO379" s="465"/>
      <c r="AP379" s="465"/>
      <c r="AQ379" s="465"/>
      <c r="AR379" s="465"/>
      <c r="AS379" s="465"/>
      <c r="AT379" s="465"/>
      <c r="AU379" s="465"/>
      <c r="AV379" s="465"/>
      <c r="AW379" s="465"/>
      <c r="AX379" s="465"/>
      <c r="AY379" s="465"/>
      <c r="AZ379" s="465"/>
      <c r="BA379" s="465"/>
      <c r="BB379" s="465"/>
      <c r="BC379" s="465"/>
    </row>
    <row r="380" spans="1:55">
      <c r="A380" s="465"/>
      <c r="B380" s="465"/>
      <c r="C380" s="465"/>
      <c r="D380" s="467"/>
      <c r="E380" s="465"/>
      <c r="F380" s="465"/>
      <c r="G380" s="465"/>
      <c r="H380" s="465"/>
      <c r="I380" s="465"/>
      <c r="J380" s="465"/>
      <c r="K380" s="465"/>
      <c r="L380" s="465"/>
      <c r="M380" s="465"/>
      <c r="N380" s="465"/>
      <c r="O380" s="465"/>
      <c r="P380" s="465"/>
      <c r="Q380" s="465"/>
      <c r="R380" s="465"/>
      <c r="S380" s="465"/>
      <c r="T380" s="465"/>
      <c r="U380" s="465"/>
      <c r="V380" s="465"/>
      <c r="W380" s="465"/>
      <c r="X380" s="465"/>
      <c r="Y380" s="465"/>
      <c r="Z380" s="465"/>
      <c r="AA380" s="465"/>
      <c r="AB380" s="465"/>
      <c r="AC380" s="465"/>
      <c r="AD380" s="465"/>
      <c r="AE380" s="465"/>
      <c r="AF380" s="465"/>
      <c r="AG380" s="465"/>
      <c r="AH380" s="465"/>
      <c r="AI380" s="465"/>
      <c r="AJ380" s="465"/>
      <c r="AK380" s="465"/>
      <c r="AL380" s="465"/>
      <c r="AM380" s="465"/>
      <c r="AN380" s="465"/>
      <c r="AO380" s="465"/>
      <c r="AP380" s="465"/>
      <c r="AQ380" s="465"/>
      <c r="AR380" s="465"/>
      <c r="AS380" s="465"/>
      <c r="AT380" s="465"/>
      <c r="AU380" s="465"/>
      <c r="AV380" s="465"/>
      <c r="AW380" s="465"/>
      <c r="AX380" s="465"/>
      <c r="AY380" s="465"/>
      <c r="AZ380" s="465"/>
      <c r="BA380" s="465"/>
      <c r="BB380" s="465"/>
      <c r="BC380" s="465"/>
    </row>
    <row r="381" spans="1:55">
      <c r="A381" s="465"/>
      <c r="B381" s="465"/>
      <c r="C381" s="465"/>
      <c r="D381" s="467"/>
      <c r="E381" s="465"/>
      <c r="F381" s="465"/>
      <c r="G381" s="465"/>
      <c r="H381" s="465"/>
      <c r="I381" s="465"/>
      <c r="J381" s="465"/>
      <c r="K381" s="465"/>
      <c r="L381" s="465"/>
      <c r="M381" s="465"/>
      <c r="N381" s="465"/>
      <c r="O381" s="465"/>
      <c r="P381" s="465"/>
      <c r="Q381" s="465"/>
      <c r="R381" s="465"/>
      <c r="S381" s="465"/>
      <c r="T381" s="465"/>
      <c r="U381" s="465"/>
      <c r="V381" s="465"/>
      <c r="W381" s="465"/>
      <c r="X381" s="465"/>
      <c r="Y381" s="465"/>
      <c r="Z381" s="465"/>
      <c r="AA381" s="465"/>
      <c r="AB381" s="465"/>
      <c r="AC381" s="465"/>
      <c r="AD381" s="465"/>
      <c r="AE381" s="465"/>
      <c r="AF381" s="465"/>
      <c r="AG381" s="465"/>
      <c r="AH381" s="465"/>
      <c r="AI381" s="465"/>
      <c r="AJ381" s="465"/>
      <c r="AK381" s="465"/>
      <c r="AL381" s="465"/>
      <c r="AM381" s="465"/>
      <c r="AN381" s="465"/>
      <c r="AO381" s="465"/>
      <c r="AP381" s="465"/>
      <c r="AQ381" s="465"/>
      <c r="AR381" s="465"/>
      <c r="AS381" s="465"/>
      <c r="AT381" s="465"/>
      <c r="AU381" s="465"/>
      <c r="AV381" s="465"/>
      <c r="AW381" s="465"/>
      <c r="AX381" s="465"/>
      <c r="AY381" s="465"/>
      <c r="AZ381" s="465"/>
      <c r="BA381" s="465"/>
      <c r="BB381" s="465"/>
      <c r="BC381" s="465"/>
    </row>
    <row r="382" spans="1:55">
      <c r="A382" s="465"/>
      <c r="B382" s="465"/>
      <c r="C382" s="465"/>
      <c r="D382" s="467"/>
      <c r="E382" s="465"/>
      <c r="F382" s="465"/>
      <c r="G382" s="465"/>
      <c r="H382" s="465"/>
      <c r="I382" s="465"/>
      <c r="J382" s="465"/>
      <c r="K382" s="465"/>
      <c r="L382" s="465"/>
      <c r="M382" s="465"/>
      <c r="N382" s="465"/>
      <c r="O382" s="465"/>
      <c r="P382" s="465"/>
      <c r="Q382" s="465"/>
      <c r="R382" s="465"/>
      <c r="S382" s="465"/>
      <c r="T382" s="465"/>
      <c r="U382" s="465"/>
      <c r="V382" s="465"/>
      <c r="W382" s="465"/>
      <c r="X382" s="465"/>
      <c r="Y382" s="465"/>
      <c r="Z382" s="465"/>
      <c r="AA382" s="465"/>
      <c r="AB382" s="465"/>
      <c r="AC382" s="465"/>
      <c r="AD382" s="465"/>
      <c r="AE382" s="465"/>
      <c r="AF382" s="465"/>
      <c r="AG382" s="465"/>
      <c r="AH382" s="465"/>
      <c r="AI382" s="465"/>
      <c r="AJ382" s="465"/>
      <c r="AK382" s="465"/>
      <c r="AL382" s="465"/>
      <c r="AM382" s="465"/>
      <c r="AN382" s="465"/>
      <c r="AO382" s="465"/>
      <c r="AP382" s="465"/>
      <c r="AQ382" s="465"/>
      <c r="AR382" s="465"/>
      <c r="AS382" s="465"/>
      <c r="AT382" s="465"/>
      <c r="AU382" s="465"/>
      <c r="AV382" s="465"/>
      <c r="AW382" s="465"/>
      <c r="AX382" s="465"/>
      <c r="AY382" s="465"/>
      <c r="AZ382" s="465"/>
      <c r="BA382" s="465"/>
      <c r="BB382" s="465"/>
      <c r="BC382" s="465"/>
    </row>
    <row r="383" spans="1:55">
      <c r="A383" s="465"/>
      <c r="B383" s="465"/>
      <c r="C383" s="465"/>
      <c r="D383" s="467"/>
      <c r="E383" s="465"/>
      <c r="F383" s="465"/>
      <c r="G383" s="465"/>
      <c r="H383" s="465"/>
      <c r="I383" s="465"/>
      <c r="J383" s="465"/>
      <c r="K383" s="465"/>
      <c r="L383" s="465"/>
      <c r="M383" s="465"/>
      <c r="N383" s="465"/>
      <c r="O383" s="465"/>
      <c r="P383" s="465"/>
      <c r="Q383" s="465"/>
      <c r="R383" s="465"/>
      <c r="S383" s="465"/>
      <c r="T383" s="465"/>
      <c r="U383" s="465"/>
      <c r="V383" s="465"/>
      <c r="W383" s="465"/>
      <c r="X383" s="465"/>
      <c r="Y383" s="465"/>
      <c r="Z383" s="465"/>
      <c r="AA383" s="465"/>
      <c r="AB383" s="465"/>
      <c r="AC383" s="465"/>
      <c r="AD383" s="465"/>
      <c r="AE383" s="465"/>
      <c r="AF383" s="465"/>
      <c r="AG383" s="465"/>
      <c r="AH383" s="465"/>
      <c r="AI383" s="465"/>
      <c r="AJ383" s="465"/>
      <c r="AK383" s="465"/>
      <c r="AL383" s="465"/>
      <c r="AM383" s="465"/>
      <c r="AN383" s="465"/>
      <c r="AO383" s="465"/>
      <c r="AP383" s="465"/>
      <c r="AQ383" s="465"/>
      <c r="AR383" s="465"/>
      <c r="AS383" s="465"/>
      <c r="AT383" s="465"/>
      <c r="AU383" s="465"/>
      <c r="AV383" s="465"/>
      <c r="AW383" s="465"/>
      <c r="AX383" s="465"/>
      <c r="AY383" s="465"/>
      <c r="AZ383" s="465"/>
      <c r="BA383" s="465"/>
      <c r="BB383" s="465"/>
      <c r="BC383" s="465"/>
    </row>
    <row r="384" spans="1:55">
      <c r="A384" s="465"/>
      <c r="B384" s="465"/>
      <c r="C384" s="465"/>
      <c r="D384" s="467"/>
      <c r="E384" s="465"/>
      <c r="F384" s="465"/>
      <c r="G384" s="465"/>
      <c r="H384" s="465"/>
      <c r="I384" s="465"/>
      <c r="J384" s="465"/>
      <c r="K384" s="465"/>
      <c r="L384" s="465"/>
      <c r="M384" s="465"/>
      <c r="N384" s="465"/>
      <c r="O384" s="465"/>
      <c r="P384" s="465"/>
      <c r="Q384" s="465"/>
      <c r="R384" s="465"/>
      <c r="S384" s="465"/>
      <c r="T384" s="465"/>
      <c r="U384" s="465"/>
      <c r="V384" s="465"/>
      <c r="W384" s="465"/>
      <c r="X384" s="465"/>
      <c r="Y384" s="465"/>
      <c r="Z384" s="465"/>
      <c r="AA384" s="465"/>
      <c r="AB384" s="465"/>
      <c r="AC384" s="465"/>
      <c r="AD384" s="465"/>
      <c r="AE384" s="465"/>
      <c r="AF384" s="465"/>
      <c r="AG384" s="465"/>
      <c r="AH384" s="465"/>
      <c r="AI384" s="465"/>
      <c r="AJ384" s="465"/>
      <c r="AK384" s="465"/>
      <c r="AL384" s="465"/>
      <c r="AM384" s="465"/>
      <c r="AN384" s="465"/>
      <c r="AO384" s="465"/>
      <c r="AP384" s="465"/>
      <c r="AQ384" s="465"/>
      <c r="AR384" s="465"/>
      <c r="AS384" s="465"/>
      <c r="AT384" s="465"/>
      <c r="AU384" s="465"/>
      <c r="AV384" s="465"/>
      <c r="AW384" s="465"/>
      <c r="AX384" s="465"/>
      <c r="AY384" s="465"/>
      <c r="AZ384" s="465"/>
      <c r="BA384" s="465"/>
      <c r="BB384" s="465"/>
      <c r="BC384" s="465"/>
    </row>
    <row r="385" spans="1:55">
      <c r="A385" s="465"/>
      <c r="B385" s="465"/>
      <c r="C385" s="465"/>
      <c r="D385" s="467"/>
      <c r="E385" s="465"/>
      <c r="F385" s="465"/>
      <c r="G385" s="465"/>
      <c r="H385" s="465"/>
      <c r="I385" s="465"/>
      <c r="J385" s="465"/>
      <c r="K385" s="465"/>
      <c r="L385" s="465"/>
      <c r="M385" s="465"/>
      <c r="N385" s="465"/>
      <c r="O385" s="465"/>
      <c r="P385" s="465"/>
      <c r="Q385" s="465"/>
      <c r="R385" s="465"/>
      <c r="S385" s="465"/>
      <c r="T385" s="465"/>
      <c r="U385" s="465"/>
      <c r="V385" s="465"/>
      <c r="W385" s="465"/>
      <c r="X385" s="465"/>
      <c r="Y385" s="465"/>
      <c r="Z385" s="465"/>
      <c r="AA385" s="465"/>
      <c r="AB385" s="465"/>
      <c r="AC385" s="465"/>
      <c r="AD385" s="465"/>
      <c r="AE385" s="465"/>
      <c r="AF385" s="465"/>
      <c r="AG385" s="465"/>
      <c r="AH385" s="465"/>
      <c r="AI385" s="465"/>
      <c r="AJ385" s="465"/>
      <c r="AK385" s="465"/>
      <c r="AL385" s="465"/>
      <c r="AM385" s="465"/>
      <c r="AN385" s="465"/>
      <c r="AO385" s="465"/>
      <c r="AP385" s="465"/>
      <c r="AQ385" s="465"/>
      <c r="AR385" s="465"/>
      <c r="AS385" s="465"/>
      <c r="AT385" s="465"/>
      <c r="AU385" s="465"/>
      <c r="AV385" s="465"/>
      <c r="AW385" s="465"/>
      <c r="AX385" s="465"/>
      <c r="AY385" s="465"/>
      <c r="AZ385" s="465"/>
      <c r="BA385" s="465"/>
      <c r="BB385" s="465"/>
      <c r="BC385" s="465"/>
    </row>
    <row r="386" spans="1:55">
      <c r="A386" s="465"/>
      <c r="B386" s="465"/>
      <c r="C386" s="465"/>
      <c r="D386" s="467"/>
      <c r="E386" s="465"/>
      <c r="F386" s="465"/>
      <c r="G386" s="465"/>
      <c r="H386" s="465"/>
      <c r="I386" s="465"/>
      <c r="J386" s="465"/>
      <c r="K386" s="465"/>
      <c r="L386" s="465"/>
      <c r="M386" s="465"/>
      <c r="N386" s="465"/>
      <c r="O386" s="465"/>
      <c r="P386" s="465"/>
      <c r="Q386" s="465"/>
      <c r="R386" s="465"/>
      <c r="S386" s="465"/>
      <c r="T386" s="465"/>
      <c r="U386" s="465"/>
      <c r="V386" s="465"/>
      <c r="W386" s="465"/>
      <c r="X386" s="465"/>
      <c r="Y386" s="465"/>
      <c r="Z386" s="465"/>
      <c r="AA386" s="465"/>
      <c r="AB386" s="465"/>
      <c r="AC386" s="465"/>
      <c r="AD386" s="465"/>
      <c r="AE386" s="465"/>
      <c r="AF386" s="465"/>
      <c r="AG386" s="465"/>
      <c r="AH386" s="465"/>
      <c r="AI386" s="465"/>
      <c r="AJ386" s="465"/>
      <c r="AK386" s="465"/>
      <c r="AL386" s="465"/>
      <c r="AM386" s="465"/>
      <c r="AN386" s="465"/>
      <c r="AO386" s="465"/>
      <c r="AP386" s="465"/>
      <c r="AQ386" s="465"/>
      <c r="AR386" s="465"/>
      <c r="AS386" s="465"/>
      <c r="AT386" s="465"/>
      <c r="AU386" s="465"/>
      <c r="AV386" s="465"/>
      <c r="AW386" s="465"/>
      <c r="AX386" s="465"/>
      <c r="AY386" s="465"/>
      <c r="AZ386" s="465"/>
      <c r="BA386" s="465"/>
      <c r="BB386" s="465"/>
      <c r="BC386" s="465"/>
    </row>
    <row r="387" spans="1:55">
      <c r="A387" s="465"/>
      <c r="B387" s="465"/>
      <c r="C387" s="465"/>
      <c r="D387" s="467"/>
      <c r="E387" s="465"/>
      <c r="F387" s="465"/>
      <c r="G387" s="465"/>
      <c r="H387" s="465"/>
      <c r="I387" s="465"/>
      <c r="J387" s="465"/>
      <c r="K387" s="465"/>
      <c r="L387" s="465"/>
      <c r="M387" s="465"/>
      <c r="N387" s="465"/>
      <c r="O387" s="465"/>
      <c r="P387" s="465"/>
      <c r="Q387" s="465"/>
      <c r="R387" s="465"/>
      <c r="S387" s="465"/>
      <c r="T387" s="465"/>
      <c r="U387" s="465"/>
      <c r="V387" s="465"/>
      <c r="W387" s="465"/>
      <c r="X387" s="465"/>
      <c r="Y387" s="465"/>
      <c r="Z387" s="465"/>
      <c r="AA387" s="465"/>
      <c r="AB387" s="465"/>
      <c r="AC387" s="465"/>
      <c r="AD387" s="465"/>
      <c r="AE387" s="465"/>
      <c r="AF387" s="465"/>
      <c r="AG387" s="465"/>
      <c r="AH387" s="465"/>
      <c r="AI387" s="465"/>
      <c r="AJ387" s="465"/>
      <c r="AK387" s="465"/>
      <c r="AL387" s="465"/>
      <c r="AM387" s="465"/>
      <c r="AN387" s="465"/>
      <c r="AO387" s="465"/>
      <c r="AP387" s="465"/>
      <c r="AQ387" s="465"/>
      <c r="AR387" s="465"/>
      <c r="AS387" s="465"/>
      <c r="AT387" s="465"/>
      <c r="AU387" s="465"/>
      <c r="AV387" s="465"/>
      <c r="AW387" s="465"/>
      <c r="AX387" s="465"/>
      <c r="AY387" s="465"/>
      <c r="AZ387" s="465"/>
      <c r="BA387" s="465"/>
      <c r="BB387" s="465"/>
      <c r="BC387" s="465"/>
    </row>
    <row r="388" spans="1:55">
      <c r="A388" s="465"/>
      <c r="B388" s="465"/>
      <c r="C388" s="465"/>
      <c r="D388" s="467"/>
      <c r="E388" s="465"/>
      <c r="F388" s="465"/>
      <c r="G388" s="465"/>
      <c r="H388" s="465"/>
      <c r="I388" s="465"/>
      <c r="J388" s="465"/>
      <c r="K388" s="465"/>
      <c r="L388" s="465"/>
      <c r="M388" s="465"/>
      <c r="N388" s="465"/>
      <c r="O388" s="465"/>
      <c r="P388" s="465"/>
      <c r="Q388" s="465"/>
      <c r="R388" s="465"/>
      <c r="S388" s="465"/>
      <c r="T388" s="465"/>
      <c r="U388" s="465"/>
      <c r="V388" s="465"/>
      <c r="W388" s="465"/>
      <c r="X388" s="465"/>
      <c r="Y388" s="465"/>
      <c r="Z388" s="465"/>
      <c r="AA388" s="465"/>
      <c r="AB388" s="465"/>
      <c r="AC388" s="465"/>
      <c r="AD388" s="465"/>
      <c r="AE388" s="465"/>
      <c r="AF388" s="465"/>
      <c r="AG388" s="465"/>
      <c r="AH388" s="465"/>
      <c r="AI388" s="465"/>
      <c r="AJ388" s="465"/>
      <c r="AK388" s="465"/>
      <c r="AL388" s="465"/>
      <c r="AM388" s="465"/>
      <c r="AN388" s="465"/>
      <c r="AO388" s="465"/>
      <c r="AP388" s="465"/>
      <c r="AQ388" s="465"/>
      <c r="AR388" s="465"/>
      <c r="AS388" s="465"/>
      <c r="AT388" s="465"/>
      <c r="AU388" s="465"/>
      <c r="AV388" s="465"/>
      <c r="AW388" s="465"/>
      <c r="AX388" s="465"/>
      <c r="AY388" s="465"/>
      <c r="AZ388" s="465"/>
      <c r="BA388" s="465"/>
      <c r="BB388" s="465"/>
      <c r="BC388" s="465"/>
    </row>
    <row r="389" spans="1:55">
      <c r="A389" s="465"/>
      <c r="B389" s="465"/>
      <c r="C389" s="465"/>
      <c r="D389" s="467"/>
      <c r="E389" s="465"/>
      <c r="F389" s="465"/>
      <c r="G389" s="465"/>
      <c r="H389" s="465"/>
      <c r="I389" s="465"/>
      <c r="J389" s="465"/>
      <c r="K389" s="465"/>
      <c r="L389" s="465"/>
      <c r="M389" s="465"/>
      <c r="N389" s="465"/>
      <c r="O389" s="465"/>
      <c r="P389" s="465"/>
      <c r="Q389" s="465"/>
      <c r="R389" s="465"/>
      <c r="S389" s="465"/>
      <c r="T389" s="465"/>
      <c r="U389" s="465"/>
      <c r="V389" s="465"/>
      <c r="W389" s="465"/>
      <c r="X389" s="465"/>
      <c r="Y389" s="465"/>
      <c r="Z389" s="465"/>
      <c r="AA389" s="465"/>
      <c r="AB389" s="465"/>
      <c r="AC389" s="465"/>
      <c r="AD389" s="465"/>
      <c r="AE389" s="465"/>
      <c r="AF389" s="465"/>
      <c r="AG389" s="465"/>
      <c r="AH389" s="465"/>
      <c r="AI389" s="465"/>
      <c r="AJ389" s="465"/>
      <c r="AK389" s="465"/>
      <c r="AL389" s="465"/>
      <c r="AM389" s="465"/>
      <c r="AN389" s="465"/>
      <c r="AO389" s="465"/>
      <c r="AP389" s="465"/>
      <c r="AQ389" s="465"/>
      <c r="AR389" s="465"/>
      <c r="AS389" s="465"/>
      <c r="AT389" s="465"/>
      <c r="AU389" s="465"/>
      <c r="AV389" s="465"/>
      <c r="AW389" s="465"/>
      <c r="AX389" s="465"/>
      <c r="AY389" s="465"/>
      <c r="AZ389" s="465"/>
      <c r="BA389" s="465"/>
      <c r="BB389" s="465"/>
      <c r="BC389" s="465"/>
    </row>
    <row r="390" spans="1:55">
      <c r="A390" s="465"/>
      <c r="B390" s="465"/>
      <c r="C390" s="465"/>
      <c r="D390" s="467"/>
      <c r="E390" s="465"/>
      <c r="F390" s="465"/>
      <c r="G390" s="465"/>
      <c r="H390" s="465"/>
      <c r="I390" s="465"/>
      <c r="J390" s="465"/>
      <c r="K390" s="465"/>
      <c r="L390" s="465"/>
      <c r="M390" s="465"/>
      <c r="N390" s="465"/>
      <c r="O390" s="465"/>
      <c r="P390" s="465"/>
      <c r="Q390" s="465"/>
      <c r="R390" s="465"/>
      <c r="S390" s="465"/>
      <c r="T390" s="465"/>
      <c r="U390" s="465"/>
      <c r="V390" s="465"/>
      <c r="W390" s="465"/>
      <c r="X390" s="465"/>
      <c r="Y390" s="465"/>
      <c r="Z390" s="465"/>
      <c r="AA390" s="465"/>
      <c r="AB390" s="465"/>
      <c r="AC390" s="465"/>
      <c r="AD390" s="465"/>
      <c r="AE390" s="465"/>
      <c r="AF390" s="465"/>
      <c r="AG390" s="465"/>
      <c r="AH390" s="465"/>
      <c r="AI390" s="465"/>
      <c r="AJ390" s="465"/>
      <c r="AK390" s="465"/>
      <c r="AL390" s="465"/>
      <c r="AM390" s="465"/>
      <c r="AN390" s="465"/>
      <c r="AO390" s="465"/>
      <c r="AP390" s="465"/>
      <c r="AQ390" s="465"/>
      <c r="AR390" s="465"/>
      <c r="AS390" s="465"/>
      <c r="AT390" s="465"/>
      <c r="AU390" s="465"/>
      <c r="AV390" s="465"/>
      <c r="AW390" s="465"/>
      <c r="AX390" s="465"/>
      <c r="AY390" s="465"/>
      <c r="AZ390" s="465"/>
      <c r="BA390" s="465"/>
      <c r="BB390" s="465"/>
      <c r="BC390" s="465"/>
    </row>
    <row r="391" spans="1:55">
      <c r="A391" s="465"/>
      <c r="B391" s="465"/>
      <c r="C391" s="465"/>
      <c r="D391" s="467"/>
      <c r="E391" s="465"/>
      <c r="F391" s="465"/>
      <c r="G391" s="465"/>
      <c r="H391" s="465"/>
      <c r="I391" s="465"/>
      <c r="J391" s="465"/>
      <c r="K391" s="465"/>
      <c r="L391" s="465"/>
      <c r="M391" s="465"/>
      <c r="N391" s="465"/>
      <c r="O391" s="465"/>
      <c r="P391" s="465"/>
      <c r="Q391" s="465"/>
      <c r="R391" s="465"/>
      <c r="S391" s="465"/>
      <c r="T391" s="465"/>
      <c r="U391" s="465"/>
      <c r="V391" s="465"/>
      <c r="W391" s="465"/>
      <c r="X391" s="465"/>
      <c r="Y391" s="465"/>
      <c r="Z391" s="465"/>
      <c r="AA391" s="465"/>
      <c r="AB391" s="465"/>
      <c r="AC391" s="465"/>
      <c r="AD391" s="465"/>
      <c r="AE391" s="465"/>
      <c r="AF391" s="465"/>
      <c r="AG391" s="465"/>
      <c r="AH391" s="465"/>
      <c r="AI391" s="465"/>
      <c r="AJ391" s="465"/>
      <c r="AK391" s="465"/>
      <c r="AL391" s="465"/>
      <c r="AM391" s="465"/>
      <c r="AN391" s="465"/>
      <c r="AO391" s="465"/>
      <c r="AP391" s="465"/>
      <c r="AQ391" s="465"/>
      <c r="AR391" s="465"/>
      <c r="AS391" s="465"/>
      <c r="AT391" s="465"/>
      <c r="AU391" s="465"/>
      <c r="AV391" s="465"/>
      <c r="AW391" s="465"/>
      <c r="AX391" s="465"/>
      <c r="AY391" s="465"/>
      <c r="AZ391" s="465"/>
      <c r="BA391" s="465"/>
      <c r="BB391" s="465"/>
      <c r="BC391" s="465"/>
    </row>
    <row r="392" spans="1:55">
      <c r="A392" s="465"/>
      <c r="B392" s="465"/>
      <c r="C392" s="465"/>
      <c r="D392" s="467"/>
      <c r="E392" s="465"/>
      <c r="F392" s="465"/>
      <c r="G392" s="465"/>
      <c r="H392" s="465"/>
      <c r="I392" s="465"/>
      <c r="J392" s="465"/>
      <c r="K392" s="465"/>
      <c r="L392" s="465"/>
      <c r="M392" s="465"/>
      <c r="N392" s="465"/>
      <c r="O392" s="465"/>
      <c r="P392" s="465"/>
      <c r="Q392" s="465"/>
      <c r="R392" s="465"/>
      <c r="S392" s="465"/>
      <c r="T392" s="465"/>
      <c r="U392" s="465"/>
      <c r="V392" s="465"/>
      <c r="W392" s="465"/>
      <c r="X392" s="465"/>
      <c r="Y392" s="465"/>
      <c r="Z392" s="465"/>
      <c r="AA392" s="465"/>
      <c r="AB392" s="465"/>
      <c r="AC392" s="465"/>
      <c r="AD392" s="465"/>
      <c r="AE392" s="465"/>
      <c r="AF392" s="465"/>
      <c r="AG392" s="465"/>
      <c r="AH392" s="465"/>
      <c r="AI392" s="465"/>
      <c r="AJ392" s="465"/>
      <c r="AK392" s="465"/>
      <c r="AL392" s="465"/>
      <c r="AM392" s="465"/>
      <c r="AN392" s="465"/>
      <c r="AO392" s="465"/>
      <c r="AP392" s="465"/>
      <c r="AQ392" s="465"/>
      <c r="AR392" s="465"/>
      <c r="AS392" s="465"/>
      <c r="AT392" s="465"/>
      <c r="AU392" s="465"/>
      <c r="AV392" s="465"/>
      <c r="AW392" s="465"/>
      <c r="AX392" s="465"/>
      <c r="AY392" s="465"/>
      <c r="AZ392" s="465"/>
      <c r="BA392" s="465"/>
      <c r="BB392" s="465"/>
      <c r="BC392" s="465"/>
    </row>
    <row r="393" spans="1:55">
      <c r="A393" s="465"/>
      <c r="B393" s="465"/>
      <c r="C393" s="465"/>
      <c r="D393" s="467"/>
      <c r="E393" s="465"/>
      <c r="F393" s="465"/>
      <c r="G393" s="465"/>
      <c r="H393" s="465"/>
      <c r="I393" s="465"/>
      <c r="J393" s="465"/>
      <c r="K393" s="465"/>
      <c r="L393" s="465"/>
      <c r="M393" s="465"/>
      <c r="N393" s="465"/>
      <c r="O393" s="465"/>
      <c r="P393" s="465"/>
      <c r="Q393" s="465"/>
      <c r="R393" s="465"/>
      <c r="S393" s="465"/>
      <c r="T393" s="465"/>
      <c r="U393" s="465"/>
      <c r="V393" s="465"/>
      <c r="W393" s="465"/>
      <c r="X393" s="465"/>
      <c r="Y393" s="465"/>
      <c r="Z393" s="465"/>
      <c r="AA393" s="465"/>
      <c r="AB393" s="465"/>
      <c r="AC393" s="465"/>
      <c r="AD393" s="465"/>
      <c r="AE393" s="465"/>
      <c r="AF393" s="465"/>
      <c r="AG393" s="465"/>
      <c r="AH393" s="465"/>
      <c r="AI393" s="465"/>
      <c r="AJ393" s="465"/>
      <c r="AK393" s="465"/>
      <c r="AL393" s="465"/>
      <c r="AM393" s="465"/>
      <c r="AN393" s="465"/>
      <c r="AO393" s="465"/>
      <c r="AP393" s="465"/>
      <c r="AQ393" s="465"/>
      <c r="AR393" s="465"/>
      <c r="AS393" s="465"/>
      <c r="AT393" s="465"/>
      <c r="AU393" s="465"/>
      <c r="AV393" s="465"/>
      <c r="AW393" s="465"/>
      <c r="AX393" s="465"/>
      <c r="AY393" s="465"/>
      <c r="AZ393" s="465"/>
      <c r="BA393" s="465"/>
      <c r="BB393" s="465"/>
      <c r="BC393" s="465"/>
    </row>
    <row r="394" spans="1:55">
      <c r="A394" s="465"/>
      <c r="B394" s="465"/>
      <c r="C394" s="465"/>
      <c r="D394" s="467"/>
      <c r="E394" s="465"/>
      <c r="F394" s="465"/>
      <c r="G394" s="465"/>
      <c r="H394" s="465"/>
      <c r="I394" s="465"/>
      <c r="J394" s="465"/>
      <c r="K394" s="465"/>
      <c r="L394" s="465"/>
      <c r="M394" s="465"/>
      <c r="N394" s="465"/>
      <c r="O394" s="465"/>
      <c r="P394" s="465"/>
      <c r="Q394" s="465"/>
      <c r="R394" s="465"/>
      <c r="S394" s="465"/>
      <c r="T394" s="465"/>
      <c r="U394" s="465"/>
      <c r="V394" s="465"/>
      <c r="W394" s="465"/>
      <c r="X394" s="465"/>
      <c r="Y394" s="465"/>
      <c r="Z394" s="465"/>
      <c r="AA394" s="465"/>
      <c r="AB394" s="465"/>
      <c r="AC394" s="465"/>
      <c r="AD394" s="465"/>
      <c r="AE394" s="465"/>
      <c r="AF394" s="465"/>
      <c r="AG394" s="465"/>
      <c r="AH394" s="465"/>
      <c r="AI394" s="465"/>
      <c r="AJ394" s="465"/>
      <c r="AK394" s="465"/>
      <c r="AL394" s="465"/>
      <c r="AM394" s="465"/>
      <c r="AN394" s="465"/>
      <c r="AO394" s="465"/>
      <c r="AP394" s="465"/>
      <c r="AQ394" s="465"/>
      <c r="AR394" s="465"/>
      <c r="AS394" s="465"/>
      <c r="AT394" s="465"/>
      <c r="AU394" s="465"/>
      <c r="AV394" s="465"/>
      <c r="AW394" s="465"/>
      <c r="AX394" s="465"/>
      <c r="AY394" s="465"/>
      <c r="AZ394" s="465"/>
      <c r="BA394" s="465"/>
      <c r="BB394" s="465"/>
      <c r="BC394" s="465"/>
    </row>
    <row r="395" spans="1:55">
      <c r="A395" s="465"/>
      <c r="B395" s="465"/>
      <c r="C395" s="465"/>
      <c r="D395" s="467"/>
      <c r="E395" s="465"/>
      <c r="F395" s="465"/>
      <c r="G395" s="465"/>
      <c r="H395" s="465"/>
      <c r="I395" s="465"/>
      <c r="J395" s="465"/>
      <c r="K395" s="465"/>
      <c r="L395" s="465"/>
      <c r="M395" s="465"/>
      <c r="N395" s="465"/>
      <c r="O395" s="465"/>
      <c r="P395" s="465"/>
      <c r="Q395" s="465"/>
      <c r="R395" s="465"/>
      <c r="S395" s="465"/>
      <c r="T395" s="465"/>
      <c r="U395" s="465"/>
      <c r="V395" s="465"/>
      <c r="W395" s="465"/>
      <c r="X395" s="465"/>
      <c r="Y395" s="465"/>
      <c r="Z395" s="465"/>
      <c r="AA395" s="465"/>
      <c r="AB395" s="465"/>
      <c r="AC395" s="465"/>
      <c r="AD395" s="465"/>
      <c r="AE395" s="465"/>
      <c r="AF395" s="465"/>
      <c r="AG395" s="465"/>
      <c r="AH395" s="465"/>
      <c r="AI395" s="465"/>
      <c r="AJ395" s="465"/>
      <c r="AK395" s="465"/>
      <c r="AL395" s="465"/>
      <c r="AM395" s="465"/>
      <c r="AN395" s="465"/>
      <c r="AO395" s="465"/>
      <c r="AP395" s="465"/>
      <c r="AQ395" s="465"/>
      <c r="AR395" s="465"/>
      <c r="AS395" s="465"/>
      <c r="AT395" s="465"/>
      <c r="AU395" s="465"/>
      <c r="AV395" s="465"/>
      <c r="AW395" s="465"/>
      <c r="AX395" s="465"/>
      <c r="AY395" s="465"/>
      <c r="AZ395" s="465"/>
      <c r="BA395" s="465"/>
      <c r="BB395" s="465"/>
      <c r="BC395" s="465"/>
    </row>
    <row r="396" spans="1:55">
      <c r="A396" s="465"/>
      <c r="B396" s="465"/>
      <c r="C396" s="465"/>
      <c r="D396" s="467"/>
      <c r="E396" s="465"/>
      <c r="F396" s="465"/>
      <c r="G396" s="465"/>
      <c r="H396" s="465"/>
      <c r="I396" s="465"/>
      <c r="J396" s="465"/>
      <c r="K396" s="465"/>
      <c r="L396" s="465"/>
      <c r="M396" s="465"/>
      <c r="N396" s="465"/>
      <c r="O396" s="465"/>
      <c r="P396" s="465"/>
      <c r="Q396" s="465"/>
      <c r="R396" s="465"/>
      <c r="S396" s="465"/>
      <c r="T396" s="465"/>
      <c r="U396" s="465"/>
      <c r="V396" s="465"/>
      <c r="W396" s="465"/>
      <c r="X396" s="465"/>
      <c r="Y396" s="465"/>
      <c r="Z396" s="465"/>
      <c r="AA396" s="465"/>
      <c r="AB396" s="465"/>
      <c r="AC396" s="465"/>
      <c r="AD396" s="465"/>
      <c r="AE396" s="465"/>
      <c r="AF396" s="465"/>
      <c r="AG396" s="465"/>
      <c r="AH396" s="465"/>
      <c r="AI396" s="465"/>
      <c r="AJ396" s="465"/>
      <c r="AK396" s="465"/>
      <c r="AL396" s="465"/>
      <c r="AM396" s="465"/>
      <c r="AN396" s="465"/>
      <c r="AO396" s="465"/>
      <c r="AP396" s="465"/>
      <c r="AQ396" s="465"/>
      <c r="AR396" s="465"/>
      <c r="AS396" s="465"/>
      <c r="AT396" s="465"/>
      <c r="AU396" s="465"/>
      <c r="AV396" s="465"/>
      <c r="AW396" s="465"/>
      <c r="AX396" s="465"/>
      <c r="AY396" s="465"/>
      <c r="AZ396" s="465"/>
      <c r="BA396" s="465"/>
      <c r="BB396" s="465"/>
      <c r="BC396" s="465"/>
    </row>
    <row r="397" spans="1:55">
      <c r="A397" s="465"/>
      <c r="B397" s="465"/>
      <c r="C397" s="465"/>
      <c r="D397" s="467"/>
      <c r="E397" s="465"/>
      <c r="F397" s="465"/>
      <c r="G397" s="465"/>
      <c r="H397" s="465"/>
      <c r="I397" s="465"/>
      <c r="J397" s="465"/>
      <c r="K397" s="465"/>
      <c r="L397" s="465"/>
      <c r="M397" s="465"/>
      <c r="N397" s="465"/>
      <c r="O397" s="465"/>
      <c r="P397" s="465"/>
      <c r="Q397" s="465"/>
      <c r="R397" s="465"/>
      <c r="S397" s="465"/>
      <c r="T397" s="465"/>
      <c r="U397" s="465"/>
      <c r="V397" s="465"/>
      <c r="W397" s="465"/>
      <c r="X397" s="465"/>
      <c r="Y397" s="465"/>
      <c r="Z397" s="465"/>
      <c r="AA397" s="465"/>
      <c r="AB397" s="465"/>
      <c r="AC397" s="465"/>
      <c r="AD397" s="465"/>
      <c r="AE397" s="465"/>
      <c r="AF397" s="465"/>
      <c r="AG397" s="465"/>
      <c r="AH397" s="465"/>
      <c r="AI397" s="465"/>
      <c r="AJ397" s="465"/>
      <c r="AK397" s="465"/>
      <c r="AL397" s="465"/>
      <c r="AM397" s="465"/>
      <c r="AN397" s="465"/>
      <c r="AO397" s="465"/>
      <c r="AP397" s="465"/>
      <c r="AQ397" s="465"/>
      <c r="AR397" s="465"/>
      <c r="AS397" s="465"/>
      <c r="AT397" s="465"/>
      <c r="AU397" s="465"/>
      <c r="AV397" s="465"/>
      <c r="AW397" s="465"/>
      <c r="AX397" s="465"/>
      <c r="AY397" s="465"/>
      <c r="AZ397" s="465"/>
      <c r="BA397" s="465"/>
      <c r="BB397" s="465"/>
      <c r="BC397" s="465"/>
    </row>
    <row r="398" spans="1:55">
      <c r="A398" s="465"/>
      <c r="B398" s="465"/>
      <c r="C398" s="465"/>
      <c r="D398" s="467"/>
      <c r="E398" s="465"/>
      <c r="F398" s="465"/>
      <c r="G398" s="465"/>
      <c r="H398" s="465"/>
      <c r="I398" s="465"/>
      <c r="J398" s="465"/>
      <c r="K398" s="465"/>
      <c r="L398" s="465"/>
      <c r="M398" s="465"/>
      <c r="N398" s="465"/>
      <c r="O398" s="465"/>
      <c r="P398" s="465"/>
      <c r="Q398" s="465"/>
      <c r="R398" s="465"/>
      <c r="S398" s="465"/>
      <c r="T398" s="465"/>
      <c r="U398" s="465"/>
      <c r="V398" s="465"/>
      <c r="W398" s="465"/>
      <c r="X398" s="465"/>
      <c r="Y398" s="465"/>
      <c r="Z398" s="465"/>
      <c r="AA398" s="465"/>
      <c r="AB398" s="465"/>
      <c r="AC398" s="465"/>
      <c r="AD398" s="465"/>
      <c r="AE398" s="465"/>
      <c r="AF398" s="465"/>
      <c r="AG398" s="465"/>
      <c r="AH398" s="465"/>
      <c r="AI398" s="465"/>
      <c r="AJ398" s="465"/>
      <c r="AK398" s="465"/>
      <c r="AL398" s="465"/>
      <c r="AM398" s="465"/>
      <c r="AN398" s="465"/>
      <c r="AO398" s="465"/>
      <c r="AP398" s="465"/>
      <c r="AQ398" s="465"/>
      <c r="AR398" s="465"/>
      <c r="AS398" s="465"/>
      <c r="AT398" s="465"/>
      <c r="AU398" s="465"/>
      <c r="AV398" s="465"/>
      <c r="AW398" s="465"/>
      <c r="AX398" s="465"/>
      <c r="AY398" s="465"/>
      <c r="AZ398" s="465"/>
      <c r="BA398" s="465"/>
      <c r="BB398" s="465"/>
      <c r="BC398" s="465"/>
    </row>
    <row r="399" spans="1:55">
      <c r="A399" s="465"/>
      <c r="B399" s="465"/>
      <c r="C399" s="465"/>
      <c r="D399" s="467"/>
      <c r="E399" s="465"/>
      <c r="F399" s="465"/>
      <c r="G399" s="465"/>
      <c r="H399" s="465"/>
      <c r="I399" s="465"/>
      <c r="J399" s="465"/>
      <c r="K399" s="465"/>
      <c r="L399" s="465"/>
      <c r="M399" s="465"/>
      <c r="N399" s="465"/>
      <c r="O399" s="465"/>
      <c r="P399" s="465"/>
      <c r="Q399" s="465"/>
      <c r="R399" s="465"/>
      <c r="S399" s="465"/>
      <c r="T399" s="465"/>
      <c r="U399" s="465"/>
      <c r="V399" s="465"/>
      <c r="W399" s="465"/>
      <c r="X399" s="465"/>
      <c r="Y399" s="465"/>
      <c r="Z399" s="465"/>
      <c r="AA399" s="465"/>
      <c r="AB399" s="465"/>
      <c r="AC399" s="465"/>
      <c r="AD399" s="465"/>
      <c r="AE399" s="465"/>
      <c r="AF399" s="465"/>
      <c r="AG399" s="465"/>
      <c r="AH399" s="465"/>
      <c r="AI399" s="465"/>
      <c r="AJ399" s="465"/>
      <c r="AK399" s="465"/>
      <c r="AL399" s="465"/>
      <c r="AM399" s="465"/>
      <c r="AN399" s="465"/>
      <c r="AO399" s="465"/>
      <c r="AP399" s="465"/>
      <c r="AQ399" s="465"/>
      <c r="AR399" s="465"/>
      <c r="AS399" s="465"/>
      <c r="AT399" s="465"/>
      <c r="AU399" s="465"/>
      <c r="AV399" s="465"/>
      <c r="AW399" s="465"/>
      <c r="AX399" s="465"/>
      <c r="AY399" s="465"/>
      <c r="AZ399" s="465"/>
      <c r="BA399" s="465"/>
      <c r="BB399" s="465"/>
      <c r="BC399" s="465"/>
    </row>
    <row r="400" spans="1:55">
      <c r="A400" s="465"/>
      <c r="B400" s="465"/>
      <c r="C400" s="465"/>
      <c r="D400" s="467"/>
      <c r="E400" s="465"/>
      <c r="F400" s="465"/>
      <c r="G400" s="465"/>
      <c r="H400" s="465"/>
      <c r="I400" s="465"/>
      <c r="J400" s="465"/>
      <c r="K400" s="465"/>
      <c r="L400" s="465"/>
      <c r="M400" s="465"/>
      <c r="N400" s="465"/>
      <c r="O400" s="465"/>
      <c r="P400" s="465"/>
      <c r="Q400" s="465"/>
      <c r="R400" s="465"/>
      <c r="S400" s="465"/>
      <c r="T400" s="465"/>
      <c r="U400" s="465"/>
      <c r="V400" s="465"/>
      <c r="W400" s="465"/>
      <c r="X400" s="465"/>
      <c r="Y400" s="465"/>
      <c r="Z400" s="465"/>
      <c r="AA400" s="465"/>
      <c r="AB400" s="465"/>
      <c r="AC400" s="465"/>
      <c r="AD400" s="465"/>
      <c r="AE400" s="465"/>
      <c r="AF400" s="465"/>
      <c r="AG400" s="465"/>
      <c r="AH400" s="465"/>
      <c r="AI400" s="465"/>
      <c r="AJ400" s="465"/>
      <c r="AK400" s="465"/>
      <c r="AL400" s="465"/>
      <c r="AM400" s="465"/>
      <c r="AN400" s="465"/>
      <c r="AO400" s="465"/>
      <c r="AP400" s="465"/>
      <c r="AQ400" s="465"/>
      <c r="AR400" s="465"/>
      <c r="AS400" s="465"/>
      <c r="AT400" s="465"/>
      <c r="AU400" s="465"/>
      <c r="AV400" s="465"/>
      <c r="AW400" s="465"/>
      <c r="AX400" s="465"/>
      <c r="AY400" s="465"/>
      <c r="AZ400" s="465"/>
      <c r="BA400" s="465"/>
      <c r="BB400" s="465"/>
      <c r="BC400" s="465"/>
    </row>
    <row r="401" spans="1:55">
      <c r="A401" s="465"/>
      <c r="B401" s="465"/>
      <c r="C401" s="465"/>
      <c r="D401" s="467"/>
      <c r="E401" s="465"/>
      <c r="F401" s="465"/>
      <c r="G401" s="465"/>
      <c r="H401" s="465"/>
      <c r="I401" s="465"/>
      <c r="J401" s="465"/>
      <c r="K401" s="465"/>
      <c r="L401" s="465"/>
      <c r="M401" s="465"/>
      <c r="N401" s="465"/>
      <c r="O401" s="465"/>
      <c r="P401" s="465"/>
      <c r="Q401" s="465"/>
      <c r="R401" s="465"/>
      <c r="S401" s="465"/>
      <c r="T401" s="465"/>
      <c r="U401" s="465"/>
      <c r="V401" s="465"/>
      <c r="W401" s="465"/>
      <c r="X401" s="465"/>
      <c r="Y401" s="465"/>
      <c r="Z401" s="465"/>
      <c r="AA401" s="465"/>
      <c r="AB401" s="465"/>
      <c r="AC401" s="465"/>
      <c r="AD401" s="465"/>
      <c r="AE401" s="465"/>
      <c r="AF401" s="465"/>
      <c r="AG401" s="465"/>
      <c r="AH401" s="465"/>
      <c r="AI401" s="465"/>
      <c r="AJ401" s="465"/>
      <c r="AK401" s="465"/>
      <c r="AL401" s="465"/>
      <c r="AM401" s="465"/>
      <c r="AN401" s="465"/>
      <c r="AO401" s="465"/>
      <c r="AP401" s="465"/>
      <c r="AQ401" s="465"/>
      <c r="AR401" s="465"/>
      <c r="AS401" s="465"/>
      <c r="AT401" s="465"/>
      <c r="AU401" s="465"/>
      <c r="AV401" s="465"/>
      <c r="AW401" s="465"/>
      <c r="AX401" s="465"/>
      <c r="AY401" s="465"/>
      <c r="AZ401" s="465"/>
      <c r="BA401" s="465"/>
      <c r="BB401" s="465"/>
      <c r="BC401" s="465"/>
    </row>
    <row r="402" spans="1:55">
      <c r="A402" s="465"/>
      <c r="B402" s="465"/>
      <c r="C402" s="465"/>
      <c r="D402" s="467"/>
      <c r="E402" s="465"/>
      <c r="F402" s="465"/>
      <c r="G402" s="465"/>
      <c r="H402" s="465"/>
      <c r="I402" s="465"/>
      <c r="J402" s="465"/>
      <c r="K402" s="465"/>
      <c r="L402" s="465"/>
      <c r="M402" s="465"/>
      <c r="N402" s="465"/>
      <c r="O402" s="465"/>
      <c r="P402" s="465"/>
      <c r="Q402" s="465"/>
      <c r="R402" s="465"/>
      <c r="S402" s="465"/>
      <c r="T402" s="465"/>
      <c r="U402" s="465"/>
      <c r="V402" s="465"/>
      <c r="W402" s="465"/>
      <c r="X402" s="465"/>
      <c r="Y402" s="465"/>
      <c r="Z402" s="465"/>
      <c r="AA402" s="465"/>
      <c r="AB402" s="465"/>
      <c r="AC402" s="465"/>
      <c r="AD402" s="465"/>
      <c r="AE402" s="465"/>
      <c r="AF402" s="465"/>
      <c r="AG402" s="465"/>
      <c r="AH402" s="465"/>
      <c r="AI402" s="465"/>
      <c r="AJ402" s="465"/>
      <c r="AK402" s="465"/>
      <c r="AL402" s="465"/>
      <c r="AM402" s="465"/>
      <c r="AN402" s="465"/>
      <c r="AO402" s="465"/>
      <c r="AP402" s="465"/>
      <c r="AQ402" s="465"/>
      <c r="AR402" s="465"/>
      <c r="AS402" s="465"/>
      <c r="AT402" s="465"/>
      <c r="AU402" s="465"/>
      <c r="AV402" s="465"/>
      <c r="AW402" s="465"/>
      <c r="AX402" s="465"/>
      <c r="AY402" s="465"/>
      <c r="AZ402" s="465"/>
      <c r="BA402" s="465"/>
      <c r="BB402" s="465"/>
      <c r="BC402" s="465"/>
    </row>
    <row r="403" spans="1:55">
      <c r="A403" s="465"/>
      <c r="B403" s="465"/>
      <c r="C403" s="465"/>
      <c r="D403" s="467"/>
      <c r="E403" s="465"/>
      <c r="F403" s="465"/>
      <c r="G403" s="465"/>
      <c r="H403" s="465"/>
      <c r="I403" s="465"/>
      <c r="J403" s="465"/>
      <c r="K403" s="465"/>
      <c r="L403" s="465"/>
      <c r="M403" s="465"/>
      <c r="N403" s="465"/>
      <c r="O403" s="465"/>
      <c r="P403" s="465"/>
      <c r="Q403" s="465"/>
      <c r="R403" s="465"/>
      <c r="S403" s="465"/>
      <c r="T403" s="465"/>
      <c r="U403" s="465"/>
      <c r="V403" s="465"/>
      <c r="W403" s="465"/>
      <c r="X403" s="465"/>
      <c r="Y403" s="465"/>
      <c r="Z403" s="465"/>
      <c r="AA403" s="465"/>
      <c r="AB403" s="465"/>
      <c r="AC403" s="465"/>
      <c r="AD403" s="465"/>
      <c r="AE403" s="465"/>
      <c r="AF403" s="465"/>
      <c r="AG403" s="465"/>
      <c r="AH403" s="465"/>
      <c r="AI403" s="465"/>
      <c r="AJ403" s="465"/>
      <c r="AK403" s="465"/>
      <c r="AL403" s="465"/>
      <c r="AM403" s="465"/>
      <c r="AN403" s="465"/>
      <c r="AO403" s="465"/>
      <c r="AP403" s="465"/>
      <c r="AQ403" s="465"/>
      <c r="AR403" s="465"/>
      <c r="AS403" s="465"/>
      <c r="AT403" s="465"/>
      <c r="AU403" s="465"/>
      <c r="AV403" s="465"/>
      <c r="AW403" s="465"/>
      <c r="AX403" s="465"/>
      <c r="AY403" s="465"/>
      <c r="AZ403" s="465"/>
      <c r="BA403" s="465"/>
      <c r="BB403" s="465"/>
      <c r="BC403" s="465"/>
    </row>
    <row r="404" spans="1:55">
      <c r="A404" s="465"/>
      <c r="B404" s="465"/>
      <c r="C404" s="465"/>
      <c r="D404" s="467"/>
      <c r="E404" s="465"/>
      <c r="F404" s="465"/>
      <c r="G404" s="465"/>
      <c r="H404" s="465"/>
      <c r="I404" s="465"/>
      <c r="J404" s="465"/>
      <c r="K404" s="465"/>
      <c r="L404" s="465"/>
      <c r="M404" s="465"/>
      <c r="N404" s="465"/>
      <c r="O404" s="465"/>
      <c r="P404" s="465"/>
      <c r="Q404" s="465"/>
      <c r="R404" s="465"/>
      <c r="S404" s="465"/>
      <c r="T404" s="465"/>
      <c r="U404" s="465"/>
      <c r="V404" s="465"/>
      <c r="W404" s="465"/>
      <c r="X404" s="465"/>
      <c r="Y404" s="465"/>
      <c r="Z404" s="465"/>
      <c r="AA404" s="465"/>
      <c r="AB404" s="465"/>
      <c r="AC404" s="465"/>
      <c r="AD404" s="465"/>
      <c r="AE404" s="465"/>
      <c r="AF404" s="465"/>
      <c r="AG404" s="465"/>
      <c r="AH404" s="465"/>
      <c r="AI404" s="465"/>
      <c r="AJ404" s="465"/>
      <c r="AK404" s="465"/>
      <c r="AL404" s="465"/>
      <c r="AM404" s="465"/>
      <c r="AN404" s="465"/>
      <c r="AO404" s="465"/>
      <c r="AP404" s="465"/>
      <c r="AQ404" s="465"/>
      <c r="AR404" s="465"/>
      <c r="AS404" s="465"/>
      <c r="AT404" s="465"/>
      <c r="AU404" s="465"/>
      <c r="AV404" s="465"/>
      <c r="AW404" s="465"/>
      <c r="AX404" s="465"/>
      <c r="AY404" s="465"/>
      <c r="AZ404" s="465"/>
      <c r="BA404" s="465"/>
      <c r="BB404" s="465"/>
      <c r="BC404" s="465"/>
    </row>
    <row r="405" spans="1:55">
      <c r="A405" s="465"/>
      <c r="B405" s="465"/>
      <c r="C405" s="465"/>
      <c r="D405" s="467"/>
      <c r="E405" s="465"/>
      <c r="F405" s="465"/>
      <c r="G405" s="465"/>
      <c r="H405" s="465"/>
      <c r="I405" s="465"/>
      <c r="J405" s="465"/>
      <c r="K405" s="465"/>
      <c r="L405" s="465"/>
      <c r="M405" s="465"/>
      <c r="N405" s="465"/>
      <c r="O405" s="465"/>
      <c r="P405" s="465"/>
      <c r="Q405" s="465"/>
      <c r="R405" s="465"/>
      <c r="S405" s="465"/>
      <c r="T405" s="465"/>
      <c r="U405" s="465"/>
      <c r="V405" s="465"/>
      <c r="W405" s="465"/>
      <c r="X405" s="465"/>
      <c r="Y405" s="465"/>
      <c r="Z405" s="465"/>
      <c r="AA405" s="465"/>
      <c r="AB405" s="465"/>
      <c r="AC405" s="465"/>
      <c r="AD405" s="465"/>
      <c r="AE405" s="465"/>
      <c r="AF405" s="465"/>
      <c r="AG405" s="465"/>
      <c r="AH405" s="465"/>
      <c r="AI405" s="465"/>
      <c r="AJ405" s="465"/>
      <c r="AK405" s="465"/>
      <c r="AL405" s="465"/>
      <c r="AM405" s="465"/>
      <c r="AN405" s="465"/>
      <c r="AO405" s="465"/>
      <c r="AP405" s="465"/>
      <c r="AQ405" s="465"/>
      <c r="AR405" s="465"/>
      <c r="AS405" s="465"/>
      <c r="AT405" s="465"/>
      <c r="AU405" s="465"/>
      <c r="AV405" s="465"/>
      <c r="AW405" s="465"/>
      <c r="AX405" s="465"/>
      <c r="AY405" s="465"/>
      <c r="AZ405" s="465"/>
      <c r="BA405" s="465"/>
      <c r="BB405" s="465"/>
      <c r="BC405" s="465"/>
    </row>
    <row r="406" spans="1:55">
      <c r="A406" s="465"/>
      <c r="B406" s="465"/>
      <c r="C406" s="465"/>
      <c r="D406" s="467"/>
      <c r="E406" s="465"/>
      <c r="F406" s="465"/>
      <c r="G406" s="465"/>
      <c r="H406" s="465"/>
      <c r="I406" s="465"/>
      <c r="J406" s="465"/>
      <c r="K406" s="465"/>
      <c r="L406" s="465"/>
      <c r="M406" s="465"/>
      <c r="N406" s="465"/>
      <c r="O406" s="465"/>
      <c r="P406" s="465"/>
      <c r="Q406" s="465"/>
      <c r="R406" s="465"/>
      <c r="S406" s="465"/>
      <c r="T406" s="465"/>
      <c r="U406" s="465"/>
      <c r="V406" s="465"/>
      <c r="W406" s="465"/>
      <c r="X406" s="465"/>
      <c r="Y406" s="465"/>
      <c r="Z406" s="465"/>
      <c r="AA406" s="465"/>
      <c r="AB406" s="465"/>
      <c r="AC406" s="465"/>
      <c r="AD406" s="465"/>
      <c r="AE406" s="465"/>
      <c r="AF406" s="465"/>
      <c r="AG406" s="465"/>
      <c r="AH406" s="465"/>
      <c r="AI406" s="465"/>
      <c r="AJ406" s="465"/>
      <c r="AK406" s="465"/>
      <c r="AL406" s="465"/>
      <c r="AM406" s="465"/>
      <c r="AN406" s="465"/>
      <c r="AO406" s="465"/>
      <c r="AP406" s="465"/>
      <c r="AQ406" s="465"/>
      <c r="AR406" s="465"/>
      <c r="AS406" s="465"/>
      <c r="AT406" s="465"/>
      <c r="AU406" s="465"/>
      <c r="AV406" s="465"/>
      <c r="AW406" s="465"/>
      <c r="AX406" s="465"/>
      <c r="AY406" s="465"/>
      <c r="AZ406" s="465"/>
      <c r="BA406" s="465"/>
      <c r="BB406" s="465"/>
      <c r="BC406" s="465"/>
    </row>
    <row r="407" spans="1:55">
      <c r="A407" s="465"/>
      <c r="B407" s="465"/>
      <c r="C407" s="465"/>
      <c r="D407" s="467"/>
      <c r="E407" s="465"/>
      <c r="F407" s="465"/>
      <c r="G407" s="465"/>
      <c r="H407" s="465"/>
      <c r="I407" s="465"/>
      <c r="J407" s="465"/>
      <c r="K407" s="465"/>
      <c r="L407" s="465"/>
      <c r="M407" s="465"/>
      <c r="N407" s="465"/>
      <c r="O407" s="465"/>
      <c r="P407" s="465"/>
      <c r="Q407" s="465"/>
      <c r="R407" s="465"/>
      <c r="S407" s="465"/>
      <c r="T407" s="465"/>
      <c r="U407" s="465"/>
      <c r="V407" s="465"/>
      <c r="W407" s="465"/>
      <c r="X407" s="465"/>
      <c r="Y407" s="465"/>
      <c r="Z407" s="465"/>
      <c r="AA407" s="465"/>
      <c r="AB407" s="465"/>
      <c r="AC407" s="465"/>
      <c r="AD407" s="465"/>
      <c r="AE407" s="465"/>
      <c r="AF407" s="465"/>
      <c r="AG407" s="465"/>
      <c r="AH407" s="465"/>
      <c r="AI407" s="465"/>
      <c r="AJ407" s="465"/>
      <c r="AK407" s="465"/>
      <c r="AL407" s="465"/>
      <c r="AM407" s="465"/>
      <c r="AN407" s="465"/>
      <c r="AO407" s="465"/>
      <c r="AP407" s="465"/>
      <c r="AQ407" s="465"/>
      <c r="AR407" s="465"/>
      <c r="AS407" s="465"/>
      <c r="AT407" s="465"/>
      <c r="AU407" s="465"/>
      <c r="AV407" s="465"/>
      <c r="AW407" s="465"/>
      <c r="AX407" s="465"/>
      <c r="AY407" s="465"/>
      <c r="AZ407" s="465"/>
      <c r="BA407" s="465"/>
      <c r="BB407" s="465"/>
      <c r="BC407" s="465"/>
    </row>
    <row r="408" spans="1:55">
      <c r="A408" s="465"/>
      <c r="B408" s="465"/>
      <c r="C408" s="465"/>
      <c r="D408" s="467"/>
      <c r="E408" s="465"/>
      <c r="F408" s="465"/>
      <c r="G408" s="465"/>
      <c r="H408" s="465"/>
      <c r="I408" s="465"/>
      <c r="J408" s="465"/>
      <c r="K408" s="465"/>
      <c r="L408" s="465"/>
      <c r="M408" s="465"/>
      <c r="N408" s="465"/>
      <c r="O408" s="465"/>
      <c r="P408" s="465"/>
      <c r="Q408" s="465"/>
      <c r="R408" s="465"/>
      <c r="S408" s="465"/>
      <c r="T408" s="465"/>
      <c r="U408" s="465"/>
      <c r="V408" s="465"/>
      <c r="W408" s="465"/>
      <c r="X408" s="465"/>
      <c r="Y408" s="465"/>
      <c r="Z408" s="465"/>
      <c r="AA408" s="465"/>
      <c r="AB408" s="465"/>
      <c r="AC408" s="465"/>
      <c r="AD408" s="465"/>
      <c r="AE408" s="465"/>
      <c r="AF408" s="465"/>
      <c r="AG408" s="465"/>
      <c r="AH408" s="465"/>
      <c r="AI408" s="465"/>
      <c r="AJ408" s="465"/>
      <c r="AK408" s="465"/>
      <c r="AL408" s="465"/>
      <c r="AM408" s="465"/>
      <c r="AN408" s="465"/>
      <c r="AO408" s="465"/>
      <c r="AP408" s="465"/>
      <c r="AQ408" s="465"/>
      <c r="AR408" s="465"/>
      <c r="AS408" s="465"/>
      <c r="AT408" s="465"/>
      <c r="AU408" s="465"/>
      <c r="AV408" s="465"/>
      <c r="AW408" s="465"/>
      <c r="AX408" s="465"/>
      <c r="AY408" s="465"/>
      <c r="AZ408" s="465"/>
      <c r="BA408" s="465"/>
      <c r="BB408" s="465"/>
      <c r="BC408" s="465"/>
    </row>
    <row r="409" spans="1:55">
      <c r="A409" s="465"/>
      <c r="B409" s="465"/>
      <c r="C409" s="465"/>
      <c r="D409" s="467"/>
      <c r="E409" s="465"/>
      <c r="F409" s="465"/>
      <c r="G409" s="465"/>
      <c r="H409" s="465"/>
      <c r="I409" s="465"/>
      <c r="J409" s="465"/>
      <c r="K409" s="465"/>
      <c r="L409" s="465"/>
      <c r="M409" s="465"/>
      <c r="N409" s="465"/>
      <c r="O409" s="465"/>
      <c r="P409" s="465"/>
      <c r="Q409" s="465"/>
      <c r="R409" s="465"/>
      <c r="S409" s="465"/>
      <c r="T409" s="465"/>
      <c r="U409" s="465"/>
      <c r="V409" s="465"/>
      <c r="W409" s="465"/>
      <c r="X409" s="465"/>
      <c r="Y409" s="465"/>
      <c r="Z409" s="465"/>
      <c r="AA409" s="465"/>
      <c r="AB409" s="465"/>
      <c r="AC409" s="465"/>
      <c r="AD409" s="465"/>
      <c r="AE409" s="465"/>
      <c r="AF409" s="465"/>
      <c r="AG409" s="465"/>
      <c r="AH409" s="465"/>
      <c r="AI409" s="465"/>
      <c r="AJ409" s="465"/>
      <c r="AK409" s="465"/>
      <c r="AL409" s="465"/>
      <c r="AM409" s="465"/>
      <c r="AN409" s="465"/>
      <c r="AO409" s="465"/>
      <c r="AP409" s="465"/>
      <c r="AQ409" s="465"/>
      <c r="AR409" s="465"/>
      <c r="AS409" s="465"/>
      <c r="AT409" s="465"/>
      <c r="AU409" s="465"/>
      <c r="AV409" s="465"/>
      <c r="AW409" s="465"/>
      <c r="AX409" s="465"/>
      <c r="AY409" s="465"/>
      <c r="AZ409" s="465"/>
      <c r="BA409" s="465"/>
      <c r="BB409" s="465"/>
      <c r="BC409" s="465"/>
    </row>
    <row r="410" spans="1:55">
      <c r="A410" s="465"/>
      <c r="B410" s="465"/>
      <c r="C410" s="465"/>
      <c r="D410" s="467"/>
      <c r="E410" s="465"/>
      <c r="F410" s="465"/>
      <c r="G410" s="465"/>
      <c r="H410" s="465"/>
      <c r="I410" s="465"/>
      <c r="J410" s="465"/>
      <c r="K410" s="465"/>
      <c r="L410" s="465"/>
      <c r="M410" s="465"/>
      <c r="N410" s="465"/>
      <c r="O410" s="465"/>
      <c r="P410" s="465"/>
      <c r="Q410" s="465"/>
      <c r="R410" s="465"/>
      <c r="S410" s="465"/>
      <c r="T410" s="465"/>
      <c r="U410" s="465"/>
      <c r="V410" s="465"/>
      <c r="W410" s="465"/>
      <c r="X410" s="465"/>
      <c r="Y410" s="465"/>
      <c r="Z410" s="465"/>
      <c r="AA410" s="465"/>
      <c r="AB410" s="465"/>
      <c r="AC410" s="465"/>
      <c r="AD410" s="465"/>
      <c r="AE410" s="465"/>
      <c r="AF410" s="465"/>
      <c r="AG410" s="465"/>
      <c r="AH410" s="465"/>
      <c r="AI410" s="465"/>
      <c r="AJ410" s="465"/>
      <c r="AK410" s="465"/>
      <c r="AL410" s="465"/>
      <c r="AM410" s="465"/>
      <c r="AN410" s="465"/>
      <c r="AO410" s="465"/>
      <c r="AP410" s="465"/>
      <c r="AQ410" s="465"/>
      <c r="AR410" s="465"/>
      <c r="AS410" s="465"/>
      <c r="AT410" s="465"/>
      <c r="AU410" s="465"/>
      <c r="AV410" s="465"/>
      <c r="AW410" s="465"/>
      <c r="AX410" s="465"/>
      <c r="AY410" s="465"/>
      <c r="AZ410" s="465"/>
      <c r="BA410" s="465"/>
      <c r="BB410" s="465"/>
      <c r="BC410" s="465"/>
    </row>
    <row r="411" spans="1:55">
      <c r="A411" s="465"/>
      <c r="B411" s="465"/>
      <c r="C411" s="465"/>
      <c r="D411" s="467"/>
      <c r="E411" s="465"/>
      <c r="F411" s="465"/>
      <c r="G411" s="465"/>
      <c r="H411" s="465"/>
      <c r="I411" s="465"/>
      <c r="J411" s="465"/>
      <c r="K411" s="465"/>
      <c r="L411" s="465"/>
      <c r="M411" s="465"/>
      <c r="N411" s="465"/>
      <c r="O411" s="465"/>
      <c r="P411" s="465"/>
      <c r="Q411" s="465"/>
      <c r="R411" s="465"/>
      <c r="S411" s="465"/>
      <c r="T411" s="465"/>
      <c r="U411" s="465"/>
      <c r="V411" s="465"/>
      <c r="W411" s="465"/>
      <c r="X411" s="465"/>
      <c r="Y411" s="465"/>
      <c r="Z411" s="465"/>
      <c r="AA411" s="465"/>
      <c r="AB411" s="465"/>
      <c r="AC411" s="465"/>
      <c r="AD411" s="465"/>
      <c r="AE411" s="465"/>
      <c r="AF411" s="465"/>
      <c r="AG411" s="465"/>
      <c r="AH411" s="465"/>
      <c r="AI411" s="465"/>
      <c r="AJ411" s="465"/>
      <c r="AK411" s="465"/>
      <c r="AL411" s="465"/>
      <c r="AM411" s="465"/>
      <c r="AN411" s="465"/>
      <c r="AO411" s="465"/>
      <c r="AP411" s="465"/>
      <c r="AQ411" s="465"/>
      <c r="AR411" s="465"/>
      <c r="AS411" s="465"/>
      <c r="AT411" s="465"/>
      <c r="AU411" s="465"/>
      <c r="AV411" s="465"/>
      <c r="AW411" s="465"/>
      <c r="AX411" s="465"/>
      <c r="AY411" s="465"/>
      <c r="AZ411" s="465"/>
      <c r="BA411" s="465"/>
      <c r="BB411" s="465"/>
      <c r="BC411" s="465"/>
    </row>
    <row r="412" spans="1:55">
      <c r="A412" s="465"/>
      <c r="B412" s="465"/>
      <c r="C412" s="465"/>
      <c r="D412" s="467"/>
      <c r="E412" s="465"/>
      <c r="F412" s="465"/>
      <c r="G412" s="465"/>
      <c r="H412" s="465"/>
      <c r="I412" s="465"/>
      <c r="J412" s="465"/>
      <c r="K412" s="465"/>
      <c r="L412" s="465"/>
      <c r="M412" s="465"/>
      <c r="N412" s="465"/>
      <c r="O412" s="465"/>
      <c r="P412" s="465"/>
      <c r="Q412" s="465"/>
      <c r="R412" s="465"/>
      <c r="S412" s="465"/>
      <c r="T412" s="465"/>
      <c r="U412" s="465"/>
      <c r="V412" s="465"/>
      <c r="W412" s="465"/>
      <c r="X412" s="465"/>
      <c r="Y412" s="465"/>
      <c r="Z412" s="465"/>
      <c r="AA412" s="465"/>
      <c r="AB412" s="465"/>
      <c r="AC412" s="465"/>
      <c r="AD412" s="465"/>
      <c r="AE412" s="465"/>
      <c r="AF412" s="465"/>
      <c r="AG412" s="465"/>
      <c r="AH412" s="465"/>
      <c r="AI412" s="465"/>
      <c r="AJ412" s="465"/>
      <c r="AK412" s="465"/>
      <c r="AL412" s="465"/>
      <c r="AM412" s="465"/>
      <c r="AN412" s="465"/>
      <c r="AO412" s="465"/>
      <c r="AP412" s="465"/>
      <c r="AQ412" s="465"/>
      <c r="AR412" s="465"/>
      <c r="AS412" s="465"/>
      <c r="AT412" s="465"/>
      <c r="AU412" s="465"/>
      <c r="AV412" s="465"/>
      <c r="AW412" s="465"/>
      <c r="AX412" s="465"/>
      <c r="AY412" s="465"/>
      <c r="AZ412" s="465"/>
      <c r="BA412" s="465"/>
      <c r="BB412" s="465"/>
      <c r="BC412" s="465"/>
    </row>
    <row r="413" spans="1:55">
      <c r="A413" s="465"/>
      <c r="B413" s="465"/>
      <c r="C413" s="465"/>
      <c r="D413" s="467"/>
      <c r="E413" s="465"/>
      <c r="F413" s="465"/>
      <c r="G413" s="465"/>
      <c r="H413" s="465"/>
      <c r="I413" s="465"/>
      <c r="J413" s="465"/>
      <c r="K413" s="465"/>
      <c r="L413" s="465"/>
      <c r="M413" s="465"/>
      <c r="N413" s="465"/>
      <c r="O413" s="465"/>
      <c r="P413" s="465"/>
      <c r="Q413" s="465"/>
      <c r="R413" s="465"/>
      <c r="S413" s="465"/>
      <c r="T413" s="465"/>
      <c r="U413" s="465"/>
      <c r="V413" s="465"/>
      <c r="W413" s="465"/>
      <c r="X413" s="465"/>
      <c r="Y413" s="465"/>
      <c r="Z413" s="465"/>
      <c r="AA413" s="465"/>
      <c r="AB413" s="465"/>
      <c r="AC413" s="465"/>
      <c r="AD413" s="465"/>
      <c r="AE413" s="465"/>
      <c r="AF413" s="465"/>
      <c r="AG413" s="465"/>
      <c r="AH413" s="465"/>
      <c r="AI413" s="465"/>
      <c r="AJ413" s="465"/>
      <c r="AK413" s="465"/>
      <c r="AL413" s="465"/>
      <c r="AM413" s="465"/>
      <c r="AN413" s="465"/>
      <c r="AO413" s="465"/>
      <c r="AP413" s="465"/>
      <c r="AQ413" s="465"/>
      <c r="AR413" s="465"/>
      <c r="AS413" s="465"/>
      <c r="AT413" s="465"/>
      <c r="AU413" s="465"/>
      <c r="AV413" s="465"/>
      <c r="AW413" s="465"/>
      <c r="AX413" s="465"/>
      <c r="AY413" s="465"/>
      <c r="AZ413" s="465"/>
      <c r="BA413" s="465"/>
      <c r="BB413" s="465"/>
      <c r="BC413" s="465"/>
    </row>
    <row r="414" spans="1:55">
      <c r="A414" s="465"/>
      <c r="B414" s="465"/>
      <c r="C414" s="465"/>
      <c r="D414" s="467"/>
      <c r="E414" s="465"/>
      <c r="F414" s="465"/>
      <c r="G414" s="465"/>
      <c r="H414" s="465"/>
      <c r="I414" s="465"/>
      <c r="J414" s="465"/>
      <c r="K414" s="465"/>
      <c r="L414" s="465"/>
      <c r="M414" s="465"/>
      <c r="N414" s="465"/>
      <c r="O414" s="465"/>
      <c r="P414" s="465"/>
      <c r="Q414" s="465"/>
      <c r="R414" s="465"/>
      <c r="S414" s="465"/>
      <c r="T414" s="465"/>
      <c r="U414" s="465"/>
      <c r="V414" s="465"/>
      <c r="W414" s="465"/>
      <c r="X414" s="465"/>
      <c r="Y414" s="465"/>
      <c r="Z414" s="465"/>
      <c r="AA414" s="465"/>
      <c r="AB414" s="465"/>
      <c r="AC414" s="465"/>
      <c r="AD414" s="465"/>
      <c r="AE414" s="465"/>
      <c r="AF414" s="465"/>
      <c r="AG414" s="465"/>
      <c r="AH414" s="465"/>
      <c r="AI414" s="465"/>
      <c r="AJ414" s="465"/>
      <c r="AK414" s="465"/>
      <c r="AL414" s="465"/>
      <c r="AM414" s="465"/>
      <c r="AN414" s="465"/>
      <c r="AO414" s="465"/>
      <c r="AP414" s="465"/>
      <c r="AQ414" s="465"/>
      <c r="AR414" s="465"/>
      <c r="AS414" s="465"/>
      <c r="AT414" s="465"/>
      <c r="AU414" s="465"/>
      <c r="AV414" s="465"/>
      <c r="AW414" s="465"/>
      <c r="AX414" s="465"/>
      <c r="AY414" s="465"/>
      <c r="AZ414" s="465"/>
      <c r="BA414" s="465"/>
      <c r="BB414" s="465"/>
      <c r="BC414" s="465"/>
    </row>
    <row r="415" spans="1:55">
      <c r="A415" s="465"/>
      <c r="B415" s="465"/>
      <c r="C415" s="465"/>
      <c r="D415" s="467"/>
      <c r="E415" s="465"/>
      <c r="F415" s="465"/>
      <c r="G415" s="465"/>
      <c r="H415" s="465"/>
      <c r="I415" s="465"/>
      <c r="J415" s="465"/>
      <c r="K415" s="465"/>
      <c r="L415" s="465"/>
      <c r="M415" s="465"/>
      <c r="N415" s="465"/>
      <c r="O415" s="465"/>
      <c r="P415" s="465"/>
      <c r="Q415" s="465"/>
      <c r="R415" s="465"/>
      <c r="S415" s="465"/>
      <c r="T415" s="465"/>
      <c r="U415" s="465"/>
      <c r="V415" s="465"/>
      <c r="W415" s="465"/>
      <c r="X415" s="465"/>
      <c r="Y415" s="465"/>
      <c r="Z415" s="465"/>
      <c r="AA415" s="465"/>
      <c r="AB415" s="465"/>
      <c r="AC415" s="465"/>
      <c r="AD415" s="465"/>
      <c r="AE415" s="465"/>
      <c r="AF415" s="465"/>
      <c r="AG415" s="465"/>
      <c r="AH415" s="465"/>
      <c r="AI415" s="465"/>
      <c r="AJ415" s="465"/>
      <c r="AK415" s="465"/>
      <c r="AL415" s="465"/>
      <c r="AM415" s="465"/>
      <c r="AN415" s="465"/>
      <c r="AO415" s="465"/>
      <c r="AP415" s="465"/>
      <c r="AQ415" s="465"/>
      <c r="AR415" s="465"/>
      <c r="AS415" s="465"/>
      <c r="AT415" s="465"/>
      <c r="AU415" s="465"/>
      <c r="AV415" s="465"/>
      <c r="AW415" s="465"/>
      <c r="AX415" s="465"/>
      <c r="AY415" s="465"/>
      <c r="AZ415" s="465"/>
      <c r="BA415" s="465"/>
      <c r="BB415" s="465"/>
      <c r="BC415" s="465"/>
    </row>
    <row r="416" spans="1:55">
      <c r="A416" s="465"/>
      <c r="B416" s="465"/>
      <c r="C416" s="465"/>
      <c r="D416" s="467"/>
      <c r="E416" s="465"/>
      <c r="F416" s="465"/>
      <c r="G416" s="465"/>
      <c r="H416" s="465"/>
      <c r="I416" s="465"/>
      <c r="J416" s="465"/>
      <c r="K416" s="465"/>
      <c r="L416" s="465"/>
      <c r="M416" s="465"/>
      <c r="N416" s="465"/>
      <c r="O416" s="465"/>
      <c r="P416" s="465"/>
      <c r="Q416" s="465"/>
      <c r="R416" s="465"/>
      <c r="S416" s="465"/>
      <c r="T416" s="465"/>
      <c r="U416" s="465"/>
      <c r="V416" s="465"/>
      <c r="W416" s="465"/>
      <c r="X416" s="465"/>
      <c r="Y416" s="465"/>
      <c r="Z416" s="465"/>
      <c r="AA416" s="465"/>
      <c r="AB416" s="465"/>
      <c r="AC416" s="465"/>
      <c r="AD416" s="465"/>
      <c r="AE416" s="465"/>
      <c r="AF416" s="465"/>
      <c r="AG416" s="465"/>
      <c r="AH416" s="465"/>
      <c r="AI416" s="465"/>
      <c r="AJ416" s="465"/>
      <c r="AK416" s="465"/>
      <c r="AL416" s="465"/>
      <c r="AM416" s="465"/>
      <c r="AN416" s="465"/>
      <c r="AO416" s="465"/>
      <c r="AP416" s="465"/>
      <c r="AQ416" s="465"/>
      <c r="AR416" s="465"/>
      <c r="AS416" s="465"/>
      <c r="AT416" s="465"/>
      <c r="AU416" s="465"/>
      <c r="AV416" s="465"/>
      <c r="AW416" s="465"/>
      <c r="AX416" s="465"/>
      <c r="AY416" s="465"/>
      <c r="AZ416" s="465"/>
      <c r="BA416" s="465"/>
      <c r="BB416" s="465"/>
      <c r="BC416" s="465"/>
    </row>
    <row r="417" spans="1:55">
      <c r="A417" s="465"/>
      <c r="B417" s="465"/>
      <c r="C417" s="465"/>
      <c r="D417" s="467"/>
      <c r="E417" s="465"/>
      <c r="F417" s="465"/>
      <c r="G417" s="465"/>
      <c r="H417" s="465"/>
      <c r="I417" s="465"/>
      <c r="J417" s="465"/>
      <c r="K417" s="465"/>
      <c r="L417" s="465"/>
      <c r="M417" s="465"/>
      <c r="N417" s="465"/>
      <c r="O417" s="465"/>
      <c r="P417" s="465"/>
      <c r="Q417" s="465"/>
      <c r="R417" s="465"/>
      <c r="S417" s="465"/>
      <c r="T417" s="465"/>
      <c r="U417" s="465"/>
      <c r="V417" s="465"/>
      <c r="W417" s="465"/>
      <c r="X417" s="465"/>
      <c r="Y417" s="465"/>
      <c r="Z417" s="465"/>
      <c r="AA417" s="465"/>
      <c r="AB417" s="465"/>
      <c r="AC417" s="465"/>
      <c r="AD417" s="465"/>
      <c r="AE417" s="465"/>
      <c r="AF417" s="465"/>
      <c r="AG417" s="465"/>
      <c r="AH417" s="465"/>
      <c r="AI417" s="465"/>
      <c r="AJ417" s="465"/>
      <c r="AK417" s="465"/>
      <c r="AL417" s="465"/>
      <c r="AM417" s="465"/>
      <c r="AN417" s="465"/>
      <c r="AO417" s="465"/>
      <c r="AP417" s="465"/>
      <c r="AQ417" s="465"/>
      <c r="AR417" s="465"/>
      <c r="AS417" s="465"/>
      <c r="AT417" s="465"/>
      <c r="AU417" s="465"/>
      <c r="AV417" s="465"/>
      <c r="AW417" s="465"/>
      <c r="AX417" s="465"/>
      <c r="AY417" s="465"/>
      <c r="AZ417" s="465"/>
      <c r="BA417" s="465"/>
      <c r="BB417" s="465"/>
      <c r="BC417" s="465"/>
    </row>
    <row r="418" spans="1:55">
      <c r="A418" s="465"/>
      <c r="B418" s="465"/>
      <c r="C418" s="465"/>
      <c r="D418" s="467"/>
      <c r="E418" s="465"/>
      <c r="F418" s="465"/>
      <c r="G418" s="465"/>
      <c r="H418" s="465"/>
      <c r="I418" s="465"/>
      <c r="J418" s="465"/>
      <c r="K418" s="465"/>
      <c r="L418" s="465"/>
      <c r="M418" s="465"/>
      <c r="N418" s="465"/>
      <c r="O418" s="465"/>
      <c r="P418" s="465"/>
      <c r="Q418" s="465"/>
      <c r="R418" s="465"/>
      <c r="S418" s="465"/>
      <c r="T418" s="465"/>
      <c r="U418" s="465"/>
      <c r="V418" s="465"/>
      <c r="W418" s="465"/>
      <c r="X418" s="465"/>
      <c r="Y418" s="465"/>
      <c r="Z418" s="465"/>
      <c r="AA418" s="465"/>
      <c r="AB418" s="465"/>
      <c r="AC418" s="465"/>
      <c r="AD418" s="465"/>
      <c r="AE418" s="465"/>
      <c r="AF418" s="465"/>
      <c r="AG418" s="465"/>
      <c r="AH418" s="465"/>
      <c r="AI418" s="465"/>
      <c r="AJ418" s="465"/>
      <c r="AK418" s="465"/>
      <c r="AL418" s="465"/>
      <c r="AM418" s="465"/>
      <c r="AN418" s="465"/>
      <c r="AO418" s="465"/>
      <c r="AP418" s="465"/>
      <c r="AQ418" s="465"/>
      <c r="AR418" s="465"/>
      <c r="AS418" s="465"/>
      <c r="AT418" s="465"/>
      <c r="AU418" s="465"/>
      <c r="AV418" s="465"/>
      <c r="AW418" s="465"/>
      <c r="AX418" s="465"/>
      <c r="AY418" s="465"/>
      <c r="AZ418" s="465"/>
      <c r="BA418" s="465"/>
      <c r="BB418" s="465"/>
      <c r="BC418" s="465"/>
    </row>
    <row r="419" spans="1:55">
      <c r="A419" s="465"/>
      <c r="B419" s="465"/>
      <c r="C419" s="465"/>
      <c r="D419" s="467"/>
      <c r="E419" s="465"/>
      <c r="F419" s="465"/>
      <c r="G419" s="465"/>
      <c r="H419" s="465"/>
      <c r="I419" s="465"/>
      <c r="J419" s="465"/>
      <c r="K419" s="465"/>
      <c r="L419" s="465"/>
      <c r="M419" s="465"/>
      <c r="N419" s="465"/>
      <c r="O419" s="465"/>
      <c r="P419" s="465"/>
      <c r="Q419" s="465"/>
      <c r="R419" s="465"/>
      <c r="S419" s="465"/>
      <c r="T419" s="465"/>
      <c r="U419" s="465"/>
      <c r="V419" s="465"/>
      <c r="W419" s="465"/>
      <c r="X419" s="465"/>
      <c r="Y419" s="465"/>
      <c r="Z419" s="465"/>
      <c r="AA419" s="465"/>
      <c r="AB419" s="465"/>
      <c r="AC419" s="465"/>
      <c r="AD419" s="465"/>
      <c r="AE419" s="465"/>
      <c r="AF419" s="465"/>
      <c r="AG419" s="465"/>
      <c r="AH419" s="465"/>
      <c r="AI419" s="465"/>
      <c r="AJ419" s="465"/>
      <c r="AK419" s="465"/>
      <c r="AL419" s="465"/>
      <c r="AM419" s="465"/>
      <c r="AN419" s="465"/>
      <c r="AO419" s="465"/>
      <c r="AP419" s="465"/>
      <c r="AQ419" s="465"/>
      <c r="AR419" s="465"/>
      <c r="AS419" s="465"/>
      <c r="AT419" s="465"/>
      <c r="AU419" s="465"/>
      <c r="AV419" s="465"/>
      <c r="AW419" s="465"/>
      <c r="AX419" s="465"/>
      <c r="AY419" s="465"/>
      <c r="AZ419" s="465"/>
      <c r="BA419" s="465"/>
      <c r="BB419" s="465"/>
      <c r="BC419" s="465"/>
    </row>
    <row r="420" spans="1:55">
      <c r="A420" s="465"/>
      <c r="B420" s="465"/>
      <c r="C420" s="465"/>
      <c r="D420" s="467"/>
      <c r="E420" s="465"/>
      <c r="F420" s="465"/>
      <c r="G420" s="465"/>
      <c r="H420" s="465"/>
      <c r="I420" s="465"/>
      <c r="J420" s="465"/>
      <c r="K420" s="465"/>
      <c r="L420" s="465"/>
      <c r="M420" s="465"/>
      <c r="N420" s="465"/>
      <c r="O420" s="465"/>
      <c r="P420" s="465"/>
      <c r="Q420" s="465"/>
      <c r="R420" s="465"/>
      <c r="S420" s="465"/>
      <c r="T420" s="465"/>
      <c r="U420" s="465"/>
      <c r="V420" s="465"/>
      <c r="W420" s="465"/>
      <c r="X420" s="465"/>
      <c r="Y420" s="465"/>
      <c r="Z420" s="465"/>
      <c r="AA420" s="465"/>
      <c r="AB420" s="465"/>
      <c r="AC420" s="465"/>
      <c r="AD420" s="465"/>
      <c r="AE420" s="465"/>
      <c r="AF420" s="465"/>
      <c r="AG420" s="465"/>
      <c r="AH420" s="465"/>
      <c r="AI420" s="465"/>
      <c r="AJ420" s="465"/>
      <c r="AK420" s="465"/>
      <c r="AL420" s="465"/>
      <c r="AM420" s="465"/>
      <c r="AN420" s="465"/>
      <c r="AO420" s="465"/>
      <c r="AP420" s="465"/>
      <c r="AQ420" s="465"/>
      <c r="AR420" s="465"/>
      <c r="AS420" s="465"/>
      <c r="AT420" s="465"/>
      <c r="AU420" s="465"/>
      <c r="AV420" s="465"/>
      <c r="AW420" s="465"/>
      <c r="AX420" s="465"/>
      <c r="AY420" s="465"/>
      <c r="AZ420" s="465"/>
      <c r="BA420" s="465"/>
      <c r="BB420" s="465"/>
      <c r="BC420" s="465"/>
    </row>
    <row r="421" spans="1:55">
      <c r="A421" s="465"/>
      <c r="B421" s="465"/>
      <c r="C421" s="465"/>
      <c r="D421" s="467"/>
      <c r="E421" s="465"/>
      <c r="F421" s="465"/>
      <c r="G421" s="465"/>
      <c r="H421" s="465"/>
      <c r="I421" s="465"/>
      <c r="J421" s="465"/>
      <c r="K421" s="465"/>
      <c r="L421" s="465"/>
      <c r="M421" s="465"/>
      <c r="N421" s="465"/>
      <c r="O421" s="465"/>
      <c r="P421" s="465"/>
      <c r="Q421" s="465"/>
      <c r="R421" s="465"/>
      <c r="S421" s="465"/>
      <c r="T421" s="465"/>
      <c r="U421" s="465"/>
      <c r="V421" s="465"/>
      <c r="W421" s="465"/>
      <c r="X421" s="465"/>
      <c r="Y421" s="465"/>
      <c r="Z421" s="465"/>
      <c r="AA421" s="465"/>
      <c r="AB421" s="465"/>
      <c r="AC421" s="465"/>
      <c r="AD421" s="465"/>
      <c r="AE421" s="465"/>
      <c r="AF421" s="465"/>
      <c r="AG421" s="465"/>
      <c r="AH421" s="465"/>
      <c r="AI421" s="465"/>
      <c r="AJ421" s="465"/>
      <c r="AK421" s="465"/>
      <c r="AL421" s="465"/>
      <c r="AM421" s="465"/>
      <c r="AN421" s="465"/>
      <c r="AO421" s="465"/>
      <c r="AP421" s="465"/>
      <c r="AQ421" s="465"/>
      <c r="AR421" s="465"/>
      <c r="AS421" s="465"/>
      <c r="AT421" s="465"/>
      <c r="AU421" s="465"/>
      <c r="AV421" s="465"/>
      <c r="AW421" s="465"/>
      <c r="AX421" s="465"/>
      <c r="AY421" s="465"/>
      <c r="AZ421" s="465"/>
      <c r="BA421" s="465"/>
      <c r="BB421" s="465"/>
      <c r="BC421" s="465"/>
    </row>
    <row r="422" spans="1:55">
      <c r="A422" s="465"/>
      <c r="B422" s="465"/>
      <c r="C422" s="465"/>
      <c r="D422" s="467"/>
      <c r="E422" s="465"/>
      <c r="F422" s="465"/>
      <c r="G422" s="465"/>
      <c r="H422" s="465"/>
      <c r="I422" s="465"/>
      <c r="J422" s="465"/>
      <c r="K422" s="465"/>
      <c r="L422" s="465"/>
      <c r="M422" s="465"/>
      <c r="N422" s="465"/>
      <c r="O422" s="465"/>
      <c r="P422" s="465"/>
      <c r="Q422" s="465"/>
      <c r="R422" s="465"/>
      <c r="S422" s="465"/>
      <c r="T422" s="465"/>
      <c r="U422" s="465"/>
      <c r="V422" s="465"/>
      <c r="W422" s="465"/>
      <c r="X422" s="465"/>
      <c r="Y422" s="465"/>
      <c r="Z422" s="465"/>
      <c r="AA422" s="465"/>
      <c r="AB422" s="465"/>
      <c r="AC422" s="465"/>
      <c r="AD422" s="465"/>
      <c r="AE422" s="465"/>
      <c r="AF422" s="465"/>
      <c r="AG422" s="465"/>
      <c r="AH422" s="465"/>
      <c r="AI422" s="465"/>
      <c r="AJ422" s="465"/>
      <c r="AK422" s="465"/>
      <c r="AL422" s="465"/>
      <c r="AM422" s="465"/>
      <c r="AN422" s="465"/>
      <c r="AO422" s="465"/>
      <c r="AP422" s="465"/>
      <c r="AQ422" s="465"/>
      <c r="AR422" s="465"/>
      <c r="AS422" s="465"/>
      <c r="AT422" s="465"/>
      <c r="AU422" s="465"/>
      <c r="AV422" s="465"/>
      <c r="AW422" s="465"/>
      <c r="AX422" s="465"/>
      <c r="AY422" s="465"/>
      <c r="AZ422" s="465"/>
      <c r="BA422" s="465"/>
      <c r="BB422" s="465"/>
      <c r="BC422" s="465"/>
    </row>
    <row r="423" spans="1:55">
      <c r="A423" s="465"/>
      <c r="B423" s="465"/>
      <c r="C423" s="465"/>
      <c r="D423" s="467"/>
      <c r="E423" s="465"/>
      <c r="F423" s="465"/>
      <c r="G423" s="465"/>
      <c r="H423" s="465"/>
      <c r="I423" s="465"/>
      <c r="J423" s="465"/>
      <c r="K423" s="465"/>
      <c r="L423" s="465"/>
      <c r="M423" s="465"/>
      <c r="N423" s="465"/>
      <c r="O423" s="465"/>
      <c r="P423" s="465"/>
      <c r="Q423" s="465"/>
      <c r="R423" s="465"/>
      <c r="S423" s="465"/>
      <c r="T423" s="465"/>
      <c r="U423" s="465"/>
      <c r="V423" s="465"/>
      <c r="W423" s="465"/>
      <c r="X423" s="465"/>
      <c r="Y423" s="465"/>
      <c r="Z423" s="465"/>
      <c r="AA423" s="465"/>
      <c r="AB423" s="465"/>
      <c r="AC423" s="465"/>
      <c r="AD423" s="465"/>
      <c r="AE423" s="465"/>
      <c r="AF423" s="465"/>
      <c r="AG423" s="465"/>
      <c r="AH423" s="465"/>
      <c r="AI423" s="465"/>
      <c r="AJ423" s="465"/>
      <c r="AK423" s="465"/>
      <c r="AL423" s="465"/>
      <c r="AM423" s="465"/>
      <c r="AN423" s="465"/>
      <c r="AO423" s="465"/>
      <c r="AP423" s="465"/>
      <c r="AQ423" s="465"/>
      <c r="AR423" s="465"/>
      <c r="AS423" s="465"/>
      <c r="AT423" s="465"/>
      <c r="AU423" s="465"/>
      <c r="AV423" s="465"/>
      <c r="AW423" s="465"/>
      <c r="AX423" s="465"/>
      <c r="AY423" s="465"/>
      <c r="AZ423" s="465"/>
      <c r="BA423" s="465"/>
      <c r="BB423" s="465"/>
      <c r="BC423" s="465"/>
    </row>
    <row r="424" spans="1:55">
      <c r="A424" s="465"/>
      <c r="B424" s="465"/>
      <c r="C424" s="465"/>
      <c r="D424" s="467"/>
      <c r="E424" s="465"/>
      <c r="F424" s="465"/>
      <c r="G424" s="465"/>
      <c r="H424" s="465"/>
      <c r="I424" s="465"/>
      <c r="J424" s="465"/>
      <c r="K424" s="465"/>
      <c r="L424" s="465"/>
      <c r="M424" s="465"/>
      <c r="N424" s="465"/>
      <c r="O424" s="465"/>
      <c r="P424" s="465"/>
      <c r="Q424" s="465"/>
      <c r="R424" s="465"/>
      <c r="S424" s="465"/>
      <c r="T424" s="465"/>
      <c r="U424" s="465"/>
      <c r="V424" s="465"/>
      <c r="W424" s="465"/>
      <c r="X424" s="465"/>
      <c r="Y424" s="465"/>
      <c r="Z424" s="465"/>
      <c r="AA424" s="465"/>
      <c r="AB424" s="465"/>
      <c r="AC424" s="465"/>
      <c r="AD424" s="465"/>
      <c r="AE424" s="465"/>
      <c r="AF424" s="465"/>
      <c r="AG424" s="465"/>
      <c r="AH424" s="465"/>
      <c r="AI424" s="465"/>
      <c r="AJ424" s="465"/>
      <c r="AK424" s="465"/>
      <c r="AL424" s="465"/>
      <c r="AM424" s="465"/>
      <c r="AN424" s="465"/>
      <c r="AO424" s="465"/>
      <c r="AP424" s="465"/>
      <c r="AQ424" s="465"/>
      <c r="AR424" s="465"/>
      <c r="AS424" s="465"/>
      <c r="AT424" s="465"/>
      <c r="AU424" s="465"/>
      <c r="AV424" s="465"/>
      <c r="AW424" s="465"/>
      <c r="AX424" s="465"/>
      <c r="AY424" s="465"/>
      <c r="AZ424" s="465"/>
      <c r="BA424" s="465"/>
      <c r="BB424" s="465"/>
      <c r="BC424" s="465"/>
    </row>
    <row r="425" spans="1:55">
      <c r="A425" s="465"/>
      <c r="B425" s="465"/>
      <c r="C425" s="465"/>
      <c r="D425" s="467"/>
      <c r="E425" s="465"/>
      <c r="F425" s="465"/>
      <c r="G425" s="465"/>
      <c r="H425" s="465"/>
      <c r="I425" s="465"/>
      <c r="J425" s="465"/>
      <c r="K425" s="465"/>
      <c r="L425" s="465"/>
      <c r="M425" s="465"/>
      <c r="N425" s="465"/>
      <c r="O425" s="465"/>
      <c r="P425" s="465"/>
      <c r="Q425" s="465"/>
      <c r="R425" s="465"/>
      <c r="S425" s="465"/>
      <c r="T425" s="465"/>
      <c r="U425" s="465"/>
      <c r="V425" s="465"/>
      <c r="W425" s="465"/>
      <c r="X425" s="465"/>
      <c r="Y425" s="465"/>
      <c r="Z425" s="465"/>
      <c r="AA425" s="465"/>
      <c r="AB425" s="465"/>
      <c r="AC425" s="465"/>
      <c r="AD425" s="465"/>
      <c r="AE425" s="465"/>
      <c r="AF425" s="465"/>
      <c r="AG425" s="465"/>
      <c r="AH425" s="465"/>
      <c r="AI425" s="465"/>
      <c r="AJ425" s="465"/>
      <c r="AK425" s="465"/>
      <c r="AL425" s="465"/>
      <c r="AM425" s="465"/>
      <c r="AN425" s="465"/>
      <c r="AO425" s="465"/>
      <c r="AP425" s="465"/>
      <c r="AQ425" s="465"/>
      <c r="AR425" s="465"/>
      <c r="AS425" s="465"/>
      <c r="AT425" s="465"/>
      <c r="AU425" s="465"/>
      <c r="AV425" s="465"/>
      <c r="AW425" s="465"/>
      <c r="AX425" s="465"/>
      <c r="AY425" s="465"/>
      <c r="AZ425" s="465"/>
      <c r="BA425" s="465"/>
      <c r="BB425" s="465"/>
      <c r="BC425" s="465"/>
    </row>
    <row r="426" spans="1:55">
      <c r="A426" s="465"/>
      <c r="B426" s="465"/>
      <c r="C426" s="465"/>
      <c r="D426" s="467"/>
      <c r="E426" s="465"/>
      <c r="F426" s="465"/>
      <c r="G426" s="465"/>
      <c r="H426" s="465"/>
      <c r="I426" s="465"/>
      <c r="J426" s="465"/>
      <c r="K426" s="465"/>
      <c r="L426" s="465"/>
      <c r="M426" s="465"/>
      <c r="N426" s="465"/>
      <c r="O426" s="465"/>
      <c r="P426" s="465"/>
      <c r="Q426" s="465"/>
      <c r="R426" s="465"/>
      <c r="S426" s="465"/>
      <c r="T426" s="465"/>
      <c r="U426" s="465"/>
      <c r="V426" s="465"/>
      <c r="W426" s="465"/>
      <c r="X426" s="465"/>
      <c r="Y426" s="465"/>
      <c r="Z426" s="465"/>
      <c r="AA426" s="465"/>
      <c r="AB426" s="465"/>
      <c r="AC426" s="465"/>
      <c r="AD426" s="465"/>
      <c r="AE426" s="465"/>
      <c r="AF426" s="465"/>
      <c r="AG426" s="465"/>
      <c r="AH426" s="465"/>
      <c r="AI426" s="465"/>
      <c r="AJ426" s="465"/>
      <c r="AK426" s="465"/>
      <c r="AL426" s="465"/>
      <c r="AM426" s="465"/>
      <c r="AN426" s="465"/>
      <c r="AO426" s="465"/>
      <c r="AP426" s="465"/>
      <c r="AQ426" s="465"/>
      <c r="AR426" s="465"/>
      <c r="AS426" s="465"/>
      <c r="AT426" s="465"/>
      <c r="AU426" s="465"/>
      <c r="AV426" s="465"/>
      <c r="AW426" s="465"/>
      <c r="AX426" s="465"/>
      <c r="AY426" s="465"/>
      <c r="AZ426" s="465"/>
      <c r="BA426" s="465"/>
      <c r="BB426" s="465"/>
      <c r="BC426" s="465"/>
    </row>
    <row r="427" spans="1:55">
      <c r="A427" s="465"/>
      <c r="B427" s="465"/>
      <c r="C427" s="465"/>
      <c r="D427" s="467"/>
      <c r="E427" s="465"/>
      <c r="F427" s="465"/>
      <c r="G427" s="465"/>
      <c r="H427" s="465"/>
      <c r="I427" s="465"/>
      <c r="J427" s="465"/>
      <c r="K427" s="465"/>
      <c r="L427" s="465"/>
      <c r="M427" s="465"/>
      <c r="N427" s="465"/>
      <c r="O427" s="465"/>
      <c r="P427" s="465"/>
      <c r="Q427" s="465"/>
      <c r="R427" s="465"/>
      <c r="S427" s="465"/>
      <c r="T427" s="465"/>
      <c r="U427" s="465"/>
      <c r="V427" s="465"/>
      <c r="W427" s="465"/>
      <c r="X427" s="465"/>
      <c r="Y427" s="465"/>
      <c r="Z427" s="465"/>
      <c r="AA427" s="465"/>
      <c r="AB427" s="465"/>
      <c r="AC427" s="465"/>
      <c r="AD427" s="465"/>
      <c r="AE427" s="465"/>
      <c r="AF427" s="465"/>
      <c r="AG427" s="465"/>
      <c r="AH427" s="465"/>
      <c r="AI427" s="465"/>
      <c r="AJ427" s="465"/>
      <c r="AK427" s="465"/>
      <c r="AL427" s="465"/>
      <c r="AM427" s="465"/>
      <c r="AN427" s="465"/>
      <c r="AO427" s="465"/>
      <c r="AP427" s="465"/>
      <c r="AQ427" s="465"/>
      <c r="AR427" s="465"/>
      <c r="AS427" s="465"/>
      <c r="AT427" s="465"/>
      <c r="AU427" s="465"/>
      <c r="AV427" s="465"/>
      <c r="AW427" s="465"/>
      <c r="AX427" s="465"/>
      <c r="AY427" s="465"/>
      <c r="AZ427" s="465"/>
      <c r="BA427" s="465"/>
      <c r="BB427" s="465"/>
      <c r="BC427" s="465"/>
    </row>
    <row r="428" spans="1:55">
      <c r="A428" s="465"/>
      <c r="B428" s="465"/>
      <c r="C428" s="465"/>
      <c r="D428" s="467"/>
      <c r="E428" s="465"/>
      <c r="F428" s="465"/>
      <c r="G428" s="465"/>
      <c r="H428" s="465"/>
      <c r="I428" s="465"/>
      <c r="J428" s="465"/>
      <c r="K428" s="465"/>
      <c r="L428" s="465"/>
      <c r="M428" s="465"/>
      <c r="N428" s="465"/>
      <c r="O428" s="465"/>
      <c r="P428" s="465"/>
      <c r="Q428" s="465"/>
      <c r="R428" s="465"/>
      <c r="S428" s="465"/>
      <c r="T428" s="465"/>
      <c r="U428" s="465"/>
      <c r="V428" s="465"/>
      <c r="W428" s="465"/>
      <c r="X428" s="465"/>
      <c r="Y428" s="465"/>
      <c r="Z428" s="465"/>
      <c r="AA428" s="465"/>
      <c r="AB428" s="465"/>
      <c r="AC428" s="465"/>
      <c r="AD428" s="465"/>
      <c r="AE428" s="465"/>
      <c r="AF428" s="465"/>
      <c r="AG428" s="465"/>
      <c r="AH428" s="465"/>
      <c r="AI428" s="465"/>
      <c r="AJ428" s="465"/>
      <c r="AK428" s="465"/>
      <c r="AL428" s="465"/>
      <c r="AM428" s="465"/>
      <c r="AN428" s="465"/>
      <c r="AO428" s="465"/>
      <c r="AP428" s="465"/>
      <c r="AQ428" s="465"/>
      <c r="AR428" s="465"/>
      <c r="AS428" s="465"/>
      <c r="AT428" s="465"/>
      <c r="AU428" s="465"/>
      <c r="AV428" s="465"/>
      <c r="AW428" s="465"/>
      <c r="AX428" s="465"/>
      <c r="AY428" s="465"/>
      <c r="AZ428" s="465"/>
      <c r="BA428" s="465"/>
      <c r="BB428" s="465"/>
      <c r="BC428" s="465"/>
    </row>
    <row r="429" spans="1:55">
      <c r="A429" s="465"/>
      <c r="B429" s="465"/>
      <c r="C429" s="465"/>
      <c r="D429" s="467"/>
      <c r="E429" s="465"/>
      <c r="F429" s="465"/>
      <c r="G429" s="465"/>
      <c r="H429" s="465"/>
      <c r="I429" s="465"/>
      <c r="J429" s="465"/>
      <c r="K429" s="465"/>
      <c r="L429" s="465"/>
      <c r="M429" s="465"/>
      <c r="N429" s="465"/>
      <c r="O429" s="465"/>
      <c r="P429" s="465"/>
      <c r="Q429" s="465"/>
      <c r="R429" s="465"/>
      <c r="S429" s="465"/>
      <c r="T429" s="465"/>
      <c r="U429" s="465"/>
      <c r="V429" s="465"/>
      <c r="W429" s="465"/>
      <c r="X429" s="465"/>
      <c r="Y429" s="465"/>
      <c r="Z429" s="465"/>
      <c r="AA429" s="465"/>
      <c r="AB429" s="465"/>
      <c r="AC429" s="465"/>
      <c r="AD429" s="465"/>
      <c r="AE429" s="465"/>
      <c r="AF429" s="465"/>
      <c r="AG429" s="465"/>
      <c r="AH429" s="465"/>
      <c r="AI429" s="465"/>
      <c r="AJ429" s="465"/>
      <c r="AK429" s="465"/>
      <c r="AL429" s="465"/>
      <c r="AM429" s="465"/>
      <c r="AN429" s="465"/>
      <c r="AO429" s="465"/>
      <c r="AP429" s="465"/>
      <c r="AQ429" s="465"/>
      <c r="AR429" s="465"/>
      <c r="AS429" s="465"/>
      <c r="AT429" s="465"/>
      <c r="AU429" s="465"/>
      <c r="AV429" s="465"/>
      <c r="AW429" s="465"/>
      <c r="AX429" s="465"/>
      <c r="AY429" s="465"/>
      <c r="AZ429" s="465"/>
      <c r="BA429" s="465"/>
      <c r="BB429" s="465"/>
      <c r="BC429" s="465"/>
    </row>
    <row r="430" spans="1:55">
      <c r="A430" s="465"/>
      <c r="B430" s="465"/>
      <c r="C430" s="465"/>
      <c r="D430" s="467"/>
      <c r="E430" s="465"/>
      <c r="F430" s="465"/>
      <c r="G430" s="465"/>
      <c r="H430" s="465"/>
      <c r="I430" s="465"/>
      <c r="J430" s="465"/>
      <c r="K430" s="465"/>
      <c r="L430" s="465"/>
      <c r="M430" s="465"/>
      <c r="N430" s="465"/>
      <c r="O430" s="465"/>
      <c r="P430" s="465"/>
      <c r="Q430" s="465"/>
      <c r="R430" s="465"/>
      <c r="S430" s="465"/>
      <c r="T430" s="465"/>
      <c r="U430" s="465"/>
      <c r="V430" s="465"/>
      <c r="W430" s="465"/>
      <c r="X430" s="465"/>
      <c r="Y430" s="465"/>
      <c r="Z430" s="465"/>
      <c r="AA430" s="465"/>
      <c r="AB430" s="465"/>
      <c r="AC430" s="465"/>
      <c r="AD430" s="465"/>
      <c r="AE430" s="465"/>
      <c r="AF430" s="465"/>
      <c r="AG430" s="465"/>
      <c r="AH430" s="465"/>
      <c r="AI430" s="465"/>
      <c r="AJ430" s="465"/>
      <c r="AK430" s="465"/>
      <c r="AL430" s="465"/>
      <c r="AM430" s="465"/>
      <c r="AN430" s="465"/>
      <c r="AO430" s="465"/>
      <c r="AP430" s="465"/>
      <c r="AQ430" s="465"/>
      <c r="AR430" s="465"/>
      <c r="AS430" s="465"/>
      <c r="AT430" s="465"/>
      <c r="AU430" s="465"/>
      <c r="AV430" s="465"/>
      <c r="AW430" s="465"/>
      <c r="AX430" s="465"/>
      <c r="AY430" s="465"/>
      <c r="AZ430" s="465"/>
      <c r="BA430" s="465"/>
      <c r="BB430" s="465"/>
      <c r="BC430" s="465"/>
    </row>
    <row r="431" spans="1:55">
      <c r="A431" s="465"/>
      <c r="B431" s="465"/>
      <c r="C431" s="465"/>
      <c r="D431" s="467"/>
      <c r="E431" s="465"/>
      <c r="F431" s="465"/>
      <c r="G431" s="465"/>
      <c r="H431" s="465"/>
      <c r="I431" s="465"/>
      <c r="J431" s="465"/>
      <c r="K431" s="465"/>
      <c r="L431" s="465"/>
      <c r="M431" s="465"/>
      <c r="N431" s="465"/>
      <c r="O431" s="465"/>
      <c r="P431" s="465"/>
      <c r="Q431" s="465"/>
      <c r="R431" s="465"/>
      <c r="S431" s="465"/>
      <c r="T431" s="465"/>
      <c r="U431" s="465"/>
      <c r="V431" s="465"/>
      <c r="W431" s="465"/>
      <c r="X431" s="465"/>
      <c r="Y431" s="465"/>
      <c r="Z431" s="465"/>
      <c r="AA431" s="465"/>
      <c r="AB431" s="465"/>
      <c r="AC431" s="465"/>
      <c r="AD431" s="465"/>
      <c r="AE431" s="465"/>
      <c r="AF431" s="465"/>
      <c r="AG431" s="465"/>
      <c r="AH431" s="465"/>
      <c r="AI431" s="465"/>
      <c r="AJ431" s="465"/>
      <c r="AK431" s="465"/>
      <c r="AL431" s="465"/>
      <c r="AM431" s="465"/>
      <c r="AN431" s="465"/>
      <c r="AO431" s="465"/>
      <c r="AP431" s="465"/>
      <c r="AQ431" s="465"/>
      <c r="AR431" s="465"/>
      <c r="AS431" s="465"/>
      <c r="AT431" s="465"/>
      <c r="AU431" s="465"/>
      <c r="AV431" s="465"/>
      <c r="AW431" s="465"/>
      <c r="AX431" s="465"/>
      <c r="AY431" s="465"/>
      <c r="AZ431" s="465"/>
      <c r="BA431" s="465"/>
      <c r="BB431" s="465"/>
      <c r="BC431" s="465"/>
    </row>
    <row r="432" spans="1:55">
      <c r="A432" s="465"/>
      <c r="B432" s="465"/>
      <c r="C432" s="465"/>
      <c r="D432" s="467"/>
      <c r="E432" s="465"/>
      <c r="F432" s="465"/>
      <c r="G432" s="465"/>
      <c r="H432" s="465"/>
      <c r="I432" s="465"/>
      <c r="J432" s="465"/>
      <c r="K432" s="465"/>
      <c r="L432" s="465"/>
      <c r="M432" s="465"/>
      <c r="N432" s="465"/>
      <c r="O432" s="465"/>
      <c r="P432" s="465"/>
      <c r="Q432" s="465"/>
      <c r="R432" s="465"/>
      <c r="S432" s="465"/>
      <c r="T432" s="465"/>
      <c r="U432" s="465"/>
      <c r="V432" s="465"/>
      <c r="W432" s="465"/>
      <c r="X432" s="465"/>
      <c r="Y432" s="465"/>
      <c r="Z432" s="465"/>
      <c r="AA432" s="465"/>
      <c r="AB432" s="465"/>
      <c r="AC432" s="465"/>
      <c r="AD432" s="465"/>
      <c r="AE432" s="465"/>
      <c r="AF432" s="465"/>
      <c r="AG432" s="465"/>
      <c r="AH432" s="465"/>
      <c r="AI432" s="465"/>
      <c r="AJ432" s="465"/>
      <c r="AK432" s="465"/>
      <c r="AL432" s="465"/>
      <c r="AM432" s="465"/>
      <c r="AN432" s="465"/>
      <c r="AO432" s="465"/>
      <c r="AP432" s="465"/>
      <c r="AQ432" s="465"/>
      <c r="AR432" s="465"/>
      <c r="AS432" s="465"/>
      <c r="AT432" s="465"/>
      <c r="AU432" s="465"/>
      <c r="AV432" s="465"/>
      <c r="AW432" s="465"/>
      <c r="AX432" s="465"/>
      <c r="AY432" s="465"/>
      <c r="AZ432" s="465"/>
      <c r="BA432" s="465"/>
      <c r="BB432" s="465"/>
      <c r="BC432" s="465"/>
    </row>
    <row r="433" spans="1:55">
      <c r="A433" s="465"/>
      <c r="B433" s="465"/>
      <c r="C433" s="465"/>
      <c r="D433" s="467"/>
      <c r="E433" s="465"/>
      <c r="F433" s="465"/>
      <c r="G433" s="465"/>
      <c r="H433" s="465"/>
      <c r="I433" s="465"/>
      <c r="J433" s="465"/>
      <c r="K433" s="465"/>
      <c r="L433" s="465"/>
      <c r="M433" s="465"/>
      <c r="N433" s="465"/>
      <c r="O433" s="465"/>
      <c r="P433" s="465"/>
      <c r="Q433" s="465"/>
      <c r="R433" s="465"/>
      <c r="S433" s="465"/>
      <c r="T433" s="465"/>
      <c r="U433" s="465"/>
      <c r="V433" s="465"/>
      <c r="W433" s="465"/>
      <c r="X433" s="465"/>
      <c r="Y433" s="465"/>
      <c r="Z433" s="465"/>
      <c r="AA433" s="465"/>
      <c r="AB433" s="465"/>
      <c r="AC433" s="465"/>
      <c r="AD433" s="465"/>
      <c r="AE433" s="465"/>
      <c r="AF433" s="465"/>
      <c r="AG433" s="465"/>
      <c r="AH433" s="465"/>
      <c r="AI433" s="465"/>
      <c r="AJ433" s="465"/>
      <c r="AK433" s="465"/>
      <c r="AL433" s="465"/>
      <c r="AM433" s="465"/>
      <c r="AN433" s="465"/>
      <c r="AO433" s="465"/>
      <c r="AP433" s="465"/>
      <c r="AQ433" s="465"/>
      <c r="AR433" s="465"/>
      <c r="AS433" s="465"/>
      <c r="AT433" s="465"/>
      <c r="AU433" s="465"/>
      <c r="AV433" s="465"/>
      <c r="AW433" s="465"/>
      <c r="AX433" s="465"/>
      <c r="AY433" s="465"/>
      <c r="AZ433" s="465"/>
      <c r="BA433" s="465"/>
      <c r="BB433" s="465"/>
      <c r="BC433" s="465"/>
    </row>
    <row r="434" spans="1:55">
      <c r="A434" s="465"/>
      <c r="B434" s="465"/>
      <c r="C434" s="465"/>
      <c r="D434" s="467"/>
      <c r="E434" s="465"/>
      <c r="F434" s="465"/>
      <c r="G434" s="465"/>
      <c r="H434" s="465"/>
      <c r="I434" s="465"/>
      <c r="J434" s="465"/>
      <c r="K434" s="465"/>
      <c r="L434" s="465"/>
      <c r="M434" s="465"/>
      <c r="N434" s="465"/>
      <c r="O434" s="465"/>
      <c r="P434" s="465"/>
      <c r="Q434" s="465"/>
      <c r="R434" s="465"/>
      <c r="S434" s="465"/>
      <c r="T434" s="465"/>
      <c r="U434" s="465"/>
      <c r="V434" s="465"/>
      <c r="W434" s="465"/>
      <c r="X434" s="465"/>
      <c r="Y434" s="465"/>
      <c r="Z434" s="465"/>
      <c r="AA434" s="465"/>
      <c r="AB434" s="465"/>
      <c r="AC434" s="465"/>
      <c r="AD434" s="465"/>
      <c r="AE434" s="465"/>
      <c r="AF434" s="465"/>
      <c r="AG434" s="465"/>
      <c r="AH434" s="465"/>
      <c r="AI434" s="465"/>
      <c r="AJ434" s="465"/>
      <c r="AK434" s="465"/>
      <c r="AL434" s="465"/>
      <c r="AM434" s="465"/>
      <c r="AN434" s="465"/>
      <c r="AO434" s="465"/>
      <c r="AP434" s="465"/>
      <c r="AQ434" s="465"/>
      <c r="AR434" s="465"/>
      <c r="AS434" s="465"/>
      <c r="AT434" s="465"/>
      <c r="AU434" s="465"/>
      <c r="AV434" s="465"/>
      <c r="AW434" s="465"/>
      <c r="AX434" s="465"/>
      <c r="AY434" s="465"/>
      <c r="AZ434" s="465"/>
      <c r="BA434" s="465"/>
      <c r="BB434" s="465"/>
      <c r="BC434" s="465"/>
    </row>
    <row r="435" spans="1:55">
      <c r="A435" s="465"/>
      <c r="B435" s="465"/>
      <c r="C435" s="465"/>
      <c r="D435" s="467"/>
      <c r="E435" s="465"/>
      <c r="F435" s="465"/>
      <c r="G435" s="465"/>
      <c r="H435" s="465"/>
      <c r="I435" s="465"/>
      <c r="J435" s="465"/>
      <c r="K435" s="465"/>
      <c r="L435" s="465"/>
      <c r="M435" s="465"/>
      <c r="N435" s="465"/>
      <c r="O435" s="465"/>
      <c r="P435" s="465"/>
      <c r="Q435" s="465"/>
      <c r="R435" s="465"/>
      <c r="S435" s="465"/>
      <c r="T435" s="465"/>
      <c r="U435" s="465"/>
      <c r="V435" s="465"/>
      <c r="W435" s="465"/>
      <c r="X435" s="465"/>
      <c r="Y435" s="465"/>
      <c r="Z435" s="465"/>
      <c r="AA435" s="465"/>
      <c r="AB435" s="465"/>
      <c r="AC435" s="465"/>
      <c r="AD435" s="465"/>
      <c r="AE435" s="465"/>
      <c r="AF435" s="465"/>
      <c r="AG435" s="465"/>
      <c r="AH435" s="465"/>
      <c r="AI435" s="465"/>
      <c r="AJ435" s="465"/>
      <c r="AK435" s="465"/>
      <c r="AL435" s="465"/>
      <c r="AM435" s="465"/>
      <c r="AN435" s="465"/>
      <c r="AO435" s="465"/>
      <c r="AP435" s="465"/>
      <c r="AQ435" s="465"/>
      <c r="AR435" s="465"/>
      <c r="AS435" s="465"/>
      <c r="AT435" s="465"/>
      <c r="AU435" s="465"/>
      <c r="AV435" s="465"/>
      <c r="AW435" s="465"/>
      <c r="AX435" s="465"/>
      <c r="AY435" s="465"/>
      <c r="AZ435" s="465"/>
      <c r="BA435" s="465"/>
      <c r="BB435" s="465"/>
      <c r="BC435" s="465"/>
    </row>
    <row r="436" spans="1:55">
      <c r="A436" s="465"/>
      <c r="B436" s="465"/>
      <c r="C436" s="465"/>
      <c r="D436" s="467"/>
      <c r="E436" s="465"/>
      <c r="F436" s="465"/>
      <c r="G436" s="465"/>
      <c r="H436" s="465"/>
      <c r="I436" s="465"/>
      <c r="J436" s="465"/>
      <c r="K436" s="465"/>
      <c r="L436" s="465"/>
      <c r="M436" s="465"/>
      <c r="N436" s="465"/>
      <c r="O436" s="465"/>
      <c r="P436" s="465"/>
      <c r="Q436" s="465"/>
      <c r="R436" s="465"/>
      <c r="S436" s="465"/>
      <c r="T436" s="465"/>
      <c r="U436" s="465"/>
      <c r="V436" s="465"/>
      <c r="W436" s="465"/>
      <c r="X436" s="465"/>
      <c r="Y436" s="465"/>
      <c r="Z436" s="465"/>
      <c r="AA436" s="465"/>
      <c r="AB436" s="465"/>
      <c r="AC436" s="465"/>
      <c r="AD436" s="465"/>
      <c r="AE436" s="465"/>
      <c r="AF436" s="465"/>
      <c r="AG436" s="465"/>
      <c r="AH436" s="465"/>
      <c r="AI436" s="465"/>
      <c r="AJ436" s="465"/>
      <c r="AK436" s="465"/>
      <c r="AL436" s="465"/>
      <c r="AM436" s="465"/>
      <c r="AN436" s="465"/>
      <c r="AO436" s="465"/>
      <c r="AP436" s="465"/>
      <c r="AQ436" s="465"/>
      <c r="AR436" s="465"/>
      <c r="AS436" s="465"/>
      <c r="AT436" s="465"/>
      <c r="AU436" s="465"/>
      <c r="AV436" s="465"/>
      <c r="AW436" s="465"/>
      <c r="AX436" s="465"/>
      <c r="AY436" s="465"/>
      <c r="AZ436" s="465"/>
      <c r="BA436" s="465"/>
      <c r="BB436" s="465"/>
      <c r="BC436" s="465"/>
    </row>
    <row r="437" spans="1:55">
      <c r="A437" s="465"/>
      <c r="B437" s="465"/>
      <c r="C437" s="465"/>
      <c r="D437" s="467"/>
      <c r="E437" s="465"/>
      <c r="F437" s="465"/>
      <c r="G437" s="465"/>
      <c r="H437" s="465"/>
      <c r="I437" s="465"/>
      <c r="J437" s="465"/>
      <c r="K437" s="465"/>
      <c r="L437" s="465"/>
      <c r="M437" s="465"/>
      <c r="N437" s="465"/>
      <c r="O437" s="465"/>
      <c r="P437" s="465"/>
      <c r="Q437" s="465"/>
      <c r="R437" s="465"/>
      <c r="S437" s="465"/>
      <c r="T437" s="465"/>
      <c r="U437" s="465"/>
      <c r="V437" s="465"/>
      <c r="W437" s="465"/>
      <c r="X437" s="465"/>
      <c r="Y437" s="465"/>
      <c r="Z437" s="465"/>
      <c r="AA437" s="465"/>
      <c r="AB437" s="465"/>
      <c r="AC437" s="465"/>
      <c r="AD437" s="465"/>
      <c r="AE437" s="465"/>
      <c r="AF437" s="465"/>
      <c r="AG437" s="465"/>
      <c r="AH437" s="465"/>
      <c r="AI437" s="465"/>
      <c r="AJ437" s="465"/>
      <c r="AK437" s="465"/>
      <c r="AL437" s="465"/>
      <c r="AM437" s="465"/>
      <c r="AN437" s="465"/>
      <c r="AO437" s="465"/>
      <c r="AP437" s="465"/>
      <c r="AQ437" s="465"/>
      <c r="AR437" s="465"/>
      <c r="AS437" s="465"/>
      <c r="AT437" s="465"/>
      <c r="AU437" s="465"/>
      <c r="AV437" s="465"/>
      <c r="AW437" s="465"/>
      <c r="AX437" s="465"/>
      <c r="AY437" s="465"/>
      <c r="AZ437" s="465"/>
      <c r="BA437" s="465"/>
      <c r="BB437" s="465"/>
      <c r="BC437" s="465"/>
    </row>
    <row r="438" spans="1:55">
      <c r="A438" s="465"/>
      <c r="B438" s="465"/>
      <c r="C438" s="465"/>
      <c r="D438" s="467"/>
      <c r="E438" s="465"/>
      <c r="F438" s="465"/>
      <c r="G438" s="465"/>
      <c r="H438" s="465"/>
      <c r="I438" s="465"/>
      <c r="J438" s="465"/>
      <c r="K438" s="465"/>
      <c r="L438" s="465"/>
      <c r="M438" s="465"/>
      <c r="N438" s="465"/>
      <c r="O438" s="465"/>
      <c r="P438" s="465"/>
      <c r="Q438" s="465"/>
      <c r="R438" s="465"/>
      <c r="S438" s="465"/>
      <c r="T438" s="465"/>
      <c r="U438" s="465"/>
      <c r="V438" s="465"/>
      <c r="W438" s="465"/>
      <c r="X438" s="465"/>
      <c r="Y438" s="465"/>
      <c r="Z438" s="465"/>
      <c r="AA438" s="465"/>
      <c r="AB438" s="465"/>
      <c r="AC438" s="465"/>
      <c r="AD438" s="465"/>
      <c r="AE438" s="465"/>
      <c r="AF438" s="465"/>
      <c r="AG438" s="465"/>
      <c r="AH438" s="465"/>
      <c r="AI438" s="465"/>
      <c r="AJ438" s="465"/>
      <c r="AK438" s="465"/>
      <c r="AL438" s="465"/>
      <c r="AM438" s="465"/>
      <c r="AN438" s="465"/>
      <c r="AO438" s="465"/>
      <c r="AP438" s="465"/>
      <c r="AQ438" s="465"/>
      <c r="AR438" s="465"/>
      <c r="AS438" s="465"/>
      <c r="AT438" s="465"/>
      <c r="AU438" s="465"/>
      <c r="AV438" s="465"/>
      <c r="AW438" s="465"/>
      <c r="AX438" s="465"/>
      <c r="AY438" s="465"/>
      <c r="AZ438" s="465"/>
      <c r="BA438" s="465"/>
      <c r="BB438" s="465"/>
      <c r="BC438" s="465"/>
    </row>
    <row r="439" spans="1:55">
      <c r="A439" s="465"/>
      <c r="B439" s="465"/>
      <c r="C439" s="465"/>
      <c r="D439" s="467"/>
      <c r="E439" s="465"/>
      <c r="F439" s="465"/>
      <c r="G439" s="465"/>
      <c r="H439" s="465"/>
      <c r="I439" s="465"/>
      <c r="J439" s="465"/>
      <c r="K439" s="465"/>
      <c r="L439" s="465"/>
      <c r="M439" s="465"/>
      <c r="N439" s="465"/>
      <c r="O439" s="465"/>
      <c r="P439" s="465"/>
      <c r="Q439" s="465"/>
      <c r="R439" s="465"/>
      <c r="S439" s="465"/>
      <c r="T439" s="465"/>
      <c r="U439" s="465"/>
      <c r="V439" s="465"/>
      <c r="W439" s="465"/>
      <c r="X439" s="465"/>
      <c r="Y439" s="465"/>
      <c r="Z439" s="465"/>
      <c r="AA439" s="465"/>
      <c r="AB439" s="465"/>
      <c r="AC439" s="465"/>
      <c r="AD439" s="465"/>
      <c r="AE439" s="465"/>
      <c r="AF439" s="465"/>
      <c r="AG439" s="465"/>
      <c r="AH439" s="465"/>
      <c r="AI439" s="465"/>
      <c r="AJ439" s="465"/>
      <c r="AK439" s="465"/>
      <c r="AL439" s="465"/>
      <c r="AM439" s="465"/>
      <c r="AN439" s="465"/>
      <c r="AO439" s="465"/>
      <c r="AP439" s="465"/>
      <c r="AQ439" s="465"/>
      <c r="AR439" s="465"/>
      <c r="AS439" s="465"/>
      <c r="AT439" s="465"/>
      <c r="AU439" s="465"/>
      <c r="AV439" s="465"/>
      <c r="AW439" s="465"/>
      <c r="AX439" s="465"/>
      <c r="AY439" s="465"/>
      <c r="AZ439" s="465"/>
      <c r="BA439" s="465"/>
      <c r="BB439" s="465"/>
      <c r="BC439" s="465"/>
    </row>
    <row r="440" spans="1:55">
      <c r="A440" s="465"/>
      <c r="B440" s="465"/>
      <c r="C440" s="465"/>
      <c r="D440" s="467"/>
      <c r="E440" s="465"/>
      <c r="F440" s="465"/>
      <c r="G440" s="465"/>
      <c r="H440" s="465"/>
      <c r="I440" s="465"/>
      <c r="J440" s="465"/>
      <c r="K440" s="465"/>
      <c r="L440" s="465"/>
      <c r="M440" s="465"/>
      <c r="N440" s="465"/>
      <c r="O440" s="465"/>
      <c r="P440" s="465"/>
      <c r="Q440" s="465"/>
      <c r="R440" s="465"/>
      <c r="S440" s="465"/>
      <c r="T440" s="465"/>
      <c r="U440" s="465"/>
      <c r="V440" s="465"/>
      <c r="W440" s="465"/>
      <c r="X440" s="465"/>
      <c r="Y440" s="465"/>
      <c r="Z440" s="465"/>
      <c r="AA440" s="465"/>
      <c r="AB440" s="465"/>
      <c r="AC440" s="465"/>
      <c r="AD440" s="465"/>
      <c r="AE440" s="465"/>
      <c r="AF440" s="465"/>
      <c r="AG440" s="465"/>
      <c r="AH440" s="465"/>
      <c r="AI440" s="465"/>
      <c r="AJ440" s="465"/>
      <c r="AK440" s="465"/>
      <c r="AL440" s="465"/>
      <c r="AM440" s="465"/>
      <c r="AN440" s="465"/>
      <c r="AO440" s="465"/>
      <c r="AP440" s="465"/>
      <c r="AQ440" s="465"/>
      <c r="AR440" s="465"/>
      <c r="AS440" s="465"/>
      <c r="AT440" s="465"/>
      <c r="AU440" s="465"/>
      <c r="AV440" s="465"/>
      <c r="AW440" s="465"/>
      <c r="AX440" s="465"/>
      <c r="AY440" s="465"/>
      <c r="AZ440" s="465"/>
      <c r="BA440" s="465"/>
      <c r="BB440" s="465"/>
      <c r="BC440" s="465"/>
    </row>
    <row r="441" spans="1:55">
      <c r="A441" s="465"/>
      <c r="B441" s="465"/>
      <c r="C441" s="465"/>
      <c r="D441" s="467"/>
      <c r="E441" s="465"/>
      <c r="F441" s="465"/>
      <c r="G441" s="465"/>
      <c r="H441" s="465"/>
      <c r="I441" s="465"/>
      <c r="J441" s="465"/>
      <c r="K441" s="465"/>
      <c r="L441" s="465"/>
      <c r="M441" s="465"/>
      <c r="N441" s="465"/>
      <c r="O441" s="465"/>
      <c r="P441" s="465"/>
      <c r="Q441" s="465"/>
      <c r="R441" s="465"/>
      <c r="S441" s="465"/>
      <c r="T441" s="465"/>
      <c r="U441" s="465"/>
      <c r="V441" s="465"/>
      <c r="W441" s="465"/>
      <c r="X441" s="465"/>
      <c r="Y441" s="465"/>
      <c r="Z441" s="465"/>
      <c r="AA441" s="465"/>
      <c r="AB441" s="465"/>
      <c r="AC441" s="465"/>
      <c r="AD441" s="465"/>
      <c r="AE441" s="465"/>
      <c r="AF441" s="465"/>
      <c r="AG441" s="465"/>
      <c r="AH441" s="465"/>
      <c r="AI441" s="465"/>
      <c r="AJ441" s="465"/>
      <c r="AK441" s="465"/>
      <c r="AL441" s="465"/>
      <c r="AM441" s="465"/>
      <c r="AN441" s="465"/>
      <c r="AO441" s="465"/>
      <c r="AP441" s="465"/>
      <c r="AQ441" s="465"/>
      <c r="AR441" s="465"/>
      <c r="AS441" s="465"/>
      <c r="AT441" s="465"/>
      <c r="AU441" s="465"/>
      <c r="AV441" s="465"/>
      <c r="AW441" s="465"/>
      <c r="AX441" s="465"/>
      <c r="AY441" s="465"/>
      <c r="AZ441" s="465"/>
      <c r="BA441" s="465"/>
      <c r="BB441" s="465"/>
      <c r="BC441" s="465"/>
    </row>
    <row r="442" spans="1:55">
      <c r="A442" s="465"/>
      <c r="B442" s="465"/>
      <c r="C442" s="465"/>
      <c r="D442" s="467"/>
      <c r="E442" s="465"/>
      <c r="F442" s="465"/>
      <c r="G442" s="465"/>
      <c r="H442" s="465"/>
      <c r="I442" s="465"/>
      <c r="J442" s="465"/>
      <c r="K442" s="465"/>
      <c r="L442" s="465"/>
      <c r="M442" s="465"/>
      <c r="N442" s="465"/>
      <c r="O442" s="465"/>
      <c r="P442" s="465"/>
      <c r="Q442" s="465"/>
      <c r="R442" s="465"/>
      <c r="S442" s="465"/>
      <c r="T442" s="465"/>
      <c r="U442" s="465"/>
      <c r="V442" s="465"/>
      <c r="W442" s="465"/>
      <c r="X442" s="465"/>
      <c r="Y442" s="465"/>
      <c r="Z442" s="465"/>
      <c r="AA442" s="465"/>
      <c r="AB442" s="465"/>
      <c r="AC442" s="465"/>
      <c r="AD442" s="465"/>
      <c r="AE442" s="465"/>
      <c r="AF442" s="465"/>
      <c r="AG442" s="465"/>
      <c r="AH442" s="465"/>
      <c r="AI442" s="465"/>
      <c r="AJ442" s="465"/>
      <c r="AK442" s="465"/>
      <c r="AL442" s="465"/>
      <c r="AM442" s="465"/>
      <c r="AN442" s="465"/>
      <c r="AO442" s="465"/>
      <c r="AP442" s="465"/>
      <c r="AQ442" s="465"/>
      <c r="AR442" s="465"/>
      <c r="AS442" s="465"/>
      <c r="AT442" s="465"/>
      <c r="AU442" s="465"/>
      <c r="AV442" s="465"/>
      <c r="AW442" s="465"/>
      <c r="AX442" s="465"/>
      <c r="AY442" s="465"/>
      <c r="AZ442" s="465"/>
      <c r="BA442" s="465"/>
      <c r="BB442" s="465"/>
      <c r="BC442" s="465"/>
    </row>
    <row r="443" spans="1:55">
      <c r="A443" s="465"/>
      <c r="B443" s="465"/>
      <c r="C443" s="465"/>
      <c r="D443" s="467"/>
      <c r="E443" s="465"/>
      <c r="F443" s="465"/>
      <c r="G443" s="465"/>
      <c r="H443" s="465"/>
      <c r="I443" s="465"/>
      <c r="J443" s="465"/>
      <c r="K443" s="465"/>
      <c r="L443" s="465"/>
      <c r="M443" s="465"/>
      <c r="N443" s="465"/>
      <c r="O443" s="465"/>
      <c r="P443" s="465"/>
      <c r="Q443" s="465"/>
      <c r="R443" s="465"/>
      <c r="S443" s="465"/>
      <c r="T443" s="465"/>
      <c r="U443" s="465"/>
      <c r="V443" s="465"/>
      <c r="W443" s="465"/>
      <c r="X443" s="465"/>
      <c r="Y443" s="465"/>
      <c r="Z443" s="465"/>
      <c r="AA443" s="465"/>
      <c r="AB443" s="465"/>
      <c r="AC443" s="465"/>
      <c r="AD443" s="465"/>
      <c r="AE443" s="465"/>
      <c r="AF443" s="465"/>
      <c r="AG443" s="465"/>
      <c r="AH443" s="465"/>
      <c r="AI443" s="465"/>
      <c r="AJ443" s="465"/>
      <c r="AK443" s="465"/>
      <c r="AL443" s="465"/>
      <c r="AM443" s="465"/>
      <c r="AN443" s="465"/>
      <c r="AO443" s="465"/>
      <c r="AP443" s="465"/>
      <c r="AQ443" s="465"/>
      <c r="AR443" s="465"/>
      <c r="AS443" s="465"/>
      <c r="AT443" s="465"/>
      <c r="AU443" s="465"/>
      <c r="AV443" s="465"/>
      <c r="AW443" s="465"/>
      <c r="AX443" s="465"/>
      <c r="AY443" s="465"/>
      <c r="AZ443" s="465"/>
      <c r="BA443" s="465"/>
      <c r="BB443" s="465"/>
      <c r="BC443" s="465"/>
    </row>
    <row r="444" spans="1:55">
      <c r="A444" s="465"/>
      <c r="B444" s="465"/>
      <c r="C444" s="465"/>
      <c r="D444" s="467"/>
      <c r="E444" s="465"/>
      <c r="F444" s="465"/>
      <c r="G444" s="465"/>
      <c r="H444" s="465"/>
      <c r="I444" s="465"/>
      <c r="J444" s="465"/>
      <c r="K444" s="465"/>
      <c r="L444" s="465"/>
      <c r="M444" s="465"/>
      <c r="N444" s="465"/>
      <c r="O444" s="465"/>
      <c r="P444" s="465"/>
      <c r="Q444" s="465"/>
      <c r="R444" s="465"/>
      <c r="S444" s="465"/>
      <c r="T444" s="465"/>
      <c r="U444" s="465"/>
      <c r="V444" s="465"/>
      <c r="W444" s="465"/>
      <c r="X444" s="465"/>
      <c r="Y444" s="465"/>
      <c r="Z444" s="465"/>
      <c r="AA444" s="465"/>
      <c r="AB444" s="465"/>
      <c r="AC444" s="465"/>
      <c r="AD444" s="465"/>
      <c r="AE444" s="465"/>
      <c r="AF444" s="465"/>
      <c r="AG444" s="465"/>
      <c r="AH444" s="465"/>
      <c r="AI444" s="465"/>
      <c r="AJ444" s="465"/>
      <c r="AK444" s="465"/>
      <c r="AL444" s="465"/>
      <c r="AM444" s="465"/>
      <c r="AN444" s="465"/>
      <c r="AO444" s="465"/>
      <c r="AP444" s="465"/>
      <c r="AQ444" s="465"/>
      <c r="AR444" s="465"/>
      <c r="AS444" s="465"/>
      <c r="AT444" s="465"/>
      <c r="AU444" s="465"/>
      <c r="AV444" s="465"/>
      <c r="AW444" s="465"/>
      <c r="AX444" s="465"/>
      <c r="AY444" s="465"/>
      <c r="AZ444" s="465"/>
      <c r="BA444" s="465"/>
      <c r="BB444" s="465"/>
      <c r="BC444" s="465"/>
    </row>
    <row r="445" spans="1:55">
      <c r="A445" s="465"/>
      <c r="B445" s="465"/>
      <c r="C445" s="465"/>
      <c r="D445" s="467"/>
      <c r="E445" s="465"/>
      <c r="F445" s="465"/>
      <c r="G445" s="465"/>
      <c r="H445" s="465"/>
      <c r="I445" s="465"/>
      <c r="J445" s="465"/>
      <c r="K445" s="465"/>
      <c r="L445" s="465"/>
      <c r="M445" s="465"/>
      <c r="N445" s="465"/>
      <c r="O445" s="465"/>
      <c r="P445" s="465"/>
      <c r="Q445" s="465"/>
      <c r="R445" s="465"/>
      <c r="S445" s="465"/>
      <c r="T445" s="465"/>
      <c r="U445" s="465"/>
      <c r="V445" s="465"/>
      <c r="W445" s="465"/>
      <c r="X445" s="465"/>
      <c r="Y445" s="465"/>
      <c r="Z445" s="465"/>
      <c r="AA445" s="465"/>
      <c r="AB445" s="465"/>
      <c r="AC445" s="465"/>
      <c r="AD445" s="465"/>
      <c r="AE445" s="465"/>
      <c r="AF445" s="465"/>
      <c r="AG445" s="465"/>
      <c r="AH445" s="465"/>
      <c r="AI445" s="465"/>
      <c r="AJ445" s="465"/>
      <c r="AK445" s="465"/>
      <c r="AL445" s="465"/>
      <c r="AM445" s="465"/>
      <c r="AN445" s="465"/>
      <c r="AO445" s="465"/>
      <c r="AP445" s="465"/>
      <c r="AQ445" s="465"/>
      <c r="AR445" s="465"/>
      <c r="AS445" s="465"/>
      <c r="AT445" s="465"/>
      <c r="AU445" s="465"/>
      <c r="AV445" s="465"/>
      <c r="AW445" s="465"/>
      <c r="AX445" s="465"/>
      <c r="AY445" s="465"/>
      <c r="AZ445" s="465"/>
      <c r="BA445" s="465"/>
      <c r="BB445" s="465"/>
      <c r="BC445" s="465"/>
    </row>
    <row r="446" spans="1:55">
      <c r="A446" s="465"/>
      <c r="B446" s="465"/>
      <c r="C446" s="465"/>
      <c r="D446" s="467"/>
      <c r="E446" s="465"/>
      <c r="F446" s="465"/>
      <c r="G446" s="465"/>
      <c r="H446" s="465"/>
      <c r="I446" s="465"/>
      <c r="J446" s="465"/>
      <c r="K446" s="465"/>
      <c r="L446" s="465"/>
      <c r="M446" s="465"/>
      <c r="N446" s="465"/>
      <c r="O446" s="465"/>
      <c r="P446" s="465"/>
      <c r="Q446" s="465"/>
      <c r="R446" s="465"/>
      <c r="S446" s="465"/>
      <c r="T446" s="465"/>
      <c r="U446" s="465"/>
      <c r="V446" s="465"/>
      <c r="W446" s="465"/>
      <c r="X446" s="465"/>
      <c r="Y446" s="465"/>
      <c r="Z446" s="465"/>
      <c r="AA446" s="465"/>
      <c r="AB446" s="465"/>
      <c r="AC446" s="465"/>
      <c r="AD446" s="465"/>
      <c r="AE446" s="465"/>
      <c r="AF446" s="465"/>
      <c r="AG446" s="465"/>
      <c r="AH446" s="465"/>
      <c r="AI446" s="465"/>
      <c r="AJ446" s="465"/>
      <c r="AK446" s="465"/>
      <c r="AL446" s="465"/>
      <c r="AM446" s="465"/>
      <c r="AN446" s="465"/>
      <c r="AO446" s="465"/>
      <c r="AP446" s="465"/>
      <c r="AQ446" s="465"/>
      <c r="AR446" s="465"/>
      <c r="AS446" s="465"/>
      <c r="AT446" s="465"/>
      <c r="AU446" s="465"/>
      <c r="AV446" s="465"/>
      <c r="AW446" s="465"/>
      <c r="AX446" s="465"/>
      <c r="AY446" s="465"/>
      <c r="AZ446" s="465"/>
      <c r="BA446" s="465"/>
      <c r="BB446" s="465"/>
      <c r="BC446" s="465"/>
    </row>
    <row r="447" spans="1:55">
      <c r="A447" s="465"/>
      <c r="B447" s="465"/>
      <c r="C447" s="465"/>
      <c r="D447" s="467"/>
      <c r="E447" s="465"/>
      <c r="F447" s="465"/>
      <c r="G447" s="465"/>
      <c r="H447" s="465"/>
      <c r="I447" s="465"/>
      <c r="J447" s="465"/>
      <c r="K447" s="465"/>
      <c r="L447" s="465"/>
      <c r="M447" s="465"/>
      <c r="N447" s="465"/>
      <c r="O447" s="465"/>
      <c r="P447" s="465"/>
      <c r="Q447" s="465"/>
      <c r="R447" s="465"/>
      <c r="S447" s="465"/>
      <c r="T447" s="465"/>
      <c r="U447" s="465"/>
      <c r="V447" s="465"/>
      <c r="W447" s="465"/>
      <c r="X447" s="465"/>
      <c r="Y447" s="465"/>
      <c r="Z447" s="465"/>
      <c r="AA447" s="465"/>
      <c r="AB447" s="465"/>
      <c r="AC447" s="465"/>
      <c r="AD447" s="465"/>
      <c r="AE447" s="465"/>
      <c r="AF447" s="465"/>
      <c r="AG447" s="465"/>
      <c r="AH447" s="465"/>
      <c r="AI447" s="465"/>
      <c r="AJ447" s="465"/>
      <c r="AK447" s="465"/>
      <c r="AL447" s="465"/>
      <c r="AM447" s="465"/>
      <c r="AN447" s="465"/>
      <c r="AO447" s="465"/>
      <c r="AP447" s="465"/>
      <c r="AQ447" s="465"/>
      <c r="AR447" s="465"/>
      <c r="AS447" s="465"/>
      <c r="AT447" s="465"/>
      <c r="AU447" s="465"/>
      <c r="AV447" s="465"/>
      <c r="AW447" s="465"/>
      <c r="AX447" s="465"/>
      <c r="AY447" s="465"/>
      <c r="AZ447" s="465"/>
      <c r="BA447" s="465"/>
      <c r="BB447" s="465"/>
      <c r="BC447" s="465"/>
    </row>
    <row r="448" spans="1:55">
      <c r="A448" s="465"/>
      <c r="B448" s="465"/>
      <c r="C448" s="465"/>
      <c r="D448" s="467"/>
      <c r="E448" s="465"/>
      <c r="F448" s="465"/>
      <c r="G448" s="465"/>
      <c r="H448" s="465"/>
      <c r="I448" s="465"/>
      <c r="J448" s="465"/>
      <c r="K448" s="465"/>
      <c r="L448" s="465"/>
      <c r="M448" s="465"/>
      <c r="N448" s="465"/>
      <c r="O448" s="465"/>
      <c r="P448" s="465"/>
      <c r="Q448" s="465"/>
      <c r="R448" s="465"/>
      <c r="S448" s="465"/>
      <c r="T448" s="465"/>
      <c r="U448" s="465"/>
      <c r="V448" s="465"/>
      <c r="W448" s="465"/>
      <c r="X448" s="465"/>
      <c r="Y448" s="465"/>
      <c r="Z448" s="465"/>
      <c r="AA448" s="465"/>
      <c r="AB448" s="465"/>
      <c r="AC448" s="465"/>
      <c r="AD448" s="465"/>
      <c r="AE448" s="465"/>
      <c r="AF448" s="465"/>
      <c r="AG448" s="465"/>
      <c r="AH448" s="465"/>
      <c r="AI448" s="465"/>
      <c r="AJ448" s="465"/>
      <c r="AK448" s="465"/>
      <c r="AL448" s="465"/>
      <c r="AM448" s="465"/>
      <c r="AN448" s="465"/>
      <c r="AO448" s="465"/>
      <c r="AP448" s="465"/>
      <c r="AQ448" s="465"/>
      <c r="AR448" s="465"/>
      <c r="AS448" s="465"/>
      <c r="AT448" s="465"/>
      <c r="AU448" s="465"/>
      <c r="AV448" s="465"/>
      <c r="AW448" s="465"/>
      <c r="AX448" s="465"/>
      <c r="AY448" s="465"/>
      <c r="AZ448" s="465"/>
      <c r="BA448" s="465"/>
      <c r="BB448" s="465"/>
      <c r="BC448" s="465"/>
    </row>
    <row r="449" spans="1:55">
      <c r="A449" s="465"/>
      <c r="B449" s="465"/>
      <c r="C449" s="465"/>
      <c r="D449" s="467"/>
      <c r="E449" s="465"/>
      <c r="F449" s="465"/>
      <c r="G449" s="465"/>
      <c r="H449" s="465"/>
      <c r="I449" s="465"/>
      <c r="J449" s="465"/>
      <c r="K449" s="465"/>
      <c r="L449" s="465"/>
      <c r="M449" s="465"/>
      <c r="N449" s="465"/>
      <c r="O449" s="465"/>
      <c r="P449" s="465"/>
      <c r="Q449" s="465"/>
      <c r="R449" s="465"/>
      <c r="S449" s="465"/>
      <c r="T449" s="465"/>
      <c r="U449" s="465"/>
      <c r="V449" s="465"/>
      <c r="W449" s="465"/>
      <c r="X449" s="465"/>
      <c r="Y449" s="465"/>
      <c r="Z449" s="465"/>
      <c r="AA449" s="465"/>
      <c r="AB449" s="465"/>
      <c r="AC449" s="465"/>
      <c r="AD449" s="465"/>
      <c r="AE449" s="465"/>
      <c r="AF449" s="465"/>
      <c r="AG449" s="465"/>
      <c r="AH449" s="465"/>
      <c r="AI449" s="465"/>
      <c r="AJ449" s="465"/>
      <c r="AK449" s="465"/>
      <c r="AL449" s="465"/>
      <c r="AM449" s="465"/>
      <c r="AN449" s="465"/>
      <c r="AO449" s="465"/>
      <c r="AP449" s="465"/>
      <c r="AQ449" s="465"/>
      <c r="AR449" s="465"/>
      <c r="AS449" s="465"/>
      <c r="AT449" s="465"/>
      <c r="AU449" s="465"/>
      <c r="AV449" s="465"/>
      <c r="AW449" s="465"/>
      <c r="AX449" s="465"/>
      <c r="AY449" s="465"/>
      <c r="AZ449" s="465"/>
      <c r="BA449" s="465"/>
      <c r="BB449" s="465"/>
      <c r="BC449" s="465"/>
    </row>
    <row r="450" spans="1:55">
      <c r="A450" s="465"/>
      <c r="B450" s="465"/>
      <c r="C450" s="465"/>
      <c r="D450" s="467"/>
      <c r="E450" s="465"/>
      <c r="F450" s="465"/>
      <c r="G450" s="465"/>
      <c r="H450" s="465"/>
      <c r="I450" s="465"/>
      <c r="J450" s="465"/>
      <c r="K450" s="465"/>
      <c r="L450" s="465"/>
      <c r="M450" s="465"/>
      <c r="N450" s="465"/>
      <c r="O450" s="465"/>
      <c r="P450" s="465"/>
      <c r="Q450" s="465"/>
      <c r="R450" s="465"/>
      <c r="S450" s="465"/>
      <c r="T450" s="465"/>
      <c r="U450" s="465"/>
      <c r="V450" s="465"/>
      <c r="W450" s="465"/>
      <c r="X450" s="465"/>
      <c r="Y450" s="465"/>
      <c r="Z450" s="465"/>
      <c r="AA450" s="465"/>
      <c r="AB450" s="465"/>
      <c r="AC450" s="465"/>
      <c r="AD450" s="465"/>
      <c r="AE450" s="465"/>
      <c r="AF450" s="465"/>
      <c r="AG450" s="465"/>
      <c r="AH450" s="465"/>
      <c r="AI450" s="465"/>
      <c r="AJ450" s="465"/>
      <c r="AK450" s="465"/>
      <c r="AL450" s="465"/>
      <c r="AM450" s="465"/>
      <c r="AN450" s="465"/>
      <c r="AO450" s="465"/>
      <c r="AP450" s="465"/>
      <c r="AQ450" s="465"/>
      <c r="AR450" s="465"/>
      <c r="AS450" s="465"/>
      <c r="AT450" s="465"/>
      <c r="AU450" s="465"/>
      <c r="AV450" s="465"/>
      <c r="AW450" s="465"/>
      <c r="AX450" s="465"/>
      <c r="AY450" s="465"/>
      <c r="AZ450" s="465"/>
      <c r="BA450" s="465"/>
      <c r="BB450" s="465"/>
      <c r="BC450" s="465"/>
    </row>
    <row r="451" spans="1:55">
      <c r="A451" s="465"/>
      <c r="B451" s="465"/>
      <c r="C451" s="465"/>
      <c r="D451" s="467"/>
      <c r="E451" s="465"/>
      <c r="F451" s="465"/>
      <c r="G451" s="465"/>
      <c r="H451" s="465"/>
      <c r="I451" s="465"/>
      <c r="J451" s="465"/>
      <c r="K451" s="465"/>
      <c r="L451" s="465"/>
      <c r="M451" s="465"/>
      <c r="N451" s="465"/>
      <c r="O451" s="465"/>
      <c r="P451" s="465"/>
      <c r="Q451" s="465"/>
      <c r="R451" s="465"/>
      <c r="S451" s="465"/>
      <c r="T451" s="465"/>
      <c r="U451" s="465"/>
      <c r="V451" s="465"/>
      <c r="W451" s="465"/>
      <c r="X451" s="465"/>
      <c r="Y451" s="465"/>
      <c r="Z451" s="465"/>
      <c r="AA451" s="465"/>
      <c r="AB451" s="465"/>
      <c r="AC451" s="465"/>
      <c r="AD451" s="465"/>
      <c r="AE451" s="465"/>
      <c r="AF451" s="465"/>
      <c r="AG451" s="465"/>
      <c r="AH451" s="465"/>
      <c r="AI451" s="465"/>
      <c r="AJ451" s="465"/>
      <c r="AK451" s="465"/>
      <c r="AL451" s="465"/>
      <c r="AM451" s="465"/>
      <c r="AN451" s="465"/>
      <c r="AO451" s="465"/>
      <c r="AP451" s="465"/>
      <c r="AQ451" s="465"/>
      <c r="AR451" s="465"/>
      <c r="AS451" s="465"/>
      <c r="AT451" s="465"/>
      <c r="AU451" s="465"/>
      <c r="AV451" s="465"/>
      <c r="AW451" s="465"/>
      <c r="AX451" s="465"/>
      <c r="AY451" s="465"/>
      <c r="AZ451" s="465"/>
      <c r="BA451" s="465"/>
      <c r="BB451" s="465"/>
      <c r="BC451" s="465"/>
    </row>
    <row r="452" spans="1:55">
      <c r="A452" s="465"/>
      <c r="B452" s="465"/>
      <c r="C452" s="465"/>
      <c r="D452" s="467"/>
      <c r="E452" s="465"/>
      <c r="F452" s="465"/>
      <c r="G452" s="465"/>
      <c r="H452" s="465"/>
      <c r="I452" s="465"/>
      <c r="J452" s="465"/>
      <c r="K452" s="465"/>
      <c r="L452" s="465"/>
      <c r="M452" s="465"/>
      <c r="N452" s="465"/>
      <c r="O452" s="465"/>
      <c r="P452" s="465"/>
      <c r="Q452" s="465"/>
      <c r="R452" s="465"/>
      <c r="S452" s="465"/>
      <c r="T452" s="465"/>
      <c r="U452" s="465"/>
      <c r="V452" s="465"/>
      <c r="W452" s="465"/>
      <c r="X452" s="465"/>
      <c r="Y452" s="465"/>
      <c r="Z452" s="465"/>
      <c r="AA452" s="465"/>
      <c r="AB452" s="465"/>
      <c r="AC452" s="465"/>
      <c r="AD452" s="465"/>
      <c r="AE452" s="465"/>
      <c r="AF452" s="465"/>
      <c r="AG452" s="465"/>
      <c r="AH452" s="465"/>
      <c r="AI452" s="465"/>
      <c r="AJ452" s="465"/>
      <c r="AK452" s="465"/>
      <c r="AL452" s="465"/>
      <c r="AM452" s="465"/>
      <c r="AN452" s="465"/>
      <c r="AO452" s="465"/>
      <c r="AP452" s="465"/>
      <c r="AQ452" s="465"/>
      <c r="AR452" s="465"/>
      <c r="AS452" s="465"/>
      <c r="AT452" s="465"/>
      <c r="AU452" s="465"/>
      <c r="AV452" s="465"/>
      <c r="AW452" s="465"/>
      <c r="AX452" s="465"/>
      <c r="AY452" s="465"/>
      <c r="AZ452" s="465"/>
      <c r="BA452" s="465"/>
      <c r="BB452" s="465"/>
      <c r="BC452" s="465"/>
    </row>
    <row r="453" spans="1:55">
      <c r="A453" s="465"/>
      <c r="B453" s="465"/>
      <c r="C453" s="465"/>
      <c r="D453" s="467"/>
      <c r="E453" s="465"/>
      <c r="F453" s="465"/>
      <c r="G453" s="465"/>
      <c r="H453" s="465"/>
      <c r="I453" s="465"/>
      <c r="J453" s="465"/>
      <c r="K453" s="465"/>
      <c r="L453" s="465"/>
      <c r="M453" s="465"/>
      <c r="N453" s="465"/>
      <c r="O453" s="465"/>
      <c r="P453" s="465"/>
      <c r="Q453" s="465"/>
      <c r="R453" s="465"/>
      <c r="S453" s="465"/>
      <c r="T453" s="465"/>
      <c r="U453" s="465"/>
      <c r="V453" s="465"/>
      <c r="W453" s="465"/>
      <c r="X453" s="465"/>
      <c r="Y453" s="465"/>
      <c r="Z453" s="465"/>
      <c r="AA453" s="465"/>
      <c r="AB453" s="465"/>
      <c r="AC453" s="465"/>
      <c r="AD453" s="465"/>
      <c r="AE453" s="465"/>
      <c r="AF453" s="465"/>
      <c r="AG453" s="465"/>
      <c r="AH453" s="465"/>
      <c r="AI453" s="465"/>
      <c r="AJ453" s="465"/>
      <c r="AK453" s="465"/>
      <c r="AL453" s="465"/>
      <c r="AM453" s="465"/>
      <c r="AN453" s="465"/>
      <c r="AO453" s="465"/>
      <c r="AP453" s="465"/>
      <c r="AQ453" s="465"/>
      <c r="AR453" s="465"/>
      <c r="AS453" s="465"/>
      <c r="AT453" s="465"/>
      <c r="AU453" s="465"/>
      <c r="AV453" s="465"/>
      <c r="AW453" s="465"/>
      <c r="AX453" s="465"/>
      <c r="AY453" s="465"/>
      <c r="AZ453" s="465"/>
      <c r="BA453" s="465"/>
      <c r="BB453" s="465"/>
      <c r="BC453" s="465"/>
    </row>
    <row r="454" spans="1:55">
      <c r="A454" s="465"/>
      <c r="B454" s="465"/>
      <c r="C454" s="465"/>
      <c r="D454" s="467"/>
      <c r="E454" s="465"/>
      <c r="F454" s="465"/>
      <c r="G454" s="465"/>
      <c r="H454" s="465"/>
      <c r="I454" s="465"/>
      <c r="J454" s="465"/>
      <c r="K454" s="465"/>
      <c r="L454" s="465"/>
      <c r="M454" s="465"/>
      <c r="N454" s="465"/>
      <c r="O454" s="465"/>
      <c r="P454" s="465"/>
      <c r="Q454" s="465"/>
      <c r="R454" s="465"/>
      <c r="S454" s="465"/>
      <c r="T454" s="465"/>
      <c r="U454" s="465"/>
      <c r="V454" s="465"/>
      <c r="W454" s="465"/>
      <c r="X454" s="465"/>
      <c r="Y454" s="465"/>
      <c r="Z454" s="465"/>
      <c r="AA454" s="465"/>
      <c r="AB454" s="465"/>
      <c r="AC454" s="465"/>
      <c r="AD454" s="465"/>
      <c r="AE454" s="465"/>
      <c r="AF454" s="465"/>
      <c r="AG454" s="465"/>
      <c r="AH454" s="465"/>
      <c r="AI454" s="465"/>
      <c r="AJ454" s="465"/>
      <c r="AK454" s="465"/>
      <c r="AL454" s="465"/>
      <c r="AM454" s="465"/>
      <c r="AN454" s="465"/>
      <c r="AO454" s="465"/>
      <c r="AP454" s="465"/>
      <c r="AQ454" s="465"/>
      <c r="AR454" s="465"/>
      <c r="AS454" s="465"/>
      <c r="AT454" s="465"/>
      <c r="AU454" s="465"/>
      <c r="AV454" s="465"/>
      <c r="AW454" s="465"/>
      <c r="AX454" s="465"/>
      <c r="AY454" s="465"/>
      <c r="AZ454" s="465"/>
      <c r="BA454" s="465"/>
      <c r="BB454" s="465"/>
      <c r="BC454" s="465"/>
    </row>
    <row r="455" spans="1:55">
      <c r="A455" s="465"/>
      <c r="B455" s="465"/>
      <c r="C455" s="465"/>
      <c r="D455" s="467"/>
      <c r="E455" s="465"/>
      <c r="F455" s="465"/>
      <c r="G455" s="465"/>
      <c r="H455" s="465"/>
      <c r="I455" s="465"/>
      <c r="J455" s="465"/>
      <c r="K455" s="465"/>
      <c r="L455" s="465"/>
      <c r="M455" s="465"/>
      <c r="N455" s="465"/>
      <c r="O455" s="465"/>
      <c r="P455" s="465"/>
      <c r="Q455" s="465"/>
      <c r="R455" s="465"/>
      <c r="S455" s="465"/>
      <c r="T455" s="465"/>
      <c r="U455" s="465"/>
      <c r="V455" s="465"/>
      <c r="W455" s="465"/>
      <c r="X455" s="465"/>
      <c r="Y455" s="465"/>
      <c r="Z455" s="465"/>
      <c r="AA455" s="465"/>
      <c r="AB455" s="465"/>
      <c r="AC455" s="465"/>
      <c r="AD455" s="465"/>
      <c r="AE455" s="465"/>
      <c r="AF455" s="465"/>
      <c r="AG455" s="465"/>
      <c r="AH455" s="465"/>
      <c r="AI455" s="465"/>
      <c r="AJ455" s="465"/>
      <c r="AK455" s="465"/>
      <c r="AL455" s="465"/>
      <c r="AM455" s="465"/>
      <c r="AN455" s="465"/>
      <c r="AO455" s="465"/>
      <c r="AP455" s="465"/>
      <c r="AQ455" s="465"/>
      <c r="AR455" s="465"/>
      <c r="AS455" s="465"/>
      <c r="AT455" s="465"/>
      <c r="AU455" s="465"/>
      <c r="AV455" s="465"/>
      <c r="AW455" s="465"/>
      <c r="AX455" s="465"/>
      <c r="AY455" s="465"/>
      <c r="AZ455" s="465"/>
      <c r="BA455" s="465"/>
      <c r="BB455" s="465"/>
      <c r="BC455" s="465"/>
    </row>
    <row r="456" spans="1:55">
      <c r="A456" s="465"/>
      <c r="B456" s="465"/>
      <c r="C456" s="465"/>
      <c r="D456" s="467"/>
      <c r="E456" s="465"/>
      <c r="F456" s="465"/>
      <c r="G456" s="465"/>
      <c r="H456" s="465"/>
      <c r="I456" s="465"/>
      <c r="J456" s="465"/>
      <c r="K456" s="465"/>
      <c r="L456" s="465"/>
      <c r="M456" s="465"/>
      <c r="N456" s="465"/>
      <c r="O456" s="465"/>
      <c r="P456" s="465"/>
      <c r="Q456" s="465"/>
      <c r="R456" s="465"/>
      <c r="S456" s="465"/>
      <c r="T456" s="465"/>
      <c r="U456" s="465"/>
      <c r="V456" s="465"/>
      <c r="W456" s="465"/>
      <c r="X456" s="465"/>
      <c r="Y456" s="465"/>
      <c r="Z456" s="465"/>
      <c r="AA456" s="465"/>
      <c r="AB456" s="465"/>
      <c r="AC456" s="465"/>
      <c r="AD456" s="465"/>
      <c r="AE456" s="465"/>
      <c r="AF456" s="465"/>
      <c r="AG456" s="465"/>
      <c r="AH456" s="465"/>
      <c r="AI456" s="465"/>
      <c r="AJ456" s="465"/>
      <c r="AK456" s="465"/>
      <c r="AL456" s="465"/>
      <c r="AM456" s="465"/>
      <c r="AN456" s="465"/>
      <c r="AO456" s="465"/>
      <c r="AP456" s="465"/>
      <c r="AQ456" s="465"/>
      <c r="AR456" s="465"/>
      <c r="AS456" s="465"/>
      <c r="AT456" s="465"/>
      <c r="AU456" s="465"/>
      <c r="AV456" s="465"/>
      <c r="AW456" s="465"/>
      <c r="AX456" s="465"/>
      <c r="AY456" s="465"/>
      <c r="AZ456" s="465"/>
      <c r="BA456" s="465"/>
      <c r="BB456" s="465"/>
      <c r="BC456" s="465"/>
    </row>
    <row r="457" spans="1:55">
      <c r="A457" s="465"/>
      <c r="B457" s="465"/>
      <c r="C457" s="465"/>
      <c r="D457" s="467"/>
      <c r="E457" s="465"/>
      <c r="F457" s="465"/>
      <c r="G457" s="465"/>
      <c r="H457" s="465"/>
      <c r="I457" s="465"/>
      <c r="J457" s="465"/>
      <c r="K457" s="465"/>
      <c r="L457" s="465"/>
      <c r="M457" s="465"/>
      <c r="N457" s="465"/>
      <c r="O457" s="465"/>
      <c r="P457" s="465"/>
      <c r="Q457" s="465"/>
      <c r="R457" s="465"/>
      <c r="S457" s="465"/>
      <c r="T457" s="465"/>
      <c r="U457" s="465"/>
      <c r="V457" s="465"/>
      <c r="W457" s="465"/>
      <c r="X457" s="465"/>
      <c r="Y457" s="465"/>
      <c r="Z457" s="465"/>
      <c r="AA457" s="465"/>
      <c r="AB457" s="465"/>
      <c r="AC457" s="465"/>
      <c r="AD457" s="465"/>
      <c r="AE457" s="465"/>
      <c r="AF457" s="465"/>
      <c r="AG457" s="465"/>
      <c r="AH457" s="465"/>
      <c r="AI457" s="465"/>
      <c r="AJ457" s="465"/>
      <c r="AK457" s="465"/>
      <c r="AL457" s="465"/>
      <c r="AM457" s="465"/>
      <c r="AN457" s="465"/>
      <c r="AO457" s="465"/>
      <c r="AP457" s="465"/>
      <c r="AQ457" s="465"/>
      <c r="AR457" s="465"/>
      <c r="AS457" s="465"/>
      <c r="AT457" s="465"/>
      <c r="AU457" s="465"/>
      <c r="AV457" s="465"/>
      <c r="AW457" s="465"/>
      <c r="AX457" s="465"/>
      <c r="AY457" s="465"/>
      <c r="AZ457" s="465"/>
      <c r="BA457" s="465"/>
      <c r="BB457" s="465"/>
      <c r="BC457" s="465"/>
    </row>
    <row r="458" spans="1:55">
      <c r="A458" s="465"/>
      <c r="B458" s="465"/>
      <c r="C458" s="465"/>
      <c r="D458" s="467"/>
      <c r="E458" s="465"/>
      <c r="F458" s="465"/>
      <c r="G458" s="465"/>
      <c r="H458" s="465"/>
      <c r="I458" s="465"/>
      <c r="J458" s="465"/>
      <c r="K458" s="465"/>
      <c r="L458" s="465"/>
      <c r="M458" s="465"/>
      <c r="N458" s="465"/>
      <c r="O458" s="465"/>
      <c r="P458" s="465"/>
      <c r="Q458" s="465"/>
      <c r="R458" s="465"/>
      <c r="S458" s="465"/>
      <c r="T458" s="465"/>
      <c r="U458" s="465"/>
      <c r="V458" s="465"/>
      <c r="W458" s="465"/>
      <c r="X458" s="465"/>
      <c r="Y458" s="465"/>
      <c r="Z458" s="465"/>
      <c r="AA458" s="465"/>
      <c r="AB458" s="465"/>
      <c r="AC458" s="465"/>
      <c r="AD458" s="465"/>
      <c r="AE458" s="465"/>
      <c r="AF458" s="465"/>
      <c r="AG458" s="465"/>
      <c r="AH458" s="465"/>
      <c r="AI458" s="465"/>
      <c r="AJ458" s="465"/>
      <c r="AK458" s="465"/>
      <c r="AL458" s="465"/>
      <c r="AM458" s="465"/>
      <c r="AN458" s="465"/>
      <c r="AO458" s="465"/>
      <c r="AP458" s="465"/>
      <c r="AQ458" s="465"/>
      <c r="AR458" s="465"/>
      <c r="AS458" s="465"/>
      <c r="AT458" s="465"/>
      <c r="AU458" s="465"/>
      <c r="AV458" s="465"/>
      <c r="AW458" s="465"/>
      <c r="AX458" s="465"/>
      <c r="AY458" s="465"/>
      <c r="AZ458" s="465"/>
      <c r="BA458" s="465"/>
      <c r="BB458" s="465"/>
      <c r="BC458" s="465"/>
    </row>
    <row r="459" spans="1:55">
      <c r="A459" s="465"/>
      <c r="B459" s="465"/>
      <c r="C459" s="465"/>
      <c r="D459" s="467"/>
      <c r="E459" s="465"/>
      <c r="F459" s="465"/>
      <c r="G459" s="465"/>
      <c r="H459" s="465"/>
      <c r="I459" s="465"/>
      <c r="J459" s="465"/>
      <c r="K459" s="465"/>
      <c r="L459" s="465"/>
      <c r="M459" s="465"/>
      <c r="N459" s="465"/>
      <c r="O459" s="465"/>
      <c r="P459" s="465"/>
      <c r="Q459" s="465"/>
      <c r="R459" s="465"/>
      <c r="S459" s="465"/>
      <c r="T459" s="465"/>
      <c r="U459" s="465"/>
      <c r="V459" s="465"/>
      <c r="W459" s="465"/>
      <c r="X459" s="465"/>
      <c r="Y459" s="465"/>
      <c r="Z459" s="465"/>
      <c r="AA459" s="465"/>
      <c r="AB459" s="465"/>
      <c r="AC459" s="465"/>
      <c r="AD459" s="465"/>
      <c r="AE459" s="465"/>
      <c r="AF459" s="465"/>
      <c r="AG459" s="465"/>
      <c r="AH459" s="465"/>
      <c r="AI459" s="465"/>
      <c r="AJ459" s="465"/>
      <c r="AK459" s="465"/>
      <c r="AL459" s="465"/>
      <c r="AM459" s="465"/>
      <c r="AN459" s="465"/>
      <c r="AO459" s="465"/>
      <c r="AP459" s="465"/>
      <c r="AQ459" s="465"/>
      <c r="AR459" s="465"/>
      <c r="AS459" s="465"/>
      <c r="AT459" s="465"/>
      <c r="AU459" s="465"/>
      <c r="AV459" s="465"/>
      <c r="AW459" s="465"/>
      <c r="AX459" s="465"/>
      <c r="AY459" s="465"/>
      <c r="AZ459" s="465"/>
      <c r="BA459" s="465"/>
      <c r="BB459" s="465"/>
      <c r="BC459" s="465"/>
    </row>
    <row r="460" spans="1:55">
      <c r="A460" s="465"/>
      <c r="B460" s="465"/>
      <c r="C460" s="465"/>
      <c r="D460" s="467"/>
      <c r="E460" s="465"/>
      <c r="F460" s="465"/>
      <c r="G460" s="465"/>
      <c r="H460" s="465"/>
      <c r="I460" s="465"/>
      <c r="J460" s="465"/>
      <c r="K460" s="465"/>
      <c r="L460" s="465"/>
      <c r="M460" s="465"/>
      <c r="N460" s="465"/>
      <c r="O460" s="465"/>
      <c r="P460" s="465"/>
      <c r="Q460" s="465"/>
      <c r="R460" s="465"/>
      <c r="S460" s="465"/>
      <c r="T460" s="465"/>
      <c r="U460" s="465"/>
      <c r="V460" s="465"/>
      <c r="W460" s="465"/>
      <c r="X460" s="465"/>
      <c r="Y460" s="465"/>
      <c r="Z460" s="465"/>
      <c r="AA460" s="465"/>
      <c r="AB460" s="465"/>
      <c r="AC460" s="465"/>
      <c r="AD460" s="465"/>
      <c r="AE460" s="465"/>
      <c r="AF460" s="465"/>
      <c r="AG460" s="465"/>
      <c r="AH460" s="465"/>
      <c r="AI460" s="465"/>
      <c r="AJ460" s="465"/>
      <c r="AK460" s="465"/>
      <c r="AL460" s="465"/>
      <c r="AM460" s="465"/>
      <c r="AN460" s="465"/>
      <c r="AO460" s="465"/>
      <c r="AP460" s="465"/>
      <c r="AQ460" s="465"/>
      <c r="AR460" s="465"/>
      <c r="AS460" s="465"/>
      <c r="AT460" s="465"/>
      <c r="AU460" s="465"/>
      <c r="AV460" s="465"/>
      <c r="AW460" s="465"/>
      <c r="AX460" s="465"/>
      <c r="AY460" s="465"/>
      <c r="AZ460" s="465"/>
      <c r="BA460" s="465"/>
      <c r="BB460" s="465"/>
      <c r="BC460" s="465"/>
    </row>
    <row r="461" spans="1:55">
      <c r="A461" s="465"/>
      <c r="B461" s="465"/>
      <c r="C461" s="465"/>
      <c r="D461" s="467"/>
      <c r="E461" s="465"/>
      <c r="F461" s="465"/>
      <c r="G461" s="465"/>
      <c r="H461" s="465"/>
      <c r="I461" s="465"/>
      <c r="J461" s="465"/>
      <c r="K461" s="465"/>
      <c r="L461" s="465"/>
      <c r="M461" s="465"/>
      <c r="N461" s="465"/>
      <c r="O461" s="465"/>
      <c r="P461" s="465"/>
      <c r="Q461" s="465"/>
      <c r="R461" s="465"/>
      <c r="S461" s="465"/>
      <c r="T461" s="465"/>
      <c r="U461" s="465"/>
      <c r="V461" s="465"/>
      <c r="W461" s="465"/>
      <c r="X461" s="465"/>
      <c r="Y461" s="465"/>
      <c r="Z461" s="465"/>
      <c r="AA461" s="465"/>
      <c r="AB461" s="465"/>
      <c r="AC461" s="465"/>
      <c r="AD461" s="465"/>
      <c r="AE461" s="465"/>
      <c r="AF461" s="465"/>
      <c r="AG461" s="465"/>
      <c r="AH461" s="465"/>
      <c r="AI461" s="465"/>
      <c r="AJ461" s="465"/>
      <c r="AK461" s="465"/>
      <c r="AL461" s="465"/>
      <c r="AM461" s="465"/>
      <c r="AN461" s="465"/>
      <c r="AO461" s="465"/>
      <c r="AP461" s="465"/>
      <c r="AQ461" s="465"/>
      <c r="AR461" s="465"/>
      <c r="AS461" s="465"/>
      <c r="AT461" s="465"/>
      <c r="AU461" s="465"/>
      <c r="AV461" s="465"/>
      <c r="AW461" s="465"/>
      <c r="AX461" s="465"/>
      <c r="AY461" s="465"/>
      <c r="AZ461" s="465"/>
      <c r="BA461" s="465"/>
      <c r="BB461" s="465"/>
      <c r="BC461" s="465"/>
    </row>
    <row r="462" spans="1:55">
      <c r="A462" s="465"/>
      <c r="B462" s="465"/>
      <c r="C462" s="465"/>
      <c r="D462" s="467"/>
      <c r="E462" s="465"/>
      <c r="F462" s="465"/>
      <c r="G462" s="465"/>
      <c r="H462" s="465"/>
      <c r="I462" s="465"/>
      <c r="J462" s="465"/>
      <c r="K462" s="465"/>
      <c r="L462" s="465"/>
      <c r="M462" s="465"/>
      <c r="N462" s="465"/>
      <c r="O462" s="465"/>
      <c r="P462" s="465"/>
      <c r="Q462" s="465"/>
      <c r="R462" s="465"/>
      <c r="S462" s="465"/>
      <c r="T462" s="465"/>
      <c r="U462" s="465"/>
      <c r="V462" s="465"/>
      <c r="W462" s="465"/>
      <c r="X462" s="465"/>
      <c r="Y462" s="465"/>
      <c r="Z462" s="465"/>
      <c r="AA462" s="465"/>
      <c r="AB462" s="465"/>
      <c r="AC462" s="465"/>
      <c r="AD462" s="465"/>
      <c r="AE462" s="465"/>
      <c r="AF462" s="465"/>
      <c r="AG462" s="465"/>
      <c r="AH462" s="465"/>
      <c r="AI462" s="465"/>
      <c r="AJ462" s="465"/>
      <c r="AK462" s="465"/>
      <c r="AL462" s="465"/>
      <c r="AM462" s="465"/>
      <c r="AN462" s="465"/>
      <c r="AO462" s="465"/>
      <c r="AP462" s="465"/>
      <c r="AQ462" s="465"/>
      <c r="AR462" s="465"/>
      <c r="AS462" s="465"/>
      <c r="AT462" s="465"/>
      <c r="AU462" s="465"/>
      <c r="AV462" s="465"/>
      <c r="AW462" s="465"/>
      <c r="AX462" s="465"/>
      <c r="AY462" s="465"/>
      <c r="AZ462" s="465"/>
      <c r="BA462" s="465"/>
      <c r="BB462" s="465"/>
      <c r="BC462" s="465"/>
    </row>
    <row r="463" spans="1:55">
      <c r="A463" s="465"/>
      <c r="B463" s="465"/>
      <c r="C463" s="465"/>
      <c r="D463" s="467"/>
      <c r="E463" s="465"/>
      <c r="F463" s="465"/>
      <c r="G463" s="465"/>
      <c r="H463" s="465"/>
      <c r="I463" s="465"/>
      <c r="J463" s="465"/>
      <c r="K463" s="465"/>
      <c r="L463" s="465"/>
      <c r="M463" s="465"/>
      <c r="N463" s="465"/>
      <c r="O463" s="465"/>
      <c r="P463" s="465"/>
      <c r="Q463" s="465"/>
      <c r="R463" s="465"/>
      <c r="S463" s="465"/>
      <c r="T463" s="465"/>
      <c r="U463" s="465"/>
      <c r="V463" s="465"/>
      <c r="W463" s="465"/>
      <c r="X463" s="465"/>
      <c r="Y463" s="465"/>
      <c r="Z463" s="465"/>
      <c r="AA463" s="465"/>
      <c r="AB463" s="465"/>
      <c r="AC463" s="465"/>
      <c r="AD463" s="465"/>
      <c r="AE463" s="465"/>
      <c r="AF463" s="465"/>
      <c r="AG463" s="465"/>
      <c r="AH463" s="465"/>
      <c r="AI463" s="465"/>
      <c r="AJ463" s="465"/>
      <c r="AK463" s="465"/>
      <c r="AL463" s="465"/>
      <c r="AM463" s="465"/>
      <c r="AN463" s="465"/>
      <c r="AO463" s="465"/>
      <c r="AP463" s="465"/>
      <c r="AQ463" s="465"/>
      <c r="AR463" s="465"/>
      <c r="AS463" s="465"/>
      <c r="AT463" s="465"/>
      <c r="AU463" s="465"/>
      <c r="AV463" s="465"/>
      <c r="AW463" s="465"/>
      <c r="AX463" s="465"/>
      <c r="AY463" s="465"/>
      <c r="AZ463" s="465"/>
      <c r="BA463" s="465"/>
      <c r="BB463" s="465"/>
      <c r="BC463" s="465"/>
    </row>
    <row r="464" spans="1:55">
      <c r="A464" s="465"/>
      <c r="B464" s="465"/>
      <c r="C464" s="465"/>
      <c r="D464" s="467"/>
      <c r="E464" s="465"/>
      <c r="F464" s="465"/>
      <c r="G464" s="465"/>
      <c r="H464" s="465"/>
      <c r="I464" s="465"/>
      <c r="J464" s="465"/>
      <c r="K464" s="465"/>
      <c r="L464" s="465"/>
      <c r="M464" s="465"/>
      <c r="N464" s="465"/>
      <c r="O464" s="465"/>
      <c r="P464" s="465"/>
      <c r="Q464" s="465"/>
      <c r="R464" s="465"/>
      <c r="S464" s="465"/>
      <c r="T464" s="465"/>
      <c r="U464" s="465"/>
      <c r="V464" s="465"/>
      <c r="W464" s="465"/>
      <c r="X464" s="465"/>
      <c r="Y464" s="465"/>
      <c r="Z464" s="465"/>
      <c r="AA464" s="465"/>
      <c r="AB464" s="465"/>
      <c r="AC464" s="465"/>
      <c r="AD464" s="465"/>
      <c r="AE464" s="465"/>
      <c r="AF464" s="465"/>
      <c r="AG464" s="465"/>
      <c r="AH464" s="465"/>
      <c r="AI464" s="465"/>
      <c r="AJ464" s="465"/>
      <c r="AK464" s="465"/>
      <c r="AL464" s="465"/>
      <c r="AM464" s="465"/>
      <c r="AN464" s="465"/>
      <c r="AO464" s="465"/>
      <c r="AP464" s="465"/>
      <c r="AQ464" s="465"/>
      <c r="AR464" s="465"/>
      <c r="AS464" s="465"/>
      <c r="AT464" s="465"/>
      <c r="AU464" s="465"/>
      <c r="AV464" s="465"/>
      <c r="AW464" s="465"/>
      <c r="AX464" s="465"/>
      <c r="AY464" s="465"/>
      <c r="AZ464" s="465"/>
      <c r="BA464" s="465"/>
      <c r="BB464" s="465"/>
      <c r="BC464" s="465"/>
    </row>
    <row r="465" spans="1:55">
      <c r="A465" s="465"/>
      <c r="B465" s="465"/>
      <c r="C465" s="465"/>
      <c r="D465" s="467"/>
      <c r="E465" s="465"/>
      <c r="F465" s="465"/>
      <c r="G465" s="465"/>
      <c r="H465" s="465"/>
      <c r="I465" s="465"/>
      <c r="J465" s="465"/>
      <c r="K465" s="465"/>
      <c r="L465" s="465"/>
      <c r="M465" s="465"/>
      <c r="N465" s="465"/>
      <c r="O465" s="465"/>
      <c r="P465" s="465"/>
      <c r="Q465" s="465"/>
      <c r="R465" s="465"/>
      <c r="S465" s="465"/>
      <c r="T465" s="465"/>
      <c r="U465" s="465"/>
      <c r="V465" s="465"/>
      <c r="W465" s="465"/>
      <c r="X465" s="465"/>
      <c r="Y465" s="465"/>
      <c r="Z465" s="465"/>
      <c r="AA465" s="465"/>
      <c r="AB465" s="465"/>
      <c r="AC465" s="465"/>
      <c r="AD465" s="465"/>
      <c r="AE465" s="465"/>
      <c r="AF465" s="465"/>
      <c r="AG465" s="465"/>
      <c r="AH465" s="465"/>
      <c r="AI465" s="465"/>
      <c r="AJ465" s="465"/>
      <c r="AK465" s="465"/>
      <c r="AL465" s="465"/>
      <c r="AM465" s="465"/>
      <c r="AN465" s="465"/>
      <c r="AO465" s="465"/>
      <c r="AP465" s="465"/>
      <c r="AQ465" s="465"/>
      <c r="AR465" s="465"/>
      <c r="AS465" s="465"/>
      <c r="AT465" s="465"/>
      <c r="AU465" s="465"/>
      <c r="AV465" s="465"/>
      <c r="AW465" s="465"/>
      <c r="AX465" s="465"/>
      <c r="AY465" s="465"/>
      <c r="AZ465" s="465"/>
      <c r="BA465" s="465"/>
      <c r="BB465" s="465"/>
      <c r="BC465" s="465"/>
    </row>
    <row r="466" spans="1:55">
      <c r="A466" s="465"/>
      <c r="B466" s="465"/>
      <c r="C466" s="465"/>
      <c r="D466" s="467"/>
      <c r="E466" s="465"/>
      <c r="F466" s="465"/>
      <c r="G466" s="465"/>
      <c r="H466" s="465"/>
      <c r="I466" s="465"/>
      <c r="J466" s="465"/>
      <c r="K466" s="465"/>
      <c r="L466" s="465"/>
      <c r="M466" s="465"/>
      <c r="N466" s="465"/>
      <c r="O466" s="465"/>
      <c r="P466" s="465"/>
      <c r="Q466" s="465"/>
      <c r="R466" s="465"/>
      <c r="S466" s="465"/>
      <c r="T466" s="465"/>
      <c r="U466" s="465"/>
      <c r="V466" s="465"/>
      <c r="W466" s="465"/>
      <c r="X466" s="465"/>
      <c r="Y466" s="465"/>
      <c r="Z466" s="465"/>
      <c r="AA466" s="465"/>
      <c r="AB466" s="465"/>
      <c r="AC466" s="465"/>
      <c r="AD466" s="465"/>
      <c r="AE466" s="465"/>
      <c r="AF466" s="465"/>
      <c r="AG466" s="465"/>
      <c r="AH466" s="465"/>
      <c r="AI466" s="465"/>
      <c r="AJ466" s="465"/>
      <c r="AK466" s="465"/>
      <c r="AL466" s="465"/>
      <c r="AM466" s="465"/>
      <c r="AN466" s="465"/>
      <c r="AO466" s="465"/>
      <c r="AP466" s="465"/>
      <c r="AQ466" s="465"/>
      <c r="AR466" s="465"/>
      <c r="AS466" s="465"/>
      <c r="AT466" s="465"/>
      <c r="AU466" s="465"/>
      <c r="AV466" s="465"/>
      <c r="AW466" s="465"/>
      <c r="AX466" s="465"/>
      <c r="AY466" s="465"/>
      <c r="AZ466" s="465"/>
      <c r="BA466" s="465"/>
      <c r="BB466" s="465"/>
      <c r="BC466" s="465"/>
    </row>
    <row r="467" spans="1:55">
      <c r="A467" s="465"/>
      <c r="B467" s="465"/>
      <c r="C467" s="465"/>
      <c r="D467" s="467"/>
      <c r="E467" s="465"/>
      <c r="F467" s="465"/>
      <c r="G467" s="465"/>
      <c r="H467" s="465"/>
      <c r="I467" s="465"/>
      <c r="J467" s="465"/>
      <c r="K467" s="465"/>
      <c r="L467" s="465"/>
      <c r="M467" s="465"/>
      <c r="N467" s="465"/>
      <c r="O467" s="465"/>
      <c r="P467" s="465"/>
      <c r="Q467" s="465"/>
      <c r="R467" s="465"/>
      <c r="S467" s="465"/>
      <c r="T467" s="465"/>
      <c r="U467" s="465"/>
      <c r="V467" s="465"/>
      <c r="W467" s="465"/>
      <c r="X467" s="465"/>
      <c r="Y467" s="465"/>
      <c r="Z467" s="465"/>
      <c r="AA467" s="465"/>
      <c r="AB467" s="465"/>
      <c r="AC467" s="465"/>
      <c r="AD467" s="465"/>
      <c r="AE467" s="465"/>
      <c r="AF467" s="465"/>
      <c r="AG467" s="465"/>
      <c r="AH467" s="465"/>
      <c r="AI467" s="465"/>
      <c r="AJ467" s="465"/>
      <c r="AK467" s="465"/>
      <c r="AL467" s="465"/>
      <c r="AM467" s="465"/>
      <c r="AN467" s="465"/>
      <c r="AO467" s="465"/>
      <c r="AP467" s="465"/>
      <c r="AQ467" s="465"/>
      <c r="AR467" s="465"/>
      <c r="AS467" s="465"/>
      <c r="AT467" s="465"/>
      <c r="AU467" s="465"/>
      <c r="AV467" s="465"/>
      <c r="AW467" s="465"/>
      <c r="AX467" s="465"/>
      <c r="AY467" s="465"/>
      <c r="AZ467" s="465"/>
      <c r="BA467" s="465"/>
      <c r="BB467" s="465"/>
      <c r="BC467" s="465"/>
    </row>
    <row r="468" spans="1:55">
      <c r="A468" s="465"/>
      <c r="B468" s="465"/>
      <c r="C468" s="465"/>
      <c r="D468" s="467"/>
      <c r="E468" s="465"/>
      <c r="F468" s="465"/>
      <c r="G468" s="465"/>
      <c r="H468" s="465"/>
      <c r="I468" s="465"/>
      <c r="J468" s="465"/>
      <c r="K468" s="465"/>
      <c r="L468" s="465"/>
      <c r="M468" s="465"/>
      <c r="N468" s="465"/>
      <c r="O468" s="465"/>
      <c r="P468" s="465"/>
      <c r="Q468" s="465"/>
      <c r="R468" s="465"/>
      <c r="S468" s="465"/>
      <c r="T468" s="465"/>
      <c r="U468" s="465"/>
      <c r="V468" s="465"/>
      <c r="W468" s="465"/>
      <c r="X468" s="465"/>
      <c r="Y468" s="465"/>
      <c r="Z468" s="465"/>
      <c r="AA468" s="465"/>
      <c r="AB468" s="465"/>
      <c r="AC468" s="465"/>
      <c r="AD468" s="465"/>
      <c r="AE468" s="465"/>
      <c r="AF468" s="465"/>
      <c r="AG468" s="465"/>
      <c r="AH468" s="465"/>
      <c r="AI468" s="465"/>
      <c r="AJ468" s="465"/>
      <c r="AK468" s="465"/>
      <c r="AL468" s="465"/>
      <c r="AM468" s="465"/>
      <c r="AN468" s="465"/>
      <c r="AO468" s="465"/>
      <c r="AP468" s="465"/>
      <c r="AQ468" s="465"/>
      <c r="AR468" s="465"/>
      <c r="AS468" s="465"/>
      <c r="AT468" s="465"/>
      <c r="AU468" s="465"/>
      <c r="AV468" s="465"/>
      <c r="AW468" s="465"/>
      <c r="AX468" s="465"/>
      <c r="AY468" s="465"/>
      <c r="AZ468" s="465"/>
      <c r="BA468" s="465"/>
      <c r="BB468" s="465"/>
      <c r="BC468" s="465"/>
    </row>
    <row r="469" spans="1:55">
      <c r="A469" s="465"/>
      <c r="B469" s="465"/>
      <c r="C469" s="465"/>
      <c r="D469" s="467"/>
      <c r="E469" s="465"/>
      <c r="F469" s="465"/>
      <c r="G469" s="465"/>
      <c r="H469" s="465"/>
      <c r="I469" s="465"/>
      <c r="J469" s="465"/>
      <c r="K469" s="465"/>
      <c r="L469" s="465"/>
      <c r="M469" s="465"/>
      <c r="N469" s="465"/>
      <c r="O469" s="465"/>
      <c r="P469" s="465"/>
      <c r="Q469" s="465"/>
      <c r="R469" s="465"/>
      <c r="S469" s="465"/>
      <c r="T469" s="465"/>
      <c r="U469" s="465"/>
      <c r="V469" s="465"/>
      <c r="W469" s="465"/>
      <c r="X469" s="465"/>
      <c r="Y469" s="465"/>
      <c r="Z469" s="465"/>
      <c r="AA469" s="465"/>
      <c r="AB469" s="465"/>
      <c r="AC469" s="465"/>
      <c r="AD469" s="465"/>
      <c r="AE469" s="465"/>
      <c r="AF469" s="465"/>
      <c r="AG469" s="465"/>
      <c r="AH469" s="465"/>
      <c r="AI469" s="465"/>
      <c r="AJ469" s="465"/>
      <c r="AK469" s="465"/>
      <c r="AL469" s="465"/>
      <c r="AM469" s="465"/>
      <c r="AN469" s="465"/>
      <c r="AO469" s="465"/>
      <c r="AP469" s="465"/>
      <c r="AQ469" s="465"/>
      <c r="AR469" s="465"/>
      <c r="AS469" s="465"/>
      <c r="AT469" s="465"/>
      <c r="AU469" s="465"/>
      <c r="AV469" s="465"/>
      <c r="AW469" s="465"/>
      <c r="AX469" s="465"/>
      <c r="AY469" s="465"/>
      <c r="AZ469" s="465"/>
      <c r="BA469" s="465"/>
      <c r="BB469" s="465"/>
      <c r="BC469" s="465"/>
    </row>
    <row r="470" spans="1:55">
      <c r="A470" s="465"/>
      <c r="B470" s="465"/>
      <c r="C470" s="465"/>
      <c r="D470" s="467"/>
      <c r="E470" s="465"/>
      <c r="F470" s="465"/>
      <c r="G470" s="465"/>
      <c r="H470" s="465"/>
      <c r="I470" s="465"/>
      <c r="J470" s="465"/>
      <c r="K470" s="465"/>
      <c r="L470" s="465"/>
      <c r="M470" s="465"/>
      <c r="N470" s="465"/>
      <c r="O470" s="465"/>
      <c r="P470" s="465"/>
      <c r="Q470" s="465"/>
      <c r="R470" s="465"/>
      <c r="S470" s="465"/>
      <c r="T470" s="465"/>
      <c r="U470" s="465"/>
      <c r="V470" s="465"/>
      <c r="W470" s="465"/>
      <c r="X470" s="465"/>
      <c r="Y470" s="465"/>
      <c r="Z470" s="465"/>
      <c r="AA470" s="465"/>
      <c r="AB470" s="465"/>
      <c r="AC470" s="465"/>
      <c r="AD470" s="465"/>
      <c r="AE470" s="465"/>
      <c r="AF470" s="465"/>
      <c r="AG470" s="465"/>
      <c r="AH470" s="465"/>
      <c r="AI470" s="465"/>
      <c r="AJ470" s="465"/>
      <c r="AK470" s="465"/>
      <c r="AL470" s="465"/>
      <c r="AM470" s="465"/>
      <c r="AN470" s="465"/>
      <c r="AO470" s="465"/>
      <c r="AP470" s="465"/>
      <c r="AQ470" s="465"/>
      <c r="AR470" s="465"/>
      <c r="AS470" s="465"/>
      <c r="AT470" s="465"/>
      <c r="AU470" s="465"/>
      <c r="AV470" s="465"/>
      <c r="AW470" s="465"/>
      <c r="AX470" s="465"/>
      <c r="AY470" s="465"/>
      <c r="AZ470" s="465"/>
      <c r="BA470" s="465"/>
      <c r="BB470" s="465"/>
      <c r="BC470" s="465"/>
    </row>
    <row r="471" spans="1:55">
      <c r="A471" s="465"/>
      <c r="B471" s="465"/>
      <c r="C471" s="465"/>
      <c r="D471" s="467"/>
      <c r="E471" s="465"/>
      <c r="F471" s="465"/>
      <c r="G471" s="465"/>
      <c r="H471" s="465"/>
      <c r="I471" s="465"/>
      <c r="J471" s="465"/>
      <c r="K471" s="465"/>
      <c r="L471" s="465"/>
      <c r="M471" s="465"/>
      <c r="N471" s="465"/>
      <c r="O471" s="465"/>
      <c r="P471" s="465"/>
      <c r="Q471" s="465"/>
      <c r="R471" s="465"/>
      <c r="S471" s="465"/>
      <c r="T471" s="465"/>
      <c r="U471" s="465"/>
      <c r="V471" s="465"/>
      <c r="W471" s="465"/>
      <c r="X471" s="465"/>
      <c r="Y471" s="465"/>
      <c r="Z471" s="465"/>
      <c r="AA471" s="465"/>
      <c r="AB471" s="465"/>
      <c r="AC471" s="465"/>
      <c r="AD471" s="465"/>
      <c r="AE471" s="465"/>
      <c r="AF471" s="465"/>
      <c r="AG471" s="465"/>
      <c r="AH471" s="465"/>
      <c r="AI471" s="465"/>
      <c r="AJ471" s="465"/>
      <c r="AK471" s="465"/>
      <c r="AL471" s="465"/>
      <c r="AM471" s="465"/>
      <c r="AN471" s="465"/>
      <c r="AO471" s="465"/>
      <c r="AP471" s="465"/>
      <c r="AQ471" s="465"/>
      <c r="AR471" s="465"/>
      <c r="AS471" s="465"/>
      <c r="AT471" s="465"/>
      <c r="AU471" s="465"/>
      <c r="AV471" s="465"/>
      <c r="AW471" s="465"/>
      <c r="AX471" s="465"/>
      <c r="AY471" s="465"/>
      <c r="AZ471" s="465"/>
      <c r="BA471" s="465"/>
      <c r="BB471" s="465"/>
      <c r="BC471" s="465"/>
    </row>
    <row r="472" spans="1:55">
      <c r="A472" s="465"/>
      <c r="B472" s="465"/>
      <c r="C472" s="465"/>
      <c r="D472" s="467"/>
      <c r="E472" s="465"/>
      <c r="F472" s="465"/>
      <c r="G472" s="465"/>
      <c r="H472" s="465"/>
      <c r="I472" s="465"/>
      <c r="J472" s="465"/>
      <c r="K472" s="465"/>
      <c r="L472" s="465"/>
      <c r="M472" s="465"/>
      <c r="N472" s="465"/>
      <c r="O472" s="465"/>
      <c r="P472" s="465"/>
      <c r="Q472" s="465"/>
      <c r="R472" s="465"/>
      <c r="S472" s="465"/>
      <c r="T472" s="465"/>
      <c r="U472" s="465"/>
      <c r="V472" s="465"/>
      <c r="W472" s="465"/>
      <c r="X472" s="465"/>
      <c r="Y472" s="465"/>
      <c r="Z472" s="465"/>
      <c r="AA472" s="465"/>
      <c r="AB472" s="465"/>
      <c r="AC472" s="465"/>
      <c r="AD472" s="465"/>
      <c r="AE472" s="465"/>
      <c r="AF472" s="465"/>
      <c r="AG472" s="465"/>
      <c r="AH472" s="465"/>
      <c r="AI472" s="465"/>
      <c r="AJ472" s="465"/>
      <c r="AK472" s="465"/>
      <c r="AL472" s="465"/>
      <c r="AM472" s="465"/>
      <c r="AN472" s="465"/>
      <c r="AO472" s="465"/>
      <c r="AP472" s="465"/>
      <c r="AQ472" s="465"/>
      <c r="AR472" s="465"/>
      <c r="AS472" s="465"/>
      <c r="AT472" s="465"/>
      <c r="AU472" s="465"/>
      <c r="AV472" s="465"/>
      <c r="AW472" s="465"/>
      <c r="AX472" s="465"/>
      <c r="AY472" s="465"/>
      <c r="AZ472" s="465"/>
      <c r="BA472" s="465"/>
      <c r="BB472" s="465"/>
      <c r="BC472" s="465"/>
    </row>
    <row r="473" spans="1:55">
      <c r="A473" s="465"/>
      <c r="B473" s="465"/>
      <c r="C473" s="465"/>
      <c r="D473" s="467"/>
      <c r="E473" s="465"/>
      <c r="F473" s="465"/>
      <c r="G473" s="465"/>
      <c r="H473" s="465"/>
      <c r="I473" s="465"/>
      <c r="J473" s="465"/>
      <c r="K473" s="465"/>
      <c r="L473" s="465"/>
      <c r="M473" s="465"/>
      <c r="N473" s="465"/>
      <c r="O473" s="465"/>
      <c r="P473" s="465"/>
      <c r="Q473" s="465"/>
      <c r="R473" s="465"/>
      <c r="S473" s="465"/>
      <c r="T473" s="465"/>
      <c r="U473" s="465"/>
      <c r="V473" s="465"/>
      <c r="W473" s="465"/>
      <c r="X473" s="465"/>
      <c r="Y473" s="465"/>
      <c r="Z473" s="465"/>
      <c r="AA473" s="465"/>
      <c r="AB473" s="465"/>
      <c r="AC473" s="465"/>
      <c r="AD473" s="465"/>
      <c r="AE473" s="465"/>
      <c r="AF473" s="465"/>
      <c r="AG473" s="465"/>
      <c r="AH473" s="465"/>
      <c r="AI473" s="465"/>
      <c r="AJ473" s="465"/>
      <c r="AK473" s="465"/>
      <c r="AL473" s="465"/>
      <c r="AM473" s="465"/>
      <c r="AN473" s="465"/>
      <c r="AO473" s="465"/>
      <c r="AP473" s="465"/>
      <c r="AQ473" s="465"/>
      <c r="AR473" s="465"/>
      <c r="AS473" s="465"/>
      <c r="AT473" s="465"/>
      <c r="AU473" s="465"/>
      <c r="AV473" s="465"/>
      <c r="AW473" s="465"/>
      <c r="AX473" s="465"/>
      <c r="AY473" s="465"/>
      <c r="AZ473" s="465"/>
      <c r="BA473" s="465"/>
      <c r="BB473" s="465"/>
      <c r="BC473" s="465"/>
    </row>
    <row r="474" spans="1:55">
      <c r="A474" s="465"/>
      <c r="B474" s="465"/>
      <c r="C474" s="465"/>
      <c r="D474" s="467"/>
      <c r="E474" s="465"/>
      <c r="F474" s="465"/>
      <c r="G474" s="465"/>
      <c r="H474" s="465"/>
      <c r="I474" s="465"/>
      <c r="J474" s="465"/>
      <c r="K474" s="465"/>
      <c r="L474" s="465"/>
      <c r="M474" s="465"/>
      <c r="N474" s="465"/>
      <c r="O474" s="465"/>
      <c r="P474" s="465"/>
      <c r="Q474" s="465"/>
      <c r="R474" s="465"/>
      <c r="S474" s="465"/>
      <c r="T474" s="465"/>
      <c r="U474" s="465"/>
      <c r="V474" s="465"/>
      <c r="W474" s="465"/>
      <c r="X474" s="465"/>
      <c r="Y474" s="465"/>
      <c r="Z474" s="465"/>
      <c r="AA474" s="465"/>
      <c r="AB474" s="465"/>
      <c r="AC474" s="465"/>
      <c r="AD474" s="465"/>
      <c r="AE474" s="465"/>
      <c r="AF474" s="465"/>
      <c r="AG474" s="465"/>
      <c r="AH474" s="465"/>
      <c r="AI474" s="465"/>
      <c r="AJ474" s="465"/>
      <c r="AK474" s="465"/>
      <c r="AL474" s="465"/>
      <c r="AM474" s="465"/>
      <c r="AN474" s="465"/>
      <c r="AO474" s="465"/>
      <c r="AP474" s="465"/>
      <c r="AQ474" s="465"/>
      <c r="AR474" s="465"/>
      <c r="AS474" s="465"/>
      <c r="AT474" s="465"/>
      <c r="AU474" s="465"/>
      <c r="AV474" s="465"/>
      <c r="AW474" s="465"/>
      <c r="AX474" s="465"/>
      <c r="AY474" s="465"/>
      <c r="AZ474" s="465"/>
      <c r="BA474" s="465"/>
      <c r="BB474" s="465"/>
      <c r="BC474" s="465"/>
    </row>
    <row r="475" spans="1:55">
      <c r="A475" s="465"/>
      <c r="B475" s="465"/>
      <c r="C475" s="465"/>
      <c r="D475" s="467"/>
      <c r="E475" s="465"/>
      <c r="F475" s="465"/>
      <c r="G475" s="465"/>
      <c r="H475" s="465"/>
      <c r="I475" s="465"/>
      <c r="J475" s="465"/>
      <c r="K475" s="465"/>
      <c r="L475" s="465"/>
      <c r="M475" s="465"/>
      <c r="N475" s="465"/>
      <c r="O475" s="465"/>
      <c r="P475" s="465"/>
      <c r="Q475" s="465"/>
      <c r="R475" s="465"/>
      <c r="S475" s="465"/>
      <c r="T475" s="465"/>
      <c r="U475" s="465"/>
      <c r="V475" s="465"/>
      <c r="W475" s="465"/>
      <c r="X475" s="465"/>
      <c r="Y475" s="465"/>
      <c r="Z475" s="465"/>
      <c r="AA475" s="465"/>
      <c r="AB475" s="465"/>
      <c r="AC475" s="465"/>
      <c r="AD475" s="465"/>
      <c r="AE475" s="465"/>
      <c r="AF475" s="465"/>
      <c r="AG475" s="465"/>
      <c r="AH475" s="465"/>
      <c r="AI475" s="465"/>
      <c r="AJ475" s="465"/>
      <c r="AK475" s="465"/>
      <c r="AL475" s="465"/>
      <c r="AM475" s="465"/>
      <c r="AN475" s="465"/>
      <c r="AO475" s="465"/>
      <c r="AP475" s="465"/>
      <c r="AQ475" s="465"/>
      <c r="AR475" s="465"/>
      <c r="AS475" s="465"/>
      <c r="AT475" s="465"/>
      <c r="AU475" s="465"/>
      <c r="AV475" s="465"/>
      <c r="AW475" s="465"/>
      <c r="AX475" s="465"/>
      <c r="AY475" s="465"/>
      <c r="AZ475" s="465"/>
      <c r="BA475" s="465"/>
      <c r="BB475" s="465"/>
      <c r="BC475" s="465"/>
    </row>
    <row r="476" spans="1:55">
      <c r="A476" s="465"/>
      <c r="B476" s="465"/>
      <c r="C476" s="465"/>
      <c r="D476" s="467"/>
      <c r="E476" s="465"/>
      <c r="F476" s="465"/>
      <c r="G476" s="465"/>
      <c r="H476" s="465"/>
      <c r="I476" s="465"/>
      <c r="J476" s="465"/>
      <c r="K476" s="465"/>
      <c r="L476" s="465"/>
      <c r="M476" s="465"/>
      <c r="N476" s="465"/>
      <c r="O476" s="465"/>
      <c r="P476" s="465"/>
      <c r="Q476" s="465"/>
      <c r="R476" s="465"/>
      <c r="S476" s="465"/>
      <c r="T476" s="465"/>
      <c r="U476" s="465"/>
      <c r="V476" s="465"/>
      <c r="W476" s="465"/>
      <c r="X476" s="465"/>
      <c r="Y476" s="465"/>
      <c r="Z476" s="465"/>
      <c r="AA476" s="465"/>
      <c r="AB476" s="465"/>
      <c r="AC476" s="465"/>
      <c r="AD476" s="465"/>
      <c r="AE476" s="465"/>
      <c r="AF476" s="465"/>
      <c r="AG476" s="465"/>
      <c r="AH476" s="465"/>
      <c r="AI476" s="465"/>
      <c r="AJ476" s="465"/>
      <c r="AK476" s="465"/>
      <c r="AL476" s="465"/>
      <c r="AM476" s="465"/>
      <c r="AN476" s="465"/>
      <c r="AO476" s="465"/>
      <c r="AP476" s="465"/>
      <c r="AQ476" s="465"/>
      <c r="AR476" s="465"/>
      <c r="AS476" s="465"/>
      <c r="AT476" s="465"/>
      <c r="AU476" s="465"/>
      <c r="AV476" s="465"/>
      <c r="AW476" s="465"/>
      <c r="AX476" s="465"/>
      <c r="AY476" s="465"/>
      <c r="AZ476" s="465"/>
      <c r="BA476" s="465"/>
      <c r="BB476" s="465"/>
      <c r="BC476" s="465"/>
    </row>
    <row r="477" spans="1:55">
      <c r="A477" s="465"/>
      <c r="B477" s="465"/>
      <c r="C477" s="465"/>
      <c r="D477" s="467"/>
      <c r="E477" s="465"/>
      <c r="F477" s="465"/>
      <c r="G477" s="465"/>
      <c r="H477" s="465"/>
      <c r="I477" s="465"/>
      <c r="J477" s="465"/>
      <c r="K477" s="465"/>
      <c r="L477" s="465"/>
      <c r="M477" s="465"/>
      <c r="N477" s="465"/>
      <c r="O477" s="465"/>
      <c r="P477" s="465"/>
      <c r="Q477" s="465"/>
      <c r="R477" s="465"/>
      <c r="S477" s="465"/>
      <c r="T477" s="465"/>
      <c r="U477" s="465"/>
      <c r="V477" s="465"/>
      <c r="W477" s="465"/>
      <c r="X477" s="465"/>
      <c r="Y477" s="465"/>
      <c r="Z477" s="465"/>
      <c r="AA477" s="465"/>
      <c r="AB477" s="465"/>
      <c r="AC477" s="465"/>
      <c r="AD477" s="465"/>
      <c r="AE477" s="465"/>
      <c r="AF477" s="465"/>
      <c r="AG477" s="465"/>
      <c r="AH477" s="465"/>
      <c r="AI477" s="465"/>
      <c r="AJ477" s="465"/>
      <c r="AK477" s="465"/>
      <c r="AL477" s="465"/>
      <c r="AM477" s="465"/>
      <c r="AN477" s="465"/>
      <c r="AO477" s="465"/>
      <c r="AP477" s="465"/>
      <c r="AQ477" s="465"/>
      <c r="AR477" s="465"/>
      <c r="AS477" s="465"/>
      <c r="AT477" s="465"/>
      <c r="AU477" s="465"/>
      <c r="AV477" s="465"/>
      <c r="AW477" s="465"/>
      <c r="AX477" s="465"/>
      <c r="AY477" s="465"/>
      <c r="AZ477" s="465"/>
      <c r="BA477" s="465"/>
      <c r="BB477" s="465"/>
      <c r="BC477" s="465"/>
    </row>
    <row r="478" spans="1:55">
      <c r="A478" s="465"/>
      <c r="B478" s="465"/>
      <c r="C478" s="465"/>
      <c r="D478" s="467"/>
      <c r="E478" s="465"/>
      <c r="F478" s="465"/>
      <c r="G478" s="465"/>
      <c r="H478" s="465"/>
      <c r="I478" s="465"/>
      <c r="J478" s="465"/>
      <c r="K478" s="465"/>
      <c r="L478" s="465"/>
      <c r="M478" s="465"/>
      <c r="N478" s="465"/>
      <c r="O478" s="465"/>
      <c r="P478" s="465"/>
      <c r="Q478" s="465"/>
      <c r="R478" s="465"/>
      <c r="S478" s="465"/>
      <c r="T478" s="465"/>
      <c r="U478" s="465"/>
      <c r="V478" s="465"/>
      <c r="W478" s="465"/>
      <c r="X478" s="465"/>
      <c r="Y478" s="465"/>
      <c r="Z478" s="465"/>
      <c r="AA478" s="465"/>
      <c r="AB478" s="465"/>
      <c r="AC478" s="465"/>
      <c r="AD478" s="465"/>
      <c r="AE478" s="465"/>
      <c r="AF478" s="465"/>
      <c r="AG478" s="465"/>
      <c r="AH478" s="465"/>
      <c r="AI478" s="465"/>
      <c r="AJ478" s="465"/>
      <c r="AK478" s="465"/>
      <c r="AL478" s="465"/>
      <c r="AM478" s="465"/>
      <c r="AN478" s="465"/>
      <c r="AO478" s="465"/>
      <c r="AP478" s="465"/>
      <c r="AQ478" s="465"/>
      <c r="AR478" s="465"/>
      <c r="AS478" s="465"/>
      <c r="AT478" s="465"/>
      <c r="AU478" s="465"/>
      <c r="AV478" s="465"/>
      <c r="AW478" s="465"/>
      <c r="AX478" s="465"/>
      <c r="AY478" s="465"/>
      <c r="AZ478" s="465"/>
      <c r="BA478" s="465"/>
      <c r="BB478" s="465"/>
      <c r="BC478" s="465"/>
    </row>
    <row r="479" spans="1:55">
      <c r="A479" s="465"/>
      <c r="B479" s="465"/>
      <c r="C479" s="465"/>
      <c r="D479" s="467"/>
      <c r="E479" s="465"/>
      <c r="F479" s="465"/>
      <c r="G479" s="465"/>
      <c r="H479" s="465"/>
      <c r="I479" s="465"/>
      <c r="J479" s="465"/>
      <c r="K479" s="465"/>
      <c r="L479" s="465"/>
      <c r="M479" s="465"/>
      <c r="N479" s="465"/>
      <c r="O479" s="465"/>
      <c r="P479" s="465"/>
      <c r="Q479" s="465"/>
      <c r="R479" s="465"/>
      <c r="S479" s="465"/>
      <c r="T479" s="465"/>
      <c r="U479" s="465"/>
      <c r="V479" s="465"/>
      <c r="W479" s="465"/>
      <c r="X479" s="465"/>
      <c r="Y479" s="465"/>
      <c r="Z479" s="465"/>
      <c r="AA479" s="465"/>
      <c r="AB479" s="465"/>
      <c r="AC479" s="465"/>
      <c r="AD479" s="465"/>
      <c r="AE479" s="465"/>
      <c r="AF479" s="465"/>
      <c r="AG479" s="465"/>
      <c r="AH479" s="465"/>
      <c r="AI479" s="465"/>
      <c r="AJ479" s="465"/>
      <c r="AK479" s="465"/>
      <c r="AL479" s="465"/>
      <c r="AM479" s="465"/>
      <c r="AN479" s="465"/>
      <c r="AO479" s="465"/>
      <c r="AP479" s="465"/>
      <c r="AQ479" s="465"/>
      <c r="AR479" s="465"/>
      <c r="AS479" s="465"/>
      <c r="AT479" s="465"/>
      <c r="AU479" s="465"/>
      <c r="AV479" s="465"/>
      <c r="AW479" s="465"/>
      <c r="AX479" s="465"/>
      <c r="AY479" s="465"/>
      <c r="AZ479" s="465"/>
      <c r="BA479" s="465"/>
      <c r="BB479" s="465"/>
      <c r="BC479" s="465"/>
    </row>
    <row r="480" spans="1:55">
      <c r="A480" s="465"/>
      <c r="B480" s="465"/>
      <c r="C480" s="465"/>
      <c r="D480" s="467"/>
      <c r="E480" s="465"/>
      <c r="F480" s="465"/>
      <c r="G480" s="465"/>
      <c r="H480" s="465"/>
      <c r="I480" s="465"/>
      <c r="J480" s="465"/>
      <c r="K480" s="465"/>
      <c r="L480" s="465"/>
      <c r="M480" s="465"/>
      <c r="N480" s="465"/>
      <c r="O480" s="465"/>
      <c r="P480" s="465"/>
      <c r="Q480" s="465"/>
      <c r="R480" s="465"/>
      <c r="S480" s="465"/>
      <c r="T480" s="465"/>
      <c r="U480" s="465"/>
      <c r="V480" s="465"/>
      <c r="W480" s="465"/>
      <c r="X480" s="465"/>
      <c r="Y480" s="465"/>
      <c r="Z480" s="465"/>
      <c r="AA480" s="465"/>
      <c r="AB480" s="465"/>
      <c r="AC480" s="465"/>
      <c r="AD480" s="465"/>
      <c r="AE480" s="465"/>
      <c r="AF480" s="465"/>
      <c r="AG480" s="465"/>
      <c r="AH480" s="465"/>
      <c r="AI480" s="465"/>
      <c r="AJ480" s="465"/>
      <c r="AK480" s="465"/>
      <c r="AL480" s="465"/>
      <c r="AM480" s="465"/>
      <c r="AN480" s="465"/>
      <c r="AO480" s="465"/>
      <c r="AP480" s="465"/>
      <c r="AQ480" s="465"/>
      <c r="AR480" s="465"/>
      <c r="AS480" s="465"/>
      <c r="AT480" s="465"/>
      <c r="AU480" s="465"/>
      <c r="AV480" s="465"/>
      <c r="AW480" s="465"/>
      <c r="AX480" s="465"/>
      <c r="AY480" s="465"/>
      <c r="AZ480" s="465"/>
      <c r="BA480" s="465"/>
      <c r="BB480" s="465"/>
      <c r="BC480" s="465"/>
    </row>
    <row r="481" spans="1:55">
      <c r="A481" s="465"/>
      <c r="B481" s="465"/>
      <c r="C481" s="465"/>
      <c r="D481" s="467"/>
      <c r="E481" s="465"/>
      <c r="F481" s="465"/>
      <c r="G481" s="465"/>
      <c r="H481" s="465"/>
      <c r="I481" s="465"/>
      <c r="J481" s="465"/>
      <c r="K481" s="465"/>
      <c r="L481" s="465"/>
      <c r="M481" s="465"/>
      <c r="N481" s="465"/>
      <c r="O481" s="465"/>
      <c r="P481" s="465"/>
      <c r="Q481" s="465"/>
      <c r="R481" s="465"/>
      <c r="S481" s="465"/>
      <c r="T481" s="465"/>
      <c r="U481" s="465"/>
      <c r="V481" s="465"/>
      <c r="W481" s="465"/>
      <c r="X481" s="465"/>
      <c r="Y481" s="465"/>
      <c r="Z481" s="465"/>
      <c r="AA481" s="465"/>
      <c r="AB481" s="465"/>
      <c r="AC481" s="465"/>
      <c r="AD481" s="465"/>
      <c r="AE481" s="465"/>
      <c r="AF481" s="465"/>
      <c r="AG481" s="465"/>
      <c r="AH481" s="465"/>
      <c r="AI481" s="465"/>
      <c r="AJ481" s="465"/>
      <c r="AK481" s="465"/>
      <c r="AL481" s="465"/>
      <c r="AM481" s="465"/>
      <c r="AN481" s="465"/>
      <c r="AO481" s="465"/>
      <c r="AP481" s="465"/>
      <c r="AQ481" s="465"/>
      <c r="AR481" s="465"/>
      <c r="AS481" s="465"/>
      <c r="AT481" s="465"/>
      <c r="AU481" s="465"/>
      <c r="AV481" s="465"/>
      <c r="AW481" s="465"/>
      <c r="AX481" s="465"/>
      <c r="AY481" s="465"/>
      <c r="AZ481" s="465"/>
      <c r="BA481" s="465"/>
      <c r="BB481" s="465"/>
      <c r="BC481" s="465"/>
    </row>
    <row r="482" spans="1:55">
      <c r="A482" s="465"/>
      <c r="B482" s="465"/>
      <c r="C482" s="465"/>
      <c r="D482" s="467"/>
      <c r="E482" s="465"/>
      <c r="F482" s="465"/>
      <c r="G482" s="465"/>
      <c r="H482" s="465"/>
      <c r="I482" s="465"/>
      <c r="J482" s="465"/>
      <c r="K482" s="465"/>
      <c r="L482" s="465"/>
      <c r="M482" s="465"/>
      <c r="N482" s="465"/>
      <c r="O482" s="465"/>
      <c r="P482" s="465"/>
      <c r="Q482" s="465"/>
      <c r="R482" s="465"/>
      <c r="S482" s="465"/>
      <c r="T482" s="465"/>
      <c r="U482" s="465"/>
      <c r="V482" s="465"/>
      <c r="W482" s="465"/>
      <c r="X482" s="465"/>
      <c r="Y482" s="465"/>
      <c r="Z482" s="465"/>
      <c r="AA482" s="465"/>
      <c r="AB482" s="465"/>
      <c r="AC482" s="465"/>
      <c r="AD482" s="465"/>
      <c r="AE482" s="465"/>
      <c r="AF482" s="465"/>
      <c r="AG482" s="465"/>
      <c r="AH482" s="465"/>
      <c r="AI482" s="465"/>
      <c r="AJ482" s="465"/>
      <c r="AK482" s="465"/>
      <c r="AL482" s="465"/>
      <c r="AM482" s="465"/>
      <c r="AN482" s="465"/>
      <c r="AO482" s="465"/>
      <c r="AP482" s="465"/>
      <c r="AQ482" s="465"/>
      <c r="AR482" s="465"/>
      <c r="AS482" s="465"/>
      <c r="AT482" s="465"/>
      <c r="AU482" s="465"/>
      <c r="AV482" s="465"/>
      <c r="AW482" s="465"/>
      <c r="AX482" s="465"/>
      <c r="AY482" s="465"/>
      <c r="AZ482" s="465"/>
      <c r="BA482" s="465"/>
      <c r="BB482" s="465"/>
      <c r="BC482" s="465"/>
    </row>
    <row r="483" spans="1:55">
      <c r="A483" s="465"/>
      <c r="B483" s="465"/>
      <c r="C483" s="465"/>
      <c r="D483" s="467"/>
      <c r="E483" s="465"/>
      <c r="F483" s="465"/>
      <c r="G483" s="465"/>
      <c r="H483" s="465"/>
      <c r="I483" s="465"/>
      <c r="J483" s="465"/>
      <c r="K483" s="465"/>
      <c r="L483" s="465"/>
      <c r="M483" s="465"/>
      <c r="N483" s="465"/>
      <c r="O483" s="465"/>
      <c r="P483" s="465"/>
      <c r="Q483" s="465"/>
      <c r="R483" s="465"/>
      <c r="S483" s="465"/>
      <c r="T483" s="465"/>
      <c r="U483" s="465"/>
      <c r="V483" s="465"/>
      <c r="W483" s="465"/>
      <c r="X483" s="465"/>
      <c r="Y483" s="465"/>
      <c r="Z483" s="465"/>
      <c r="AA483" s="465"/>
      <c r="AB483" s="465"/>
      <c r="AC483" s="465"/>
      <c r="AD483" s="465"/>
      <c r="AE483" s="465"/>
      <c r="AF483" s="465"/>
      <c r="AG483" s="465"/>
      <c r="AH483" s="465"/>
      <c r="AI483" s="465"/>
      <c r="AJ483" s="465"/>
      <c r="AK483" s="465"/>
      <c r="AL483" s="465"/>
      <c r="AM483" s="465"/>
      <c r="AN483" s="465"/>
      <c r="AO483" s="465"/>
      <c r="AP483" s="465"/>
      <c r="AQ483" s="465"/>
      <c r="AR483" s="465"/>
      <c r="AS483" s="465"/>
      <c r="AT483" s="465"/>
      <c r="AU483" s="465"/>
      <c r="AV483" s="465"/>
      <c r="AW483" s="465"/>
      <c r="AX483" s="465"/>
      <c r="AY483" s="465"/>
      <c r="AZ483" s="465"/>
      <c r="BA483" s="465"/>
      <c r="BB483" s="465"/>
      <c r="BC483" s="465"/>
    </row>
    <row r="484" spans="1:55">
      <c r="A484" s="465"/>
      <c r="B484" s="465"/>
      <c r="C484" s="465"/>
      <c r="D484" s="467"/>
      <c r="E484" s="465"/>
      <c r="F484" s="465"/>
      <c r="G484" s="465"/>
      <c r="H484" s="465"/>
      <c r="I484" s="465"/>
      <c r="J484" s="465"/>
      <c r="K484" s="465"/>
      <c r="L484" s="465"/>
      <c r="M484" s="465"/>
      <c r="N484" s="465"/>
      <c r="O484" s="465"/>
      <c r="P484" s="465"/>
      <c r="Q484" s="465"/>
      <c r="R484" s="465"/>
      <c r="S484" s="465"/>
      <c r="T484" s="465"/>
      <c r="U484" s="465"/>
      <c r="V484" s="465"/>
      <c r="W484" s="465"/>
      <c r="X484" s="465"/>
      <c r="Y484" s="465"/>
      <c r="Z484" s="465"/>
      <c r="AA484" s="465"/>
      <c r="AB484" s="465"/>
      <c r="AC484" s="465"/>
      <c r="AD484" s="465"/>
      <c r="AE484" s="465"/>
      <c r="AF484" s="465"/>
      <c r="AG484" s="465"/>
      <c r="AH484" s="465"/>
      <c r="AI484" s="465"/>
      <c r="AJ484" s="465"/>
      <c r="AK484" s="465"/>
      <c r="AL484" s="465"/>
      <c r="AM484" s="465"/>
      <c r="AN484" s="465"/>
      <c r="AO484" s="465"/>
      <c r="AP484" s="465"/>
      <c r="AQ484" s="465"/>
      <c r="AR484" s="465"/>
      <c r="AS484" s="465"/>
      <c r="AT484" s="465"/>
      <c r="AU484" s="465"/>
      <c r="AV484" s="465"/>
      <c r="AW484" s="465"/>
      <c r="AX484" s="465"/>
      <c r="AY484" s="465"/>
      <c r="AZ484" s="465"/>
      <c r="BA484" s="465"/>
      <c r="BB484" s="465"/>
      <c r="BC484" s="465"/>
    </row>
    <row r="485" spans="1:55">
      <c r="A485" s="465"/>
      <c r="B485" s="465"/>
      <c r="C485" s="465"/>
      <c r="D485" s="467"/>
      <c r="E485" s="465"/>
      <c r="F485" s="465"/>
      <c r="G485" s="465"/>
      <c r="H485" s="465"/>
      <c r="I485" s="465"/>
      <c r="J485" s="465"/>
      <c r="K485" s="465"/>
      <c r="L485" s="465"/>
      <c r="M485" s="465"/>
      <c r="N485" s="465"/>
      <c r="O485" s="465"/>
      <c r="P485" s="465"/>
      <c r="Q485" s="465"/>
      <c r="R485" s="465"/>
      <c r="S485" s="465"/>
      <c r="T485" s="465"/>
      <c r="U485" s="465"/>
      <c r="V485" s="465"/>
      <c r="W485" s="465"/>
      <c r="X485" s="465"/>
      <c r="Y485" s="465"/>
      <c r="Z485" s="465"/>
      <c r="AA485" s="465"/>
      <c r="AB485" s="465"/>
      <c r="AC485" s="465"/>
      <c r="AD485" s="465"/>
      <c r="AE485" s="465"/>
      <c r="AF485" s="465"/>
      <c r="AG485" s="465"/>
      <c r="AH485" s="465"/>
      <c r="AI485" s="465"/>
      <c r="AJ485" s="465"/>
      <c r="AK485" s="465"/>
      <c r="AL485" s="465"/>
      <c r="AM485" s="465"/>
      <c r="AN485" s="465"/>
      <c r="AO485" s="465"/>
      <c r="AP485" s="465"/>
      <c r="AQ485" s="465"/>
      <c r="AR485" s="465"/>
      <c r="AS485" s="465"/>
      <c r="AT485" s="465"/>
      <c r="AU485" s="465"/>
      <c r="AV485" s="465"/>
      <c r="AW485" s="465"/>
      <c r="AX485" s="465"/>
      <c r="AY485" s="465"/>
      <c r="AZ485" s="465"/>
      <c r="BA485" s="465"/>
      <c r="BB485" s="465"/>
      <c r="BC485" s="465"/>
    </row>
    <row r="486" spans="1:55">
      <c r="A486" s="465"/>
      <c r="B486" s="465"/>
      <c r="C486" s="465"/>
      <c r="D486" s="467"/>
      <c r="E486" s="465"/>
      <c r="F486" s="465"/>
      <c r="G486" s="465"/>
      <c r="H486" s="465"/>
      <c r="I486" s="465"/>
      <c r="J486" s="465"/>
      <c r="K486" s="465"/>
      <c r="L486" s="465"/>
      <c r="M486" s="465"/>
      <c r="N486" s="465"/>
      <c r="O486" s="465"/>
      <c r="P486" s="465"/>
      <c r="Q486" s="465"/>
      <c r="R486" s="465"/>
      <c r="S486" s="465"/>
      <c r="T486" s="465"/>
      <c r="U486" s="465"/>
      <c r="V486" s="465"/>
      <c r="W486" s="465"/>
      <c r="X486" s="465"/>
      <c r="Y486" s="465"/>
      <c r="Z486" s="465"/>
      <c r="AA486" s="465"/>
      <c r="AB486" s="465"/>
      <c r="AC486" s="465"/>
      <c r="AD486" s="465"/>
      <c r="AE486" s="465"/>
      <c r="AF486" s="465"/>
      <c r="AG486" s="465"/>
      <c r="AH486" s="465"/>
      <c r="AI486" s="465"/>
      <c r="AJ486" s="465"/>
      <c r="AK486" s="465"/>
      <c r="AL486" s="465"/>
      <c r="AM486" s="465"/>
      <c r="AN486" s="465"/>
      <c r="AO486" s="465"/>
      <c r="AP486" s="465"/>
      <c r="AQ486" s="465"/>
      <c r="AR486" s="465"/>
      <c r="AS486" s="465"/>
      <c r="AT486" s="465"/>
      <c r="AU486" s="465"/>
      <c r="AV486" s="465"/>
      <c r="AW486" s="465"/>
      <c r="AX486" s="465"/>
      <c r="AY486" s="465"/>
      <c r="AZ486" s="465"/>
      <c r="BA486" s="465"/>
      <c r="BB486" s="465"/>
      <c r="BC486" s="465"/>
    </row>
    <row r="487" spans="1:55">
      <c r="A487" s="465"/>
      <c r="B487" s="465"/>
      <c r="C487" s="465"/>
      <c r="D487" s="467"/>
      <c r="E487" s="465"/>
      <c r="F487" s="465"/>
      <c r="G487" s="465"/>
      <c r="H487" s="465"/>
      <c r="I487" s="465"/>
      <c r="J487" s="465"/>
      <c r="K487" s="465"/>
      <c r="L487" s="465"/>
      <c r="M487" s="465"/>
      <c r="N487" s="465"/>
      <c r="O487" s="465"/>
      <c r="P487" s="465"/>
      <c r="Q487" s="465"/>
      <c r="R487" s="465"/>
      <c r="S487" s="465"/>
      <c r="T487" s="465"/>
      <c r="U487" s="465"/>
      <c r="V487" s="465"/>
      <c r="W487" s="465"/>
      <c r="X487" s="465"/>
      <c r="Y487" s="465"/>
      <c r="Z487" s="465"/>
      <c r="AA487" s="465"/>
      <c r="AB487" s="465"/>
      <c r="AC487" s="465"/>
      <c r="AD487" s="465"/>
      <c r="AE487" s="465"/>
      <c r="AF487" s="465"/>
      <c r="AG487" s="465"/>
      <c r="AH487" s="465"/>
      <c r="AI487" s="465"/>
      <c r="AJ487" s="465"/>
      <c r="AK487" s="465"/>
      <c r="AL487" s="465"/>
      <c r="AM487" s="465"/>
      <c r="AN487" s="465"/>
      <c r="AO487" s="465"/>
      <c r="AP487" s="465"/>
      <c r="AQ487" s="465"/>
      <c r="AR487" s="465"/>
      <c r="AS487" s="465"/>
      <c r="AT487" s="465"/>
      <c r="AU487" s="465"/>
      <c r="AV487" s="465"/>
      <c r="AW487" s="465"/>
      <c r="AX487" s="465"/>
      <c r="AY487" s="465"/>
      <c r="AZ487" s="465"/>
      <c r="BA487" s="465"/>
      <c r="BB487" s="465"/>
      <c r="BC487" s="465"/>
    </row>
    <row r="488" spans="1:55">
      <c r="A488" s="465"/>
      <c r="B488" s="465"/>
      <c r="C488" s="465"/>
      <c r="D488" s="467"/>
      <c r="E488" s="465"/>
      <c r="F488" s="465"/>
      <c r="G488" s="465"/>
      <c r="H488" s="465"/>
      <c r="I488" s="465"/>
      <c r="J488" s="465"/>
      <c r="K488" s="465"/>
      <c r="L488" s="465"/>
      <c r="M488" s="465"/>
      <c r="N488" s="465"/>
      <c r="O488" s="465"/>
      <c r="P488" s="465"/>
      <c r="Q488" s="465"/>
      <c r="R488" s="465"/>
      <c r="S488" s="465"/>
      <c r="T488" s="465"/>
      <c r="U488" s="465"/>
      <c r="V488" s="465"/>
      <c r="W488" s="465"/>
      <c r="X488" s="465"/>
      <c r="Y488" s="465"/>
      <c r="Z488" s="465"/>
      <c r="AA488" s="465"/>
      <c r="AB488" s="465"/>
      <c r="AC488" s="465"/>
      <c r="AD488" s="465"/>
      <c r="AE488" s="465"/>
      <c r="AF488" s="465"/>
      <c r="AG488" s="465"/>
      <c r="AH488" s="465"/>
      <c r="AI488" s="465"/>
      <c r="AJ488" s="465"/>
      <c r="AK488" s="465"/>
      <c r="AL488" s="465"/>
      <c r="AM488" s="465"/>
      <c r="AN488" s="465"/>
      <c r="AO488" s="465"/>
      <c r="AP488" s="465"/>
      <c r="AQ488" s="465"/>
      <c r="AR488" s="465"/>
      <c r="AS488" s="465"/>
      <c r="AT488" s="465"/>
      <c r="AU488" s="465"/>
      <c r="AV488" s="465"/>
      <c r="AW488" s="465"/>
      <c r="AX488" s="465"/>
      <c r="AY488" s="465"/>
      <c r="AZ488" s="465"/>
      <c r="BA488" s="465"/>
      <c r="BB488" s="465"/>
      <c r="BC488" s="465"/>
    </row>
    <row r="489" spans="1:55">
      <c r="A489" s="465"/>
      <c r="B489" s="465"/>
      <c r="C489" s="465"/>
      <c r="D489" s="467"/>
      <c r="E489" s="465"/>
      <c r="F489" s="465"/>
      <c r="G489" s="465"/>
      <c r="H489" s="465"/>
      <c r="I489" s="465"/>
      <c r="J489" s="465"/>
      <c r="K489" s="465"/>
      <c r="L489" s="465"/>
      <c r="M489" s="465"/>
      <c r="N489" s="465"/>
      <c r="O489" s="465"/>
      <c r="P489" s="465"/>
      <c r="Q489" s="465"/>
      <c r="R489" s="465"/>
      <c r="S489" s="465"/>
      <c r="T489" s="465"/>
      <c r="U489" s="465"/>
      <c r="V489" s="465"/>
      <c r="W489" s="465"/>
      <c r="X489" s="465"/>
      <c r="Y489" s="465"/>
      <c r="Z489" s="465"/>
      <c r="AA489" s="465"/>
      <c r="AB489" s="465"/>
      <c r="AC489" s="465"/>
      <c r="AD489" s="465"/>
      <c r="AE489" s="465"/>
      <c r="AF489" s="465"/>
      <c r="AG489" s="465"/>
      <c r="AH489" s="465"/>
      <c r="AI489" s="465"/>
      <c r="AJ489" s="465"/>
      <c r="AK489" s="465"/>
      <c r="AL489" s="465"/>
      <c r="AM489" s="465"/>
      <c r="AN489" s="465"/>
      <c r="AO489" s="465"/>
      <c r="AP489" s="465"/>
      <c r="AQ489" s="465"/>
      <c r="AR489" s="465"/>
      <c r="AS489" s="465"/>
      <c r="AT489" s="465"/>
      <c r="AU489" s="465"/>
      <c r="AV489" s="465"/>
      <c r="AW489" s="465"/>
      <c r="AX489" s="465"/>
      <c r="AY489" s="465"/>
      <c r="AZ489" s="465"/>
      <c r="BA489" s="465"/>
      <c r="BB489" s="465"/>
      <c r="BC489" s="465"/>
    </row>
    <row r="490" spans="1:55">
      <c r="A490" s="465"/>
      <c r="B490" s="465"/>
      <c r="C490" s="465"/>
      <c r="D490" s="467"/>
      <c r="E490" s="465"/>
      <c r="F490" s="465"/>
      <c r="G490" s="465"/>
      <c r="H490" s="465"/>
      <c r="I490" s="465"/>
      <c r="J490" s="465"/>
      <c r="K490" s="465"/>
      <c r="L490" s="465"/>
      <c r="M490" s="465"/>
      <c r="N490" s="465"/>
      <c r="O490" s="465"/>
      <c r="P490" s="465"/>
      <c r="Q490" s="465"/>
      <c r="R490" s="465"/>
      <c r="S490" s="465"/>
      <c r="T490" s="465"/>
      <c r="U490" s="465"/>
      <c r="V490" s="465"/>
      <c r="W490" s="465"/>
      <c r="X490" s="465"/>
      <c r="Y490" s="465"/>
      <c r="Z490" s="465"/>
      <c r="AA490" s="465"/>
      <c r="AB490" s="465"/>
      <c r="AC490" s="465"/>
      <c r="AD490" s="465"/>
      <c r="AE490" s="465"/>
      <c r="AF490" s="465"/>
      <c r="AG490" s="465"/>
      <c r="AH490" s="465"/>
      <c r="AI490" s="465"/>
      <c r="AJ490" s="465"/>
      <c r="AK490" s="465"/>
      <c r="AL490" s="465"/>
      <c r="AM490" s="465"/>
      <c r="AN490" s="465"/>
      <c r="AO490" s="465"/>
      <c r="AP490" s="465"/>
      <c r="AQ490" s="465"/>
      <c r="AR490" s="465"/>
      <c r="AS490" s="465"/>
      <c r="AT490" s="465"/>
      <c r="AU490" s="465"/>
      <c r="AV490" s="465"/>
      <c r="AW490" s="465"/>
      <c r="AX490" s="465"/>
      <c r="AY490" s="465"/>
      <c r="AZ490" s="465"/>
      <c r="BA490" s="465"/>
      <c r="BB490" s="465"/>
      <c r="BC490" s="465"/>
    </row>
    <row r="491" spans="1:55">
      <c r="A491" s="465"/>
      <c r="B491" s="465"/>
      <c r="C491" s="465"/>
      <c r="D491" s="467"/>
      <c r="E491" s="465"/>
      <c r="F491" s="465"/>
      <c r="G491" s="465"/>
      <c r="H491" s="465"/>
      <c r="I491" s="465"/>
      <c r="J491" s="465"/>
      <c r="K491" s="465"/>
      <c r="L491" s="465"/>
      <c r="M491" s="465"/>
      <c r="N491" s="465"/>
      <c r="O491" s="465"/>
      <c r="P491" s="465"/>
      <c r="Q491" s="465"/>
      <c r="R491" s="465"/>
      <c r="S491" s="465"/>
      <c r="T491" s="465"/>
      <c r="U491" s="465"/>
      <c r="V491" s="465"/>
      <c r="W491" s="465"/>
      <c r="X491" s="465"/>
      <c r="Y491" s="465"/>
      <c r="Z491" s="465"/>
      <c r="AA491" s="465"/>
      <c r="AB491" s="465"/>
      <c r="AC491" s="465"/>
      <c r="AD491" s="465"/>
      <c r="AE491" s="465"/>
      <c r="AF491" s="465"/>
      <c r="AG491" s="465"/>
      <c r="AH491" s="465"/>
      <c r="AI491" s="465"/>
      <c r="AJ491" s="465"/>
      <c r="AK491" s="465"/>
      <c r="AL491" s="465"/>
      <c r="AM491" s="465"/>
      <c r="AN491" s="465"/>
      <c r="AO491" s="465"/>
      <c r="AP491" s="465"/>
      <c r="AQ491" s="465"/>
      <c r="AR491" s="465"/>
      <c r="AS491" s="465"/>
      <c r="AT491" s="465"/>
      <c r="AU491" s="465"/>
      <c r="AV491" s="465"/>
      <c r="AW491" s="465"/>
      <c r="AX491" s="465"/>
      <c r="AY491" s="465"/>
      <c r="AZ491" s="465"/>
      <c r="BA491" s="465"/>
      <c r="BB491" s="465"/>
      <c r="BC491" s="465"/>
    </row>
    <row r="492" spans="1:55">
      <c r="A492" s="465"/>
      <c r="B492" s="465"/>
      <c r="C492" s="465"/>
      <c r="D492" s="467"/>
      <c r="E492" s="465"/>
      <c r="F492" s="465"/>
      <c r="G492" s="465"/>
      <c r="H492" s="465"/>
      <c r="I492" s="465"/>
      <c r="J492" s="465"/>
      <c r="K492" s="465"/>
      <c r="L492" s="465"/>
      <c r="M492" s="465"/>
      <c r="N492" s="465"/>
      <c r="O492" s="465"/>
      <c r="P492" s="465"/>
      <c r="Q492" s="465"/>
      <c r="R492" s="465"/>
      <c r="S492" s="465"/>
      <c r="T492" s="465"/>
      <c r="U492" s="465"/>
      <c r="V492" s="465"/>
      <c r="W492" s="465"/>
      <c r="X492" s="465"/>
      <c r="Y492" s="465"/>
      <c r="Z492" s="465"/>
      <c r="AA492" s="465"/>
      <c r="AB492" s="465"/>
      <c r="AC492" s="465"/>
      <c r="AD492" s="465"/>
      <c r="AE492" s="465"/>
      <c r="AF492" s="465"/>
      <c r="AG492" s="465"/>
      <c r="AH492" s="465"/>
      <c r="AI492" s="465"/>
      <c r="AJ492" s="465"/>
      <c r="AK492" s="465"/>
      <c r="AL492" s="465"/>
      <c r="AM492" s="465"/>
      <c r="AN492" s="465"/>
      <c r="AO492" s="465"/>
      <c r="AP492" s="465"/>
      <c r="AQ492" s="465"/>
      <c r="AR492" s="465"/>
      <c r="AS492" s="465"/>
      <c r="AT492" s="465"/>
      <c r="AU492" s="465"/>
      <c r="AV492" s="465"/>
      <c r="AW492" s="465"/>
      <c r="AX492" s="465"/>
      <c r="AY492" s="465"/>
      <c r="AZ492" s="465"/>
      <c r="BA492" s="465"/>
      <c r="BB492" s="465"/>
      <c r="BC492" s="465"/>
    </row>
    <row r="493" spans="1:55">
      <c r="A493" s="465"/>
      <c r="B493" s="465"/>
      <c r="C493" s="465"/>
      <c r="D493" s="467"/>
      <c r="E493" s="465"/>
      <c r="F493" s="465"/>
      <c r="G493" s="465"/>
      <c r="H493" s="465"/>
      <c r="I493" s="465"/>
      <c r="J493" s="465"/>
      <c r="K493" s="465"/>
      <c r="L493" s="465"/>
      <c r="M493" s="465"/>
      <c r="N493" s="465"/>
      <c r="O493" s="465"/>
      <c r="P493" s="465"/>
      <c r="Q493" s="465"/>
      <c r="R493" s="465"/>
      <c r="S493" s="465"/>
      <c r="T493" s="465"/>
      <c r="U493" s="465"/>
      <c r="V493" s="465"/>
      <c r="W493" s="465"/>
      <c r="X493" s="465"/>
      <c r="Y493" s="465"/>
      <c r="Z493" s="465"/>
      <c r="AA493" s="465"/>
      <c r="AB493" s="465"/>
      <c r="AC493" s="465"/>
      <c r="AD493" s="465"/>
      <c r="AE493" s="465"/>
      <c r="AF493" s="465"/>
      <c r="AG493" s="465"/>
      <c r="AH493" s="465"/>
      <c r="AI493" s="465"/>
      <c r="AJ493" s="465"/>
      <c r="AK493" s="465"/>
      <c r="AL493" s="465"/>
      <c r="AM493" s="465"/>
      <c r="AN493" s="465"/>
      <c r="AO493" s="465"/>
      <c r="AP493" s="465"/>
      <c r="AQ493" s="465"/>
      <c r="AR493" s="465"/>
      <c r="AS493" s="465"/>
      <c r="AT493" s="465"/>
      <c r="AU493" s="465"/>
      <c r="AV493" s="465"/>
      <c r="AW493" s="465"/>
      <c r="AX493" s="465"/>
      <c r="AY493" s="465"/>
      <c r="AZ493" s="465"/>
      <c r="BA493" s="465"/>
      <c r="BB493" s="465"/>
      <c r="BC493" s="465"/>
    </row>
    <row r="494" spans="1:55">
      <c r="A494" s="465"/>
      <c r="B494" s="465"/>
      <c r="C494" s="465"/>
      <c r="D494" s="467"/>
      <c r="E494" s="465"/>
      <c r="F494" s="465"/>
      <c r="G494" s="465"/>
      <c r="H494" s="465"/>
      <c r="I494" s="465"/>
      <c r="J494" s="465"/>
      <c r="K494" s="465"/>
      <c r="L494" s="465"/>
      <c r="M494" s="465"/>
      <c r="N494" s="465"/>
      <c r="O494" s="465"/>
      <c r="P494" s="465"/>
      <c r="Q494" s="465"/>
      <c r="R494" s="465"/>
      <c r="S494" s="465"/>
      <c r="T494" s="465"/>
      <c r="U494" s="465"/>
      <c r="V494" s="465"/>
      <c r="W494" s="465"/>
      <c r="X494" s="465"/>
      <c r="Y494" s="465"/>
      <c r="Z494" s="465"/>
      <c r="AA494" s="465"/>
      <c r="AB494" s="465"/>
      <c r="AC494" s="465"/>
      <c r="AD494" s="465"/>
      <c r="AE494" s="465"/>
      <c r="AF494" s="465"/>
      <c r="AG494" s="465"/>
      <c r="AH494" s="465"/>
      <c r="AI494" s="465"/>
      <c r="AJ494" s="465"/>
      <c r="AK494" s="465"/>
      <c r="AL494" s="465"/>
      <c r="AM494" s="465"/>
      <c r="AN494" s="465"/>
      <c r="AO494" s="465"/>
      <c r="AP494" s="465"/>
      <c r="AQ494" s="465"/>
      <c r="AR494" s="465"/>
      <c r="AS494" s="465"/>
      <c r="AT494" s="465"/>
      <c r="AU494" s="465"/>
      <c r="AV494" s="465"/>
      <c r="AW494" s="465"/>
      <c r="AX494" s="465"/>
      <c r="AY494" s="465"/>
      <c r="AZ494" s="465"/>
      <c r="BA494" s="465"/>
      <c r="BB494" s="465"/>
      <c r="BC494" s="465"/>
    </row>
    <row r="495" spans="1:55">
      <c r="A495" s="465"/>
      <c r="B495" s="465"/>
      <c r="C495" s="465"/>
      <c r="D495" s="467"/>
      <c r="E495" s="465"/>
      <c r="F495" s="465"/>
      <c r="G495" s="465"/>
      <c r="H495" s="465"/>
      <c r="I495" s="465"/>
      <c r="J495" s="465"/>
      <c r="K495" s="465"/>
      <c r="L495" s="465"/>
      <c r="M495" s="465"/>
      <c r="N495" s="465"/>
      <c r="O495" s="465"/>
      <c r="P495" s="465"/>
      <c r="Q495" s="465"/>
      <c r="R495" s="465"/>
      <c r="S495" s="465"/>
      <c r="T495" s="465"/>
      <c r="U495" s="465"/>
      <c r="V495" s="465"/>
      <c r="W495" s="465"/>
      <c r="X495" s="465"/>
      <c r="Y495" s="465"/>
      <c r="Z495" s="465"/>
      <c r="AA495" s="465"/>
      <c r="AB495" s="465"/>
      <c r="AC495" s="465"/>
      <c r="AD495" s="465"/>
      <c r="AE495" s="465"/>
      <c r="AF495" s="465"/>
      <c r="AG495" s="465"/>
      <c r="AH495" s="465"/>
      <c r="AI495" s="465"/>
      <c r="AJ495" s="465"/>
      <c r="AK495" s="465"/>
      <c r="AL495" s="465"/>
      <c r="AM495" s="465"/>
      <c r="AN495" s="465"/>
      <c r="AO495" s="465"/>
      <c r="AP495" s="465"/>
      <c r="AQ495" s="465"/>
      <c r="AR495" s="465"/>
      <c r="AS495" s="465"/>
      <c r="AT495" s="465"/>
      <c r="AU495" s="465"/>
      <c r="AV495" s="465"/>
      <c r="AW495" s="465"/>
      <c r="AX495" s="465"/>
      <c r="AY495" s="465"/>
      <c r="AZ495" s="465"/>
      <c r="BA495" s="465"/>
      <c r="BB495" s="465"/>
      <c r="BC495" s="465"/>
    </row>
    <row r="496" spans="1:55">
      <c r="A496" s="465"/>
      <c r="B496" s="465"/>
      <c r="C496" s="465"/>
      <c r="D496" s="467"/>
      <c r="E496" s="465"/>
      <c r="F496" s="465"/>
      <c r="G496" s="465"/>
      <c r="H496" s="465"/>
      <c r="I496" s="465"/>
      <c r="J496" s="465"/>
      <c r="K496" s="465"/>
      <c r="L496" s="465"/>
      <c r="M496" s="465"/>
      <c r="N496" s="465"/>
      <c r="O496" s="465"/>
      <c r="P496" s="465"/>
      <c r="Q496" s="465"/>
      <c r="R496" s="465"/>
      <c r="S496" s="465"/>
      <c r="T496" s="465"/>
      <c r="U496" s="465"/>
      <c r="V496" s="465"/>
      <c r="W496" s="465"/>
      <c r="X496" s="465"/>
      <c r="Y496" s="465"/>
      <c r="Z496" s="465"/>
      <c r="AA496" s="465"/>
      <c r="AB496" s="465"/>
      <c r="AC496" s="465"/>
      <c r="AD496" s="465"/>
      <c r="AE496" s="465"/>
      <c r="AF496" s="465"/>
      <c r="AG496" s="465"/>
      <c r="AH496" s="465"/>
      <c r="AI496" s="465"/>
      <c r="AJ496" s="465"/>
      <c r="AK496" s="465"/>
      <c r="AL496" s="465"/>
      <c r="AM496" s="465"/>
      <c r="AN496" s="465"/>
      <c r="AO496" s="465"/>
      <c r="AP496" s="465"/>
      <c r="AQ496" s="465"/>
      <c r="AR496" s="465"/>
      <c r="AS496" s="465"/>
      <c r="AT496" s="465"/>
      <c r="AU496" s="465"/>
      <c r="AV496" s="465"/>
      <c r="AW496" s="465"/>
      <c r="AX496" s="465"/>
      <c r="AY496" s="465"/>
      <c r="AZ496" s="465"/>
      <c r="BA496" s="465"/>
      <c r="BB496" s="465"/>
      <c r="BC496" s="465"/>
    </row>
    <row r="497" spans="1:55">
      <c r="A497" s="465"/>
      <c r="B497" s="465"/>
      <c r="C497" s="465"/>
      <c r="D497" s="467"/>
      <c r="E497" s="465"/>
      <c r="F497" s="465"/>
      <c r="G497" s="465"/>
      <c r="H497" s="465"/>
      <c r="I497" s="465"/>
      <c r="J497" s="465"/>
      <c r="K497" s="465"/>
      <c r="L497" s="465"/>
      <c r="M497" s="465"/>
      <c r="N497" s="465"/>
      <c r="O497" s="465"/>
      <c r="P497" s="465"/>
      <c r="Q497" s="465"/>
      <c r="R497" s="465"/>
      <c r="S497" s="465"/>
      <c r="T497" s="465"/>
      <c r="U497" s="465"/>
      <c r="V497" s="465"/>
      <c r="W497" s="465"/>
      <c r="X497" s="465"/>
      <c r="Y497" s="465"/>
      <c r="Z497" s="465"/>
      <c r="AA497" s="465"/>
      <c r="AB497" s="465"/>
      <c r="AC497" s="465"/>
      <c r="AD497" s="465"/>
      <c r="AE497" s="465"/>
      <c r="AF497" s="465"/>
      <c r="AG497" s="465"/>
      <c r="AH497" s="465"/>
      <c r="AI497" s="465"/>
      <c r="AJ497" s="465"/>
      <c r="AK497" s="465"/>
      <c r="AL497" s="465"/>
      <c r="AM497" s="465"/>
      <c r="AN497" s="465"/>
      <c r="AO497" s="465"/>
      <c r="AP497" s="465"/>
      <c r="AQ497" s="465"/>
      <c r="AR497" s="465"/>
      <c r="AS497" s="465"/>
      <c r="AT497" s="465"/>
      <c r="AU497" s="465"/>
      <c r="AV497" s="465"/>
      <c r="AW497" s="465"/>
      <c r="AX497" s="465"/>
      <c r="AY497" s="465"/>
      <c r="AZ497" s="465"/>
      <c r="BA497" s="465"/>
      <c r="BB497" s="465"/>
      <c r="BC497" s="465"/>
    </row>
    <row r="498" spans="1:55">
      <c r="A498" s="465"/>
      <c r="B498" s="465"/>
      <c r="C498" s="465"/>
      <c r="D498" s="467"/>
      <c r="E498" s="465"/>
      <c r="F498" s="465"/>
      <c r="G498" s="465"/>
      <c r="H498" s="465"/>
      <c r="I498" s="465"/>
      <c r="J498" s="465"/>
      <c r="K498" s="465"/>
      <c r="L498" s="465"/>
      <c r="M498" s="465"/>
      <c r="N498" s="465"/>
      <c r="O498" s="465"/>
      <c r="P498" s="465"/>
      <c r="Q498" s="465"/>
      <c r="R498" s="465"/>
      <c r="S498" s="465"/>
      <c r="T498" s="465"/>
      <c r="U498" s="465"/>
      <c r="V498" s="465"/>
      <c r="W498" s="465"/>
      <c r="X498" s="465"/>
      <c r="Y498" s="465"/>
      <c r="Z498" s="465"/>
      <c r="AA498" s="465"/>
      <c r="AB498" s="465"/>
      <c r="AC498" s="465"/>
      <c r="AD498" s="465"/>
      <c r="AE498" s="465"/>
      <c r="AF498" s="465"/>
      <c r="AG498" s="465"/>
      <c r="AH498" s="465"/>
      <c r="AI498" s="465"/>
      <c r="AJ498" s="465"/>
      <c r="AK498" s="465"/>
      <c r="AL498" s="465"/>
      <c r="AM498" s="465"/>
      <c r="AN498" s="465"/>
      <c r="AO498" s="465"/>
      <c r="AP498" s="465"/>
      <c r="AQ498" s="465"/>
      <c r="AR498" s="465"/>
      <c r="AS498" s="465"/>
      <c r="AT498" s="465"/>
      <c r="AU498" s="465"/>
      <c r="AV498" s="465"/>
      <c r="AW498" s="465"/>
      <c r="AX498" s="465"/>
      <c r="AY498" s="465"/>
      <c r="AZ498" s="465"/>
      <c r="BA498" s="465"/>
      <c r="BB498" s="465"/>
      <c r="BC498" s="465"/>
    </row>
    <row r="499" spans="1:55">
      <c r="A499" s="465"/>
      <c r="B499" s="465"/>
      <c r="C499" s="465"/>
      <c r="D499" s="467"/>
      <c r="E499" s="465"/>
      <c r="F499" s="465"/>
      <c r="G499" s="465"/>
      <c r="H499" s="465"/>
      <c r="I499" s="465"/>
      <c r="J499" s="465"/>
      <c r="K499" s="465"/>
      <c r="L499" s="465"/>
      <c r="M499" s="465"/>
      <c r="N499" s="465"/>
      <c r="O499" s="465"/>
      <c r="P499" s="465"/>
      <c r="Q499" s="465"/>
      <c r="R499" s="465"/>
      <c r="S499" s="465"/>
      <c r="T499" s="465"/>
      <c r="U499" s="465"/>
      <c r="V499" s="465"/>
      <c r="W499" s="465"/>
      <c r="X499" s="465"/>
      <c r="Y499" s="465"/>
      <c r="Z499" s="465"/>
      <c r="AA499" s="465"/>
      <c r="AB499" s="465"/>
      <c r="AC499" s="465"/>
      <c r="AD499" s="465"/>
      <c r="AE499" s="465"/>
      <c r="AF499" s="465"/>
      <c r="AG499" s="465"/>
      <c r="AH499" s="465"/>
      <c r="AI499" s="465"/>
      <c r="AJ499" s="465"/>
      <c r="AK499" s="465"/>
      <c r="AL499" s="465"/>
      <c r="AM499" s="465"/>
      <c r="AN499" s="465"/>
      <c r="AO499" s="465"/>
      <c r="AP499" s="465"/>
      <c r="AQ499" s="465"/>
      <c r="AR499" s="465"/>
      <c r="AS499" s="465"/>
      <c r="AT499" s="465"/>
      <c r="AU499" s="465"/>
      <c r="AV499" s="465"/>
      <c r="AW499" s="465"/>
      <c r="AX499" s="465"/>
      <c r="AY499" s="465"/>
      <c r="AZ499" s="465"/>
      <c r="BA499" s="465"/>
      <c r="BB499" s="465"/>
      <c r="BC499" s="465"/>
    </row>
    <row r="500" spans="1:55">
      <c r="A500" s="465"/>
      <c r="B500" s="465"/>
      <c r="C500" s="465"/>
      <c r="D500" s="467"/>
      <c r="E500" s="465"/>
      <c r="F500" s="465"/>
      <c r="G500" s="465"/>
      <c r="H500" s="465"/>
      <c r="I500" s="465"/>
      <c r="J500" s="465"/>
      <c r="K500" s="465"/>
      <c r="L500" s="465"/>
      <c r="M500" s="465"/>
      <c r="N500" s="465"/>
      <c r="O500" s="465"/>
      <c r="P500" s="465"/>
      <c r="Q500" s="465"/>
      <c r="R500" s="465"/>
      <c r="S500" s="465"/>
      <c r="T500" s="465"/>
      <c r="U500" s="465"/>
      <c r="V500" s="465"/>
      <c r="W500" s="465"/>
      <c r="X500" s="465"/>
      <c r="Y500" s="465"/>
      <c r="Z500" s="465"/>
      <c r="AA500" s="465"/>
      <c r="AB500" s="465"/>
      <c r="AC500" s="465"/>
      <c r="AD500" s="465"/>
      <c r="AE500" s="465"/>
      <c r="AF500" s="465"/>
      <c r="AG500" s="465"/>
      <c r="AH500" s="465"/>
      <c r="AI500" s="465"/>
      <c r="AJ500" s="465"/>
      <c r="AK500" s="465"/>
      <c r="AL500" s="465"/>
      <c r="AM500" s="465"/>
      <c r="AN500" s="465"/>
      <c r="AO500" s="465"/>
      <c r="AP500" s="465"/>
      <c r="AQ500" s="465"/>
      <c r="AR500" s="465"/>
      <c r="AS500" s="465"/>
      <c r="AT500" s="465"/>
      <c r="AU500" s="465"/>
      <c r="AV500" s="465"/>
      <c r="AW500" s="465"/>
      <c r="AX500" s="465"/>
      <c r="AY500" s="465"/>
      <c r="AZ500" s="465"/>
      <c r="BA500" s="465"/>
      <c r="BB500" s="465"/>
      <c r="BC500" s="465"/>
    </row>
    <row r="501" spans="1:55">
      <c r="A501" s="465"/>
      <c r="B501" s="465"/>
      <c r="C501" s="465"/>
      <c r="D501" s="467"/>
      <c r="E501" s="465"/>
      <c r="F501" s="465"/>
      <c r="G501" s="465"/>
      <c r="H501" s="465"/>
      <c r="I501" s="465"/>
      <c r="J501" s="465"/>
      <c r="K501" s="465"/>
      <c r="L501" s="465"/>
      <c r="M501" s="465"/>
      <c r="N501" s="465"/>
      <c r="O501" s="465"/>
      <c r="P501" s="465"/>
      <c r="Q501" s="465"/>
      <c r="R501" s="465"/>
      <c r="S501" s="465"/>
      <c r="T501" s="465"/>
      <c r="U501" s="465"/>
      <c r="V501" s="465"/>
      <c r="W501" s="465"/>
      <c r="X501" s="465"/>
      <c r="Y501" s="465"/>
      <c r="Z501" s="465"/>
      <c r="AA501" s="465"/>
      <c r="AB501" s="465"/>
      <c r="AC501" s="465"/>
      <c r="AD501" s="465"/>
      <c r="AE501" s="465"/>
      <c r="AF501" s="465"/>
      <c r="AG501" s="465"/>
      <c r="AH501" s="465"/>
      <c r="AI501" s="465"/>
      <c r="AJ501" s="465"/>
      <c r="AK501" s="465"/>
      <c r="AL501" s="465"/>
      <c r="AM501" s="465"/>
      <c r="AN501" s="465"/>
      <c r="AO501" s="465"/>
      <c r="AP501" s="465"/>
      <c r="AQ501" s="465"/>
      <c r="AR501" s="465"/>
      <c r="AS501" s="465"/>
      <c r="AT501" s="465"/>
      <c r="AU501" s="465"/>
      <c r="AV501" s="465"/>
      <c r="AW501" s="465"/>
      <c r="AX501" s="465"/>
      <c r="AY501" s="465"/>
      <c r="AZ501" s="465"/>
      <c r="BA501" s="465"/>
      <c r="BB501" s="465"/>
      <c r="BC501" s="465"/>
    </row>
    <row r="502" spans="1:55">
      <c r="A502" s="465"/>
      <c r="B502" s="465"/>
      <c r="C502" s="465"/>
      <c r="D502" s="467"/>
      <c r="E502" s="465"/>
      <c r="F502" s="465"/>
      <c r="G502" s="465"/>
      <c r="H502" s="465"/>
      <c r="I502" s="465"/>
      <c r="J502" s="465"/>
      <c r="K502" s="465"/>
      <c r="L502" s="465"/>
      <c r="M502" s="465"/>
      <c r="N502" s="465"/>
      <c r="O502" s="465"/>
      <c r="P502" s="465"/>
      <c r="Q502" s="465"/>
      <c r="R502" s="465"/>
      <c r="S502" s="465"/>
      <c r="T502" s="465"/>
      <c r="U502" s="465"/>
      <c r="V502" s="465"/>
      <c r="W502" s="465"/>
      <c r="X502" s="465"/>
      <c r="Y502" s="465"/>
      <c r="Z502" s="465"/>
      <c r="AA502" s="465"/>
      <c r="AB502" s="465"/>
      <c r="AC502" s="465"/>
      <c r="AD502" s="465"/>
      <c r="AE502" s="465"/>
      <c r="AF502" s="465"/>
      <c r="AG502" s="465"/>
      <c r="AH502" s="465"/>
      <c r="AI502" s="465"/>
      <c r="AJ502" s="465"/>
      <c r="AK502" s="465"/>
      <c r="AL502" s="465"/>
      <c r="AM502" s="465"/>
      <c r="AN502" s="465"/>
      <c r="AO502" s="465"/>
      <c r="AP502" s="465"/>
      <c r="AQ502" s="465"/>
      <c r="AR502" s="465"/>
      <c r="AS502" s="465"/>
      <c r="AT502" s="465"/>
      <c r="AU502" s="465"/>
      <c r="AV502" s="465"/>
      <c r="AW502" s="465"/>
      <c r="AX502" s="465"/>
      <c r="AY502" s="465"/>
      <c r="AZ502" s="465"/>
      <c r="BA502" s="465"/>
      <c r="BB502" s="465"/>
      <c r="BC502" s="465"/>
    </row>
    <row r="503" spans="1:55">
      <c r="A503" s="465"/>
      <c r="B503" s="465"/>
      <c r="C503" s="465"/>
      <c r="D503" s="467"/>
      <c r="E503" s="465"/>
      <c r="F503" s="465"/>
      <c r="G503" s="465"/>
      <c r="H503" s="465"/>
      <c r="I503" s="465"/>
      <c r="J503" s="465"/>
      <c r="K503" s="465"/>
      <c r="L503" s="465"/>
      <c r="M503" s="465"/>
      <c r="N503" s="465"/>
      <c r="O503" s="465"/>
      <c r="P503" s="465"/>
      <c r="Q503" s="465"/>
      <c r="R503" s="465"/>
      <c r="S503" s="465"/>
      <c r="T503" s="465"/>
      <c r="U503" s="465"/>
      <c r="V503" s="465"/>
      <c r="W503" s="465"/>
      <c r="X503" s="465"/>
      <c r="Y503" s="465"/>
      <c r="Z503" s="465"/>
      <c r="AA503" s="465"/>
      <c r="AB503" s="465"/>
      <c r="AC503" s="465"/>
      <c r="AD503" s="465"/>
      <c r="AE503" s="465"/>
      <c r="AF503" s="465"/>
      <c r="AG503" s="465"/>
      <c r="AH503" s="465"/>
      <c r="AI503" s="465"/>
      <c r="AJ503" s="465"/>
      <c r="AK503" s="465"/>
      <c r="AL503" s="465"/>
      <c r="AM503" s="465"/>
      <c r="AN503" s="465"/>
      <c r="AO503" s="465"/>
      <c r="AP503" s="465"/>
      <c r="AQ503" s="465"/>
      <c r="AR503" s="465"/>
      <c r="AS503" s="465"/>
      <c r="AT503" s="465"/>
      <c r="AU503" s="465"/>
      <c r="AV503" s="465"/>
      <c r="AW503" s="465"/>
      <c r="AX503" s="465"/>
      <c r="AY503" s="465"/>
      <c r="AZ503" s="465"/>
      <c r="BA503" s="465"/>
      <c r="BB503" s="465"/>
      <c r="BC503" s="465"/>
    </row>
    <row r="504" spans="1:55">
      <c r="A504" s="465"/>
      <c r="B504" s="465"/>
      <c r="C504" s="465"/>
      <c r="D504" s="467"/>
      <c r="E504" s="465"/>
      <c r="F504" s="465"/>
      <c r="G504" s="465"/>
      <c r="H504" s="465"/>
      <c r="I504" s="465"/>
      <c r="J504" s="465"/>
      <c r="K504" s="465"/>
      <c r="L504" s="465"/>
      <c r="M504" s="465"/>
      <c r="N504" s="465"/>
      <c r="O504" s="465"/>
      <c r="P504" s="465"/>
      <c r="Q504" s="465"/>
      <c r="R504" s="465"/>
      <c r="S504" s="465"/>
      <c r="T504" s="465"/>
      <c r="U504" s="465"/>
      <c r="V504" s="465"/>
      <c r="W504" s="465"/>
      <c r="X504" s="465"/>
      <c r="Y504" s="465"/>
      <c r="Z504" s="465"/>
      <c r="AA504" s="465"/>
      <c r="AB504" s="465"/>
      <c r="AC504" s="465"/>
      <c r="AD504" s="465"/>
      <c r="AE504" s="465"/>
      <c r="AF504" s="465"/>
      <c r="AG504" s="465"/>
      <c r="AH504" s="465"/>
      <c r="AI504" s="465"/>
      <c r="AJ504" s="465"/>
      <c r="AK504" s="465"/>
      <c r="AL504" s="465"/>
      <c r="AM504" s="465"/>
      <c r="AN504" s="465"/>
      <c r="AO504" s="465"/>
      <c r="AP504" s="465"/>
      <c r="AQ504" s="465"/>
      <c r="AR504" s="465"/>
      <c r="AS504" s="465"/>
      <c r="AT504" s="465"/>
      <c r="AU504" s="465"/>
      <c r="AV504" s="465"/>
      <c r="AW504" s="465"/>
      <c r="AX504" s="465"/>
      <c r="AY504" s="465"/>
      <c r="AZ504" s="465"/>
      <c r="BA504" s="465"/>
      <c r="BB504" s="465"/>
      <c r="BC504" s="465"/>
    </row>
    <row r="505" spans="1:55">
      <c r="A505" s="465"/>
      <c r="B505" s="465"/>
      <c r="C505" s="465"/>
      <c r="D505" s="467"/>
      <c r="E505" s="465"/>
      <c r="F505" s="465"/>
      <c r="G505" s="465"/>
      <c r="H505" s="465"/>
      <c r="I505" s="465"/>
      <c r="J505" s="465"/>
      <c r="K505" s="465"/>
      <c r="L505" s="465"/>
      <c r="M505" s="465"/>
      <c r="N505" s="465"/>
      <c r="O505" s="465"/>
      <c r="P505" s="465"/>
      <c r="Q505" s="465"/>
      <c r="R505" s="465"/>
      <c r="S505" s="465"/>
      <c r="T505" s="465"/>
      <c r="U505" s="465"/>
      <c r="V505" s="465"/>
      <c r="W505" s="465"/>
      <c r="X505" s="465"/>
      <c r="Y505" s="465"/>
      <c r="Z505" s="465"/>
      <c r="AA505" s="465"/>
      <c r="AB505" s="465"/>
      <c r="AC505" s="465"/>
      <c r="AD505" s="465"/>
      <c r="AE505" s="465"/>
      <c r="AF505" s="465"/>
      <c r="AG505" s="465"/>
      <c r="AH505" s="465"/>
      <c r="AI505" s="465"/>
      <c r="AJ505" s="465"/>
      <c r="AK505" s="465"/>
      <c r="AL505" s="465"/>
      <c r="AM505" s="465"/>
      <c r="AN505" s="465"/>
      <c r="AO505" s="465"/>
      <c r="AP505" s="465"/>
      <c r="AQ505" s="465"/>
      <c r="AR505" s="465"/>
      <c r="AS505" s="465"/>
      <c r="AT505" s="465"/>
      <c r="AU505" s="465"/>
      <c r="AV505" s="465"/>
      <c r="AW505" s="465"/>
      <c r="AX505" s="465"/>
      <c r="AY505" s="465"/>
      <c r="AZ505" s="465"/>
      <c r="BA505" s="465"/>
      <c r="BB505" s="465"/>
      <c r="BC505" s="465"/>
    </row>
    <row r="506" spans="1:55">
      <c r="A506" s="465"/>
      <c r="B506" s="465"/>
      <c r="C506" s="465"/>
      <c r="D506" s="467"/>
      <c r="E506" s="465"/>
      <c r="F506" s="465"/>
      <c r="G506" s="465"/>
      <c r="H506" s="465"/>
      <c r="I506" s="465"/>
      <c r="J506" s="465"/>
      <c r="K506" s="465"/>
      <c r="L506" s="465"/>
      <c r="M506" s="465"/>
      <c r="N506" s="465"/>
      <c r="O506" s="465"/>
      <c r="P506" s="465"/>
      <c r="Q506" s="465"/>
      <c r="R506" s="465"/>
      <c r="S506" s="465"/>
      <c r="T506" s="465"/>
      <c r="U506" s="465"/>
      <c r="V506" s="465"/>
      <c r="W506" s="465"/>
      <c r="X506" s="465"/>
      <c r="Y506" s="465"/>
      <c r="Z506" s="465"/>
      <c r="AA506" s="465"/>
      <c r="AB506" s="465"/>
      <c r="AC506" s="465"/>
      <c r="AD506" s="465"/>
      <c r="AE506" s="465"/>
      <c r="AF506" s="465"/>
      <c r="AG506" s="465"/>
      <c r="AH506" s="465"/>
      <c r="AI506" s="465"/>
      <c r="AJ506" s="465"/>
      <c r="AK506" s="465"/>
      <c r="AL506" s="465"/>
      <c r="AM506" s="465"/>
      <c r="AN506" s="465"/>
      <c r="AO506" s="465"/>
      <c r="AP506" s="465"/>
      <c r="AQ506" s="465"/>
      <c r="AR506" s="465"/>
      <c r="AS506" s="465"/>
      <c r="AT506" s="465"/>
      <c r="AU506" s="465"/>
      <c r="AV506" s="465"/>
      <c r="AW506" s="465"/>
      <c r="AX506" s="465"/>
      <c r="AY506" s="465"/>
      <c r="AZ506" s="465"/>
      <c r="BA506" s="465"/>
      <c r="BB506" s="465"/>
      <c r="BC506" s="465"/>
    </row>
    <row r="507" spans="1:55">
      <c r="A507" s="465"/>
      <c r="B507" s="465"/>
      <c r="C507" s="465"/>
      <c r="D507" s="467"/>
      <c r="E507" s="465"/>
      <c r="F507" s="465"/>
      <c r="G507" s="465"/>
      <c r="H507" s="465"/>
      <c r="I507" s="465"/>
      <c r="J507" s="465"/>
      <c r="K507" s="465"/>
      <c r="L507" s="465"/>
      <c r="M507" s="465"/>
      <c r="N507" s="465"/>
      <c r="O507" s="465"/>
      <c r="P507" s="465"/>
      <c r="Q507" s="465"/>
      <c r="R507" s="465"/>
      <c r="S507" s="465"/>
      <c r="T507" s="465"/>
      <c r="U507" s="465"/>
      <c r="V507" s="465"/>
      <c r="W507" s="465"/>
      <c r="X507" s="465"/>
      <c r="Y507" s="465"/>
      <c r="Z507" s="465"/>
      <c r="AA507" s="465"/>
      <c r="AB507" s="465"/>
      <c r="AC507" s="465"/>
      <c r="AD507" s="465"/>
      <c r="AE507" s="465"/>
      <c r="AF507" s="465"/>
      <c r="AG507" s="465"/>
      <c r="AH507" s="465"/>
      <c r="AI507" s="465"/>
      <c r="AJ507" s="465"/>
      <c r="AK507" s="465"/>
      <c r="AL507" s="465"/>
      <c r="AM507" s="465"/>
      <c r="AN507" s="465"/>
      <c r="AO507" s="465"/>
      <c r="AP507" s="465"/>
      <c r="AQ507" s="465"/>
      <c r="AR507" s="465"/>
      <c r="AS507" s="465"/>
      <c r="AT507" s="465"/>
      <c r="AU507" s="465"/>
      <c r="AV507" s="465"/>
      <c r="AW507" s="465"/>
      <c r="AX507" s="465"/>
      <c r="AY507" s="465"/>
      <c r="AZ507" s="465"/>
      <c r="BA507" s="465"/>
      <c r="BB507" s="465"/>
      <c r="BC507" s="465"/>
    </row>
    <row r="508" spans="1:55">
      <c r="A508" s="465"/>
      <c r="B508" s="465"/>
      <c r="C508" s="465"/>
      <c r="D508" s="467"/>
      <c r="E508" s="465"/>
      <c r="F508" s="465"/>
      <c r="G508" s="465"/>
      <c r="H508" s="465"/>
      <c r="I508" s="465"/>
      <c r="J508" s="465"/>
      <c r="K508" s="465"/>
      <c r="L508" s="465"/>
      <c r="M508" s="465"/>
      <c r="N508" s="465"/>
      <c r="O508" s="465"/>
      <c r="P508" s="465"/>
      <c r="Q508" s="465"/>
      <c r="R508" s="465"/>
      <c r="S508" s="465"/>
      <c r="T508" s="465"/>
      <c r="U508" s="465"/>
      <c r="V508" s="465"/>
      <c r="W508" s="465"/>
      <c r="X508" s="465"/>
      <c r="Y508" s="465"/>
      <c r="Z508" s="465"/>
      <c r="AA508" s="465"/>
      <c r="AB508" s="465"/>
      <c r="AC508" s="465"/>
      <c r="AD508" s="465"/>
      <c r="AE508" s="465"/>
      <c r="AF508" s="465"/>
      <c r="AG508" s="465"/>
      <c r="AH508" s="465"/>
      <c r="AI508" s="465"/>
      <c r="AJ508" s="465"/>
      <c r="AK508" s="465"/>
      <c r="AL508" s="465"/>
      <c r="AM508" s="465"/>
      <c r="AN508" s="465"/>
      <c r="AO508" s="465"/>
      <c r="AP508" s="465"/>
      <c r="AQ508" s="465"/>
      <c r="AR508" s="465"/>
      <c r="AS508" s="465"/>
      <c r="AT508" s="465"/>
      <c r="AU508" s="465"/>
      <c r="AV508" s="465"/>
      <c r="AW508" s="465"/>
      <c r="AX508" s="465"/>
      <c r="AY508" s="465"/>
      <c r="AZ508" s="465"/>
      <c r="BA508" s="465"/>
      <c r="BB508" s="465"/>
      <c r="BC508" s="465"/>
    </row>
    <row r="509" spans="1:55">
      <c r="A509" s="465"/>
      <c r="B509" s="465"/>
      <c r="C509" s="465"/>
      <c r="D509" s="467"/>
      <c r="E509" s="465"/>
      <c r="F509" s="465"/>
      <c r="G509" s="465"/>
      <c r="H509" s="465"/>
      <c r="I509" s="465"/>
      <c r="J509" s="465"/>
      <c r="K509" s="465"/>
      <c r="L509" s="465"/>
      <c r="M509" s="465"/>
      <c r="N509" s="465"/>
      <c r="O509" s="465"/>
      <c r="P509" s="465"/>
      <c r="Q509" s="465"/>
      <c r="R509" s="465"/>
      <c r="S509" s="465"/>
      <c r="T509" s="465"/>
      <c r="U509" s="465"/>
      <c r="V509" s="465"/>
      <c r="W509" s="465"/>
      <c r="X509" s="465"/>
      <c r="Y509" s="465"/>
      <c r="Z509" s="465"/>
      <c r="AA509" s="465"/>
      <c r="AB509" s="465"/>
      <c r="AC509" s="465"/>
      <c r="AD509" s="465"/>
      <c r="AE509" s="465"/>
      <c r="AF509" s="465"/>
      <c r="AG509" s="465"/>
      <c r="AH509" s="465"/>
      <c r="AI509" s="465"/>
      <c r="AJ509" s="465"/>
      <c r="AK509" s="465"/>
      <c r="AL509" s="465"/>
      <c r="AM509" s="465"/>
      <c r="AN509" s="465"/>
      <c r="AO509" s="465"/>
      <c r="AP509" s="465"/>
      <c r="AQ509" s="465"/>
      <c r="AR509" s="465"/>
      <c r="AS509" s="465"/>
      <c r="AT509" s="465"/>
      <c r="AU509" s="465"/>
      <c r="AV509" s="465"/>
      <c r="AW509" s="465"/>
      <c r="AX509" s="465"/>
      <c r="AY509" s="465"/>
      <c r="AZ509" s="465"/>
      <c r="BA509" s="465"/>
      <c r="BB509" s="465"/>
      <c r="BC509" s="465"/>
    </row>
    <row r="510" spans="1:55">
      <c r="A510" s="465"/>
      <c r="B510" s="465"/>
      <c r="C510" s="465"/>
      <c r="D510" s="467"/>
      <c r="E510" s="465"/>
      <c r="F510" s="465"/>
      <c r="G510" s="465"/>
      <c r="H510" s="465"/>
      <c r="I510" s="465"/>
      <c r="J510" s="465"/>
      <c r="K510" s="465"/>
      <c r="L510" s="465"/>
      <c r="M510" s="465"/>
      <c r="N510" s="465"/>
      <c r="O510" s="465"/>
      <c r="P510" s="465"/>
      <c r="Q510" s="465"/>
      <c r="R510" s="465"/>
      <c r="S510" s="465"/>
      <c r="T510" s="465"/>
      <c r="U510" s="465"/>
      <c r="V510" s="465"/>
      <c r="W510" s="465"/>
      <c r="X510" s="465"/>
      <c r="Y510" s="465"/>
      <c r="Z510" s="465"/>
      <c r="AA510" s="465"/>
      <c r="AB510" s="465"/>
      <c r="AC510" s="465"/>
      <c r="AD510" s="465"/>
      <c r="AE510" s="465"/>
      <c r="AF510" s="465"/>
      <c r="AG510" s="465"/>
      <c r="AH510" s="465"/>
      <c r="AI510" s="465"/>
      <c r="AJ510" s="465"/>
      <c r="AK510" s="465"/>
      <c r="AL510" s="465"/>
      <c r="AM510" s="465"/>
      <c r="AN510" s="465"/>
      <c r="AO510" s="465"/>
      <c r="AP510" s="465"/>
      <c r="AQ510" s="465"/>
      <c r="AR510" s="465"/>
      <c r="AS510" s="465"/>
      <c r="AT510" s="465"/>
      <c r="AU510" s="465"/>
      <c r="AV510" s="465"/>
      <c r="AW510" s="465"/>
      <c r="AX510" s="465"/>
      <c r="AY510" s="465"/>
      <c r="AZ510" s="465"/>
      <c r="BA510" s="465"/>
      <c r="BB510" s="465"/>
      <c r="BC510" s="465"/>
    </row>
    <row r="511" spans="1:55">
      <c r="A511" s="465"/>
      <c r="B511" s="465"/>
      <c r="C511" s="465"/>
      <c r="D511" s="467"/>
      <c r="E511" s="465"/>
      <c r="F511" s="465"/>
      <c r="G511" s="465"/>
      <c r="H511" s="465"/>
      <c r="I511" s="465"/>
      <c r="J511" s="465"/>
      <c r="K511" s="465"/>
      <c r="L511" s="465"/>
      <c r="M511" s="465"/>
      <c r="N511" s="465"/>
      <c r="O511" s="465"/>
      <c r="P511" s="465"/>
      <c r="Q511" s="465"/>
      <c r="R511" s="465"/>
      <c r="S511" s="465"/>
      <c r="T511" s="465"/>
      <c r="U511" s="465"/>
      <c r="V511" s="465"/>
      <c r="W511" s="465"/>
      <c r="X511" s="465"/>
      <c r="Y511" s="465"/>
      <c r="Z511" s="465"/>
      <c r="AA511" s="465"/>
      <c r="AB511" s="465"/>
      <c r="AC511" s="465"/>
      <c r="AD511" s="465"/>
      <c r="AE511" s="465"/>
      <c r="AF511" s="465"/>
      <c r="AG511" s="465"/>
      <c r="AH511" s="465"/>
      <c r="AI511" s="465"/>
      <c r="AJ511" s="465"/>
      <c r="AK511" s="465"/>
      <c r="AL511" s="465"/>
      <c r="AM511" s="465"/>
      <c r="AN511" s="465"/>
      <c r="AO511" s="465"/>
      <c r="AP511" s="465"/>
      <c r="AQ511" s="465"/>
      <c r="AR511" s="465"/>
      <c r="AS511" s="465"/>
      <c r="AT511" s="465"/>
      <c r="AU511" s="465"/>
      <c r="AV511" s="465"/>
      <c r="AW511" s="465"/>
      <c r="AX511" s="465"/>
      <c r="AY511" s="465"/>
      <c r="AZ511" s="465"/>
      <c r="BA511" s="465"/>
      <c r="BB511" s="465"/>
      <c r="BC511" s="465"/>
    </row>
    <row r="512" spans="1:55">
      <c r="A512" s="465"/>
      <c r="B512" s="465"/>
      <c r="C512" s="465"/>
      <c r="D512" s="467"/>
      <c r="E512" s="465"/>
      <c r="F512" s="465"/>
      <c r="G512" s="465"/>
      <c r="H512" s="465"/>
      <c r="I512" s="465"/>
      <c r="J512" s="465"/>
      <c r="K512" s="465"/>
      <c r="L512" s="465"/>
      <c r="M512" s="465"/>
      <c r="N512" s="465"/>
      <c r="O512" s="465"/>
      <c r="P512" s="465"/>
      <c r="Q512" s="465"/>
      <c r="R512" s="465"/>
      <c r="S512" s="465"/>
      <c r="T512" s="465"/>
      <c r="U512" s="465"/>
      <c r="V512" s="465"/>
      <c r="W512" s="465"/>
      <c r="X512" s="465"/>
      <c r="Y512" s="465"/>
      <c r="Z512" s="465"/>
      <c r="AA512" s="465"/>
      <c r="AB512" s="465"/>
      <c r="AC512" s="465"/>
      <c r="AD512" s="465"/>
      <c r="AE512" s="465"/>
      <c r="AF512" s="465"/>
      <c r="AG512" s="465"/>
      <c r="AH512" s="465"/>
      <c r="AI512" s="465"/>
      <c r="AJ512" s="465"/>
      <c r="AK512" s="465"/>
      <c r="AL512" s="465"/>
      <c r="AM512" s="465"/>
      <c r="AN512" s="465"/>
      <c r="AO512" s="465"/>
      <c r="AP512" s="465"/>
      <c r="AQ512" s="465"/>
      <c r="AR512" s="465"/>
      <c r="AS512" s="465"/>
      <c r="AT512" s="465"/>
      <c r="AU512" s="465"/>
      <c r="AV512" s="465"/>
      <c r="AW512" s="465"/>
      <c r="AX512" s="465"/>
      <c r="AY512" s="465"/>
      <c r="AZ512" s="465"/>
      <c r="BA512" s="465"/>
      <c r="BB512" s="465"/>
      <c r="BC512" s="465"/>
    </row>
    <row r="513" spans="1:55">
      <c r="A513" s="465"/>
      <c r="B513" s="465"/>
      <c r="C513" s="465"/>
      <c r="D513" s="467"/>
      <c r="E513" s="465"/>
      <c r="F513" s="465"/>
      <c r="G513" s="465"/>
      <c r="H513" s="465"/>
      <c r="I513" s="465"/>
      <c r="J513" s="465"/>
      <c r="K513" s="465"/>
      <c r="L513" s="465"/>
      <c r="M513" s="465"/>
      <c r="N513" s="465"/>
      <c r="O513" s="465"/>
      <c r="P513" s="465"/>
      <c r="Q513" s="465"/>
      <c r="R513" s="465"/>
      <c r="S513" s="465"/>
      <c r="T513" s="465"/>
      <c r="U513" s="465"/>
      <c r="V513" s="465"/>
      <c r="W513" s="465"/>
      <c r="X513" s="465"/>
      <c r="Y513" s="465"/>
      <c r="Z513" s="465"/>
      <c r="AA513" s="465"/>
      <c r="AB513" s="465"/>
      <c r="AC513" s="465"/>
      <c r="AD513" s="465"/>
      <c r="AE513" s="465"/>
      <c r="AF513" s="465"/>
      <c r="AG513" s="465"/>
      <c r="AH513" s="465"/>
      <c r="AI513" s="465"/>
      <c r="AJ513" s="465"/>
      <c r="AK513" s="465"/>
      <c r="AL513" s="465"/>
      <c r="AM513" s="465"/>
      <c r="AN513" s="465"/>
      <c r="AO513" s="465"/>
      <c r="AP513" s="465"/>
      <c r="AQ513" s="465"/>
      <c r="AR513" s="465"/>
      <c r="AS513" s="465"/>
      <c r="AT513" s="465"/>
      <c r="AU513" s="465"/>
      <c r="AV513" s="465"/>
      <c r="AW513" s="465"/>
      <c r="AX513" s="465"/>
      <c r="AY513" s="465"/>
      <c r="AZ513" s="465"/>
      <c r="BA513" s="465"/>
      <c r="BB513" s="465"/>
      <c r="BC513" s="465"/>
    </row>
    <row r="514" spans="1:55">
      <c r="A514" s="465"/>
      <c r="B514" s="465"/>
      <c r="C514" s="465"/>
      <c r="D514" s="467"/>
      <c r="E514" s="465"/>
      <c r="F514" s="465"/>
      <c r="G514" s="465"/>
      <c r="H514" s="465"/>
      <c r="I514" s="465"/>
      <c r="J514" s="465"/>
      <c r="K514" s="465"/>
      <c r="L514" s="465"/>
      <c r="M514" s="465"/>
      <c r="N514" s="465"/>
      <c r="O514" s="465"/>
      <c r="P514" s="465"/>
      <c r="Q514" s="465"/>
      <c r="R514" s="465"/>
      <c r="S514" s="465"/>
      <c r="T514" s="465"/>
      <c r="U514" s="465"/>
      <c r="V514" s="465"/>
      <c r="W514" s="465"/>
      <c r="X514" s="465"/>
      <c r="Y514" s="465"/>
      <c r="Z514" s="465"/>
      <c r="AA514" s="465"/>
      <c r="AB514" s="465"/>
      <c r="AC514" s="465"/>
      <c r="AD514" s="465"/>
      <c r="AE514" s="465"/>
      <c r="AF514" s="465"/>
      <c r="AG514" s="465"/>
      <c r="AH514" s="465"/>
      <c r="AI514" s="465"/>
      <c r="AJ514" s="465"/>
      <c r="AK514" s="465"/>
      <c r="AL514" s="465"/>
      <c r="AM514" s="465"/>
      <c r="AN514" s="465"/>
      <c r="AO514" s="465"/>
      <c r="AP514" s="465"/>
      <c r="AQ514" s="465"/>
      <c r="AR514" s="465"/>
      <c r="AS514" s="465"/>
      <c r="AT514" s="465"/>
      <c r="AU514" s="465"/>
      <c r="AV514" s="465"/>
      <c r="AW514" s="465"/>
      <c r="AX514" s="465"/>
      <c r="AY514" s="465"/>
      <c r="AZ514" s="465"/>
      <c r="BA514" s="465"/>
      <c r="BB514" s="465"/>
      <c r="BC514" s="465"/>
    </row>
    <row r="515" spans="1:55">
      <c r="A515" s="465"/>
      <c r="B515" s="465"/>
      <c r="C515" s="465"/>
      <c r="D515" s="467"/>
      <c r="E515" s="465"/>
      <c r="F515" s="465"/>
      <c r="G515" s="465"/>
      <c r="H515" s="465"/>
      <c r="I515" s="465"/>
      <c r="J515" s="465"/>
      <c r="K515" s="465"/>
      <c r="L515" s="465"/>
      <c r="M515" s="465"/>
      <c r="N515" s="465"/>
      <c r="O515" s="465"/>
      <c r="P515" s="465"/>
      <c r="Q515" s="465"/>
      <c r="R515" s="465"/>
      <c r="S515" s="465"/>
      <c r="T515" s="465"/>
      <c r="U515" s="465"/>
      <c r="V515" s="465"/>
      <c r="W515" s="465"/>
      <c r="X515" s="465"/>
      <c r="Y515" s="465"/>
      <c r="Z515" s="465"/>
      <c r="AA515" s="465"/>
      <c r="AB515" s="465"/>
      <c r="AC515" s="465"/>
      <c r="AD515" s="465"/>
      <c r="AE515" s="465"/>
      <c r="AF515" s="465"/>
      <c r="AG515" s="465"/>
      <c r="AH515" s="465"/>
      <c r="AI515" s="465"/>
      <c r="AJ515" s="465"/>
      <c r="AK515" s="465"/>
      <c r="AL515" s="465"/>
      <c r="AM515" s="465"/>
      <c r="AN515" s="465"/>
      <c r="AO515" s="465"/>
      <c r="AP515" s="465"/>
      <c r="AQ515" s="465"/>
      <c r="AR515" s="465"/>
      <c r="AS515" s="465"/>
      <c r="AT515" s="465"/>
      <c r="AU515" s="465"/>
      <c r="AV515" s="465"/>
      <c r="AW515" s="465"/>
      <c r="AX515" s="465"/>
      <c r="AY515" s="465"/>
      <c r="AZ515" s="465"/>
      <c r="BA515" s="465"/>
      <c r="BB515" s="465"/>
      <c r="BC515" s="465"/>
    </row>
    <row r="516" spans="1:55">
      <c r="A516" s="465"/>
      <c r="B516" s="465"/>
      <c r="C516" s="465"/>
      <c r="D516" s="467"/>
      <c r="E516" s="465"/>
      <c r="F516" s="465"/>
      <c r="G516" s="465"/>
      <c r="H516" s="465"/>
      <c r="I516" s="465"/>
      <c r="J516" s="465"/>
      <c r="K516" s="465"/>
      <c r="L516" s="465"/>
      <c r="M516" s="465"/>
      <c r="N516" s="465"/>
      <c r="O516" s="465"/>
      <c r="P516" s="465"/>
      <c r="Q516" s="465"/>
      <c r="R516" s="465"/>
      <c r="S516" s="465"/>
      <c r="T516" s="465"/>
      <c r="U516" s="465"/>
      <c r="V516" s="465"/>
      <c r="W516" s="465"/>
      <c r="X516" s="465"/>
      <c r="Y516" s="465"/>
      <c r="Z516" s="465"/>
      <c r="AA516" s="465"/>
      <c r="AB516" s="465"/>
      <c r="AC516" s="465"/>
      <c r="AD516" s="465"/>
      <c r="AE516" s="465"/>
      <c r="AF516" s="465"/>
      <c r="AG516" s="465"/>
      <c r="AH516" s="465"/>
      <c r="AI516" s="465"/>
      <c r="AJ516" s="465"/>
      <c r="AK516" s="465"/>
      <c r="AL516" s="465"/>
      <c r="AM516" s="465"/>
      <c r="AN516" s="465"/>
      <c r="AO516" s="465"/>
      <c r="AP516" s="465"/>
      <c r="AQ516" s="465"/>
      <c r="AR516" s="465"/>
      <c r="AS516" s="465"/>
      <c r="AT516" s="465"/>
      <c r="AU516" s="465"/>
      <c r="AV516" s="465"/>
      <c r="AW516" s="465"/>
      <c r="AX516" s="465"/>
      <c r="AY516" s="465"/>
      <c r="AZ516" s="465"/>
      <c r="BA516" s="465"/>
      <c r="BB516" s="465"/>
      <c r="BC516" s="465"/>
    </row>
    <row r="517" spans="1:55">
      <c r="A517" s="465"/>
      <c r="B517" s="465"/>
      <c r="C517" s="465"/>
      <c r="D517" s="467"/>
      <c r="E517" s="465"/>
      <c r="F517" s="465"/>
      <c r="G517" s="465"/>
      <c r="H517" s="465"/>
      <c r="I517" s="465"/>
      <c r="J517" s="465"/>
      <c r="K517" s="465"/>
      <c r="L517" s="465"/>
      <c r="M517" s="465"/>
      <c r="N517" s="465"/>
      <c r="O517" s="465"/>
      <c r="P517" s="465"/>
      <c r="Q517" s="465"/>
      <c r="R517" s="465"/>
      <c r="S517" s="465"/>
      <c r="T517" s="465"/>
      <c r="U517" s="465"/>
      <c r="V517" s="465"/>
      <c r="W517" s="465"/>
      <c r="X517" s="465"/>
      <c r="Y517" s="465"/>
      <c r="Z517" s="465"/>
      <c r="AA517" s="465"/>
      <c r="AB517" s="465"/>
      <c r="AC517" s="465"/>
      <c r="AD517" s="465"/>
      <c r="AE517" s="465"/>
      <c r="AF517" s="465"/>
      <c r="AG517" s="465"/>
      <c r="AH517" s="465"/>
      <c r="AI517" s="465"/>
      <c r="AJ517" s="465"/>
      <c r="AK517" s="465"/>
      <c r="AL517" s="465"/>
      <c r="AM517" s="465"/>
      <c r="AN517" s="465"/>
      <c r="AO517" s="465"/>
      <c r="AP517" s="465"/>
      <c r="AQ517" s="465"/>
      <c r="AR517" s="465"/>
      <c r="AS517" s="465"/>
      <c r="AT517" s="465"/>
      <c r="AU517" s="465"/>
      <c r="AV517" s="465"/>
      <c r="AW517" s="465"/>
      <c r="AX517" s="465"/>
      <c r="AY517" s="465"/>
      <c r="AZ517" s="465"/>
      <c r="BA517" s="465"/>
      <c r="BB517" s="465"/>
      <c r="BC517" s="465"/>
    </row>
    <row r="518" spans="1:55">
      <c r="A518" s="465"/>
      <c r="B518" s="465"/>
      <c r="C518" s="465"/>
      <c r="D518" s="467"/>
      <c r="E518" s="465"/>
      <c r="F518" s="465"/>
      <c r="G518" s="465"/>
      <c r="H518" s="465"/>
      <c r="I518" s="465"/>
      <c r="J518" s="465"/>
      <c r="K518" s="465"/>
      <c r="L518" s="465"/>
      <c r="M518" s="465"/>
      <c r="N518" s="465"/>
      <c r="O518" s="465"/>
      <c r="P518" s="465"/>
      <c r="Q518" s="465"/>
      <c r="R518" s="465"/>
      <c r="S518" s="465"/>
      <c r="T518" s="465"/>
      <c r="U518" s="465"/>
      <c r="V518" s="465"/>
      <c r="W518" s="465"/>
      <c r="X518" s="465"/>
      <c r="Y518" s="465"/>
      <c r="Z518" s="465"/>
      <c r="AA518" s="465"/>
      <c r="AB518" s="465"/>
      <c r="AC518" s="465"/>
      <c r="AD518" s="465"/>
      <c r="AE518" s="465"/>
      <c r="AF518" s="465"/>
      <c r="AG518" s="465"/>
      <c r="AH518" s="465"/>
      <c r="AI518" s="465"/>
      <c r="AJ518" s="465"/>
      <c r="AK518" s="465"/>
      <c r="AL518" s="465"/>
      <c r="AM518" s="465"/>
      <c r="AN518" s="465"/>
      <c r="AO518" s="465"/>
      <c r="AP518" s="465"/>
      <c r="AQ518" s="465"/>
      <c r="AR518" s="465"/>
      <c r="AS518" s="465"/>
      <c r="AT518" s="465"/>
      <c r="AU518" s="465"/>
      <c r="AV518" s="465"/>
      <c r="AW518" s="465"/>
      <c r="AX518" s="465"/>
      <c r="AY518" s="465"/>
      <c r="AZ518" s="465"/>
      <c r="BA518" s="465"/>
      <c r="BB518" s="465"/>
      <c r="BC518" s="465"/>
    </row>
    <row r="519" spans="1:55">
      <c r="A519" s="465"/>
      <c r="B519" s="465"/>
      <c r="C519" s="465"/>
      <c r="D519" s="467"/>
      <c r="E519" s="465"/>
      <c r="F519" s="465"/>
      <c r="G519" s="465"/>
      <c r="H519" s="465"/>
      <c r="I519" s="465"/>
      <c r="J519" s="465"/>
      <c r="K519" s="465"/>
      <c r="L519" s="465"/>
      <c r="M519" s="465"/>
      <c r="N519" s="465"/>
      <c r="O519" s="465"/>
      <c r="P519" s="465"/>
      <c r="Q519" s="465"/>
      <c r="R519" s="465"/>
      <c r="S519" s="465"/>
      <c r="T519" s="465"/>
      <c r="U519" s="465"/>
      <c r="V519" s="465"/>
      <c r="W519" s="465"/>
      <c r="X519" s="465"/>
      <c r="Y519" s="465"/>
      <c r="Z519" s="465"/>
      <c r="AA519" s="465"/>
      <c r="AB519" s="465"/>
      <c r="AC519" s="465"/>
      <c r="AD519" s="465"/>
      <c r="AE519" s="465"/>
      <c r="AF519" s="465"/>
      <c r="AG519" s="465"/>
      <c r="AH519" s="465"/>
      <c r="AI519" s="465"/>
      <c r="AJ519" s="465"/>
      <c r="AK519" s="465"/>
      <c r="AL519" s="465"/>
      <c r="AM519" s="465"/>
      <c r="AN519" s="465"/>
      <c r="AO519" s="465"/>
      <c r="AP519" s="465"/>
      <c r="AQ519" s="465"/>
      <c r="AR519" s="465"/>
      <c r="AS519" s="465"/>
      <c r="AT519" s="465"/>
      <c r="AU519" s="465"/>
      <c r="AV519" s="465"/>
      <c r="AW519" s="465"/>
      <c r="AX519" s="465"/>
      <c r="AY519" s="465"/>
      <c r="AZ519" s="465"/>
      <c r="BA519" s="465"/>
      <c r="BB519" s="465"/>
      <c r="BC519" s="465"/>
    </row>
    <row r="520" spans="1:55">
      <c r="A520" s="465"/>
      <c r="B520" s="465"/>
      <c r="C520" s="465"/>
      <c r="D520" s="467"/>
      <c r="E520" s="465"/>
      <c r="F520" s="465"/>
      <c r="G520" s="465"/>
      <c r="H520" s="465"/>
      <c r="I520" s="465"/>
      <c r="J520" s="465"/>
      <c r="K520" s="465"/>
      <c r="L520" s="465"/>
      <c r="M520" s="465"/>
      <c r="N520" s="465"/>
      <c r="O520" s="465"/>
      <c r="P520" s="465"/>
      <c r="Q520" s="465"/>
      <c r="R520" s="465"/>
      <c r="S520" s="465"/>
      <c r="T520" s="465"/>
      <c r="U520" s="465"/>
      <c r="V520" s="465"/>
      <c r="W520" s="465"/>
      <c r="X520" s="465"/>
      <c r="Y520" s="465"/>
      <c r="Z520" s="465"/>
      <c r="AA520" s="465"/>
      <c r="AB520" s="465"/>
      <c r="AC520" s="465"/>
      <c r="AD520" s="465"/>
      <c r="AE520" s="465"/>
      <c r="AF520" s="465"/>
      <c r="AG520" s="465"/>
      <c r="AH520" s="465"/>
      <c r="AI520" s="465"/>
      <c r="AJ520" s="465"/>
      <c r="AK520" s="465"/>
      <c r="AL520" s="465"/>
      <c r="AM520" s="465"/>
      <c r="AN520" s="465"/>
      <c r="AO520" s="465"/>
      <c r="AP520" s="465"/>
      <c r="AQ520" s="465"/>
      <c r="AR520" s="465"/>
      <c r="AS520" s="465"/>
      <c r="AT520" s="465"/>
      <c r="AU520" s="465"/>
      <c r="AV520" s="465"/>
      <c r="AW520" s="465"/>
      <c r="AX520" s="465"/>
      <c r="AY520" s="465"/>
      <c r="AZ520" s="465"/>
      <c r="BA520" s="465"/>
      <c r="BB520" s="465"/>
      <c r="BC520" s="465"/>
    </row>
    <row r="521" spans="1:55">
      <c r="A521" s="465"/>
      <c r="B521" s="465"/>
      <c r="C521" s="465"/>
      <c r="D521" s="467"/>
      <c r="E521" s="465"/>
      <c r="F521" s="465"/>
      <c r="G521" s="465"/>
      <c r="H521" s="465"/>
      <c r="I521" s="465"/>
      <c r="J521" s="465"/>
      <c r="K521" s="465"/>
      <c r="L521" s="465"/>
      <c r="M521" s="465"/>
      <c r="N521" s="465"/>
      <c r="O521" s="465"/>
      <c r="P521" s="465"/>
      <c r="Q521" s="465"/>
      <c r="R521" s="465"/>
      <c r="S521" s="465"/>
      <c r="T521" s="465"/>
      <c r="U521" s="465"/>
      <c r="V521" s="465"/>
      <c r="W521" s="465"/>
      <c r="X521" s="465"/>
      <c r="Y521" s="465"/>
      <c r="Z521" s="465"/>
      <c r="AA521" s="465"/>
      <c r="AB521" s="465"/>
      <c r="AC521" s="465"/>
      <c r="AD521" s="465"/>
      <c r="AE521" s="465"/>
      <c r="AF521" s="465"/>
      <c r="AG521" s="465"/>
      <c r="AH521" s="465"/>
      <c r="AI521" s="465"/>
      <c r="AJ521" s="465"/>
      <c r="AK521" s="465"/>
      <c r="AL521" s="465"/>
      <c r="AM521" s="465"/>
      <c r="AN521" s="465"/>
      <c r="AO521" s="465"/>
      <c r="AP521" s="465"/>
      <c r="AQ521" s="465"/>
      <c r="AR521" s="465"/>
      <c r="AS521" s="465"/>
      <c r="AT521" s="465"/>
      <c r="AU521" s="465"/>
      <c r="AV521" s="465"/>
      <c r="AW521" s="465"/>
      <c r="AX521" s="465"/>
      <c r="AY521" s="465"/>
      <c r="AZ521" s="465"/>
      <c r="BA521" s="465"/>
      <c r="BB521" s="465"/>
      <c r="BC521" s="465"/>
    </row>
    <row r="522" spans="1:55">
      <c r="A522" s="465"/>
      <c r="B522" s="465"/>
      <c r="C522" s="465"/>
      <c r="D522" s="467"/>
      <c r="E522" s="465"/>
      <c r="F522" s="465"/>
      <c r="G522" s="465"/>
      <c r="H522" s="465"/>
      <c r="I522" s="465"/>
      <c r="J522" s="465"/>
      <c r="K522" s="465"/>
      <c r="L522" s="465"/>
      <c r="M522" s="465"/>
      <c r="N522" s="465"/>
      <c r="O522" s="465"/>
      <c r="P522" s="465"/>
      <c r="Q522" s="465"/>
      <c r="R522" s="465"/>
      <c r="S522" s="465"/>
      <c r="T522" s="465"/>
      <c r="U522" s="465"/>
      <c r="V522" s="465"/>
      <c r="W522" s="465"/>
      <c r="X522" s="465"/>
      <c r="Y522" s="465"/>
      <c r="Z522" s="465"/>
      <c r="AA522" s="465"/>
      <c r="AB522" s="465"/>
      <c r="AC522" s="465"/>
      <c r="AD522" s="465"/>
      <c r="AE522" s="465"/>
      <c r="AF522" s="465"/>
      <c r="AG522" s="465"/>
      <c r="AH522" s="465"/>
      <c r="AI522" s="465"/>
      <c r="AJ522" s="465"/>
      <c r="AK522" s="465"/>
      <c r="AL522" s="465"/>
      <c r="AM522" s="465"/>
      <c r="AN522" s="465"/>
      <c r="AO522" s="465"/>
      <c r="AP522" s="465"/>
      <c r="AQ522" s="465"/>
      <c r="AR522" s="465"/>
      <c r="AS522" s="465"/>
      <c r="AT522" s="465"/>
      <c r="AU522" s="465"/>
      <c r="AV522" s="465"/>
      <c r="AW522" s="465"/>
      <c r="AX522" s="465"/>
      <c r="AY522" s="465"/>
      <c r="AZ522" s="465"/>
      <c r="BA522" s="465"/>
      <c r="BB522" s="465"/>
      <c r="BC522" s="465"/>
    </row>
    <row r="523" spans="1:55">
      <c r="A523" s="465"/>
      <c r="B523" s="465"/>
      <c r="C523" s="465"/>
      <c r="D523" s="467"/>
      <c r="E523" s="465"/>
      <c r="F523" s="465"/>
      <c r="G523" s="465"/>
      <c r="H523" s="465"/>
      <c r="I523" s="465"/>
      <c r="J523" s="465"/>
      <c r="K523" s="465"/>
      <c r="L523" s="465"/>
      <c r="M523" s="465"/>
      <c r="N523" s="465"/>
      <c r="O523" s="465"/>
      <c r="P523" s="465"/>
      <c r="Q523" s="465"/>
      <c r="R523" s="465"/>
      <c r="S523" s="465"/>
      <c r="T523" s="465"/>
      <c r="U523" s="465"/>
      <c r="V523" s="465"/>
      <c r="W523" s="465"/>
      <c r="X523" s="465"/>
      <c r="Y523" s="465"/>
      <c r="Z523" s="465"/>
      <c r="AA523" s="465"/>
      <c r="AB523" s="465"/>
      <c r="AC523" s="465"/>
      <c r="AD523" s="465"/>
      <c r="AE523" s="465"/>
      <c r="AF523" s="465"/>
      <c r="AG523" s="465"/>
      <c r="AH523" s="465"/>
      <c r="AI523" s="465"/>
      <c r="AJ523" s="465"/>
      <c r="AK523" s="465"/>
      <c r="AL523" s="465"/>
      <c r="AM523" s="465"/>
      <c r="AN523" s="465"/>
      <c r="AO523" s="465"/>
      <c r="AP523" s="465"/>
      <c r="AQ523" s="465"/>
      <c r="AR523" s="465"/>
      <c r="AS523" s="465"/>
      <c r="AT523" s="465"/>
      <c r="AU523" s="465"/>
      <c r="AV523" s="465"/>
      <c r="AW523" s="465"/>
      <c r="AX523" s="465"/>
      <c r="AY523" s="465"/>
      <c r="AZ523" s="465"/>
      <c r="BA523" s="465"/>
      <c r="BB523" s="465"/>
      <c r="BC523" s="465"/>
    </row>
    <row r="524" spans="1:55">
      <c r="A524" s="465"/>
      <c r="B524" s="465"/>
      <c r="C524" s="465"/>
      <c r="D524" s="467"/>
      <c r="E524" s="465"/>
      <c r="F524" s="465"/>
      <c r="G524" s="465"/>
      <c r="H524" s="465"/>
      <c r="I524" s="465"/>
      <c r="J524" s="465"/>
      <c r="K524" s="465"/>
      <c r="L524" s="465"/>
      <c r="M524" s="465"/>
      <c r="N524" s="465"/>
      <c r="O524" s="465"/>
      <c r="P524" s="465"/>
      <c r="Q524" s="465"/>
      <c r="R524" s="465"/>
      <c r="S524" s="465"/>
      <c r="T524" s="465"/>
      <c r="U524" s="465"/>
      <c r="V524" s="465"/>
      <c r="W524" s="465"/>
      <c r="X524" s="465"/>
      <c r="Y524" s="465"/>
      <c r="Z524" s="465"/>
      <c r="AA524" s="465"/>
      <c r="AB524" s="465"/>
      <c r="AC524" s="465"/>
      <c r="AD524" s="465"/>
      <c r="AE524" s="465"/>
      <c r="AF524" s="465"/>
      <c r="AG524" s="465"/>
      <c r="AH524" s="465"/>
      <c r="AI524" s="465"/>
      <c r="AJ524" s="465"/>
      <c r="AK524" s="465"/>
      <c r="AL524" s="465"/>
      <c r="AM524" s="465"/>
      <c r="AN524" s="465"/>
      <c r="AO524" s="465"/>
      <c r="AP524" s="465"/>
      <c r="AQ524" s="465"/>
      <c r="AR524" s="465"/>
      <c r="AS524" s="465"/>
      <c r="AT524" s="465"/>
      <c r="AU524" s="465"/>
      <c r="AV524" s="465"/>
      <c r="AW524" s="465"/>
      <c r="AX524" s="465"/>
      <c r="AY524" s="465"/>
      <c r="AZ524" s="465"/>
      <c r="BA524" s="465"/>
      <c r="BB524" s="465"/>
      <c r="BC524" s="465"/>
    </row>
    <row r="525" spans="1:55">
      <c r="A525" s="465"/>
      <c r="B525" s="465"/>
      <c r="C525" s="465"/>
      <c r="D525" s="467"/>
      <c r="E525" s="465"/>
      <c r="F525" s="465"/>
      <c r="G525" s="465"/>
      <c r="H525" s="465"/>
      <c r="I525" s="465"/>
      <c r="J525" s="465"/>
      <c r="K525" s="465"/>
      <c r="L525" s="465"/>
      <c r="M525" s="465"/>
      <c r="N525" s="465"/>
      <c r="O525" s="465"/>
      <c r="P525" s="465"/>
      <c r="Q525" s="465"/>
      <c r="R525" s="465"/>
      <c r="S525" s="465"/>
      <c r="T525" s="465"/>
      <c r="U525" s="465"/>
      <c r="V525" s="465"/>
      <c r="W525" s="465"/>
      <c r="X525" s="465"/>
      <c r="Y525" s="465"/>
      <c r="Z525" s="465"/>
      <c r="AA525" s="465"/>
      <c r="AB525" s="465"/>
      <c r="AC525" s="465"/>
      <c r="AD525" s="465"/>
      <c r="AE525" s="465"/>
      <c r="AF525" s="465"/>
      <c r="AG525" s="465"/>
      <c r="AH525" s="465"/>
      <c r="AI525" s="465"/>
      <c r="AJ525" s="465"/>
      <c r="AK525" s="465"/>
      <c r="AL525" s="465"/>
      <c r="AM525" s="465"/>
      <c r="AN525" s="465"/>
      <c r="AO525" s="465"/>
      <c r="AP525" s="465"/>
      <c r="AQ525" s="465"/>
      <c r="AR525" s="465"/>
      <c r="AS525" s="465"/>
      <c r="AT525" s="465"/>
      <c r="AU525" s="465"/>
      <c r="AV525" s="465"/>
      <c r="AW525" s="465"/>
      <c r="AX525" s="465"/>
      <c r="AY525" s="465"/>
      <c r="AZ525" s="465"/>
      <c r="BA525" s="465"/>
      <c r="BB525" s="465"/>
      <c r="BC525" s="465"/>
    </row>
    <row r="526" spans="1:55">
      <c r="A526" s="465"/>
      <c r="B526" s="465"/>
      <c r="C526" s="465"/>
      <c r="D526" s="467"/>
      <c r="E526" s="465"/>
      <c r="F526" s="465"/>
      <c r="G526" s="465"/>
      <c r="H526" s="465"/>
      <c r="I526" s="465"/>
      <c r="J526" s="465"/>
      <c r="K526" s="465"/>
      <c r="L526" s="465"/>
      <c r="M526" s="465"/>
      <c r="N526" s="465"/>
      <c r="O526" s="465"/>
      <c r="P526" s="465"/>
      <c r="Q526" s="465"/>
      <c r="R526" s="465"/>
      <c r="S526" s="465"/>
      <c r="T526" s="465"/>
      <c r="U526" s="465"/>
      <c r="V526" s="465"/>
      <c r="W526" s="465"/>
      <c r="X526" s="465"/>
      <c r="Y526" s="465"/>
      <c r="Z526" s="465"/>
      <c r="AA526" s="465"/>
      <c r="AB526" s="465"/>
      <c r="AC526" s="465"/>
      <c r="AD526" s="465"/>
      <c r="AE526" s="465"/>
      <c r="AF526" s="465"/>
      <c r="AG526" s="465"/>
      <c r="AH526" s="465"/>
      <c r="AI526" s="465"/>
      <c r="AJ526" s="465"/>
      <c r="AK526" s="465"/>
      <c r="AL526" s="465"/>
      <c r="AM526" s="465"/>
      <c r="AN526" s="465"/>
      <c r="AO526" s="465"/>
      <c r="AP526" s="465"/>
      <c r="AQ526" s="465"/>
      <c r="AR526" s="465"/>
      <c r="AS526" s="465"/>
      <c r="AT526" s="465"/>
      <c r="AU526" s="465"/>
      <c r="AV526" s="465"/>
      <c r="AW526" s="465"/>
      <c r="AX526" s="465"/>
      <c r="AY526" s="465"/>
      <c r="AZ526" s="465"/>
      <c r="BA526" s="465"/>
      <c r="BB526" s="465"/>
      <c r="BC526" s="465"/>
    </row>
    <row r="527" spans="1:55">
      <c r="A527" s="465"/>
      <c r="B527" s="465"/>
      <c r="C527" s="465"/>
      <c r="D527" s="467"/>
      <c r="E527" s="465"/>
      <c r="F527" s="465"/>
      <c r="G527" s="465"/>
      <c r="H527" s="465"/>
      <c r="I527" s="465"/>
      <c r="J527" s="465"/>
      <c r="K527" s="465"/>
      <c r="L527" s="465"/>
      <c r="M527" s="465"/>
      <c r="N527" s="465"/>
      <c r="O527" s="465"/>
      <c r="P527" s="465"/>
      <c r="Q527" s="465"/>
      <c r="R527" s="465"/>
      <c r="S527" s="465"/>
      <c r="T527" s="465"/>
      <c r="U527" s="465"/>
      <c r="V527" s="465"/>
      <c r="W527" s="465"/>
      <c r="X527" s="465"/>
      <c r="Y527" s="465"/>
      <c r="Z527" s="465"/>
      <c r="AA527" s="465"/>
      <c r="AB527" s="465"/>
      <c r="AC527" s="465"/>
      <c r="AD527" s="465"/>
      <c r="AE527" s="465"/>
      <c r="AF527" s="465"/>
      <c r="AG527" s="465"/>
      <c r="AH527" s="465"/>
      <c r="AI527" s="465"/>
      <c r="AJ527" s="465"/>
      <c r="AK527" s="465"/>
      <c r="AL527" s="465"/>
      <c r="AM527" s="465"/>
      <c r="AN527" s="465"/>
      <c r="AO527" s="465"/>
      <c r="AP527" s="465"/>
      <c r="AQ527" s="465"/>
      <c r="AR527" s="465"/>
      <c r="AS527" s="465"/>
      <c r="AT527" s="465"/>
      <c r="AU527" s="465"/>
      <c r="AV527" s="465"/>
      <c r="AW527" s="465"/>
      <c r="AX527" s="465"/>
      <c r="AY527" s="465"/>
      <c r="AZ527" s="465"/>
      <c r="BA527" s="465"/>
      <c r="BB527" s="465"/>
      <c r="BC527" s="465"/>
    </row>
    <row r="528" spans="1:55">
      <c r="A528" s="465"/>
      <c r="B528" s="465"/>
      <c r="C528" s="465"/>
      <c r="D528" s="467"/>
      <c r="E528" s="465"/>
      <c r="F528" s="465"/>
      <c r="G528" s="465"/>
      <c r="H528" s="465"/>
      <c r="I528" s="465"/>
      <c r="J528" s="465"/>
      <c r="K528" s="465"/>
      <c r="L528" s="465"/>
      <c r="M528" s="465"/>
      <c r="N528" s="465"/>
      <c r="O528" s="465"/>
      <c r="P528" s="465"/>
      <c r="Q528" s="465"/>
      <c r="R528" s="465"/>
      <c r="S528" s="465"/>
      <c r="T528" s="465"/>
      <c r="U528" s="465"/>
      <c r="V528" s="465"/>
      <c r="W528" s="465"/>
      <c r="X528" s="465"/>
      <c r="Y528" s="465"/>
      <c r="Z528" s="465"/>
      <c r="AA528" s="465"/>
      <c r="AB528" s="465"/>
      <c r="AC528" s="465"/>
      <c r="AD528" s="465"/>
      <c r="AE528" s="465"/>
      <c r="AF528" s="465"/>
      <c r="AG528" s="465"/>
      <c r="AH528" s="465"/>
      <c r="AI528" s="465"/>
      <c r="AJ528" s="465"/>
      <c r="AK528" s="465"/>
      <c r="AL528" s="465"/>
      <c r="AM528" s="465"/>
      <c r="AN528" s="465"/>
      <c r="AO528" s="465"/>
      <c r="AP528" s="465"/>
      <c r="AQ528" s="465"/>
      <c r="AR528" s="465"/>
      <c r="AS528" s="465"/>
      <c r="AT528" s="465"/>
      <c r="AU528" s="465"/>
      <c r="AV528" s="465"/>
      <c r="AW528" s="465"/>
      <c r="AX528" s="465"/>
      <c r="AY528" s="465"/>
      <c r="AZ528" s="465"/>
      <c r="BA528" s="465"/>
      <c r="BB528" s="465"/>
      <c r="BC528" s="465"/>
    </row>
    <row r="529" spans="1:55">
      <c r="A529" s="465"/>
      <c r="B529" s="465"/>
      <c r="C529" s="465"/>
      <c r="D529" s="467"/>
      <c r="E529" s="465"/>
      <c r="F529" s="465"/>
      <c r="G529" s="465"/>
      <c r="H529" s="465"/>
      <c r="I529" s="465"/>
      <c r="J529" s="465"/>
      <c r="K529" s="465"/>
      <c r="L529" s="465"/>
      <c r="M529" s="465"/>
      <c r="N529" s="465"/>
      <c r="O529" s="465"/>
      <c r="P529" s="465"/>
      <c r="Q529" s="465"/>
      <c r="R529" s="465"/>
      <c r="S529" s="465"/>
      <c r="T529" s="465"/>
      <c r="U529" s="465"/>
      <c r="V529" s="465"/>
      <c r="W529" s="465"/>
      <c r="X529" s="465"/>
      <c r="Y529" s="465"/>
      <c r="Z529" s="465"/>
      <c r="AA529" s="465"/>
      <c r="AB529" s="465"/>
      <c r="AC529" s="465"/>
      <c r="AD529" s="465"/>
      <c r="AE529" s="465"/>
      <c r="AF529" s="465"/>
      <c r="AG529" s="465"/>
      <c r="AH529" s="465"/>
      <c r="AI529" s="465"/>
      <c r="AJ529" s="465"/>
      <c r="AK529" s="465"/>
      <c r="AL529" s="465"/>
      <c r="AM529" s="465"/>
      <c r="AN529" s="465"/>
      <c r="AO529" s="465"/>
      <c r="AP529" s="465"/>
      <c r="AQ529" s="465"/>
      <c r="AR529" s="465"/>
      <c r="AS529" s="465"/>
      <c r="AT529" s="465"/>
      <c r="AU529" s="465"/>
      <c r="AV529" s="465"/>
      <c r="AW529" s="465"/>
      <c r="AX529" s="465"/>
      <c r="AY529" s="465"/>
      <c r="AZ529" s="465"/>
      <c r="BA529" s="465"/>
      <c r="BB529" s="465"/>
      <c r="BC529" s="465"/>
    </row>
    <row r="530" spans="1:55">
      <c r="A530" s="465"/>
      <c r="B530" s="465"/>
      <c r="C530" s="465"/>
      <c r="D530" s="467"/>
      <c r="E530" s="465"/>
      <c r="F530" s="465"/>
      <c r="G530" s="465"/>
      <c r="H530" s="465"/>
      <c r="I530" s="465"/>
      <c r="J530" s="465"/>
      <c r="K530" s="465"/>
      <c r="L530" s="465"/>
      <c r="M530" s="465"/>
      <c r="N530" s="465"/>
      <c r="O530" s="465"/>
      <c r="P530" s="465"/>
      <c r="Q530" s="465"/>
      <c r="R530" s="465"/>
      <c r="S530" s="465"/>
      <c r="T530" s="465"/>
      <c r="U530" s="465"/>
      <c r="V530" s="465"/>
      <c r="W530" s="465"/>
      <c r="X530" s="465"/>
      <c r="Y530" s="465"/>
      <c r="Z530" s="465"/>
      <c r="AA530" s="465"/>
      <c r="AB530" s="465"/>
      <c r="AC530" s="465"/>
      <c r="AD530" s="465"/>
      <c r="AE530" s="465"/>
      <c r="AF530" s="465"/>
      <c r="AG530" s="465"/>
      <c r="AH530" s="465"/>
      <c r="AI530" s="465"/>
      <c r="AJ530" s="465"/>
      <c r="AK530" s="465"/>
      <c r="AL530" s="465"/>
      <c r="AM530" s="465"/>
      <c r="AN530" s="465"/>
      <c r="AO530" s="465"/>
      <c r="AP530" s="465"/>
      <c r="AQ530" s="465"/>
      <c r="AR530" s="465"/>
      <c r="AS530" s="465"/>
      <c r="AT530" s="465"/>
      <c r="AU530" s="465"/>
      <c r="AV530" s="465"/>
      <c r="AW530" s="465"/>
      <c r="AX530" s="465"/>
      <c r="AY530" s="465"/>
      <c r="AZ530" s="465"/>
      <c r="BA530" s="465"/>
      <c r="BB530" s="465"/>
      <c r="BC530" s="465"/>
    </row>
    <row r="531" spans="1:55">
      <c r="A531" s="465"/>
      <c r="B531" s="465"/>
      <c r="C531" s="465"/>
      <c r="D531" s="467"/>
      <c r="E531" s="465"/>
      <c r="F531" s="465"/>
      <c r="G531" s="465"/>
      <c r="H531" s="465"/>
      <c r="I531" s="465"/>
      <c r="J531" s="465"/>
      <c r="K531" s="465"/>
      <c r="L531" s="465"/>
      <c r="M531" s="465"/>
      <c r="N531" s="465"/>
      <c r="O531" s="465"/>
      <c r="P531" s="465"/>
      <c r="Q531" s="465"/>
      <c r="R531" s="465"/>
      <c r="S531" s="465"/>
      <c r="T531" s="465"/>
      <c r="U531" s="465"/>
      <c r="V531" s="465"/>
      <c r="W531" s="465"/>
      <c r="X531" s="465"/>
      <c r="Y531" s="465"/>
      <c r="Z531" s="465"/>
      <c r="AA531" s="465"/>
      <c r="AB531" s="465"/>
      <c r="AC531" s="465"/>
      <c r="AD531" s="465"/>
      <c r="AE531" s="465"/>
      <c r="AF531" s="465"/>
      <c r="AG531" s="465"/>
      <c r="AH531" s="465"/>
      <c r="AI531" s="465"/>
      <c r="AJ531" s="465"/>
      <c r="AK531" s="465"/>
      <c r="AL531" s="465"/>
      <c r="AM531" s="465"/>
      <c r="AN531" s="465"/>
      <c r="AO531" s="465"/>
      <c r="AP531" s="465"/>
      <c r="AQ531" s="465"/>
      <c r="AR531" s="465"/>
      <c r="AS531" s="465"/>
      <c r="AT531" s="465"/>
      <c r="AU531" s="465"/>
      <c r="AV531" s="465"/>
      <c r="AW531" s="465"/>
      <c r="AX531" s="465"/>
      <c r="AY531" s="465"/>
      <c r="AZ531" s="465"/>
      <c r="BA531" s="465"/>
      <c r="BB531" s="465"/>
      <c r="BC531" s="465"/>
    </row>
    <row r="532" spans="1:55">
      <c r="A532" s="465"/>
      <c r="B532" s="465"/>
      <c r="C532" s="465"/>
      <c r="D532" s="467"/>
      <c r="E532" s="465"/>
      <c r="F532" s="465"/>
      <c r="G532" s="465"/>
      <c r="H532" s="465"/>
      <c r="I532" s="465"/>
      <c r="J532" s="465"/>
      <c r="K532" s="465"/>
      <c r="L532" s="465"/>
      <c r="M532" s="465"/>
      <c r="N532" s="465"/>
      <c r="O532" s="465"/>
      <c r="P532" s="465"/>
      <c r="Q532" s="465"/>
      <c r="R532" s="465"/>
      <c r="S532" s="465"/>
      <c r="T532" s="465"/>
      <c r="U532" s="465"/>
      <c r="V532" s="465"/>
      <c r="W532" s="465"/>
      <c r="X532" s="465"/>
      <c r="Y532" s="465"/>
      <c r="Z532" s="465"/>
      <c r="AA532" s="465"/>
      <c r="AB532" s="465"/>
      <c r="AC532" s="465"/>
      <c r="AD532" s="465"/>
      <c r="AE532" s="465"/>
      <c r="AF532" s="465"/>
      <c r="AG532" s="465"/>
      <c r="AH532" s="465"/>
      <c r="AI532" s="465"/>
      <c r="AJ532" s="465"/>
      <c r="AK532" s="465"/>
      <c r="AL532" s="465"/>
      <c r="AM532" s="465"/>
      <c r="AN532" s="465"/>
      <c r="AO532" s="465"/>
      <c r="AP532" s="465"/>
      <c r="AQ532" s="465"/>
      <c r="AR532" s="465"/>
      <c r="AS532" s="465"/>
      <c r="AT532" s="465"/>
      <c r="AU532" s="465"/>
      <c r="AV532" s="465"/>
      <c r="AW532" s="465"/>
      <c r="AX532" s="465"/>
      <c r="AY532" s="465"/>
      <c r="AZ532" s="465"/>
      <c r="BA532" s="465"/>
      <c r="BB532" s="465"/>
      <c r="BC532" s="465"/>
    </row>
    <row r="533" spans="1:55">
      <c r="A533" s="465"/>
      <c r="B533" s="465"/>
      <c r="C533" s="465"/>
      <c r="D533" s="467"/>
      <c r="E533" s="465"/>
      <c r="F533" s="465"/>
      <c r="G533" s="465"/>
      <c r="H533" s="465"/>
      <c r="I533" s="465"/>
      <c r="J533" s="465"/>
      <c r="K533" s="465"/>
      <c r="L533" s="465"/>
      <c r="M533" s="465"/>
      <c r="N533" s="465"/>
      <c r="O533" s="465"/>
      <c r="P533" s="465"/>
      <c r="Q533" s="465"/>
      <c r="R533" s="465"/>
      <c r="S533" s="465"/>
      <c r="T533" s="465"/>
      <c r="U533" s="465"/>
      <c r="V533" s="465"/>
      <c r="W533" s="465"/>
      <c r="X533" s="465"/>
      <c r="Y533" s="465"/>
      <c r="Z533" s="465"/>
      <c r="AA533" s="465"/>
      <c r="AB533" s="465"/>
      <c r="AC533" s="465"/>
      <c r="AD533" s="465"/>
      <c r="AE533" s="465"/>
      <c r="AF533" s="465"/>
      <c r="AG533" s="465"/>
      <c r="AH533" s="465"/>
      <c r="AI533" s="465"/>
      <c r="AJ533" s="465"/>
      <c r="AK533" s="465"/>
      <c r="AL533" s="465"/>
      <c r="AM533" s="465"/>
      <c r="AN533" s="465"/>
      <c r="AO533" s="465"/>
      <c r="AP533" s="465"/>
      <c r="AQ533" s="465"/>
      <c r="AR533" s="465"/>
      <c r="AS533" s="465"/>
      <c r="AT533" s="465"/>
      <c r="AU533" s="465"/>
      <c r="AV533" s="465"/>
      <c r="AW533" s="465"/>
      <c r="AX533" s="465"/>
      <c r="AY533" s="465"/>
      <c r="AZ533" s="465"/>
      <c r="BA533" s="465"/>
      <c r="BB533" s="465"/>
      <c r="BC533" s="465"/>
    </row>
    <row r="534" spans="1:55">
      <c r="A534" s="465"/>
      <c r="B534" s="465"/>
      <c r="C534" s="465"/>
      <c r="D534" s="467"/>
      <c r="E534" s="465"/>
      <c r="F534" s="465"/>
      <c r="G534" s="465"/>
      <c r="H534" s="465"/>
      <c r="I534" s="465"/>
      <c r="J534" s="465"/>
      <c r="K534" s="465"/>
      <c r="L534" s="465"/>
      <c r="M534" s="465"/>
      <c r="N534" s="465"/>
      <c r="O534" s="465"/>
      <c r="P534" s="465"/>
      <c r="Q534" s="465"/>
      <c r="R534" s="465"/>
      <c r="S534" s="465"/>
      <c r="T534" s="465"/>
      <c r="U534" s="465"/>
      <c r="V534" s="465"/>
      <c r="W534" s="465"/>
      <c r="X534" s="465"/>
      <c r="Y534" s="465"/>
      <c r="Z534" s="465"/>
      <c r="AA534" s="465"/>
      <c r="AB534" s="465"/>
      <c r="AC534" s="465"/>
      <c r="AD534" s="465"/>
      <c r="AE534" s="465"/>
      <c r="AF534" s="465"/>
      <c r="AG534" s="465"/>
      <c r="AH534" s="465"/>
      <c r="AI534" s="465"/>
      <c r="AJ534" s="465"/>
      <c r="AK534" s="465"/>
      <c r="AL534" s="465"/>
      <c r="AM534" s="465"/>
      <c r="AN534" s="465"/>
      <c r="AO534" s="465"/>
      <c r="AP534" s="465"/>
      <c r="AQ534" s="465"/>
      <c r="AR534" s="465"/>
      <c r="AS534" s="465"/>
      <c r="AT534" s="465"/>
      <c r="AU534" s="465"/>
      <c r="AV534" s="465"/>
      <c r="AW534" s="465"/>
      <c r="AX534" s="465"/>
      <c r="AY534" s="465"/>
      <c r="AZ534" s="465"/>
      <c r="BA534" s="465"/>
      <c r="BB534" s="465"/>
      <c r="BC534" s="465"/>
    </row>
    <row r="535" spans="1:55">
      <c r="A535" s="465"/>
      <c r="B535" s="465"/>
      <c r="C535" s="465"/>
      <c r="D535" s="467"/>
      <c r="E535" s="465"/>
      <c r="F535" s="465"/>
      <c r="G535" s="465"/>
      <c r="H535" s="465"/>
      <c r="I535" s="465"/>
      <c r="J535" s="465"/>
      <c r="K535" s="465"/>
      <c r="L535" s="465"/>
      <c r="M535" s="465"/>
      <c r="N535" s="465"/>
      <c r="O535" s="465"/>
      <c r="P535" s="465"/>
      <c r="Q535" s="465"/>
      <c r="R535" s="465"/>
      <c r="S535" s="465"/>
      <c r="T535" s="465"/>
      <c r="U535" s="465"/>
      <c r="V535" s="465"/>
      <c r="W535" s="465"/>
      <c r="X535" s="465"/>
      <c r="Y535" s="465"/>
      <c r="Z535" s="465"/>
      <c r="AA535" s="465"/>
      <c r="AB535" s="465"/>
      <c r="AC535" s="465"/>
      <c r="AD535" s="465"/>
      <c r="AE535" s="465"/>
      <c r="AF535" s="465"/>
      <c r="AG535" s="465"/>
      <c r="AH535" s="465"/>
      <c r="AI535" s="465"/>
      <c r="AJ535" s="465"/>
      <c r="AK535" s="465"/>
      <c r="AL535" s="465"/>
      <c r="AM535" s="465"/>
      <c r="AN535" s="465"/>
      <c r="AO535" s="465"/>
      <c r="AP535" s="465"/>
      <c r="AQ535" s="465"/>
      <c r="AR535" s="465"/>
      <c r="AS535" s="465"/>
      <c r="AT535" s="465"/>
      <c r="AU535" s="465"/>
      <c r="AV535" s="465"/>
      <c r="AW535" s="465"/>
      <c r="AX535" s="465"/>
      <c r="AY535" s="465"/>
      <c r="AZ535" s="465"/>
      <c r="BA535" s="465"/>
      <c r="BB535" s="465"/>
      <c r="BC535" s="465"/>
    </row>
    <row r="536" spans="1:55">
      <c r="A536" s="465"/>
      <c r="B536" s="465"/>
      <c r="C536" s="465"/>
      <c r="D536" s="467"/>
      <c r="E536" s="465"/>
      <c r="F536" s="465"/>
      <c r="G536" s="465"/>
      <c r="H536" s="465"/>
      <c r="I536" s="465"/>
      <c r="J536" s="465"/>
      <c r="K536" s="465"/>
      <c r="L536" s="465"/>
      <c r="M536" s="465"/>
      <c r="N536" s="465"/>
      <c r="O536" s="465"/>
      <c r="P536" s="465"/>
      <c r="Q536" s="465"/>
      <c r="R536" s="465"/>
      <c r="S536" s="465"/>
      <c r="T536" s="465"/>
      <c r="U536" s="465"/>
      <c r="V536" s="465"/>
      <c r="W536" s="465"/>
      <c r="X536" s="465"/>
      <c r="Y536" s="465"/>
      <c r="Z536" s="465"/>
      <c r="AA536" s="465"/>
      <c r="AB536" s="465"/>
      <c r="AC536" s="465"/>
      <c r="AD536" s="465"/>
      <c r="AE536" s="465"/>
      <c r="AF536" s="465"/>
      <c r="AG536" s="465"/>
      <c r="AH536" s="465"/>
      <c r="AI536" s="465"/>
      <c r="AJ536" s="465"/>
      <c r="AK536" s="465"/>
      <c r="AL536" s="465"/>
      <c r="AM536" s="465"/>
      <c r="AN536" s="465"/>
      <c r="AO536" s="465"/>
      <c r="AP536" s="465"/>
      <c r="AQ536" s="465"/>
      <c r="AR536" s="465"/>
      <c r="AS536" s="465"/>
      <c r="AT536" s="465"/>
      <c r="AU536" s="465"/>
      <c r="AV536" s="465"/>
      <c r="AW536" s="465"/>
      <c r="AX536" s="465"/>
      <c r="AY536" s="465"/>
      <c r="AZ536" s="465"/>
      <c r="BA536" s="465"/>
      <c r="BB536" s="465"/>
      <c r="BC536" s="465"/>
    </row>
    <row r="537" spans="1:55">
      <c r="A537" s="465"/>
      <c r="B537" s="465"/>
      <c r="C537" s="465"/>
      <c r="D537" s="467"/>
      <c r="E537" s="465"/>
      <c r="F537" s="465"/>
      <c r="G537" s="465"/>
      <c r="H537" s="465"/>
      <c r="I537" s="465"/>
      <c r="J537" s="465"/>
      <c r="K537" s="465"/>
      <c r="L537" s="465"/>
      <c r="M537" s="465"/>
      <c r="N537" s="465"/>
      <c r="O537" s="465"/>
      <c r="P537" s="465"/>
      <c r="Q537" s="465"/>
      <c r="R537" s="465"/>
      <c r="S537" s="465"/>
      <c r="T537" s="465"/>
      <c r="U537" s="465"/>
      <c r="V537" s="465"/>
      <c r="W537" s="465"/>
      <c r="X537" s="465"/>
      <c r="Y537" s="465"/>
      <c r="Z537" s="465"/>
      <c r="AA537" s="465"/>
      <c r="AB537" s="465"/>
      <c r="AC537" s="465"/>
      <c r="AD537" s="465"/>
      <c r="AE537" s="465"/>
      <c r="AF537" s="465"/>
      <c r="AG537" s="465"/>
      <c r="AH537" s="465"/>
      <c r="AI537" s="465"/>
      <c r="AJ537" s="465"/>
      <c r="AK537" s="465"/>
      <c r="AL537" s="465"/>
      <c r="AM537" s="465"/>
      <c r="AN537" s="465"/>
      <c r="AO537" s="465"/>
      <c r="AP537" s="465"/>
      <c r="AQ537" s="465"/>
      <c r="AR537" s="465"/>
      <c r="AS537" s="465"/>
      <c r="AT537" s="465"/>
      <c r="AU537" s="465"/>
      <c r="AV537" s="465"/>
      <c r="AW537" s="465"/>
      <c r="AX537" s="465"/>
      <c r="AY537" s="465"/>
      <c r="AZ537" s="465"/>
      <c r="BA537" s="465"/>
      <c r="BB537" s="465"/>
      <c r="BC537" s="465"/>
    </row>
    <row r="538" spans="1:55">
      <c r="A538" s="465"/>
      <c r="B538" s="465"/>
      <c r="C538" s="465"/>
      <c r="D538" s="467"/>
      <c r="E538" s="465"/>
      <c r="F538" s="465"/>
      <c r="G538" s="465"/>
      <c r="H538" s="465"/>
      <c r="I538" s="465"/>
      <c r="J538" s="465"/>
      <c r="K538" s="465"/>
      <c r="L538" s="465"/>
      <c r="M538" s="465"/>
      <c r="N538" s="465"/>
      <c r="O538" s="465"/>
      <c r="P538" s="465"/>
      <c r="Q538" s="465"/>
      <c r="R538" s="465"/>
      <c r="S538" s="465"/>
      <c r="T538" s="465"/>
      <c r="U538" s="465"/>
      <c r="V538" s="465"/>
      <c r="W538" s="465"/>
      <c r="X538" s="465"/>
      <c r="Y538" s="465"/>
      <c r="Z538" s="465"/>
      <c r="AA538" s="465"/>
      <c r="AB538" s="465"/>
      <c r="AC538" s="465"/>
      <c r="AD538" s="465"/>
      <c r="AE538" s="465"/>
      <c r="AF538" s="465"/>
      <c r="AG538" s="465"/>
      <c r="AH538" s="465"/>
      <c r="AI538" s="465"/>
      <c r="AJ538" s="465"/>
      <c r="AK538" s="465"/>
      <c r="AL538" s="465"/>
      <c r="AM538" s="465"/>
      <c r="AN538" s="465"/>
      <c r="AO538" s="465"/>
      <c r="AP538" s="465"/>
      <c r="AQ538" s="465"/>
      <c r="AR538" s="465"/>
      <c r="AS538" s="465"/>
      <c r="AT538" s="465"/>
      <c r="AU538" s="465"/>
      <c r="AV538" s="465"/>
      <c r="AW538" s="465"/>
      <c r="AX538" s="465"/>
      <c r="AY538" s="465"/>
      <c r="AZ538" s="465"/>
      <c r="BA538" s="465"/>
      <c r="BB538" s="465"/>
      <c r="BC538" s="465"/>
    </row>
    <row r="539" spans="1:55">
      <c r="A539" s="465"/>
      <c r="B539" s="465"/>
      <c r="C539" s="465"/>
      <c r="D539" s="467"/>
      <c r="E539" s="465"/>
      <c r="F539" s="465"/>
      <c r="G539" s="465"/>
      <c r="H539" s="465"/>
      <c r="I539" s="465"/>
      <c r="J539" s="465"/>
      <c r="K539" s="465"/>
      <c r="L539" s="465"/>
      <c r="M539" s="465"/>
      <c r="N539" s="465"/>
      <c r="O539" s="465"/>
      <c r="P539" s="465"/>
      <c r="Q539" s="465"/>
      <c r="R539" s="465"/>
      <c r="S539" s="465"/>
      <c r="T539" s="465"/>
      <c r="U539" s="465"/>
      <c r="V539" s="465"/>
      <c r="W539" s="465"/>
      <c r="X539" s="465"/>
      <c r="Y539" s="465"/>
      <c r="Z539" s="465"/>
      <c r="AA539" s="465"/>
      <c r="AB539" s="465"/>
      <c r="AC539" s="465"/>
      <c r="AD539" s="465"/>
      <c r="AE539" s="465"/>
      <c r="AF539" s="465"/>
      <c r="AG539" s="465"/>
      <c r="AH539" s="465"/>
      <c r="AI539" s="465"/>
      <c r="AJ539" s="465"/>
      <c r="AK539" s="465"/>
      <c r="AL539" s="465"/>
      <c r="AM539" s="465"/>
      <c r="AN539" s="465"/>
      <c r="AO539" s="465"/>
      <c r="AP539" s="465"/>
      <c r="AQ539" s="465"/>
      <c r="AR539" s="465"/>
      <c r="AS539" s="465"/>
      <c r="AT539" s="465"/>
      <c r="AU539" s="465"/>
      <c r="AV539" s="465"/>
      <c r="AW539" s="465"/>
      <c r="AX539" s="465"/>
      <c r="AY539" s="465"/>
      <c r="AZ539" s="465"/>
      <c r="BA539" s="465"/>
      <c r="BB539" s="465"/>
      <c r="BC539" s="465"/>
    </row>
    <row r="540" spans="1:55">
      <c r="A540" s="465"/>
      <c r="B540" s="465"/>
      <c r="C540" s="465"/>
      <c r="D540" s="467"/>
      <c r="E540" s="465"/>
      <c r="F540" s="465"/>
      <c r="G540" s="465"/>
      <c r="H540" s="465"/>
      <c r="I540" s="465"/>
      <c r="J540" s="465"/>
      <c r="K540" s="465"/>
      <c r="L540" s="465"/>
      <c r="M540" s="465"/>
      <c r="N540" s="465"/>
      <c r="O540" s="465"/>
      <c r="P540" s="465"/>
      <c r="Q540" s="465"/>
      <c r="R540" s="465"/>
      <c r="S540" s="465"/>
      <c r="T540" s="465"/>
      <c r="U540" s="465"/>
      <c r="V540" s="465"/>
      <c r="W540" s="465"/>
      <c r="X540" s="465"/>
      <c r="Y540" s="465"/>
      <c r="Z540" s="465"/>
      <c r="AA540" s="465"/>
      <c r="AB540" s="465"/>
      <c r="AC540" s="465"/>
      <c r="AD540" s="465"/>
      <c r="AE540" s="465"/>
      <c r="AF540" s="465"/>
      <c r="AG540" s="465"/>
      <c r="AH540" s="465"/>
      <c r="AI540" s="465"/>
      <c r="AJ540" s="465"/>
      <c r="AK540" s="465"/>
      <c r="AL540" s="465"/>
      <c r="AM540" s="465"/>
      <c r="AN540" s="465"/>
      <c r="AO540" s="465"/>
      <c r="AP540" s="465"/>
      <c r="AQ540" s="465"/>
      <c r="AR540" s="465"/>
      <c r="AS540" s="465"/>
      <c r="AT540" s="465"/>
      <c r="AU540" s="465"/>
      <c r="AV540" s="465"/>
      <c r="AW540" s="465"/>
      <c r="AX540" s="465"/>
      <c r="AY540" s="465"/>
      <c r="AZ540" s="465"/>
      <c r="BA540" s="465"/>
      <c r="BB540" s="465"/>
      <c r="BC540" s="465"/>
    </row>
    <row r="541" spans="1:55">
      <c r="A541" s="465"/>
      <c r="B541" s="465"/>
      <c r="C541" s="465"/>
      <c r="D541" s="467"/>
      <c r="E541" s="465"/>
      <c r="F541" s="465"/>
      <c r="G541" s="465"/>
      <c r="H541" s="465"/>
      <c r="I541" s="465"/>
      <c r="J541" s="465"/>
      <c r="K541" s="465"/>
      <c r="L541" s="465"/>
      <c r="M541" s="465"/>
      <c r="N541" s="465"/>
      <c r="O541" s="465"/>
      <c r="P541" s="465"/>
      <c r="Q541" s="465"/>
      <c r="R541" s="465"/>
      <c r="S541" s="465"/>
      <c r="T541" s="465"/>
      <c r="U541" s="465"/>
      <c r="V541" s="465"/>
      <c r="W541" s="465"/>
      <c r="X541" s="465"/>
      <c r="Y541" s="465"/>
      <c r="Z541" s="465"/>
      <c r="AA541" s="465"/>
      <c r="AB541" s="465"/>
      <c r="AC541" s="465"/>
      <c r="AD541" s="465"/>
      <c r="AE541" s="465"/>
      <c r="AF541" s="465"/>
      <c r="AG541" s="465"/>
      <c r="AH541" s="465"/>
      <c r="AI541" s="465"/>
      <c r="AJ541" s="465"/>
      <c r="AK541" s="465"/>
      <c r="AL541" s="465"/>
      <c r="AM541" s="465"/>
      <c r="AN541" s="465"/>
      <c r="AO541" s="465"/>
      <c r="AP541" s="465"/>
      <c r="AQ541" s="465"/>
      <c r="AR541" s="465"/>
      <c r="AS541" s="465"/>
      <c r="AT541" s="465"/>
      <c r="AU541" s="465"/>
      <c r="AV541" s="465"/>
      <c r="AW541" s="465"/>
      <c r="AX541" s="465"/>
      <c r="AY541" s="465"/>
      <c r="AZ541" s="465"/>
      <c r="BA541" s="465"/>
      <c r="BB541" s="465"/>
      <c r="BC541" s="465"/>
    </row>
    <row r="542" spans="1:55">
      <c r="A542" s="465"/>
      <c r="B542" s="465"/>
      <c r="C542" s="465"/>
      <c r="D542" s="467"/>
      <c r="E542" s="465"/>
      <c r="F542" s="465"/>
      <c r="G542" s="465"/>
      <c r="H542" s="465"/>
      <c r="I542" s="465"/>
      <c r="J542" s="465"/>
      <c r="K542" s="465"/>
      <c r="L542" s="465"/>
      <c r="M542" s="465"/>
      <c r="N542" s="465"/>
      <c r="O542" s="465"/>
      <c r="P542" s="465"/>
      <c r="Q542" s="465"/>
      <c r="R542" s="465"/>
      <c r="S542" s="465"/>
      <c r="T542" s="465"/>
      <c r="U542" s="465"/>
      <c r="V542" s="465"/>
      <c r="W542" s="465"/>
      <c r="X542" s="465"/>
      <c r="Y542" s="465"/>
      <c r="Z542" s="465"/>
      <c r="AA542" s="465"/>
      <c r="AB542" s="465"/>
      <c r="AC542" s="465"/>
      <c r="AD542" s="465"/>
      <c r="AE542" s="465"/>
      <c r="AF542" s="465"/>
      <c r="AG542" s="465"/>
      <c r="AH542" s="465"/>
      <c r="AI542" s="465"/>
      <c r="AJ542" s="465"/>
      <c r="AK542" s="465"/>
      <c r="AL542" s="465"/>
      <c r="AM542" s="465"/>
      <c r="AN542" s="465"/>
      <c r="AO542" s="465"/>
      <c r="AP542" s="465"/>
      <c r="AQ542" s="465"/>
      <c r="AR542" s="465"/>
      <c r="AS542" s="465"/>
      <c r="AT542" s="465"/>
      <c r="AU542" s="465"/>
      <c r="AV542" s="465"/>
      <c r="AW542" s="465"/>
      <c r="AX542" s="465"/>
      <c r="AY542" s="465"/>
      <c r="AZ542" s="465"/>
      <c r="BA542" s="465"/>
      <c r="BB542" s="465"/>
      <c r="BC542" s="465"/>
    </row>
    <row r="543" spans="1:55">
      <c r="A543" s="465"/>
      <c r="B543" s="465"/>
      <c r="C543" s="465"/>
      <c r="D543" s="467"/>
      <c r="E543" s="465"/>
      <c r="F543" s="465"/>
      <c r="G543" s="465"/>
      <c r="H543" s="465"/>
      <c r="I543" s="465"/>
      <c r="J543" s="465"/>
      <c r="K543" s="465"/>
      <c r="L543" s="465"/>
      <c r="M543" s="465"/>
      <c r="N543" s="465"/>
      <c r="O543" s="465"/>
      <c r="P543" s="465"/>
      <c r="Q543" s="465"/>
      <c r="R543" s="465"/>
      <c r="S543" s="465"/>
      <c r="T543" s="465"/>
      <c r="U543" s="465"/>
      <c r="V543" s="465"/>
      <c r="W543" s="465"/>
      <c r="X543" s="465"/>
      <c r="Y543" s="465"/>
      <c r="Z543" s="465"/>
      <c r="AA543" s="465"/>
      <c r="AB543" s="465"/>
      <c r="AC543" s="465"/>
      <c r="AD543" s="465"/>
      <c r="AE543" s="465"/>
      <c r="AF543" s="465"/>
      <c r="AG543" s="465"/>
      <c r="AH543" s="465"/>
      <c r="AI543" s="465"/>
      <c r="AJ543" s="465"/>
      <c r="AK543" s="465"/>
      <c r="AL543" s="465"/>
      <c r="AM543" s="465"/>
      <c r="AN543" s="465"/>
      <c r="AO543" s="465"/>
      <c r="AP543" s="465"/>
      <c r="AQ543" s="465"/>
      <c r="AR543" s="465"/>
      <c r="AS543" s="465"/>
      <c r="AT543" s="465"/>
      <c r="AU543" s="465"/>
      <c r="AV543" s="465"/>
      <c r="AW543" s="465"/>
      <c r="AX543" s="465"/>
      <c r="AY543" s="465"/>
      <c r="AZ543" s="465"/>
      <c r="BA543" s="465"/>
      <c r="BB543" s="465"/>
      <c r="BC543" s="465"/>
    </row>
    <row r="544" spans="1:55">
      <c r="A544" s="465"/>
      <c r="B544" s="465"/>
      <c r="C544" s="465"/>
      <c r="D544" s="467"/>
      <c r="E544" s="465"/>
      <c r="F544" s="465"/>
      <c r="G544" s="465"/>
      <c r="H544" s="465"/>
      <c r="I544" s="465"/>
      <c r="J544" s="465"/>
      <c r="K544" s="465"/>
      <c r="L544" s="465"/>
      <c r="M544" s="465"/>
      <c r="N544" s="465"/>
      <c r="O544" s="465"/>
      <c r="P544" s="465"/>
      <c r="Q544" s="465"/>
      <c r="R544" s="465"/>
      <c r="S544" s="465"/>
      <c r="T544" s="465"/>
      <c r="U544" s="465"/>
      <c r="V544" s="465"/>
      <c r="W544" s="465"/>
      <c r="X544" s="465"/>
      <c r="Y544" s="465"/>
      <c r="Z544" s="465"/>
      <c r="AA544" s="465"/>
      <c r="AB544" s="465"/>
      <c r="AC544" s="465"/>
      <c r="AD544" s="465"/>
      <c r="AE544" s="465"/>
      <c r="AF544" s="465"/>
      <c r="AG544" s="465"/>
      <c r="AH544" s="465"/>
      <c r="AI544" s="465"/>
      <c r="AJ544" s="465"/>
      <c r="AK544" s="465"/>
      <c r="AL544" s="465"/>
      <c r="AM544" s="465"/>
      <c r="AN544" s="465"/>
      <c r="AO544" s="465"/>
      <c r="AP544" s="465"/>
      <c r="AQ544" s="465"/>
      <c r="AR544" s="465"/>
      <c r="AS544" s="465"/>
      <c r="AT544" s="465"/>
      <c r="AU544" s="465"/>
      <c r="AV544" s="465"/>
      <c r="AW544" s="465"/>
      <c r="AX544" s="465"/>
      <c r="AY544" s="465"/>
      <c r="AZ544" s="465"/>
      <c r="BA544" s="465"/>
      <c r="BB544" s="465"/>
      <c r="BC544" s="465"/>
    </row>
    <row r="545" spans="1:55">
      <c r="A545" s="465"/>
      <c r="B545" s="465"/>
      <c r="C545" s="465"/>
      <c r="D545" s="467"/>
      <c r="E545" s="465"/>
      <c r="F545" s="465"/>
      <c r="G545" s="465"/>
      <c r="H545" s="465"/>
      <c r="I545" s="465"/>
      <c r="J545" s="465"/>
      <c r="K545" s="465"/>
      <c r="L545" s="465"/>
      <c r="M545" s="465"/>
      <c r="N545" s="465"/>
      <c r="O545" s="465"/>
      <c r="P545" s="465"/>
      <c r="Q545" s="465"/>
      <c r="R545" s="465"/>
      <c r="S545" s="465"/>
      <c r="T545" s="465"/>
      <c r="U545" s="465"/>
      <c r="V545" s="465"/>
      <c r="W545" s="465"/>
      <c r="X545" s="465"/>
      <c r="Y545" s="465"/>
      <c r="Z545" s="465"/>
      <c r="AA545" s="465"/>
      <c r="AB545" s="465"/>
      <c r="AC545" s="465"/>
      <c r="AD545" s="465"/>
      <c r="AE545" s="465"/>
      <c r="AF545" s="465"/>
      <c r="AG545" s="465"/>
      <c r="AH545" s="465"/>
      <c r="AI545" s="465"/>
      <c r="AJ545" s="465"/>
      <c r="AK545" s="465"/>
      <c r="AL545" s="465"/>
      <c r="AM545" s="465"/>
      <c r="AN545" s="465"/>
      <c r="AO545" s="465"/>
      <c r="AP545" s="465"/>
      <c r="AQ545" s="465"/>
      <c r="AR545" s="465"/>
      <c r="AS545" s="465"/>
      <c r="AT545" s="465"/>
      <c r="AU545" s="465"/>
      <c r="AV545" s="465"/>
      <c r="AW545" s="465"/>
      <c r="AX545" s="465"/>
      <c r="AY545" s="465"/>
      <c r="AZ545" s="465"/>
      <c r="BA545" s="465"/>
      <c r="BB545" s="465"/>
      <c r="BC545" s="465"/>
    </row>
    <row r="546" spans="1:55">
      <c r="A546" s="465"/>
      <c r="B546" s="465"/>
      <c r="C546" s="465"/>
      <c r="D546" s="467"/>
      <c r="E546" s="465"/>
      <c r="F546" s="465"/>
      <c r="G546" s="465"/>
      <c r="H546" s="465"/>
      <c r="I546" s="465"/>
      <c r="J546" s="465"/>
      <c r="K546" s="465"/>
      <c r="L546" s="465"/>
      <c r="M546" s="465"/>
      <c r="N546" s="465"/>
      <c r="O546" s="465"/>
      <c r="P546" s="465"/>
      <c r="Q546" s="465"/>
      <c r="R546" s="465"/>
      <c r="S546" s="465"/>
      <c r="T546" s="465"/>
      <c r="U546" s="465"/>
      <c r="V546" s="465"/>
      <c r="W546" s="465"/>
      <c r="X546" s="465"/>
      <c r="Y546" s="465"/>
      <c r="Z546" s="465"/>
      <c r="AA546" s="465"/>
      <c r="AB546" s="465"/>
      <c r="AC546" s="465"/>
      <c r="AD546" s="465"/>
      <c r="AE546" s="465"/>
      <c r="AF546" s="465"/>
      <c r="AG546" s="465"/>
      <c r="AH546" s="465"/>
      <c r="AI546" s="465"/>
      <c r="AJ546" s="465"/>
      <c r="AK546" s="465"/>
      <c r="AL546" s="465"/>
      <c r="AM546" s="465"/>
      <c r="AN546" s="465"/>
      <c r="AO546" s="465"/>
      <c r="AP546" s="465"/>
      <c r="AQ546" s="465"/>
      <c r="AR546" s="465"/>
      <c r="AS546" s="465"/>
      <c r="AT546" s="465"/>
      <c r="AU546" s="465"/>
      <c r="AV546" s="465"/>
      <c r="AW546" s="465"/>
      <c r="AX546" s="465"/>
      <c r="AY546" s="465"/>
      <c r="AZ546" s="465"/>
      <c r="BA546" s="465"/>
      <c r="BB546" s="465"/>
      <c r="BC546" s="465"/>
    </row>
    <row r="547" spans="1:55">
      <c r="A547" s="465"/>
      <c r="B547" s="465"/>
      <c r="C547" s="465"/>
      <c r="D547" s="467"/>
      <c r="E547" s="465"/>
      <c r="F547" s="465"/>
      <c r="G547" s="465"/>
      <c r="H547" s="465"/>
      <c r="I547" s="465"/>
      <c r="J547" s="465"/>
      <c r="K547" s="465"/>
      <c r="L547" s="465"/>
      <c r="M547" s="465"/>
      <c r="N547" s="465"/>
      <c r="O547" s="465"/>
      <c r="P547" s="465"/>
      <c r="Q547" s="465"/>
      <c r="R547" s="465"/>
      <c r="S547" s="465"/>
      <c r="T547" s="465"/>
      <c r="U547" s="465"/>
      <c r="V547" s="465"/>
      <c r="W547" s="465"/>
      <c r="X547" s="465"/>
      <c r="Y547" s="465"/>
      <c r="Z547" s="465"/>
      <c r="AA547" s="465"/>
      <c r="AB547" s="465"/>
      <c r="AC547" s="465"/>
      <c r="AD547" s="465"/>
      <c r="AE547" s="465"/>
      <c r="AF547" s="465"/>
      <c r="AG547" s="465"/>
      <c r="AH547" s="465"/>
      <c r="AI547" s="465"/>
      <c r="AJ547" s="465"/>
      <c r="AK547" s="465"/>
      <c r="AL547" s="465"/>
      <c r="AM547" s="465"/>
      <c r="AN547" s="465"/>
      <c r="AO547" s="465"/>
      <c r="AP547" s="465"/>
      <c r="AQ547" s="465"/>
      <c r="AR547" s="465"/>
      <c r="AS547" s="465"/>
      <c r="AT547" s="465"/>
      <c r="AU547" s="465"/>
      <c r="AV547" s="465"/>
      <c r="AW547" s="465"/>
      <c r="AX547" s="465"/>
      <c r="AY547" s="465"/>
      <c r="AZ547" s="465"/>
      <c r="BA547" s="465"/>
      <c r="BB547" s="465"/>
      <c r="BC547" s="465"/>
    </row>
    <row r="548" spans="1:55">
      <c r="A548" s="465"/>
      <c r="B548" s="465"/>
      <c r="C548" s="465"/>
      <c r="D548" s="467"/>
      <c r="E548" s="465"/>
      <c r="F548" s="465"/>
      <c r="G548" s="465"/>
      <c r="H548" s="465"/>
      <c r="I548" s="465"/>
      <c r="J548" s="465"/>
      <c r="K548" s="465"/>
      <c r="L548" s="465"/>
      <c r="M548" s="465"/>
      <c r="N548" s="465"/>
      <c r="O548" s="465"/>
      <c r="P548" s="465"/>
      <c r="Q548" s="465"/>
      <c r="R548" s="465"/>
      <c r="S548" s="465"/>
      <c r="T548" s="465"/>
      <c r="U548" s="465"/>
      <c r="V548" s="465"/>
      <c r="W548" s="465"/>
      <c r="X548" s="465"/>
      <c r="Y548" s="465"/>
      <c r="Z548" s="465"/>
      <c r="AA548" s="465"/>
      <c r="AB548" s="465"/>
      <c r="AC548" s="465"/>
      <c r="AD548" s="465"/>
      <c r="AE548" s="465"/>
      <c r="AF548" s="465"/>
      <c r="AG548" s="465"/>
      <c r="AH548" s="465"/>
      <c r="AI548" s="465"/>
      <c r="AJ548" s="465"/>
      <c r="AK548" s="465"/>
      <c r="AL548" s="465"/>
      <c r="AM548" s="465"/>
      <c r="AN548" s="465"/>
      <c r="AO548" s="465"/>
      <c r="AP548" s="465"/>
      <c r="AQ548" s="465"/>
      <c r="AR548" s="465"/>
      <c r="AS548" s="465"/>
      <c r="AT548" s="465"/>
      <c r="AU548" s="465"/>
      <c r="AV548" s="465"/>
      <c r="AW548" s="465"/>
      <c r="AX548" s="465"/>
      <c r="AY548" s="465"/>
      <c r="AZ548" s="465"/>
      <c r="BA548" s="465"/>
      <c r="BB548" s="465"/>
      <c r="BC548" s="465"/>
    </row>
    <row r="549" spans="1:55">
      <c r="A549" s="465"/>
      <c r="B549" s="465"/>
      <c r="C549" s="465"/>
      <c r="D549" s="467"/>
      <c r="E549" s="465"/>
      <c r="F549" s="465"/>
      <c r="G549" s="465"/>
      <c r="H549" s="465"/>
      <c r="I549" s="465"/>
      <c r="J549" s="465"/>
      <c r="K549" s="465"/>
      <c r="L549" s="465"/>
      <c r="M549" s="465"/>
      <c r="N549" s="465"/>
      <c r="O549" s="465"/>
      <c r="P549" s="465"/>
      <c r="Q549" s="465"/>
      <c r="R549" s="465"/>
      <c r="S549" s="465"/>
      <c r="T549" s="465"/>
      <c r="U549" s="465"/>
      <c r="V549" s="465"/>
      <c r="W549" s="465"/>
      <c r="X549" s="465"/>
      <c r="Y549" s="465"/>
      <c r="Z549" s="465"/>
      <c r="AA549" s="465"/>
      <c r="AB549" s="465"/>
      <c r="AC549" s="465"/>
      <c r="AD549" s="465"/>
      <c r="AE549" s="465"/>
      <c r="AF549" s="465"/>
      <c r="AG549" s="465"/>
      <c r="AH549" s="465"/>
      <c r="AI549" s="465"/>
      <c r="AJ549" s="465"/>
      <c r="AK549" s="465"/>
      <c r="AL549" s="465"/>
      <c r="AM549" s="465"/>
      <c r="AN549" s="465"/>
      <c r="AO549" s="465"/>
      <c r="AP549" s="465"/>
      <c r="AQ549" s="465"/>
      <c r="AR549" s="465"/>
      <c r="AS549" s="465"/>
      <c r="AT549" s="465"/>
      <c r="AU549" s="465"/>
      <c r="AV549" s="465"/>
      <c r="AW549" s="465"/>
      <c r="AX549" s="465"/>
      <c r="AY549" s="465"/>
      <c r="AZ549" s="465"/>
      <c r="BA549" s="465"/>
      <c r="BB549" s="465"/>
      <c r="BC549" s="465"/>
    </row>
    <row r="550" spans="1:55">
      <c r="A550" s="465"/>
      <c r="B550" s="465"/>
      <c r="C550" s="465"/>
      <c r="D550" s="467"/>
      <c r="E550" s="465"/>
      <c r="F550" s="465"/>
      <c r="G550" s="465"/>
      <c r="H550" s="465"/>
      <c r="I550" s="465"/>
      <c r="J550" s="465"/>
      <c r="K550" s="465"/>
      <c r="L550" s="465"/>
      <c r="M550" s="465"/>
      <c r="N550" s="465"/>
      <c r="O550" s="465"/>
      <c r="P550" s="465"/>
      <c r="Q550" s="465"/>
      <c r="R550" s="465"/>
      <c r="S550" s="465"/>
      <c r="T550" s="465"/>
      <c r="U550" s="465"/>
      <c r="V550" s="465"/>
      <c r="W550" s="465"/>
      <c r="X550" s="465"/>
      <c r="Y550" s="465"/>
      <c r="Z550" s="465"/>
      <c r="AA550" s="465"/>
      <c r="AB550" s="465"/>
      <c r="AC550" s="465"/>
      <c r="AD550" s="465"/>
      <c r="AE550" s="465"/>
      <c r="AF550" s="465"/>
      <c r="AG550" s="465"/>
      <c r="AH550" s="465"/>
      <c r="AI550" s="465"/>
      <c r="AJ550" s="465"/>
      <c r="AK550" s="465"/>
      <c r="AL550" s="465"/>
      <c r="AM550" s="465"/>
      <c r="AN550" s="465"/>
      <c r="AO550" s="465"/>
      <c r="AP550" s="465"/>
      <c r="AQ550" s="465"/>
      <c r="AR550" s="465"/>
      <c r="AS550" s="465"/>
      <c r="AT550" s="465"/>
      <c r="AU550" s="465"/>
      <c r="AV550" s="465"/>
      <c r="AW550" s="465"/>
      <c r="AX550" s="465"/>
      <c r="AY550" s="465"/>
      <c r="AZ550" s="465"/>
      <c r="BA550" s="465"/>
      <c r="BB550" s="465"/>
      <c r="BC550" s="465"/>
    </row>
    <row r="551" spans="1:55">
      <c r="A551" s="465"/>
      <c r="B551" s="465"/>
      <c r="C551" s="465"/>
      <c r="D551" s="467"/>
      <c r="E551" s="465"/>
      <c r="F551" s="465"/>
      <c r="G551" s="465"/>
      <c r="H551" s="465"/>
      <c r="I551" s="465"/>
      <c r="J551" s="465"/>
      <c r="K551" s="465"/>
      <c r="L551" s="465"/>
      <c r="M551" s="465"/>
      <c r="N551" s="465"/>
      <c r="O551" s="465"/>
      <c r="P551" s="465"/>
      <c r="Q551" s="465"/>
      <c r="R551" s="465"/>
      <c r="S551" s="465"/>
      <c r="T551" s="465"/>
      <c r="U551" s="465"/>
      <c r="V551" s="465"/>
      <c r="W551" s="465"/>
      <c r="X551" s="465"/>
      <c r="Y551" s="465"/>
      <c r="Z551" s="465"/>
      <c r="AA551" s="465"/>
      <c r="AB551" s="465"/>
      <c r="AC551" s="465"/>
      <c r="AD551" s="465"/>
      <c r="AE551" s="465"/>
      <c r="AF551" s="465"/>
      <c r="AG551" s="465"/>
      <c r="AH551" s="465"/>
      <c r="AI551" s="465"/>
      <c r="AJ551" s="465"/>
      <c r="AK551" s="465"/>
      <c r="AL551" s="465"/>
      <c r="AM551" s="465"/>
      <c r="AN551" s="465"/>
      <c r="AO551" s="465"/>
      <c r="AP551" s="465"/>
      <c r="AQ551" s="465"/>
      <c r="AR551" s="465"/>
      <c r="AS551" s="465"/>
      <c r="AT551" s="465"/>
      <c r="AU551" s="465"/>
      <c r="AV551" s="465"/>
      <c r="AW551" s="465"/>
      <c r="AX551" s="465"/>
      <c r="AY551" s="465"/>
      <c r="AZ551" s="465"/>
      <c r="BA551" s="465"/>
      <c r="BB551" s="465"/>
      <c r="BC551" s="465"/>
    </row>
    <row r="552" spans="1:55">
      <c r="A552" s="465"/>
      <c r="B552" s="465"/>
      <c r="C552" s="465"/>
      <c r="D552" s="467"/>
      <c r="E552" s="465"/>
      <c r="F552" s="465"/>
      <c r="G552" s="465"/>
      <c r="H552" s="465"/>
      <c r="I552" s="465"/>
      <c r="J552" s="465"/>
      <c r="K552" s="465"/>
      <c r="L552" s="465"/>
      <c r="M552" s="465"/>
      <c r="N552" s="465"/>
      <c r="O552" s="465"/>
      <c r="P552" s="465"/>
      <c r="Q552" s="465"/>
      <c r="R552" s="465"/>
      <c r="S552" s="465"/>
      <c r="T552" s="465"/>
      <c r="U552" s="465"/>
      <c r="V552" s="465"/>
      <c r="W552" s="465"/>
      <c r="X552" s="465"/>
      <c r="Y552" s="465"/>
      <c r="Z552" s="465"/>
      <c r="AA552" s="465"/>
      <c r="AB552" s="465"/>
      <c r="AC552" s="465"/>
      <c r="AD552" s="465"/>
      <c r="AE552" s="465"/>
      <c r="AF552" s="465"/>
      <c r="AG552" s="465"/>
      <c r="AH552" s="465"/>
      <c r="AI552" s="465"/>
      <c r="AJ552" s="465"/>
      <c r="AK552" s="465"/>
      <c r="AL552" s="465"/>
      <c r="AM552" s="465"/>
      <c r="AN552" s="465"/>
      <c r="AO552" s="465"/>
      <c r="AP552" s="465"/>
      <c r="AQ552" s="465"/>
      <c r="AR552" s="465"/>
      <c r="AS552" s="465"/>
      <c r="AT552" s="465"/>
      <c r="AU552" s="465"/>
      <c r="AV552" s="465"/>
      <c r="AW552" s="465"/>
      <c r="AX552" s="465"/>
      <c r="AY552" s="465"/>
      <c r="AZ552" s="465"/>
      <c r="BA552" s="465"/>
      <c r="BB552" s="465"/>
      <c r="BC552" s="465"/>
    </row>
    <row r="553" spans="1:55">
      <c r="A553" s="465"/>
      <c r="B553" s="465"/>
      <c r="C553" s="465"/>
      <c r="D553" s="467"/>
      <c r="E553" s="465"/>
      <c r="F553" s="465"/>
      <c r="G553" s="465"/>
      <c r="H553" s="465"/>
      <c r="I553" s="465"/>
      <c r="J553" s="465"/>
      <c r="K553" s="465"/>
      <c r="L553" s="465"/>
      <c r="M553" s="465"/>
      <c r="N553" s="465"/>
      <c r="O553" s="465"/>
      <c r="P553" s="465"/>
      <c r="Q553" s="465"/>
      <c r="R553" s="465"/>
      <c r="S553" s="465"/>
      <c r="T553" s="465"/>
      <c r="U553" s="465"/>
      <c r="V553" s="465"/>
      <c r="W553" s="465"/>
      <c r="X553" s="465"/>
      <c r="Y553" s="465"/>
      <c r="Z553" s="465"/>
      <c r="AA553" s="465"/>
      <c r="AB553" s="465"/>
      <c r="AC553" s="465"/>
      <c r="AD553" s="465"/>
      <c r="AE553" s="465"/>
      <c r="AF553" s="465"/>
      <c r="AG553" s="465"/>
      <c r="AH553" s="465"/>
      <c r="AI553" s="465"/>
      <c r="AJ553" s="465"/>
      <c r="AK553" s="465"/>
      <c r="AL553" s="465"/>
      <c r="AM553" s="465"/>
      <c r="AN553" s="465"/>
      <c r="AO553" s="465"/>
      <c r="AP553" s="465"/>
      <c r="AQ553" s="465"/>
      <c r="AR553" s="465"/>
      <c r="AS553" s="465"/>
      <c r="AT553" s="465"/>
      <c r="AU553" s="465"/>
      <c r="AV553" s="465"/>
      <c r="AW553" s="465"/>
      <c r="AX553" s="465"/>
      <c r="AY553" s="465"/>
      <c r="AZ553" s="465"/>
      <c r="BA553" s="465"/>
      <c r="BB553" s="465"/>
      <c r="BC553" s="465"/>
    </row>
    <row r="554" spans="1:55">
      <c r="A554" s="465"/>
      <c r="B554" s="465"/>
      <c r="C554" s="465"/>
      <c r="D554" s="467"/>
      <c r="E554" s="465"/>
      <c r="F554" s="465"/>
      <c r="G554" s="465"/>
      <c r="H554" s="465"/>
      <c r="I554" s="465"/>
      <c r="J554" s="465"/>
      <c r="K554" s="465"/>
      <c r="L554" s="465"/>
      <c r="M554" s="465"/>
      <c r="N554" s="465"/>
      <c r="O554" s="465"/>
      <c r="P554" s="465"/>
      <c r="Q554" s="465"/>
      <c r="R554" s="465"/>
      <c r="S554" s="465"/>
      <c r="T554" s="465"/>
      <c r="U554" s="465"/>
      <c r="V554" s="465"/>
      <c r="W554" s="465"/>
      <c r="X554" s="465"/>
      <c r="Y554" s="465"/>
      <c r="Z554" s="465"/>
      <c r="AA554" s="465"/>
      <c r="AB554" s="465"/>
      <c r="AC554" s="465"/>
      <c r="AD554" s="465"/>
      <c r="AE554" s="465"/>
      <c r="AF554" s="465"/>
      <c r="AG554" s="465"/>
      <c r="AH554" s="465"/>
      <c r="AI554" s="465"/>
      <c r="AJ554" s="465"/>
      <c r="AK554" s="465"/>
      <c r="AL554" s="465"/>
      <c r="AM554" s="465"/>
      <c r="AN554" s="465"/>
      <c r="AO554" s="465"/>
      <c r="AP554" s="465"/>
      <c r="AQ554" s="465"/>
      <c r="AR554" s="465"/>
      <c r="AS554" s="465"/>
      <c r="AT554" s="465"/>
      <c r="AU554" s="465"/>
      <c r="AV554" s="465"/>
      <c r="AW554" s="465"/>
      <c r="AX554" s="465"/>
      <c r="AY554" s="465"/>
      <c r="AZ554" s="465"/>
      <c r="BA554" s="465"/>
      <c r="BB554" s="465"/>
      <c r="BC554" s="465"/>
    </row>
    <row r="555" spans="1:55">
      <c r="A555" s="465"/>
      <c r="B555" s="465"/>
      <c r="C555" s="465"/>
      <c r="D555" s="467"/>
      <c r="E555" s="465"/>
      <c r="F555" s="465"/>
      <c r="G555" s="465"/>
      <c r="H555" s="465"/>
      <c r="I555" s="465"/>
      <c r="J555" s="465"/>
      <c r="K555" s="465"/>
      <c r="L555" s="465"/>
      <c r="M555" s="465"/>
      <c r="N555" s="465"/>
      <c r="O555" s="465"/>
      <c r="P555" s="465"/>
      <c r="Q555" s="465"/>
      <c r="R555" s="465"/>
      <c r="S555" s="465"/>
      <c r="T555" s="465"/>
      <c r="U555" s="465"/>
      <c r="V555" s="465"/>
      <c r="W555" s="465"/>
      <c r="X555" s="465"/>
      <c r="Y555" s="465"/>
      <c r="Z555" s="465"/>
      <c r="AA555" s="465"/>
      <c r="AB555" s="465"/>
      <c r="AC555" s="465"/>
      <c r="AD555" s="465"/>
      <c r="AE555" s="465"/>
      <c r="AF555" s="465"/>
      <c r="AG555" s="465"/>
      <c r="AH555" s="465"/>
      <c r="AI555" s="465"/>
      <c r="AJ555" s="465"/>
      <c r="AK555" s="465"/>
      <c r="AL555" s="465"/>
      <c r="AM555" s="465"/>
      <c r="AN555" s="465"/>
      <c r="AO555" s="465"/>
      <c r="AP555" s="465"/>
      <c r="AQ555" s="465"/>
      <c r="AR555" s="465"/>
      <c r="AS555" s="465"/>
      <c r="AT555" s="465"/>
      <c r="AU555" s="465"/>
      <c r="AV555" s="465"/>
      <c r="AW555" s="465"/>
      <c r="AX555" s="465"/>
      <c r="AY555" s="465"/>
      <c r="AZ555" s="465"/>
      <c r="BA555" s="465"/>
      <c r="BB555" s="465"/>
      <c r="BC555" s="465"/>
    </row>
    <row r="556" spans="1:55">
      <c r="A556" s="465"/>
      <c r="B556" s="465"/>
      <c r="C556" s="465"/>
      <c r="D556" s="467"/>
      <c r="E556" s="465"/>
      <c r="F556" s="465"/>
      <c r="G556" s="465"/>
      <c r="H556" s="465"/>
      <c r="I556" s="465"/>
      <c r="J556" s="465"/>
      <c r="K556" s="465"/>
      <c r="L556" s="465"/>
      <c r="M556" s="465"/>
      <c r="N556" s="465"/>
      <c r="O556" s="465"/>
      <c r="P556" s="465"/>
      <c r="Q556" s="465"/>
      <c r="R556" s="465"/>
      <c r="S556" s="465"/>
      <c r="T556" s="465"/>
      <c r="U556" s="465"/>
      <c r="V556" s="465"/>
      <c r="W556" s="465"/>
      <c r="X556" s="465"/>
      <c r="Y556" s="465"/>
      <c r="Z556" s="465"/>
      <c r="AA556" s="465"/>
      <c r="AB556" s="465"/>
      <c r="AC556" s="465"/>
      <c r="AD556" s="465"/>
      <c r="AE556" s="465"/>
      <c r="AF556" s="465"/>
      <c r="AG556" s="465"/>
      <c r="AH556" s="465"/>
      <c r="AI556" s="465"/>
      <c r="AJ556" s="465"/>
      <c r="AK556" s="465"/>
      <c r="AL556" s="465"/>
      <c r="AM556" s="465"/>
      <c r="AN556" s="465"/>
      <c r="AO556" s="465"/>
      <c r="AP556" s="465"/>
      <c r="AQ556" s="465"/>
      <c r="AR556" s="465"/>
      <c r="AS556" s="465"/>
      <c r="AT556" s="465"/>
      <c r="AU556" s="465"/>
      <c r="AV556" s="465"/>
      <c r="AW556" s="465"/>
      <c r="AX556" s="465"/>
      <c r="AY556" s="465"/>
      <c r="AZ556" s="465"/>
      <c r="BA556" s="465"/>
      <c r="BB556" s="465"/>
      <c r="BC556" s="465"/>
    </row>
    <row r="557" spans="1:55">
      <c r="A557" s="465"/>
      <c r="B557" s="465"/>
      <c r="C557" s="465"/>
      <c r="D557" s="467"/>
      <c r="E557" s="465"/>
      <c r="F557" s="465"/>
      <c r="G557" s="465"/>
      <c r="H557" s="465"/>
      <c r="I557" s="465"/>
      <c r="J557" s="465"/>
      <c r="K557" s="465"/>
      <c r="L557" s="465"/>
      <c r="M557" s="465"/>
      <c r="N557" s="465"/>
      <c r="O557" s="465"/>
      <c r="P557" s="465"/>
      <c r="Q557" s="465"/>
      <c r="R557" s="465"/>
      <c r="S557" s="465"/>
      <c r="T557" s="465"/>
      <c r="U557" s="465"/>
      <c r="V557" s="465"/>
      <c r="W557" s="465"/>
      <c r="X557" s="465"/>
      <c r="Y557" s="465"/>
      <c r="Z557" s="465"/>
      <c r="AA557" s="465"/>
      <c r="AB557" s="465"/>
      <c r="AC557" s="465"/>
      <c r="AD557" s="465"/>
      <c r="AE557" s="465"/>
      <c r="AF557" s="465"/>
      <c r="AG557" s="465"/>
      <c r="AH557" s="465"/>
      <c r="AI557" s="465"/>
      <c r="AJ557" s="465"/>
      <c r="AK557" s="465"/>
      <c r="AL557" s="465"/>
      <c r="AM557" s="465"/>
      <c r="AN557" s="465"/>
      <c r="AO557" s="465"/>
      <c r="AP557" s="465"/>
      <c r="AQ557" s="465"/>
      <c r="AR557" s="465"/>
      <c r="AS557" s="465"/>
      <c r="AT557" s="465"/>
      <c r="AU557" s="465"/>
      <c r="AV557" s="465"/>
      <c r="AW557" s="465"/>
      <c r="AX557" s="465"/>
      <c r="AY557" s="465"/>
      <c r="AZ557" s="465"/>
      <c r="BA557" s="465"/>
      <c r="BB557" s="465"/>
      <c r="BC557" s="465"/>
    </row>
    <row r="558" spans="1:55">
      <c r="A558" s="465"/>
      <c r="B558" s="465"/>
      <c r="C558" s="465"/>
      <c r="D558" s="467"/>
      <c r="E558" s="465"/>
      <c r="F558" s="465"/>
      <c r="G558" s="465"/>
      <c r="H558" s="465"/>
      <c r="I558" s="465"/>
      <c r="J558" s="465"/>
      <c r="K558" s="465"/>
      <c r="L558" s="465"/>
      <c r="M558" s="465"/>
      <c r="N558" s="465"/>
      <c r="O558" s="465"/>
      <c r="P558" s="465"/>
      <c r="Q558" s="465"/>
      <c r="R558" s="465"/>
      <c r="S558" s="465"/>
      <c r="T558" s="465"/>
      <c r="U558" s="465"/>
      <c r="V558" s="465"/>
      <c r="W558" s="465"/>
      <c r="X558" s="465"/>
      <c r="Y558" s="465"/>
      <c r="Z558" s="465"/>
      <c r="AA558" s="465"/>
      <c r="AB558" s="465"/>
      <c r="AC558" s="465"/>
      <c r="AD558" s="465"/>
      <c r="AE558" s="465"/>
      <c r="AF558" s="465"/>
      <c r="AG558" s="465"/>
      <c r="AH558" s="465"/>
      <c r="AI558" s="465"/>
      <c r="AJ558" s="465"/>
      <c r="AK558" s="465"/>
      <c r="AL558" s="465"/>
      <c r="AM558" s="465"/>
      <c r="AN558" s="465"/>
      <c r="AO558" s="465"/>
      <c r="AP558" s="465"/>
      <c r="AQ558" s="465"/>
      <c r="AR558" s="465"/>
      <c r="AS558" s="465"/>
      <c r="AT558" s="465"/>
      <c r="AU558" s="465"/>
      <c r="AV558" s="465"/>
      <c r="AW558" s="465"/>
      <c r="AX558" s="465"/>
      <c r="AY558" s="465"/>
      <c r="AZ558" s="465"/>
      <c r="BA558" s="465"/>
      <c r="BB558" s="465"/>
      <c r="BC558" s="465"/>
    </row>
    <row r="559" spans="1:55">
      <c r="A559" s="465"/>
      <c r="B559" s="465"/>
      <c r="C559" s="465"/>
      <c r="D559" s="467"/>
      <c r="E559" s="465"/>
      <c r="F559" s="465"/>
      <c r="G559" s="465"/>
      <c r="H559" s="465"/>
      <c r="I559" s="465"/>
      <c r="J559" s="465"/>
      <c r="K559" s="465"/>
      <c r="L559" s="465"/>
      <c r="M559" s="465"/>
      <c r="N559" s="465"/>
      <c r="O559" s="465"/>
      <c r="P559" s="465"/>
      <c r="Q559" s="465"/>
      <c r="R559" s="465"/>
      <c r="S559" s="465"/>
      <c r="T559" s="465"/>
      <c r="U559" s="465"/>
      <c r="V559" s="465"/>
      <c r="W559" s="465"/>
      <c r="X559" s="465"/>
      <c r="Y559" s="465"/>
      <c r="Z559" s="465"/>
      <c r="AA559" s="465"/>
      <c r="AB559" s="465"/>
      <c r="AC559" s="465"/>
      <c r="AD559" s="465"/>
      <c r="AE559" s="465"/>
      <c r="AF559" s="465"/>
      <c r="AG559" s="465"/>
      <c r="AH559" s="465"/>
      <c r="AI559" s="465"/>
      <c r="AJ559" s="465"/>
      <c r="AK559" s="465"/>
      <c r="AL559" s="465"/>
      <c r="AM559" s="465"/>
      <c r="AN559" s="465"/>
      <c r="AO559" s="465"/>
      <c r="AP559" s="465"/>
      <c r="AQ559" s="465"/>
      <c r="AR559" s="465"/>
      <c r="AS559" s="465"/>
      <c r="AT559" s="465"/>
      <c r="AU559" s="465"/>
      <c r="AV559" s="465"/>
      <c r="AW559" s="465"/>
      <c r="AX559" s="465"/>
      <c r="AY559" s="465"/>
      <c r="AZ559" s="465"/>
      <c r="BA559" s="465"/>
      <c r="BB559" s="465"/>
      <c r="BC559" s="465"/>
    </row>
    <row r="560" spans="1:55">
      <c r="A560" s="465"/>
      <c r="B560" s="465"/>
      <c r="C560" s="465"/>
      <c r="D560" s="467"/>
      <c r="E560" s="465"/>
      <c r="F560" s="465"/>
      <c r="G560" s="465"/>
      <c r="H560" s="465"/>
      <c r="I560" s="465"/>
      <c r="J560" s="465"/>
      <c r="K560" s="465"/>
      <c r="L560" s="465"/>
      <c r="M560" s="465"/>
      <c r="N560" s="465"/>
      <c r="O560" s="465"/>
      <c r="P560" s="465"/>
      <c r="Q560" s="465"/>
      <c r="R560" s="465"/>
      <c r="S560" s="465"/>
      <c r="T560" s="465"/>
      <c r="U560" s="465"/>
      <c r="V560" s="465"/>
      <c r="W560" s="465"/>
      <c r="X560" s="465"/>
      <c r="Y560" s="465"/>
      <c r="Z560" s="465"/>
      <c r="AA560" s="465"/>
      <c r="AB560" s="465"/>
      <c r="AC560" s="465"/>
      <c r="AD560" s="465"/>
      <c r="AE560" s="465"/>
      <c r="AF560" s="465"/>
      <c r="AG560" s="465"/>
      <c r="AH560" s="465"/>
      <c r="AI560" s="465"/>
      <c r="AJ560" s="465"/>
      <c r="AK560" s="465"/>
      <c r="AL560" s="465"/>
      <c r="AM560" s="465"/>
      <c r="AN560" s="465"/>
      <c r="AO560" s="465"/>
      <c r="AP560" s="465"/>
      <c r="AQ560" s="465"/>
      <c r="AR560" s="465"/>
      <c r="AS560" s="465"/>
      <c r="AT560" s="465"/>
      <c r="AU560" s="465"/>
      <c r="AV560" s="465"/>
      <c r="AW560" s="465"/>
      <c r="AX560" s="465"/>
      <c r="AY560" s="465"/>
      <c r="AZ560" s="465"/>
      <c r="BA560" s="465"/>
      <c r="BB560" s="465"/>
      <c r="BC560" s="465"/>
    </row>
    <row r="561" spans="1:55">
      <c r="A561" s="465"/>
      <c r="B561" s="465"/>
      <c r="C561" s="465"/>
      <c r="D561" s="467"/>
      <c r="E561" s="465"/>
      <c r="F561" s="465"/>
      <c r="G561" s="465"/>
      <c r="H561" s="465"/>
      <c r="I561" s="465"/>
      <c r="J561" s="465"/>
      <c r="K561" s="465"/>
      <c r="L561" s="465"/>
      <c r="M561" s="465"/>
      <c r="N561" s="465"/>
      <c r="O561" s="465"/>
      <c r="P561" s="465"/>
      <c r="Q561" s="465"/>
      <c r="R561" s="465"/>
      <c r="S561" s="465"/>
      <c r="T561" s="465"/>
      <c r="U561" s="465"/>
      <c r="V561" s="465"/>
      <c r="W561" s="465"/>
      <c r="X561" s="465"/>
      <c r="Y561" s="465"/>
      <c r="Z561" s="465"/>
      <c r="AA561" s="465"/>
      <c r="AB561" s="465"/>
      <c r="AC561" s="465"/>
      <c r="AD561" s="465"/>
      <c r="AE561" s="465"/>
      <c r="AF561" s="465"/>
      <c r="AG561" s="465"/>
      <c r="AH561" s="465"/>
      <c r="AI561" s="465"/>
      <c r="AJ561" s="465"/>
      <c r="AK561" s="465"/>
      <c r="AL561" s="465"/>
      <c r="AM561" s="465"/>
      <c r="AN561" s="465"/>
      <c r="AO561" s="465"/>
      <c r="AP561" s="465"/>
      <c r="AQ561" s="465"/>
      <c r="AR561" s="465"/>
      <c r="AS561" s="465"/>
      <c r="AT561" s="465"/>
      <c r="AU561" s="465"/>
      <c r="AV561" s="465"/>
      <c r="AW561" s="465"/>
      <c r="AX561" s="465"/>
      <c r="AY561" s="465"/>
      <c r="AZ561" s="465"/>
      <c r="BA561" s="465"/>
      <c r="BB561" s="465"/>
      <c r="BC561" s="465"/>
    </row>
    <row r="562" spans="1:55">
      <c r="A562" s="465"/>
      <c r="B562" s="465"/>
      <c r="C562" s="465"/>
      <c r="D562" s="467"/>
      <c r="E562" s="465"/>
      <c r="F562" s="465"/>
      <c r="G562" s="465"/>
      <c r="H562" s="465"/>
      <c r="I562" s="465"/>
      <c r="J562" s="465"/>
      <c r="K562" s="465"/>
      <c r="L562" s="465"/>
      <c r="M562" s="465"/>
      <c r="N562" s="465"/>
      <c r="O562" s="465"/>
      <c r="P562" s="465"/>
      <c r="Q562" s="465"/>
      <c r="R562" s="465"/>
      <c r="S562" s="465"/>
      <c r="T562" s="465"/>
      <c r="U562" s="465"/>
      <c r="V562" s="465"/>
      <c r="W562" s="465"/>
      <c r="X562" s="465"/>
      <c r="Y562" s="465"/>
      <c r="Z562" s="465"/>
      <c r="AA562" s="465"/>
      <c r="AB562" s="465"/>
      <c r="AC562" s="465"/>
      <c r="AD562" s="465"/>
      <c r="AE562" s="465"/>
      <c r="AF562" s="465"/>
      <c r="AG562" s="465"/>
      <c r="AH562" s="465"/>
      <c r="AI562" s="465"/>
      <c r="AJ562" s="465"/>
      <c r="AK562" s="465"/>
      <c r="AL562" s="465"/>
      <c r="AM562" s="465"/>
      <c r="AN562" s="465"/>
      <c r="AO562" s="465"/>
      <c r="AP562" s="465"/>
      <c r="AQ562" s="465"/>
      <c r="AR562" s="465"/>
      <c r="AS562" s="465"/>
      <c r="AT562" s="465"/>
      <c r="AU562" s="465"/>
      <c r="AV562" s="465"/>
      <c r="AW562" s="465"/>
      <c r="AX562" s="465"/>
      <c r="AY562" s="465"/>
      <c r="AZ562" s="465"/>
      <c r="BA562" s="465"/>
      <c r="BB562" s="465"/>
      <c r="BC562" s="465"/>
    </row>
    <row r="563" spans="1:55">
      <c r="A563" s="465"/>
      <c r="B563" s="465"/>
      <c r="C563" s="465"/>
      <c r="D563" s="467"/>
      <c r="E563" s="465"/>
      <c r="F563" s="465"/>
      <c r="G563" s="465"/>
      <c r="H563" s="465"/>
      <c r="I563" s="465"/>
      <c r="J563" s="465"/>
      <c r="K563" s="465"/>
      <c r="L563" s="465"/>
      <c r="M563" s="465"/>
      <c r="N563" s="465"/>
      <c r="O563" s="465"/>
      <c r="P563" s="465"/>
      <c r="Q563" s="465"/>
      <c r="R563" s="465"/>
      <c r="S563" s="465"/>
      <c r="T563" s="465"/>
      <c r="U563" s="465"/>
      <c r="V563" s="465"/>
      <c r="W563" s="465"/>
      <c r="X563" s="465"/>
      <c r="Y563" s="465"/>
      <c r="Z563" s="465"/>
      <c r="AA563" s="465"/>
      <c r="AB563" s="465"/>
      <c r="AC563" s="465"/>
      <c r="AD563" s="465"/>
      <c r="AE563" s="465"/>
      <c r="AF563" s="465"/>
      <c r="AG563" s="465"/>
      <c r="AH563" s="465"/>
      <c r="AI563" s="465"/>
      <c r="AJ563" s="465"/>
      <c r="AK563" s="465"/>
      <c r="AL563" s="465"/>
      <c r="AM563" s="465"/>
      <c r="AN563" s="465"/>
      <c r="AO563" s="465"/>
      <c r="AP563" s="465"/>
      <c r="AQ563" s="465"/>
      <c r="AR563" s="465"/>
      <c r="AS563" s="465"/>
      <c r="AT563" s="465"/>
      <c r="AU563" s="465"/>
      <c r="AV563" s="465"/>
      <c r="AW563" s="465"/>
      <c r="AX563" s="465"/>
      <c r="AY563" s="465"/>
      <c r="AZ563" s="465"/>
      <c r="BA563" s="465"/>
      <c r="BB563" s="465"/>
      <c r="BC563" s="465"/>
    </row>
    <row r="564" spans="1:55">
      <c r="A564" s="465"/>
      <c r="B564" s="465"/>
      <c r="C564" s="465"/>
      <c r="D564" s="467"/>
      <c r="E564" s="465"/>
      <c r="F564" s="465"/>
      <c r="G564" s="465"/>
      <c r="H564" s="465"/>
      <c r="I564" s="465"/>
      <c r="J564" s="465"/>
      <c r="K564" s="465"/>
      <c r="L564" s="465"/>
      <c r="M564" s="465"/>
      <c r="N564" s="465"/>
      <c r="O564" s="465"/>
      <c r="P564" s="465"/>
      <c r="Q564" s="465"/>
      <c r="R564" s="465"/>
      <c r="S564" s="465"/>
      <c r="T564" s="465"/>
      <c r="U564" s="465"/>
      <c r="V564" s="465"/>
      <c r="W564" s="465"/>
      <c r="X564" s="465"/>
      <c r="Y564" s="465"/>
      <c r="Z564" s="465"/>
      <c r="AA564" s="465"/>
      <c r="AB564" s="465"/>
      <c r="AC564" s="465"/>
      <c r="AD564" s="465"/>
      <c r="AE564" s="465"/>
      <c r="AF564" s="465"/>
      <c r="AG564" s="465"/>
      <c r="AH564" s="465"/>
      <c r="AI564" s="465"/>
      <c r="AJ564" s="465"/>
      <c r="AK564" s="465"/>
      <c r="AL564" s="465"/>
      <c r="AM564" s="465"/>
      <c r="AN564" s="465"/>
      <c r="AO564" s="465"/>
      <c r="AP564" s="465"/>
      <c r="AQ564" s="465"/>
      <c r="AR564" s="465"/>
      <c r="AS564" s="465"/>
      <c r="AT564" s="465"/>
      <c r="AU564" s="465"/>
      <c r="AV564" s="465"/>
      <c r="AW564" s="465"/>
      <c r="AX564" s="465"/>
      <c r="AY564" s="465"/>
      <c r="AZ564" s="465"/>
      <c r="BA564" s="465"/>
      <c r="BB564" s="465"/>
      <c r="BC564" s="465"/>
    </row>
    <row r="565" spans="1:55">
      <c r="A565" s="465"/>
      <c r="B565" s="465"/>
      <c r="C565" s="465"/>
      <c r="D565" s="467"/>
      <c r="E565" s="465"/>
      <c r="F565" s="465"/>
      <c r="G565" s="465"/>
      <c r="H565" s="465"/>
      <c r="I565" s="465"/>
      <c r="J565" s="465"/>
      <c r="K565" s="465"/>
      <c r="L565" s="465"/>
      <c r="M565" s="465"/>
      <c r="N565" s="465"/>
      <c r="O565" s="465"/>
      <c r="P565" s="465"/>
      <c r="Q565" s="465"/>
      <c r="R565" s="465"/>
      <c r="S565" s="465"/>
      <c r="T565" s="465"/>
      <c r="U565" s="465"/>
      <c r="V565" s="465"/>
      <c r="W565" s="465"/>
      <c r="X565" s="465"/>
      <c r="Y565" s="465"/>
      <c r="Z565" s="465"/>
      <c r="AA565" s="465"/>
      <c r="AB565" s="465"/>
      <c r="AC565" s="465"/>
      <c r="AD565" s="465"/>
      <c r="AE565" s="465"/>
      <c r="AF565" s="465"/>
      <c r="AG565" s="465"/>
      <c r="AH565" s="465"/>
      <c r="AI565" s="465"/>
      <c r="AJ565" s="465"/>
      <c r="AK565" s="465"/>
      <c r="AL565" s="465"/>
      <c r="AM565" s="465"/>
      <c r="AN565" s="465"/>
      <c r="AO565" s="465"/>
      <c r="AP565" s="465"/>
      <c r="AQ565" s="465"/>
      <c r="AR565" s="465"/>
      <c r="AS565" s="465"/>
      <c r="AT565" s="465"/>
      <c r="AU565" s="465"/>
      <c r="AV565" s="465"/>
      <c r="AW565" s="465"/>
      <c r="AX565" s="465"/>
      <c r="AY565" s="465"/>
      <c r="AZ565" s="465"/>
      <c r="BA565" s="465"/>
      <c r="BB565" s="465"/>
      <c r="BC565" s="465"/>
    </row>
    <row r="566" spans="1:55">
      <c r="A566" s="465"/>
      <c r="B566" s="465"/>
      <c r="C566" s="465"/>
      <c r="D566" s="467"/>
      <c r="E566" s="465"/>
      <c r="F566" s="465"/>
      <c r="G566" s="465"/>
      <c r="H566" s="465"/>
      <c r="I566" s="465"/>
      <c r="J566" s="465"/>
      <c r="K566" s="465"/>
      <c r="L566" s="465"/>
      <c r="M566" s="465"/>
      <c r="N566" s="465"/>
      <c r="O566" s="465"/>
      <c r="P566" s="465"/>
      <c r="Q566" s="465"/>
      <c r="R566" s="465"/>
      <c r="S566" s="465"/>
      <c r="T566" s="465"/>
      <c r="U566" s="465"/>
      <c r="V566" s="465"/>
      <c r="W566" s="465"/>
      <c r="X566" s="465"/>
      <c r="Y566" s="465"/>
      <c r="Z566" s="465"/>
      <c r="AA566" s="465"/>
      <c r="AB566" s="465"/>
      <c r="AC566" s="465"/>
      <c r="AD566" s="465"/>
      <c r="AE566" s="465"/>
      <c r="AF566" s="465"/>
      <c r="AG566" s="465"/>
      <c r="AH566" s="465"/>
      <c r="AI566" s="465"/>
      <c r="AJ566" s="465"/>
      <c r="AK566" s="465"/>
      <c r="AL566" s="465"/>
      <c r="AM566" s="465"/>
      <c r="AN566" s="465"/>
      <c r="AO566" s="465"/>
      <c r="AP566" s="465"/>
      <c r="AQ566" s="465"/>
      <c r="AR566" s="465"/>
      <c r="AS566" s="465"/>
      <c r="AT566" s="465"/>
      <c r="AU566" s="465"/>
      <c r="AV566" s="465"/>
      <c r="AW566" s="465"/>
      <c r="AX566" s="465"/>
      <c r="AY566" s="465"/>
      <c r="AZ566" s="465"/>
      <c r="BA566" s="465"/>
      <c r="BB566" s="465"/>
      <c r="BC566" s="465"/>
    </row>
    <row r="567" spans="1:55">
      <c r="A567" s="465"/>
      <c r="B567" s="465"/>
      <c r="C567" s="465"/>
      <c r="D567" s="467"/>
      <c r="E567" s="465"/>
      <c r="F567" s="465"/>
      <c r="G567" s="465"/>
      <c r="H567" s="465"/>
      <c r="I567" s="465"/>
      <c r="J567" s="465"/>
      <c r="K567" s="465"/>
      <c r="L567" s="465"/>
      <c r="M567" s="465"/>
      <c r="N567" s="465"/>
      <c r="O567" s="465"/>
      <c r="P567" s="465"/>
      <c r="Q567" s="465"/>
      <c r="R567" s="465"/>
      <c r="S567" s="465"/>
      <c r="T567" s="465"/>
      <c r="U567" s="465"/>
      <c r="V567" s="465"/>
      <c r="W567" s="465"/>
      <c r="X567" s="465"/>
      <c r="Y567" s="465"/>
      <c r="Z567" s="465"/>
      <c r="AA567" s="465"/>
      <c r="AB567" s="465"/>
      <c r="AC567" s="465"/>
      <c r="AD567" s="465"/>
      <c r="AE567" s="465"/>
      <c r="AF567" s="465"/>
      <c r="AG567" s="465"/>
      <c r="AH567" s="465"/>
      <c r="AI567" s="465"/>
      <c r="AJ567" s="465"/>
      <c r="AK567" s="465"/>
      <c r="AL567" s="465"/>
      <c r="AM567" s="465"/>
      <c r="AN567" s="465"/>
      <c r="AO567" s="465"/>
      <c r="AP567" s="465"/>
      <c r="AQ567" s="465"/>
      <c r="AR567" s="465"/>
      <c r="AS567" s="465"/>
      <c r="AT567" s="465"/>
      <c r="AU567" s="465"/>
      <c r="AV567" s="465"/>
      <c r="AW567" s="465"/>
      <c r="AX567" s="465"/>
      <c r="AY567" s="465"/>
      <c r="AZ567" s="465"/>
      <c r="BA567" s="465"/>
      <c r="BB567" s="465"/>
      <c r="BC567" s="465"/>
    </row>
    <row r="568" spans="1:55">
      <c r="A568" s="465"/>
      <c r="B568" s="465"/>
      <c r="C568" s="465"/>
      <c r="D568" s="467"/>
      <c r="E568" s="465"/>
      <c r="F568" s="465"/>
      <c r="G568" s="465"/>
      <c r="H568" s="465"/>
      <c r="I568" s="465"/>
      <c r="J568" s="465"/>
      <c r="K568" s="465"/>
      <c r="L568" s="465"/>
      <c r="M568" s="465"/>
      <c r="N568" s="465"/>
      <c r="O568" s="465"/>
      <c r="P568" s="465"/>
      <c r="Q568" s="465"/>
      <c r="R568" s="465"/>
      <c r="S568" s="465"/>
      <c r="T568" s="465"/>
      <c r="U568" s="465"/>
      <c r="V568" s="465"/>
      <c r="W568" s="465"/>
      <c r="X568" s="465"/>
      <c r="Y568" s="465"/>
      <c r="Z568" s="465"/>
      <c r="AA568" s="465"/>
      <c r="AB568" s="465"/>
      <c r="AC568" s="465"/>
      <c r="AD568" s="465"/>
      <c r="AE568" s="465"/>
      <c r="AF568" s="465"/>
      <c r="AG568" s="465"/>
      <c r="AH568" s="465"/>
      <c r="AI568" s="465"/>
      <c r="AJ568" s="465"/>
      <c r="AK568" s="465"/>
      <c r="AL568" s="465"/>
      <c r="AM568" s="465"/>
      <c r="AN568" s="465"/>
      <c r="AO568" s="465"/>
      <c r="AP568" s="465"/>
      <c r="AQ568" s="465"/>
      <c r="AR568" s="465"/>
      <c r="AS568" s="465"/>
      <c r="AT568" s="465"/>
      <c r="AU568" s="465"/>
      <c r="AV568" s="465"/>
      <c r="AW568" s="465"/>
      <c r="AX568" s="465"/>
      <c r="AY568" s="465"/>
      <c r="AZ568" s="465"/>
      <c r="BA568" s="465"/>
      <c r="BB568" s="465"/>
      <c r="BC568" s="465"/>
    </row>
    <row r="569" spans="1:55">
      <c r="A569" s="465"/>
      <c r="B569" s="465"/>
      <c r="C569" s="465"/>
      <c r="D569" s="467"/>
      <c r="E569" s="465"/>
      <c r="F569" s="465"/>
      <c r="G569" s="465"/>
      <c r="H569" s="465"/>
      <c r="I569" s="465"/>
      <c r="J569" s="465"/>
      <c r="K569" s="465"/>
      <c r="L569" s="465"/>
      <c r="M569" s="465"/>
      <c r="N569" s="465"/>
      <c r="O569" s="465"/>
      <c r="P569" s="465"/>
      <c r="Q569" s="465"/>
      <c r="R569" s="465"/>
      <c r="S569" s="465"/>
      <c r="T569" s="465"/>
      <c r="U569" s="465"/>
      <c r="V569" s="465"/>
      <c r="W569" s="465"/>
      <c r="X569" s="465"/>
      <c r="Y569" s="465"/>
      <c r="Z569" s="465"/>
      <c r="AA569" s="465"/>
      <c r="AB569" s="465"/>
      <c r="AC569" s="465"/>
      <c r="AD569" s="465"/>
      <c r="AE569" s="465"/>
      <c r="AF569" s="465"/>
      <c r="AG569" s="465"/>
      <c r="AH569" s="465"/>
      <c r="AI569" s="465"/>
      <c r="AJ569" s="465"/>
      <c r="AK569" s="465"/>
      <c r="AL569" s="465"/>
      <c r="AM569" s="465"/>
      <c r="AN569" s="465"/>
      <c r="AO569" s="465"/>
      <c r="AP569" s="465"/>
      <c r="AQ569" s="465"/>
      <c r="AR569" s="465"/>
      <c r="AS569" s="465"/>
      <c r="AT569" s="465"/>
      <c r="AU569" s="465"/>
      <c r="AV569" s="465"/>
      <c r="AW569" s="465"/>
      <c r="AX569" s="465"/>
      <c r="AY569" s="465"/>
      <c r="AZ569" s="465"/>
      <c r="BA569" s="465"/>
      <c r="BB569" s="465"/>
      <c r="BC569" s="465"/>
    </row>
    <row r="570" spans="1:55">
      <c r="A570" s="465"/>
      <c r="B570" s="465"/>
      <c r="C570" s="465"/>
      <c r="D570" s="467"/>
      <c r="E570" s="465"/>
      <c r="F570" s="465"/>
      <c r="G570" s="465"/>
      <c r="H570" s="465"/>
      <c r="I570" s="465"/>
      <c r="J570" s="465"/>
      <c r="K570" s="465"/>
      <c r="L570" s="465"/>
      <c r="M570" s="465"/>
      <c r="N570" s="465"/>
      <c r="O570" s="465"/>
      <c r="P570" s="465"/>
      <c r="Q570" s="465"/>
      <c r="R570" s="465"/>
      <c r="S570" s="465"/>
      <c r="T570" s="465"/>
      <c r="U570" s="465"/>
      <c r="V570" s="465"/>
      <c r="W570" s="465"/>
      <c r="X570" s="465"/>
      <c r="Y570" s="465"/>
      <c r="Z570" s="465"/>
      <c r="AA570" s="465"/>
      <c r="AB570" s="465"/>
      <c r="AC570" s="465"/>
      <c r="AD570" s="465"/>
      <c r="AE570" s="465"/>
      <c r="AF570" s="465"/>
      <c r="AG570" s="465"/>
      <c r="AH570" s="465"/>
      <c r="AI570" s="465"/>
      <c r="AJ570" s="465"/>
      <c r="AK570" s="465"/>
      <c r="AL570" s="465"/>
      <c r="AM570" s="465"/>
      <c r="AN570" s="465"/>
      <c r="AO570" s="465"/>
      <c r="AP570" s="465"/>
      <c r="AQ570" s="465"/>
      <c r="AR570" s="465"/>
      <c r="AS570" s="465"/>
      <c r="AT570" s="465"/>
      <c r="AU570" s="465"/>
      <c r="AV570" s="465"/>
      <c r="AW570" s="465"/>
      <c r="AX570" s="465"/>
      <c r="AY570" s="465"/>
      <c r="AZ570" s="465"/>
      <c r="BA570" s="465"/>
      <c r="BB570" s="465"/>
      <c r="BC570" s="465"/>
    </row>
    <row r="571" spans="1:55">
      <c r="A571" s="465"/>
      <c r="B571" s="465"/>
      <c r="C571" s="465"/>
      <c r="D571" s="467"/>
      <c r="E571" s="465"/>
      <c r="F571" s="465"/>
      <c r="G571" s="465"/>
      <c r="H571" s="465"/>
      <c r="I571" s="465"/>
      <c r="J571" s="465"/>
      <c r="K571" s="465"/>
      <c r="L571" s="465"/>
      <c r="M571" s="465"/>
      <c r="N571" s="465"/>
      <c r="O571" s="465"/>
      <c r="P571" s="465"/>
      <c r="Q571" s="465"/>
      <c r="R571" s="465"/>
      <c r="S571" s="465"/>
      <c r="T571" s="465"/>
      <c r="U571" s="465"/>
      <c r="V571" s="465"/>
      <c r="W571" s="465"/>
      <c r="X571" s="465"/>
      <c r="Y571" s="465"/>
      <c r="Z571" s="465"/>
      <c r="AA571" s="465"/>
      <c r="AB571" s="465"/>
      <c r="AC571" s="465"/>
      <c r="AD571" s="465"/>
      <c r="AE571" s="465"/>
      <c r="AF571" s="465"/>
      <c r="AG571" s="465"/>
      <c r="AH571" s="465"/>
      <c r="AI571" s="465"/>
      <c r="AJ571" s="465"/>
      <c r="AK571" s="465"/>
      <c r="AL571" s="465"/>
      <c r="AM571" s="465"/>
      <c r="AN571" s="465"/>
      <c r="AO571" s="465"/>
      <c r="AP571" s="465"/>
      <c r="AQ571" s="465"/>
      <c r="AR571" s="465"/>
      <c r="AS571" s="465"/>
      <c r="AT571" s="465"/>
      <c r="AU571" s="465"/>
      <c r="AV571" s="465"/>
      <c r="AW571" s="465"/>
      <c r="AX571" s="465"/>
      <c r="AY571" s="465"/>
      <c r="AZ571" s="465"/>
      <c r="BA571" s="465"/>
      <c r="BB571" s="465"/>
      <c r="BC571" s="465"/>
    </row>
    <row r="572" spans="1:55">
      <c r="A572" s="465"/>
      <c r="B572" s="465"/>
      <c r="C572" s="465"/>
      <c r="D572" s="467"/>
      <c r="E572" s="465"/>
      <c r="F572" s="465"/>
      <c r="G572" s="465"/>
      <c r="H572" s="465"/>
      <c r="I572" s="465"/>
      <c r="J572" s="465"/>
      <c r="K572" s="465"/>
      <c r="L572" s="465"/>
      <c r="M572" s="465"/>
      <c r="N572" s="465"/>
      <c r="O572" s="465"/>
      <c r="P572" s="465"/>
      <c r="Q572" s="465"/>
      <c r="R572" s="465"/>
      <c r="S572" s="465"/>
      <c r="T572" s="465"/>
      <c r="U572" s="465"/>
      <c r="V572" s="465"/>
      <c r="W572" s="465"/>
      <c r="X572" s="465"/>
      <c r="Y572" s="465"/>
      <c r="Z572" s="465"/>
      <c r="AA572" s="465"/>
      <c r="AB572" s="465"/>
      <c r="AC572" s="465"/>
      <c r="AD572" s="465"/>
      <c r="AE572" s="465"/>
      <c r="AF572" s="465"/>
      <c r="AG572" s="465"/>
      <c r="AH572" s="465"/>
      <c r="AI572" s="465"/>
      <c r="AJ572" s="465"/>
      <c r="AK572" s="465"/>
      <c r="AL572" s="465"/>
      <c r="AM572" s="465"/>
      <c r="AN572" s="465"/>
      <c r="AO572" s="465"/>
      <c r="AP572" s="465"/>
      <c r="AQ572" s="465"/>
      <c r="AR572" s="465"/>
      <c r="AS572" s="465"/>
      <c r="AT572" s="465"/>
      <c r="AU572" s="465"/>
      <c r="AV572" s="465"/>
      <c r="AW572" s="465"/>
      <c r="AX572" s="465"/>
      <c r="AY572" s="465"/>
      <c r="AZ572" s="465"/>
      <c r="BA572" s="465"/>
      <c r="BB572" s="465"/>
      <c r="BC572" s="465"/>
    </row>
    <row r="573" spans="1:55">
      <c r="A573" s="465"/>
      <c r="B573" s="465"/>
      <c r="C573" s="465"/>
      <c r="D573" s="467"/>
      <c r="E573" s="465"/>
      <c r="F573" s="465"/>
      <c r="G573" s="465"/>
      <c r="H573" s="465"/>
      <c r="I573" s="465"/>
      <c r="J573" s="465"/>
      <c r="K573" s="465"/>
      <c r="L573" s="465"/>
      <c r="M573" s="465"/>
      <c r="N573" s="465"/>
      <c r="O573" s="465"/>
      <c r="P573" s="465"/>
      <c r="Q573" s="465"/>
      <c r="R573" s="465"/>
      <c r="S573" s="465"/>
      <c r="T573" s="465"/>
      <c r="U573" s="465"/>
      <c r="V573" s="465"/>
      <c r="W573" s="465"/>
      <c r="X573" s="465"/>
      <c r="Y573" s="465"/>
      <c r="Z573" s="465"/>
      <c r="AA573" s="465"/>
      <c r="AB573" s="465"/>
      <c r="AC573" s="465"/>
      <c r="AD573" s="465"/>
      <c r="AE573" s="465"/>
      <c r="AF573" s="465"/>
      <c r="AG573" s="465"/>
      <c r="AH573" s="465"/>
      <c r="AI573" s="465"/>
      <c r="AJ573" s="465"/>
      <c r="AK573" s="465"/>
      <c r="AL573" s="465"/>
      <c r="AM573" s="465"/>
      <c r="AN573" s="465"/>
      <c r="AO573" s="465"/>
      <c r="AP573" s="465"/>
      <c r="AQ573" s="465"/>
      <c r="AR573" s="465"/>
      <c r="AS573" s="465"/>
      <c r="AT573" s="465"/>
      <c r="AU573" s="465"/>
      <c r="AV573" s="465"/>
      <c r="AW573" s="465"/>
      <c r="AX573" s="465"/>
      <c r="AY573" s="465"/>
      <c r="AZ573" s="465"/>
      <c r="BA573" s="465"/>
      <c r="BB573" s="465"/>
      <c r="BC573" s="465"/>
    </row>
    <row r="574" spans="1:55">
      <c r="A574" s="465"/>
      <c r="B574" s="465"/>
      <c r="C574" s="465"/>
      <c r="D574" s="467"/>
      <c r="E574" s="465"/>
      <c r="F574" s="465"/>
      <c r="G574" s="465"/>
      <c r="H574" s="465"/>
      <c r="I574" s="465"/>
      <c r="J574" s="465"/>
      <c r="K574" s="465"/>
      <c r="L574" s="465"/>
      <c r="M574" s="465"/>
      <c r="N574" s="465"/>
      <c r="O574" s="465"/>
      <c r="P574" s="465"/>
      <c r="Q574" s="465"/>
      <c r="R574" s="465"/>
      <c r="S574" s="465"/>
      <c r="T574" s="465"/>
      <c r="U574" s="465"/>
      <c r="V574" s="465"/>
      <c r="W574" s="465"/>
      <c r="X574" s="465"/>
      <c r="Y574" s="465"/>
      <c r="Z574" s="465"/>
      <c r="AA574" s="465"/>
      <c r="AB574" s="465"/>
      <c r="AC574" s="465"/>
      <c r="AD574" s="465"/>
      <c r="AE574" s="465"/>
      <c r="AF574" s="465"/>
      <c r="AG574" s="465"/>
      <c r="AH574" s="465"/>
      <c r="AI574" s="465"/>
      <c r="AJ574" s="465"/>
      <c r="AK574" s="465"/>
      <c r="AL574" s="465"/>
      <c r="AM574" s="465"/>
      <c r="AN574" s="465"/>
      <c r="AO574" s="465"/>
      <c r="AP574" s="465"/>
      <c r="AQ574" s="465"/>
      <c r="AR574" s="465"/>
      <c r="AS574" s="465"/>
      <c r="AT574" s="465"/>
      <c r="AU574" s="465"/>
      <c r="AV574" s="465"/>
      <c r="AW574" s="465"/>
      <c r="AX574" s="465"/>
      <c r="AY574" s="465"/>
      <c r="AZ574" s="465"/>
      <c r="BA574" s="465"/>
      <c r="BB574" s="465"/>
      <c r="BC574" s="465"/>
    </row>
    <row r="575" spans="1:55">
      <c r="A575" s="465"/>
      <c r="B575" s="465"/>
      <c r="C575" s="465"/>
      <c r="D575" s="467"/>
      <c r="E575" s="465"/>
      <c r="F575" s="465"/>
      <c r="G575" s="465"/>
      <c r="H575" s="465"/>
      <c r="I575" s="465"/>
      <c r="J575" s="465"/>
      <c r="K575" s="465"/>
      <c r="L575" s="465"/>
      <c r="M575" s="465"/>
      <c r="N575" s="465"/>
      <c r="O575" s="465"/>
      <c r="P575" s="465"/>
      <c r="Q575" s="465"/>
      <c r="R575" s="465"/>
      <c r="S575" s="465"/>
      <c r="T575" s="465"/>
      <c r="U575" s="465"/>
      <c r="V575" s="465"/>
      <c r="W575" s="465"/>
      <c r="X575" s="465"/>
      <c r="Y575" s="465"/>
      <c r="Z575" s="465"/>
      <c r="AA575" s="465"/>
      <c r="AB575" s="465"/>
      <c r="AC575" s="465"/>
      <c r="AD575" s="465"/>
      <c r="AE575" s="465"/>
      <c r="AF575" s="465"/>
      <c r="AG575" s="465"/>
      <c r="AH575" s="465"/>
      <c r="AI575" s="465"/>
      <c r="AJ575" s="465"/>
      <c r="AK575" s="465"/>
      <c r="AL575" s="465"/>
      <c r="AM575" s="465"/>
      <c r="AN575" s="465"/>
      <c r="AO575" s="465"/>
      <c r="AP575" s="465"/>
      <c r="AQ575" s="465"/>
      <c r="AR575" s="465"/>
      <c r="AS575" s="465"/>
      <c r="AT575" s="465"/>
      <c r="AU575" s="465"/>
      <c r="AV575" s="465"/>
      <c r="AW575" s="465"/>
      <c r="AX575" s="465"/>
      <c r="AY575" s="465"/>
      <c r="AZ575" s="465"/>
      <c r="BA575" s="465"/>
      <c r="BB575" s="465"/>
      <c r="BC575" s="465"/>
    </row>
    <row r="576" spans="1:55">
      <c r="A576" s="465"/>
      <c r="B576" s="465"/>
      <c r="C576" s="465"/>
      <c r="D576" s="467"/>
      <c r="E576" s="465"/>
      <c r="F576" s="465"/>
      <c r="G576" s="465"/>
      <c r="H576" s="465"/>
      <c r="I576" s="465"/>
      <c r="J576" s="465"/>
      <c r="K576" s="465"/>
      <c r="L576" s="465"/>
      <c r="M576" s="465"/>
      <c r="N576" s="465"/>
      <c r="O576" s="465"/>
      <c r="P576" s="465"/>
      <c r="Q576" s="465"/>
      <c r="R576" s="465"/>
      <c r="S576" s="465"/>
      <c r="T576" s="465"/>
      <c r="U576" s="465"/>
      <c r="V576" s="465"/>
      <c r="W576" s="465"/>
      <c r="X576" s="465"/>
      <c r="Y576" s="465"/>
      <c r="Z576" s="465"/>
      <c r="AA576" s="465"/>
      <c r="AB576" s="465"/>
      <c r="AC576" s="465"/>
      <c r="AD576" s="465"/>
      <c r="AE576" s="465"/>
      <c r="AF576" s="465"/>
      <c r="AG576" s="465"/>
      <c r="AH576" s="465"/>
      <c r="AI576" s="465"/>
      <c r="AJ576" s="465"/>
      <c r="AK576" s="465"/>
      <c r="AL576" s="465"/>
      <c r="AM576" s="465"/>
      <c r="AN576" s="465"/>
      <c r="AO576" s="465"/>
      <c r="AP576" s="465"/>
      <c r="AQ576" s="465"/>
      <c r="AR576" s="465"/>
      <c r="AS576" s="465"/>
      <c r="AT576" s="465"/>
      <c r="AU576" s="465"/>
      <c r="AV576" s="465"/>
      <c r="AW576" s="465"/>
      <c r="AX576" s="465"/>
      <c r="AY576" s="465"/>
      <c r="AZ576" s="465"/>
      <c r="BA576" s="465"/>
      <c r="BB576" s="465"/>
      <c r="BC576" s="465"/>
    </row>
    <row r="577" spans="1:55">
      <c r="A577" s="465"/>
      <c r="B577" s="465"/>
      <c r="C577" s="465"/>
      <c r="D577" s="467"/>
      <c r="E577" s="465"/>
      <c r="F577" s="465"/>
      <c r="G577" s="465"/>
      <c r="H577" s="465"/>
      <c r="I577" s="465"/>
      <c r="J577" s="465"/>
      <c r="K577" s="465"/>
      <c r="L577" s="465"/>
      <c r="M577" s="465"/>
      <c r="N577" s="465"/>
      <c r="O577" s="465"/>
      <c r="P577" s="465"/>
      <c r="Q577" s="465"/>
      <c r="R577" s="465"/>
      <c r="S577" s="465"/>
      <c r="T577" s="465"/>
      <c r="U577" s="465"/>
      <c r="V577" s="465"/>
      <c r="W577" s="465"/>
      <c r="X577" s="465"/>
      <c r="Y577" s="465"/>
      <c r="Z577" s="465"/>
      <c r="AA577" s="465"/>
      <c r="AB577" s="465"/>
      <c r="AC577" s="465"/>
      <c r="AD577" s="465"/>
      <c r="AE577" s="465"/>
      <c r="AF577" s="465"/>
      <c r="AG577" s="465"/>
      <c r="AH577" s="465"/>
      <c r="AI577" s="465"/>
      <c r="AJ577" s="465"/>
      <c r="AK577" s="465"/>
      <c r="AL577" s="465"/>
      <c r="AM577" s="465"/>
      <c r="AN577" s="465"/>
      <c r="AO577" s="465"/>
      <c r="AP577" s="465"/>
      <c r="AQ577" s="465"/>
      <c r="AR577" s="465"/>
      <c r="AS577" s="465"/>
      <c r="AT577" s="465"/>
      <c r="AU577" s="465"/>
      <c r="AV577" s="465"/>
      <c r="AW577" s="465"/>
      <c r="AX577" s="465"/>
      <c r="AY577" s="465"/>
      <c r="AZ577" s="465"/>
      <c r="BA577" s="465"/>
      <c r="BB577" s="465"/>
      <c r="BC577" s="465"/>
    </row>
    <row r="578" spans="1:55">
      <c r="A578" s="465"/>
      <c r="B578" s="465"/>
      <c r="C578" s="465"/>
      <c r="D578" s="467"/>
      <c r="E578" s="465"/>
      <c r="F578" s="465"/>
      <c r="G578" s="465"/>
      <c r="H578" s="465"/>
      <c r="I578" s="465"/>
      <c r="J578" s="465"/>
      <c r="K578" s="465"/>
      <c r="L578" s="465"/>
      <c r="M578" s="465"/>
      <c r="N578" s="465"/>
      <c r="O578" s="465"/>
      <c r="P578" s="465"/>
      <c r="Q578" s="465"/>
      <c r="R578" s="465"/>
      <c r="S578" s="465"/>
      <c r="T578" s="465"/>
      <c r="U578" s="465"/>
      <c r="V578" s="465"/>
      <c r="W578" s="465"/>
      <c r="X578" s="465"/>
      <c r="Y578" s="465"/>
      <c r="Z578" s="465"/>
      <c r="AA578" s="465"/>
      <c r="AB578" s="465"/>
      <c r="AC578" s="465"/>
      <c r="AD578" s="465"/>
      <c r="AE578" s="465"/>
      <c r="AF578" s="465"/>
      <c r="AG578" s="465"/>
      <c r="AH578" s="465"/>
      <c r="AI578" s="465"/>
      <c r="AJ578" s="465"/>
      <c r="AK578" s="465"/>
      <c r="AL578" s="465"/>
      <c r="AM578" s="465"/>
      <c r="AN578" s="465"/>
      <c r="AO578" s="465"/>
      <c r="AP578" s="465"/>
      <c r="AQ578" s="465"/>
      <c r="AR578" s="465"/>
      <c r="AS578" s="465"/>
      <c r="AT578" s="465"/>
      <c r="AU578" s="465"/>
      <c r="AV578" s="465"/>
      <c r="AW578" s="465"/>
      <c r="AX578" s="465"/>
      <c r="AY578" s="465"/>
      <c r="AZ578" s="465"/>
      <c r="BA578" s="465"/>
      <c r="BB578" s="465"/>
      <c r="BC578" s="465"/>
    </row>
    <row r="579" spans="1:55">
      <c r="A579" s="465"/>
      <c r="B579" s="465"/>
      <c r="C579" s="465"/>
      <c r="D579" s="467"/>
      <c r="E579" s="465"/>
      <c r="F579" s="465"/>
      <c r="G579" s="465"/>
      <c r="H579" s="465"/>
      <c r="I579" s="465"/>
      <c r="J579" s="465"/>
      <c r="K579" s="465"/>
      <c r="L579" s="465"/>
      <c r="M579" s="465"/>
      <c r="N579" s="465"/>
      <c r="O579" s="465"/>
      <c r="P579" s="465"/>
      <c r="Q579" s="465"/>
      <c r="R579" s="465"/>
      <c r="S579" s="465"/>
      <c r="T579" s="465"/>
      <c r="U579" s="465"/>
      <c r="V579" s="465"/>
      <c r="W579" s="465"/>
      <c r="X579" s="465"/>
      <c r="Y579" s="465"/>
      <c r="Z579" s="465"/>
      <c r="AA579" s="465"/>
      <c r="AB579" s="465"/>
      <c r="AC579" s="465"/>
      <c r="AD579" s="465"/>
      <c r="AE579" s="465"/>
      <c r="AF579" s="465"/>
      <c r="AG579" s="465"/>
      <c r="AH579" s="465"/>
      <c r="AI579" s="465"/>
      <c r="AJ579" s="465"/>
      <c r="AK579" s="465"/>
      <c r="AL579" s="465"/>
      <c r="AM579" s="465"/>
      <c r="AN579" s="465"/>
      <c r="AO579" s="465"/>
      <c r="AP579" s="465"/>
      <c r="AQ579" s="465"/>
      <c r="AR579" s="465"/>
      <c r="AS579" s="465"/>
      <c r="AT579" s="465"/>
      <c r="AU579" s="465"/>
      <c r="AV579" s="465"/>
      <c r="AW579" s="465"/>
      <c r="AX579" s="465"/>
      <c r="AY579" s="465"/>
      <c r="AZ579" s="465"/>
      <c r="BA579" s="465"/>
      <c r="BB579" s="465"/>
      <c r="BC579" s="465"/>
    </row>
    <row r="580" spans="1:55">
      <c r="A580" s="465"/>
      <c r="B580" s="465"/>
      <c r="C580" s="465"/>
      <c r="D580" s="467"/>
      <c r="E580" s="465"/>
      <c r="F580" s="465"/>
      <c r="G580" s="465"/>
      <c r="H580" s="465"/>
      <c r="I580" s="465"/>
      <c r="J580" s="465"/>
      <c r="K580" s="465"/>
      <c r="L580" s="465"/>
      <c r="M580" s="465"/>
      <c r="N580" s="465"/>
      <c r="O580" s="465"/>
      <c r="P580" s="465"/>
      <c r="Q580" s="465"/>
      <c r="R580" s="465"/>
      <c r="S580" s="465"/>
      <c r="T580" s="465"/>
      <c r="U580" s="465"/>
      <c r="V580" s="465"/>
      <c r="W580" s="465"/>
      <c r="X580" s="465"/>
      <c r="Y580" s="465"/>
      <c r="Z580" s="465"/>
      <c r="AA580" s="465"/>
      <c r="AB580" s="465"/>
      <c r="AC580" s="465"/>
      <c r="AD580" s="465"/>
      <c r="AE580" s="465"/>
      <c r="AF580" s="465"/>
      <c r="AG580" s="465"/>
      <c r="AH580" s="465"/>
      <c r="AI580" s="465"/>
      <c r="AJ580" s="465"/>
      <c r="AK580" s="465"/>
      <c r="AL580" s="465"/>
      <c r="AM580" s="465"/>
      <c r="AN580" s="465"/>
      <c r="AO580" s="465"/>
      <c r="AP580" s="465"/>
      <c r="AQ580" s="465"/>
      <c r="AR580" s="465"/>
      <c r="AS580" s="465"/>
      <c r="AT580" s="465"/>
      <c r="AU580" s="465"/>
      <c r="AV580" s="465"/>
      <c r="AW580" s="465"/>
      <c r="AX580" s="465"/>
      <c r="AY580" s="465"/>
      <c r="AZ580" s="465"/>
      <c r="BA580" s="465"/>
      <c r="BB580" s="465"/>
      <c r="BC580" s="465"/>
    </row>
    <row r="581" spans="1:55">
      <c r="A581" s="465"/>
      <c r="B581" s="465"/>
      <c r="C581" s="465"/>
      <c r="D581" s="467"/>
      <c r="E581" s="465"/>
      <c r="F581" s="465"/>
      <c r="G581" s="465"/>
      <c r="H581" s="465"/>
      <c r="I581" s="465"/>
      <c r="J581" s="465"/>
      <c r="K581" s="465"/>
      <c r="L581" s="465"/>
      <c r="M581" s="465"/>
      <c r="N581" s="465"/>
      <c r="O581" s="465"/>
      <c r="P581" s="465"/>
      <c r="Q581" s="465"/>
      <c r="R581" s="465"/>
      <c r="S581" s="465"/>
      <c r="T581" s="465"/>
      <c r="U581" s="465"/>
      <c r="V581" s="465"/>
      <c r="W581" s="465"/>
      <c r="X581" s="465"/>
      <c r="Y581" s="465"/>
      <c r="Z581" s="465"/>
      <c r="AA581" s="465"/>
      <c r="AB581" s="465"/>
      <c r="AC581" s="465"/>
      <c r="AD581" s="465"/>
      <c r="AE581" s="465"/>
      <c r="AF581" s="465"/>
      <c r="AG581" s="465"/>
      <c r="AH581" s="465"/>
      <c r="AI581" s="465"/>
      <c r="AJ581" s="465"/>
      <c r="AK581" s="465"/>
      <c r="AL581" s="465"/>
      <c r="AM581" s="465"/>
      <c r="AN581" s="465"/>
      <c r="AO581" s="465"/>
      <c r="AP581" s="465"/>
      <c r="AQ581" s="465"/>
      <c r="AR581" s="465"/>
      <c r="AS581" s="465"/>
      <c r="AT581" s="465"/>
      <c r="AU581" s="465"/>
      <c r="AV581" s="465"/>
      <c r="AW581" s="465"/>
      <c r="AX581" s="465"/>
      <c r="AY581" s="465"/>
      <c r="AZ581" s="465"/>
      <c r="BA581" s="465"/>
      <c r="BB581" s="465"/>
      <c r="BC581" s="465"/>
    </row>
    <row r="582" spans="1:55">
      <c r="A582" s="465"/>
      <c r="B582" s="465"/>
      <c r="C582" s="465"/>
      <c r="D582" s="467"/>
      <c r="E582" s="465"/>
      <c r="F582" s="465"/>
      <c r="G582" s="465"/>
      <c r="H582" s="465"/>
      <c r="I582" s="465"/>
      <c r="J582" s="465"/>
      <c r="K582" s="465"/>
      <c r="L582" s="465"/>
      <c r="M582" s="465"/>
      <c r="N582" s="465"/>
      <c r="O582" s="465"/>
      <c r="P582" s="465"/>
      <c r="Q582" s="465"/>
      <c r="R582" s="465"/>
      <c r="S582" s="465"/>
      <c r="T582" s="465"/>
      <c r="U582" s="465"/>
      <c r="V582" s="465"/>
      <c r="W582" s="465"/>
      <c r="X582" s="465"/>
      <c r="Y582" s="465"/>
      <c r="Z582" s="465"/>
      <c r="AA582" s="465"/>
      <c r="AB582" s="465"/>
      <c r="AC582" s="465"/>
      <c r="AD582" s="465"/>
      <c r="AE582" s="465"/>
      <c r="AF582" s="465"/>
      <c r="AG582" s="465"/>
      <c r="AH582" s="465"/>
      <c r="AI582" s="465"/>
      <c r="AJ582" s="465"/>
      <c r="AK582" s="465"/>
      <c r="AL582" s="465"/>
      <c r="AM582" s="465"/>
      <c r="AN582" s="465"/>
      <c r="AO582" s="465"/>
      <c r="AP582" s="465"/>
      <c r="AQ582" s="465"/>
      <c r="AR582" s="465"/>
      <c r="AS582" s="465"/>
      <c r="AT582" s="465"/>
      <c r="AU582" s="465"/>
      <c r="AV582" s="465"/>
      <c r="AW582" s="465"/>
      <c r="AX582" s="465"/>
      <c r="AY582" s="465"/>
      <c r="AZ582" s="465"/>
      <c r="BA582" s="465"/>
      <c r="BB582" s="465"/>
      <c r="BC582" s="465"/>
    </row>
    <row r="583" spans="1:55">
      <c r="A583" s="465"/>
      <c r="B583" s="465"/>
      <c r="C583" s="465"/>
      <c r="D583" s="467"/>
      <c r="E583" s="465"/>
      <c r="F583" s="465"/>
      <c r="G583" s="465"/>
      <c r="H583" s="465"/>
      <c r="I583" s="465"/>
      <c r="J583" s="465"/>
      <c r="K583" s="465"/>
      <c r="L583" s="465"/>
      <c r="M583" s="465"/>
      <c r="N583" s="465"/>
      <c r="O583" s="465"/>
      <c r="P583" s="465"/>
      <c r="Q583" s="465"/>
      <c r="R583" s="465"/>
      <c r="S583" s="465"/>
      <c r="T583" s="465"/>
      <c r="U583" s="465"/>
      <c r="V583" s="465"/>
      <c r="W583" s="465"/>
      <c r="X583" s="465"/>
      <c r="Y583" s="465"/>
      <c r="Z583" s="465"/>
      <c r="AA583" s="465"/>
      <c r="AB583" s="465"/>
      <c r="AC583" s="465"/>
      <c r="AD583" s="465"/>
      <c r="AE583" s="465"/>
      <c r="AF583" s="465"/>
      <c r="AG583" s="465"/>
      <c r="AH583" s="465"/>
      <c r="AI583" s="465"/>
      <c r="AJ583" s="465"/>
      <c r="AK583" s="465"/>
      <c r="AL583" s="465"/>
      <c r="AM583" s="465"/>
      <c r="AN583" s="465"/>
      <c r="AO583" s="465"/>
      <c r="AP583" s="465"/>
      <c r="AQ583" s="465"/>
      <c r="AR583" s="465"/>
      <c r="AS583" s="465"/>
      <c r="AT583" s="465"/>
      <c r="AU583" s="465"/>
      <c r="AV583" s="465"/>
      <c r="AW583" s="465"/>
      <c r="AX583" s="465"/>
      <c r="AY583" s="465"/>
      <c r="AZ583" s="465"/>
      <c r="BA583" s="465"/>
      <c r="BB583" s="465"/>
      <c r="BC583" s="465"/>
    </row>
    <row r="584" spans="1:55">
      <c r="A584" s="465"/>
      <c r="B584" s="465"/>
      <c r="C584" s="465"/>
      <c r="D584" s="467"/>
      <c r="E584" s="465"/>
      <c r="F584" s="465"/>
      <c r="G584" s="465"/>
      <c r="H584" s="465"/>
      <c r="I584" s="465"/>
      <c r="J584" s="465"/>
      <c r="K584" s="465"/>
      <c r="L584" s="465"/>
      <c r="M584" s="465"/>
      <c r="N584" s="465"/>
      <c r="O584" s="465"/>
      <c r="P584" s="465"/>
      <c r="Q584" s="465"/>
      <c r="R584" s="465"/>
      <c r="S584" s="465"/>
      <c r="T584" s="465"/>
      <c r="U584" s="465"/>
      <c r="V584" s="465"/>
      <c r="W584" s="465"/>
      <c r="X584" s="465"/>
      <c r="Y584" s="465"/>
      <c r="Z584" s="465"/>
      <c r="AA584" s="465"/>
      <c r="AB584" s="465"/>
      <c r="AC584" s="465"/>
      <c r="AD584" s="465"/>
      <c r="AE584" s="465"/>
      <c r="AF584" s="465"/>
      <c r="AG584" s="465"/>
      <c r="AH584" s="465"/>
      <c r="AI584" s="465"/>
      <c r="AJ584" s="465"/>
      <c r="AK584" s="465"/>
      <c r="AL584" s="465"/>
      <c r="AM584" s="465"/>
      <c r="AN584" s="465"/>
      <c r="AO584" s="465"/>
      <c r="AP584" s="465"/>
      <c r="AQ584" s="465"/>
      <c r="AR584" s="465"/>
      <c r="AS584" s="465"/>
      <c r="AT584" s="465"/>
      <c r="AU584" s="465"/>
      <c r="AV584" s="465"/>
      <c r="AW584" s="465"/>
      <c r="AX584" s="465"/>
      <c r="AY584" s="465"/>
      <c r="AZ584" s="465"/>
      <c r="BA584" s="465"/>
      <c r="BB584" s="465"/>
      <c r="BC584" s="465"/>
    </row>
    <row r="585" spans="1:55">
      <c r="A585" s="465"/>
      <c r="B585" s="465"/>
      <c r="C585" s="465"/>
      <c r="D585" s="467"/>
      <c r="E585" s="465"/>
      <c r="F585" s="465"/>
      <c r="G585" s="465"/>
      <c r="H585" s="465"/>
      <c r="I585" s="465"/>
      <c r="J585" s="465"/>
      <c r="K585" s="465"/>
      <c r="L585" s="465"/>
      <c r="M585" s="465"/>
      <c r="N585" s="465"/>
      <c r="O585" s="465"/>
      <c r="P585" s="465"/>
      <c r="Q585" s="465"/>
      <c r="R585" s="465"/>
      <c r="S585" s="465"/>
      <c r="T585" s="465"/>
      <c r="U585" s="465"/>
      <c r="V585" s="465"/>
      <c r="W585" s="465"/>
      <c r="X585" s="465"/>
      <c r="Y585" s="465"/>
      <c r="Z585" s="465"/>
      <c r="AA585" s="465"/>
      <c r="AB585" s="465"/>
      <c r="AC585" s="465"/>
      <c r="AD585" s="465"/>
      <c r="AE585" s="465"/>
      <c r="AF585" s="465"/>
      <c r="AG585" s="465"/>
      <c r="AH585" s="465"/>
      <c r="AI585" s="465"/>
      <c r="AJ585" s="465"/>
      <c r="AK585" s="465"/>
      <c r="AL585" s="465"/>
      <c r="AM585" s="465"/>
      <c r="AN585" s="465"/>
      <c r="AO585" s="465"/>
      <c r="AP585" s="465"/>
      <c r="AQ585" s="465"/>
      <c r="AR585" s="465"/>
      <c r="AS585" s="465"/>
      <c r="AT585" s="465"/>
      <c r="AU585" s="465"/>
      <c r="AV585" s="465"/>
      <c r="AW585" s="465"/>
      <c r="AX585" s="465"/>
      <c r="AY585" s="465"/>
      <c r="AZ585" s="465"/>
      <c r="BA585" s="465"/>
      <c r="BB585" s="465"/>
      <c r="BC585" s="465"/>
    </row>
    <row r="586" spans="1:55">
      <c r="A586" s="465"/>
      <c r="B586" s="465"/>
      <c r="C586" s="465"/>
      <c r="D586" s="467"/>
      <c r="E586" s="465"/>
      <c r="F586" s="465"/>
      <c r="G586" s="465"/>
      <c r="H586" s="465"/>
      <c r="I586" s="465"/>
      <c r="J586" s="465"/>
      <c r="K586" s="465"/>
      <c r="L586" s="465"/>
      <c r="M586" s="465"/>
      <c r="N586" s="465"/>
      <c r="O586" s="465"/>
      <c r="P586" s="465"/>
      <c r="Q586" s="465"/>
      <c r="R586" s="465"/>
      <c r="S586" s="465"/>
      <c r="T586" s="465"/>
      <c r="U586" s="465"/>
      <c r="V586" s="465"/>
      <c r="W586" s="465"/>
      <c r="X586" s="465"/>
      <c r="Y586" s="465"/>
      <c r="Z586" s="465"/>
      <c r="AA586" s="465"/>
      <c r="AB586" s="465"/>
      <c r="AC586" s="465"/>
      <c r="AD586" s="465"/>
      <c r="AE586" s="465"/>
      <c r="AF586" s="465"/>
      <c r="AG586" s="465"/>
      <c r="AH586" s="465"/>
      <c r="AI586" s="465"/>
      <c r="AJ586" s="465"/>
      <c r="AK586" s="465"/>
      <c r="AL586" s="465"/>
      <c r="AM586" s="465"/>
      <c r="AN586" s="465"/>
      <c r="AO586" s="465"/>
      <c r="AP586" s="465"/>
      <c r="AQ586" s="465"/>
      <c r="AR586" s="465"/>
      <c r="AS586" s="465"/>
      <c r="AT586" s="465"/>
      <c r="AU586" s="465"/>
      <c r="AV586" s="465"/>
      <c r="AW586" s="465"/>
      <c r="AX586" s="465"/>
      <c r="AY586" s="465"/>
      <c r="AZ586" s="465"/>
      <c r="BA586" s="465"/>
      <c r="BB586" s="465"/>
      <c r="BC586" s="465"/>
    </row>
    <row r="587" spans="1:55">
      <c r="A587" s="465"/>
      <c r="B587" s="465"/>
      <c r="C587" s="465"/>
      <c r="D587" s="467"/>
      <c r="E587" s="465"/>
      <c r="F587" s="465"/>
      <c r="G587" s="465"/>
      <c r="H587" s="465"/>
      <c r="I587" s="465"/>
      <c r="J587" s="465"/>
      <c r="K587" s="465"/>
      <c r="L587" s="465"/>
      <c r="M587" s="465"/>
      <c r="N587" s="465"/>
      <c r="O587" s="465"/>
      <c r="P587" s="465"/>
      <c r="Q587" s="465"/>
      <c r="R587" s="465"/>
      <c r="S587" s="465"/>
      <c r="T587" s="465"/>
      <c r="U587" s="465"/>
      <c r="V587" s="465"/>
      <c r="W587" s="465"/>
      <c r="X587" s="465"/>
      <c r="Y587" s="465"/>
      <c r="Z587" s="465"/>
      <c r="AA587" s="465"/>
      <c r="AB587" s="465"/>
      <c r="AC587" s="465"/>
      <c r="AD587" s="465"/>
      <c r="AE587" s="465"/>
      <c r="AF587" s="465"/>
      <c r="AG587" s="465"/>
      <c r="AH587" s="465"/>
      <c r="AI587" s="465"/>
      <c r="AJ587" s="465"/>
      <c r="AK587" s="465"/>
      <c r="AL587" s="465"/>
      <c r="AM587" s="465"/>
      <c r="AN587" s="465"/>
      <c r="AO587" s="465"/>
      <c r="AP587" s="465"/>
      <c r="AQ587" s="465"/>
      <c r="AR587" s="465"/>
      <c r="AS587" s="465"/>
      <c r="AT587" s="465"/>
      <c r="AU587" s="465"/>
      <c r="AV587" s="465"/>
      <c r="AW587" s="465"/>
      <c r="AX587" s="465"/>
      <c r="AY587" s="465"/>
      <c r="AZ587" s="465"/>
      <c r="BA587" s="465"/>
      <c r="BB587" s="465"/>
      <c r="BC587" s="465"/>
    </row>
    <row r="588" spans="1:55">
      <c r="A588" s="465"/>
      <c r="B588" s="465"/>
      <c r="C588" s="465"/>
      <c r="D588" s="467"/>
      <c r="E588" s="465"/>
      <c r="F588" s="465"/>
      <c r="G588" s="465"/>
      <c r="H588" s="465"/>
      <c r="I588" s="465"/>
      <c r="J588" s="465"/>
      <c r="K588" s="465"/>
      <c r="L588" s="465"/>
      <c r="M588" s="465"/>
      <c r="N588" s="465"/>
      <c r="O588" s="465"/>
      <c r="P588" s="465"/>
      <c r="Q588" s="465"/>
      <c r="R588" s="465"/>
      <c r="S588" s="465"/>
      <c r="T588" s="465"/>
      <c r="U588" s="465"/>
      <c r="V588" s="465"/>
      <c r="W588" s="465"/>
      <c r="X588" s="465"/>
      <c r="Y588" s="465"/>
      <c r="Z588" s="465"/>
      <c r="AA588" s="465"/>
      <c r="AB588" s="465"/>
      <c r="AC588" s="465"/>
      <c r="AD588" s="465"/>
      <c r="AE588" s="465"/>
      <c r="AF588" s="465"/>
      <c r="AG588" s="465"/>
      <c r="AH588" s="465"/>
      <c r="AI588" s="465"/>
      <c r="AJ588" s="465"/>
      <c r="AK588" s="465"/>
      <c r="AL588" s="465"/>
      <c r="AM588" s="465"/>
      <c r="AN588" s="465"/>
      <c r="AO588" s="465"/>
      <c r="AP588" s="465"/>
      <c r="AQ588" s="465"/>
      <c r="AR588" s="465"/>
      <c r="AS588" s="465"/>
      <c r="AT588" s="465"/>
      <c r="AU588" s="465"/>
      <c r="AV588" s="465"/>
      <c r="AW588" s="465"/>
      <c r="AX588" s="465"/>
      <c r="AY588" s="465"/>
      <c r="AZ588" s="465"/>
      <c r="BA588" s="465"/>
      <c r="BB588" s="465"/>
      <c r="BC588" s="465"/>
    </row>
    <row r="589" spans="1:55">
      <c r="A589" s="465"/>
      <c r="B589" s="465"/>
      <c r="C589" s="465"/>
      <c r="D589" s="467"/>
      <c r="E589" s="465"/>
      <c r="F589" s="465"/>
      <c r="G589" s="465"/>
      <c r="H589" s="465"/>
      <c r="I589" s="465"/>
      <c r="J589" s="465"/>
      <c r="K589" s="465"/>
      <c r="L589" s="465"/>
      <c r="M589" s="465"/>
      <c r="N589" s="465"/>
      <c r="O589" s="465"/>
      <c r="P589" s="465"/>
      <c r="Q589" s="465"/>
      <c r="R589" s="465"/>
      <c r="S589" s="465"/>
      <c r="T589" s="465"/>
      <c r="U589" s="465"/>
      <c r="V589" s="465"/>
      <c r="W589" s="465"/>
      <c r="X589" s="465"/>
      <c r="Y589" s="465"/>
      <c r="Z589" s="465"/>
      <c r="AA589" s="465"/>
      <c r="AB589" s="465"/>
      <c r="AC589" s="465"/>
      <c r="AD589" s="465"/>
      <c r="AE589" s="465"/>
      <c r="AF589" s="465"/>
      <c r="AG589" s="465"/>
      <c r="AH589" s="465"/>
      <c r="AI589" s="465"/>
      <c r="AJ589" s="465"/>
      <c r="AK589" s="465"/>
      <c r="AL589" s="465"/>
      <c r="AM589" s="465"/>
      <c r="AN589" s="465"/>
      <c r="AO589" s="465"/>
      <c r="AP589" s="465"/>
      <c r="AQ589" s="465"/>
      <c r="AR589" s="465"/>
      <c r="AS589" s="465"/>
      <c r="AT589" s="465"/>
      <c r="AU589" s="465"/>
      <c r="AV589" s="465"/>
      <c r="AW589" s="465"/>
      <c r="AX589" s="465"/>
      <c r="AY589" s="465"/>
      <c r="AZ589" s="465"/>
      <c r="BA589" s="465"/>
      <c r="BB589" s="465"/>
      <c r="BC589" s="465"/>
    </row>
    <row r="590" spans="1:55">
      <c r="A590" s="465"/>
      <c r="B590" s="465"/>
      <c r="C590" s="465"/>
      <c r="D590" s="467"/>
      <c r="E590" s="465"/>
      <c r="F590" s="465"/>
      <c r="G590" s="465"/>
      <c r="H590" s="465"/>
      <c r="I590" s="465"/>
      <c r="J590" s="465"/>
      <c r="K590" s="465"/>
      <c r="L590" s="465"/>
      <c r="M590" s="465"/>
      <c r="N590" s="465"/>
      <c r="O590" s="465"/>
      <c r="P590" s="465"/>
      <c r="Q590" s="465"/>
      <c r="R590" s="465"/>
      <c r="S590" s="465"/>
      <c r="T590" s="465"/>
      <c r="U590" s="465"/>
      <c r="V590" s="465"/>
      <c r="W590" s="465"/>
      <c r="X590" s="465"/>
      <c r="Y590" s="465"/>
      <c r="Z590" s="465"/>
      <c r="AA590" s="465"/>
      <c r="AB590" s="465"/>
      <c r="AC590" s="465"/>
      <c r="AD590" s="465"/>
      <c r="AE590" s="465"/>
      <c r="AF590" s="465"/>
      <c r="AG590" s="465"/>
      <c r="AH590" s="465"/>
      <c r="AI590" s="465"/>
      <c r="AJ590" s="465"/>
      <c r="AK590" s="465"/>
      <c r="AL590" s="465"/>
      <c r="AM590" s="465"/>
      <c r="AN590" s="465"/>
      <c r="AO590" s="465"/>
      <c r="AP590" s="465"/>
      <c r="AQ590" s="465"/>
      <c r="AR590" s="465"/>
      <c r="AS590" s="465"/>
      <c r="AT590" s="465"/>
      <c r="AU590" s="465"/>
      <c r="AV590" s="465"/>
      <c r="AW590" s="465"/>
      <c r="AX590" s="465"/>
      <c r="AY590" s="465"/>
      <c r="AZ590" s="465"/>
      <c r="BA590" s="465"/>
      <c r="BB590" s="465"/>
      <c r="BC590" s="465"/>
    </row>
    <row r="591" spans="1:55">
      <c r="A591" s="465"/>
      <c r="B591" s="465"/>
      <c r="C591" s="465"/>
      <c r="D591" s="467"/>
      <c r="E591" s="465"/>
      <c r="F591" s="465"/>
      <c r="G591" s="465"/>
      <c r="H591" s="465"/>
      <c r="I591" s="465"/>
      <c r="J591" s="465"/>
      <c r="K591" s="465"/>
      <c r="L591" s="465"/>
      <c r="M591" s="465"/>
      <c r="N591" s="465"/>
      <c r="O591" s="465"/>
      <c r="P591" s="465"/>
      <c r="Q591" s="465"/>
      <c r="R591" s="465"/>
      <c r="S591" s="465"/>
      <c r="T591" s="465"/>
      <c r="U591" s="465"/>
      <c r="V591" s="465"/>
      <c r="W591" s="465"/>
      <c r="X591" s="465"/>
      <c r="Y591" s="465"/>
      <c r="Z591" s="465"/>
      <c r="AA591" s="465"/>
      <c r="AB591" s="465"/>
      <c r="AC591" s="465"/>
      <c r="AD591" s="465"/>
      <c r="AE591" s="465"/>
      <c r="AF591" s="465"/>
      <c r="AG591" s="465"/>
      <c r="AH591" s="465"/>
      <c r="AI591" s="465"/>
      <c r="AJ591" s="465"/>
      <c r="AK591" s="465"/>
      <c r="AL591" s="465"/>
      <c r="AM591" s="465"/>
      <c r="AN591" s="465"/>
      <c r="AO591" s="465"/>
      <c r="AP591" s="465"/>
      <c r="AQ591" s="465"/>
      <c r="AR591" s="465"/>
      <c r="AS591" s="465"/>
      <c r="AT591" s="465"/>
      <c r="AU591" s="465"/>
      <c r="AV591" s="465"/>
      <c r="AW591" s="465"/>
      <c r="AX591" s="465"/>
      <c r="AY591" s="465"/>
      <c r="AZ591" s="465"/>
      <c r="BA591" s="465"/>
      <c r="BB591" s="465"/>
      <c r="BC591" s="465"/>
    </row>
    <row r="592" spans="1:55">
      <c r="A592" s="465"/>
      <c r="B592" s="465"/>
      <c r="C592" s="465"/>
      <c r="D592" s="467"/>
      <c r="E592" s="465"/>
      <c r="F592" s="465"/>
      <c r="G592" s="465"/>
      <c r="H592" s="465"/>
      <c r="I592" s="465"/>
      <c r="J592" s="465"/>
      <c r="K592" s="465"/>
      <c r="L592" s="465"/>
      <c r="M592" s="465"/>
      <c r="N592" s="465"/>
      <c r="O592" s="465"/>
      <c r="P592" s="465"/>
      <c r="Q592" s="465"/>
      <c r="R592" s="465"/>
      <c r="S592" s="465"/>
      <c r="T592" s="465"/>
      <c r="U592" s="465"/>
      <c r="V592" s="465"/>
      <c r="W592" s="465"/>
      <c r="X592" s="465"/>
      <c r="Y592" s="465"/>
      <c r="Z592" s="465"/>
      <c r="AA592" s="465"/>
      <c r="AB592" s="465"/>
      <c r="AC592" s="465"/>
      <c r="AD592" s="465"/>
      <c r="AE592" s="465"/>
      <c r="AF592" s="465"/>
      <c r="AG592" s="465"/>
      <c r="AH592" s="465"/>
      <c r="AI592" s="465"/>
      <c r="AJ592" s="465"/>
      <c r="AK592" s="465"/>
      <c r="AL592" s="465"/>
      <c r="AM592" s="465"/>
      <c r="AN592" s="465"/>
      <c r="AO592" s="465"/>
      <c r="AP592" s="465"/>
      <c r="AQ592" s="465"/>
      <c r="AR592" s="465"/>
      <c r="AS592" s="465"/>
      <c r="AT592" s="465"/>
      <c r="AU592" s="465"/>
      <c r="AV592" s="465"/>
      <c r="AW592" s="465"/>
      <c r="AX592" s="465"/>
      <c r="AY592" s="465"/>
      <c r="AZ592" s="465"/>
      <c r="BA592" s="465"/>
      <c r="BB592" s="465"/>
      <c r="BC592" s="465"/>
    </row>
    <row r="593" spans="1:55">
      <c r="A593" s="465"/>
      <c r="B593" s="465"/>
      <c r="C593" s="465"/>
      <c r="D593" s="467"/>
      <c r="E593" s="465"/>
      <c r="F593" s="465"/>
      <c r="G593" s="465"/>
      <c r="H593" s="465"/>
      <c r="I593" s="465"/>
      <c r="J593" s="465"/>
      <c r="K593" s="465"/>
      <c r="L593" s="465"/>
      <c r="M593" s="465"/>
      <c r="N593" s="465"/>
      <c r="O593" s="465"/>
      <c r="P593" s="465"/>
      <c r="Q593" s="465"/>
      <c r="R593" s="465"/>
      <c r="S593" s="465"/>
      <c r="T593" s="465"/>
      <c r="U593" s="465"/>
      <c r="V593" s="465"/>
      <c r="W593" s="465"/>
      <c r="X593" s="465"/>
      <c r="Y593" s="465"/>
      <c r="Z593" s="465"/>
      <c r="AA593" s="465"/>
      <c r="AB593" s="465"/>
      <c r="AC593" s="465"/>
      <c r="AD593" s="465"/>
      <c r="AE593" s="465"/>
      <c r="AF593" s="465"/>
      <c r="AG593" s="465"/>
      <c r="AH593" s="465"/>
      <c r="AI593" s="465"/>
      <c r="AJ593" s="465"/>
      <c r="AK593" s="465"/>
      <c r="AL593" s="465"/>
      <c r="AM593" s="465"/>
      <c r="AN593" s="465"/>
      <c r="AO593" s="465"/>
      <c r="AP593" s="465"/>
      <c r="AQ593" s="465"/>
      <c r="AR593" s="465"/>
      <c r="AS593" s="465"/>
      <c r="AT593" s="465"/>
      <c r="AU593" s="465"/>
      <c r="AV593" s="465"/>
      <c r="AW593" s="465"/>
      <c r="AX593" s="465"/>
      <c r="AY593" s="465"/>
      <c r="AZ593" s="465"/>
      <c r="BA593" s="465"/>
      <c r="BB593" s="465"/>
      <c r="BC593" s="465"/>
    </row>
    <row r="594" spans="1:55">
      <c r="A594" s="465"/>
      <c r="B594" s="465"/>
      <c r="C594" s="465"/>
      <c r="D594" s="467"/>
      <c r="E594" s="465"/>
      <c r="F594" s="465"/>
      <c r="G594" s="465"/>
      <c r="H594" s="465"/>
      <c r="I594" s="465"/>
      <c r="J594" s="465"/>
      <c r="K594" s="465"/>
      <c r="L594" s="465"/>
      <c r="M594" s="465"/>
      <c r="N594" s="465"/>
      <c r="O594" s="465"/>
      <c r="P594" s="465"/>
      <c r="Q594" s="465"/>
      <c r="R594" s="465"/>
      <c r="S594" s="465"/>
      <c r="T594" s="465"/>
      <c r="U594" s="465"/>
      <c r="V594" s="465"/>
      <c r="W594" s="465"/>
      <c r="X594" s="465"/>
      <c r="Y594" s="465"/>
      <c r="Z594" s="465"/>
      <c r="AA594" s="465"/>
      <c r="AB594" s="465"/>
      <c r="AC594" s="465"/>
      <c r="AD594" s="465"/>
      <c r="AE594" s="465"/>
      <c r="AF594" s="465"/>
      <c r="AG594" s="465"/>
      <c r="AH594" s="465"/>
      <c r="AI594" s="465"/>
      <c r="AJ594" s="465"/>
      <c r="AK594" s="465"/>
      <c r="AL594" s="465"/>
      <c r="AM594" s="465"/>
      <c r="AN594" s="465"/>
      <c r="AO594" s="465"/>
      <c r="AP594" s="465"/>
      <c r="AQ594" s="465"/>
      <c r="AR594" s="465"/>
      <c r="AS594" s="465"/>
      <c r="AT594" s="465"/>
      <c r="AU594" s="465"/>
      <c r="AV594" s="465"/>
      <c r="AW594" s="465"/>
      <c r="AX594" s="465"/>
      <c r="AY594" s="465"/>
      <c r="AZ594" s="465"/>
      <c r="BA594" s="465"/>
      <c r="BB594" s="465"/>
      <c r="BC594" s="465"/>
    </row>
    <row r="595" spans="1:55">
      <c r="A595" s="465"/>
      <c r="B595" s="465"/>
      <c r="C595" s="465"/>
      <c r="D595" s="467"/>
      <c r="E595" s="465"/>
      <c r="F595" s="465"/>
      <c r="G595" s="465"/>
      <c r="H595" s="465"/>
      <c r="I595" s="465"/>
      <c r="J595" s="465"/>
      <c r="K595" s="465"/>
      <c r="L595" s="465"/>
      <c r="M595" s="465"/>
      <c r="N595" s="465"/>
      <c r="O595" s="465"/>
      <c r="P595" s="465"/>
      <c r="Q595" s="465"/>
      <c r="R595" s="465"/>
      <c r="S595" s="465"/>
      <c r="T595" s="465"/>
      <c r="U595" s="465"/>
      <c r="V595" s="465"/>
      <c r="W595" s="465"/>
      <c r="X595" s="465"/>
      <c r="Y595" s="465"/>
      <c r="Z595" s="465"/>
      <c r="AA595" s="465"/>
      <c r="AB595" s="465"/>
      <c r="AC595" s="465"/>
      <c r="AD595" s="465"/>
      <c r="AE595" s="465"/>
      <c r="AF595" s="465"/>
      <c r="AG595" s="465"/>
      <c r="AH595" s="465"/>
      <c r="AI595" s="465"/>
      <c r="AJ595" s="465"/>
      <c r="AK595" s="465"/>
      <c r="AL595" s="465"/>
      <c r="AM595" s="465"/>
      <c r="AN595" s="465"/>
      <c r="AO595" s="465"/>
      <c r="AP595" s="465"/>
      <c r="AQ595" s="465"/>
      <c r="AR595" s="465"/>
      <c r="AS595" s="465"/>
      <c r="AT595" s="465"/>
      <c r="AU595" s="465"/>
      <c r="AV595" s="465"/>
      <c r="AW595" s="465"/>
      <c r="AX595" s="465"/>
      <c r="AY595" s="465"/>
      <c r="AZ595" s="465"/>
      <c r="BA595" s="465"/>
      <c r="BB595" s="465"/>
      <c r="BC595" s="465"/>
    </row>
    <row r="596" spans="1:55">
      <c r="A596" s="465"/>
      <c r="B596" s="465"/>
      <c r="C596" s="465"/>
      <c r="D596" s="467"/>
      <c r="E596" s="465"/>
      <c r="F596" s="465"/>
      <c r="G596" s="465"/>
      <c r="H596" s="465"/>
      <c r="I596" s="465"/>
      <c r="J596" s="465"/>
      <c r="K596" s="465"/>
      <c r="L596" s="465"/>
      <c r="M596" s="465"/>
      <c r="N596" s="465"/>
      <c r="O596" s="465"/>
      <c r="P596" s="465"/>
      <c r="Q596" s="465"/>
      <c r="R596" s="465"/>
      <c r="S596" s="465"/>
      <c r="T596" s="465"/>
      <c r="U596" s="465"/>
      <c r="V596" s="465"/>
      <c r="W596" s="465"/>
      <c r="X596" s="465"/>
      <c r="Y596" s="465"/>
      <c r="Z596" s="465"/>
      <c r="AA596" s="465"/>
      <c r="AB596" s="465"/>
      <c r="AC596" s="465"/>
      <c r="AD596" s="465"/>
      <c r="AE596" s="465"/>
      <c r="AF596" s="465"/>
      <c r="AG596" s="465"/>
      <c r="AH596" s="465"/>
      <c r="AI596" s="465"/>
      <c r="AJ596" s="465"/>
      <c r="AK596" s="465"/>
      <c r="AL596" s="465"/>
      <c r="AM596" s="465"/>
      <c r="AN596" s="465"/>
      <c r="AO596" s="465"/>
      <c r="AP596" s="465"/>
      <c r="AQ596" s="465"/>
      <c r="AR596" s="465"/>
      <c r="AS596" s="465"/>
      <c r="AT596" s="465"/>
      <c r="AU596" s="465"/>
      <c r="AV596" s="465"/>
      <c r="AW596" s="465"/>
      <c r="AX596" s="465"/>
      <c r="AY596" s="465"/>
      <c r="AZ596" s="465"/>
      <c r="BA596" s="465"/>
      <c r="BB596" s="465"/>
      <c r="BC596" s="465"/>
    </row>
    <row r="597" spans="1:55">
      <c r="A597" s="465"/>
      <c r="B597" s="465"/>
      <c r="C597" s="465"/>
      <c r="D597" s="467"/>
      <c r="E597" s="465"/>
      <c r="F597" s="465"/>
      <c r="G597" s="465"/>
      <c r="H597" s="465"/>
      <c r="I597" s="465"/>
      <c r="J597" s="465"/>
      <c r="K597" s="465"/>
      <c r="L597" s="465"/>
      <c r="M597" s="465"/>
      <c r="N597" s="465"/>
      <c r="O597" s="465"/>
      <c r="P597" s="465"/>
      <c r="Q597" s="465"/>
      <c r="R597" s="465"/>
      <c r="S597" s="465"/>
      <c r="T597" s="465"/>
      <c r="U597" s="465"/>
      <c r="V597" s="465"/>
      <c r="W597" s="465"/>
      <c r="X597" s="465"/>
      <c r="Y597" s="465"/>
      <c r="Z597" s="465"/>
      <c r="AA597" s="465"/>
      <c r="AB597" s="465"/>
      <c r="AC597" s="465"/>
      <c r="AD597" s="465"/>
      <c r="AE597" s="465"/>
      <c r="AF597" s="465"/>
      <c r="AG597" s="465"/>
      <c r="AH597" s="465"/>
      <c r="AI597" s="465"/>
      <c r="AJ597" s="465"/>
      <c r="AK597" s="465"/>
      <c r="AL597" s="465"/>
      <c r="AM597" s="465"/>
      <c r="AN597" s="465"/>
      <c r="AO597" s="465"/>
      <c r="AP597" s="465"/>
      <c r="AQ597" s="465"/>
      <c r="AR597" s="465"/>
      <c r="AS597" s="465"/>
      <c r="AT597" s="465"/>
      <c r="AU597" s="465"/>
      <c r="AV597" s="465"/>
      <c r="AW597" s="465"/>
      <c r="AX597" s="465"/>
      <c r="AY597" s="465"/>
      <c r="AZ597" s="465"/>
      <c r="BA597" s="465"/>
      <c r="BB597" s="465"/>
      <c r="BC597" s="465"/>
    </row>
    <row r="598" spans="1:55">
      <c r="A598" s="465"/>
      <c r="B598" s="465"/>
      <c r="C598" s="465"/>
      <c r="D598" s="467"/>
      <c r="E598" s="465"/>
      <c r="F598" s="465"/>
      <c r="G598" s="465"/>
      <c r="H598" s="465"/>
      <c r="I598" s="465"/>
      <c r="J598" s="465"/>
      <c r="K598" s="465"/>
      <c r="L598" s="465"/>
      <c r="M598" s="465"/>
      <c r="N598" s="465"/>
      <c r="O598" s="465"/>
      <c r="P598" s="465"/>
      <c r="Q598" s="465"/>
      <c r="R598" s="465"/>
      <c r="S598" s="465"/>
      <c r="T598" s="465"/>
      <c r="U598" s="465"/>
      <c r="V598" s="465"/>
      <c r="W598" s="465"/>
      <c r="X598" s="465"/>
      <c r="Y598" s="465"/>
      <c r="Z598" s="465"/>
      <c r="AA598" s="465"/>
      <c r="AB598" s="465"/>
      <c r="AC598" s="465"/>
      <c r="AD598" s="465"/>
      <c r="AE598" s="465"/>
      <c r="AF598" s="465"/>
      <c r="AG598" s="465"/>
      <c r="AH598" s="465"/>
      <c r="AI598" s="465"/>
      <c r="AJ598" s="465"/>
      <c r="AK598" s="465"/>
      <c r="AL598" s="465"/>
      <c r="AM598" s="465"/>
      <c r="AN598" s="465"/>
      <c r="AO598" s="465"/>
      <c r="AP598" s="465"/>
      <c r="AQ598" s="465"/>
      <c r="AR598" s="465"/>
      <c r="AS598" s="465"/>
      <c r="AT598" s="465"/>
      <c r="AU598" s="465"/>
      <c r="AV598" s="465"/>
      <c r="AW598" s="465"/>
      <c r="AX598" s="465"/>
      <c r="AY598" s="465"/>
      <c r="AZ598" s="465"/>
      <c r="BA598" s="465"/>
      <c r="BB598" s="465"/>
      <c r="BC598" s="465"/>
    </row>
    <row r="599" spans="1:55">
      <c r="A599" s="465"/>
      <c r="B599" s="465"/>
      <c r="C599" s="465"/>
      <c r="D599" s="467"/>
      <c r="E599" s="465"/>
      <c r="F599" s="465"/>
      <c r="G599" s="465"/>
      <c r="H599" s="465"/>
      <c r="I599" s="465"/>
      <c r="J599" s="465"/>
      <c r="K599" s="465"/>
      <c r="L599" s="465"/>
      <c r="M599" s="465"/>
      <c r="N599" s="465"/>
      <c r="O599" s="465"/>
      <c r="P599" s="465"/>
      <c r="Q599" s="465"/>
      <c r="R599" s="465"/>
      <c r="S599" s="465"/>
      <c r="T599" s="465"/>
      <c r="U599" s="465"/>
      <c r="V599" s="465"/>
      <c r="W599" s="465"/>
      <c r="X599" s="465"/>
      <c r="Y599" s="465"/>
      <c r="Z599" s="465"/>
      <c r="AA599" s="465"/>
      <c r="AB599" s="465"/>
      <c r="AC599" s="465"/>
      <c r="AD599" s="465"/>
      <c r="AE599" s="465"/>
      <c r="AF599" s="465"/>
      <c r="AG599" s="465"/>
      <c r="AH599" s="465"/>
      <c r="AI599" s="465"/>
      <c r="AJ599" s="465"/>
      <c r="AK599" s="465"/>
      <c r="AL599" s="465"/>
      <c r="AM599" s="465"/>
      <c r="AN599" s="465"/>
      <c r="AO599" s="465"/>
      <c r="AP599" s="465"/>
      <c r="AQ599" s="465"/>
      <c r="AR599" s="465"/>
      <c r="AS599" s="465"/>
      <c r="AT599" s="465"/>
      <c r="AU599" s="465"/>
      <c r="AV599" s="465"/>
      <c r="AW599" s="465"/>
      <c r="AX599" s="465"/>
      <c r="AY599" s="465"/>
      <c r="AZ599" s="465"/>
      <c r="BA599" s="465"/>
      <c r="BB599" s="465"/>
      <c r="BC599" s="465"/>
    </row>
    <row r="600" spans="1:55">
      <c r="A600" s="465"/>
      <c r="B600" s="465"/>
      <c r="C600" s="465"/>
      <c r="D600" s="467"/>
      <c r="E600" s="465"/>
      <c r="F600" s="465"/>
      <c r="G600" s="465"/>
      <c r="H600" s="465"/>
      <c r="I600" s="465"/>
      <c r="J600" s="465"/>
      <c r="K600" s="465"/>
      <c r="L600" s="465"/>
      <c r="M600" s="465"/>
      <c r="N600" s="465"/>
      <c r="O600" s="465"/>
      <c r="P600" s="465"/>
      <c r="Q600" s="465"/>
      <c r="R600" s="465"/>
      <c r="S600" s="465"/>
      <c r="T600" s="465"/>
      <c r="U600" s="465"/>
      <c r="V600" s="465"/>
      <c r="W600" s="465"/>
      <c r="X600" s="465"/>
      <c r="Y600" s="465"/>
      <c r="Z600" s="465"/>
      <c r="AA600" s="465"/>
      <c r="AB600" s="465"/>
      <c r="AC600" s="465"/>
      <c r="AD600" s="465"/>
      <c r="AE600" s="465"/>
      <c r="AF600" s="465"/>
      <c r="AG600" s="465"/>
      <c r="AH600" s="465"/>
      <c r="AI600" s="465"/>
      <c r="AJ600" s="465"/>
      <c r="AK600" s="465"/>
      <c r="AL600" s="465"/>
      <c r="AM600" s="465"/>
      <c r="AN600" s="465"/>
      <c r="AO600" s="465"/>
      <c r="AP600" s="465"/>
      <c r="AQ600" s="465"/>
      <c r="AR600" s="465"/>
      <c r="AS600" s="465"/>
      <c r="AT600" s="465"/>
      <c r="AU600" s="465"/>
      <c r="AV600" s="465"/>
      <c r="AW600" s="465"/>
      <c r="AX600" s="465"/>
      <c r="AY600" s="465"/>
      <c r="AZ600" s="465"/>
      <c r="BA600" s="465"/>
      <c r="BB600" s="465"/>
      <c r="BC600" s="465"/>
    </row>
    <row r="601" spans="1:55">
      <c r="A601" s="465"/>
      <c r="B601" s="465"/>
      <c r="C601" s="465"/>
      <c r="D601" s="467"/>
      <c r="E601" s="465"/>
      <c r="F601" s="465"/>
      <c r="G601" s="465"/>
      <c r="H601" s="465"/>
      <c r="I601" s="465"/>
      <c r="J601" s="465"/>
      <c r="K601" s="465"/>
      <c r="L601" s="465"/>
      <c r="M601" s="465"/>
      <c r="N601" s="465"/>
      <c r="O601" s="465"/>
      <c r="P601" s="465"/>
      <c r="Q601" s="465"/>
      <c r="R601" s="465"/>
      <c r="S601" s="465"/>
      <c r="T601" s="465"/>
      <c r="U601" s="465"/>
      <c r="V601" s="465"/>
      <c r="W601" s="465"/>
      <c r="X601" s="465"/>
      <c r="Y601" s="465"/>
      <c r="Z601" s="465"/>
      <c r="AA601" s="465"/>
      <c r="AB601" s="465"/>
      <c r="AC601" s="465"/>
      <c r="AD601" s="465"/>
      <c r="AE601" s="465"/>
      <c r="AF601" s="465"/>
      <c r="AG601" s="465"/>
      <c r="AH601" s="465"/>
      <c r="AI601" s="465"/>
      <c r="AJ601" s="465"/>
      <c r="AK601" s="465"/>
      <c r="AL601" s="465"/>
      <c r="AM601" s="465"/>
      <c r="AN601" s="465"/>
      <c r="AO601" s="465"/>
      <c r="AP601" s="465"/>
      <c r="AQ601" s="465"/>
      <c r="AR601" s="465"/>
      <c r="AS601" s="465"/>
      <c r="AT601" s="465"/>
      <c r="AU601" s="465"/>
      <c r="AV601" s="465"/>
      <c r="AW601" s="465"/>
      <c r="AX601" s="465"/>
      <c r="AY601" s="465"/>
      <c r="AZ601" s="465"/>
      <c r="BA601" s="465"/>
      <c r="BB601" s="465"/>
      <c r="BC601" s="465"/>
    </row>
    <row r="602" spans="1:55">
      <c r="A602" s="465"/>
      <c r="B602" s="465"/>
      <c r="C602" s="465"/>
      <c r="D602" s="467"/>
      <c r="E602" s="465"/>
      <c r="F602" s="465"/>
      <c r="G602" s="465"/>
      <c r="H602" s="465"/>
      <c r="I602" s="465"/>
      <c r="J602" s="465"/>
      <c r="K602" s="465"/>
      <c r="L602" s="465"/>
      <c r="M602" s="465"/>
      <c r="N602" s="465"/>
      <c r="O602" s="465"/>
      <c r="P602" s="465"/>
      <c r="Q602" s="465"/>
      <c r="R602" s="465"/>
      <c r="S602" s="465"/>
      <c r="T602" s="465"/>
      <c r="U602" s="465"/>
      <c r="V602" s="465"/>
      <c r="W602" s="465"/>
      <c r="X602" s="465"/>
      <c r="Y602" s="465"/>
      <c r="Z602" s="465"/>
      <c r="AA602" s="465"/>
      <c r="AB602" s="465"/>
      <c r="AC602" s="465"/>
      <c r="AD602" s="465"/>
      <c r="AE602" s="465"/>
      <c r="AF602" s="465"/>
      <c r="AG602" s="465"/>
      <c r="AH602" s="465"/>
      <c r="AI602" s="465"/>
      <c r="AJ602" s="465"/>
      <c r="AK602" s="465"/>
      <c r="AL602" s="465"/>
      <c r="AM602" s="465"/>
      <c r="AN602" s="465"/>
      <c r="AO602" s="465"/>
      <c r="AP602" s="465"/>
      <c r="AQ602" s="465"/>
      <c r="AR602" s="465"/>
      <c r="AS602" s="465"/>
      <c r="AT602" s="465"/>
      <c r="AU602" s="465"/>
      <c r="AV602" s="465"/>
      <c r="AW602" s="465"/>
      <c r="AX602" s="465"/>
      <c r="AY602" s="465"/>
      <c r="AZ602" s="465"/>
      <c r="BA602" s="465"/>
      <c r="BB602" s="465"/>
      <c r="BC602" s="465"/>
    </row>
    <row r="603" spans="1:55">
      <c r="A603" s="465"/>
      <c r="B603" s="465"/>
      <c r="C603" s="465"/>
      <c r="D603" s="467"/>
      <c r="E603" s="465"/>
      <c r="F603" s="465"/>
      <c r="G603" s="465"/>
      <c r="H603" s="465"/>
      <c r="I603" s="465"/>
      <c r="J603" s="465"/>
      <c r="K603" s="465"/>
      <c r="L603" s="465"/>
      <c r="M603" s="465"/>
      <c r="N603" s="465"/>
      <c r="O603" s="465"/>
      <c r="P603" s="465"/>
      <c r="Q603" s="465"/>
      <c r="R603" s="465"/>
      <c r="S603" s="465"/>
      <c r="T603" s="465"/>
      <c r="U603" s="465"/>
      <c r="V603" s="465"/>
      <c r="W603" s="465"/>
      <c r="X603" s="465"/>
      <c r="Y603" s="465"/>
      <c r="Z603" s="465"/>
      <c r="AA603" s="465"/>
      <c r="AB603" s="465"/>
      <c r="AC603" s="465"/>
      <c r="AD603" s="465"/>
      <c r="AE603" s="465"/>
      <c r="AF603" s="465"/>
      <c r="AG603" s="465"/>
      <c r="AH603" s="465"/>
      <c r="AI603" s="465"/>
      <c r="AJ603" s="465"/>
      <c r="AK603" s="465"/>
      <c r="AL603" s="465"/>
      <c r="AM603" s="465"/>
      <c r="AN603" s="465"/>
      <c r="AO603" s="465"/>
      <c r="AP603" s="465"/>
      <c r="AQ603" s="465"/>
      <c r="AR603" s="465"/>
      <c r="AS603" s="465"/>
      <c r="AT603" s="465"/>
      <c r="AU603" s="465"/>
      <c r="AV603" s="465"/>
      <c r="AW603" s="465"/>
      <c r="AX603" s="465"/>
      <c r="AY603" s="465"/>
      <c r="AZ603" s="465"/>
      <c r="BA603" s="465"/>
      <c r="BB603" s="465"/>
      <c r="BC603" s="465"/>
    </row>
    <row r="604" spans="1:55">
      <c r="A604" s="465"/>
      <c r="B604" s="465"/>
      <c r="C604" s="465"/>
      <c r="D604" s="467"/>
      <c r="E604" s="465"/>
      <c r="F604" s="465"/>
      <c r="G604" s="465"/>
      <c r="H604" s="465"/>
      <c r="I604" s="465"/>
      <c r="J604" s="465"/>
      <c r="K604" s="465"/>
      <c r="L604" s="465"/>
      <c r="M604" s="465"/>
      <c r="N604" s="465"/>
      <c r="O604" s="465"/>
      <c r="P604" s="465"/>
      <c r="Q604" s="465"/>
      <c r="R604" s="465"/>
      <c r="S604" s="465"/>
      <c r="T604" s="465"/>
      <c r="U604" s="465"/>
      <c r="V604" s="465"/>
      <c r="W604" s="465"/>
      <c r="X604" s="465"/>
      <c r="Y604" s="465"/>
      <c r="Z604" s="465"/>
      <c r="AA604" s="465"/>
      <c r="AB604" s="465"/>
      <c r="AC604" s="465"/>
      <c r="AD604" s="465"/>
      <c r="AE604" s="465"/>
      <c r="AF604" s="465"/>
      <c r="AG604" s="465"/>
      <c r="AH604" s="465"/>
      <c r="AI604" s="465"/>
      <c r="AJ604" s="465"/>
      <c r="AK604" s="465"/>
      <c r="AL604" s="465"/>
      <c r="AM604" s="465"/>
      <c r="AN604" s="465"/>
      <c r="AO604" s="465"/>
      <c r="AP604" s="465"/>
      <c r="AQ604" s="465"/>
      <c r="AR604" s="465"/>
      <c r="AS604" s="465"/>
      <c r="AT604" s="465"/>
      <c r="AU604" s="465"/>
      <c r="AV604" s="465"/>
      <c r="AW604" s="465"/>
      <c r="AX604" s="465"/>
      <c r="AY604" s="465"/>
      <c r="AZ604" s="465"/>
      <c r="BA604" s="465"/>
      <c r="BB604" s="465"/>
      <c r="BC604" s="465"/>
    </row>
    <row r="605" spans="1:55">
      <c r="A605" s="465"/>
      <c r="B605" s="465"/>
      <c r="C605" s="465"/>
      <c r="D605" s="467"/>
      <c r="E605" s="465"/>
      <c r="F605" s="465"/>
      <c r="G605" s="465"/>
      <c r="H605" s="465"/>
      <c r="I605" s="465"/>
      <c r="J605" s="465"/>
      <c r="K605" s="465"/>
      <c r="L605" s="465"/>
      <c r="M605" s="465"/>
      <c r="N605" s="465"/>
      <c r="O605" s="465"/>
      <c r="P605" s="465"/>
      <c r="Q605" s="465"/>
      <c r="R605" s="465"/>
      <c r="S605" s="465"/>
      <c r="T605" s="465"/>
      <c r="U605" s="465"/>
      <c r="V605" s="465"/>
      <c r="W605" s="465"/>
      <c r="X605" s="465"/>
      <c r="Y605" s="465"/>
      <c r="Z605" s="465"/>
      <c r="AA605" s="465"/>
      <c r="AB605" s="465"/>
      <c r="AC605" s="465"/>
      <c r="AD605" s="465"/>
      <c r="AE605" s="465"/>
      <c r="AF605" s="465"/>
      <c r="AG605" s="465"/>
      <c r="AH605" s="465"/>
      <c r="AI605" s="465"/>
      <c r="AJ605" s="465"/>
      <c r="AK605" s="465"/>
      <c r="AL605" s="465"/>
      <c r="AM605" s="465"/>
      <c r="AN605" s="465"/>
      <c r="AO605" s="465"/>
      <c r="AP605" s="465"/>
      <c r="AQ605" s="465"/>
      <c r="AR605" s="465"/>
      <c r="AS605" s="465"/>
      <c r="AT605" s="465"/>
      <c r="AU605" s="465"/>
      <c r="AV605" s="465"/>
      <c r="AW605" s="465"/>
      <c r="AX605" s="465"/>
      <c r="AY605" s="465"/>
      <c r="AZ605" s="465"/>
      <c r="BA605" s="465"/>
      <c r="BB605" s="465"/>
      <c r="BC605" s="465"/>
    </row>
    <row r="606" spans="1:55">
      <c r="A606" s="465"/>
      <c r="B606" s="465"/>
      <c r="C606" s="465"/>
      <c r="D606" s="467"/>
      <c r="E606" s="465"/>
      <c r="F606" s="465"/>
      <c r="G606" s="465"/>
      <c r="H606" s="465"/>
      <c r="I606" s="465"/>
      <c r="J606" s="465"/>
      <c r="K606" s="465"/>
      <c r="L606" s="465"/>
      <c r="M606" s="465"/>
      <c r="N606" s="465"/>
      <c r="O606" s="465"/>
      <c r="P606" s="465"/>
      <c r="Q606" s="465"/>
      <c r="R606" s="465"/>
      <c r="S606" s="465"/>
      <c r="T606" s="465"/>
      <c r="U606" s="465"/>
      <c r="V606" s="465"/>
      <c r="W606" s="465"/>
      <c r="X606" s="465"/>
      <c r="Y606" s="465"/>
      <c r="Z606" s="465"/>
      <c r="AA606" s="465"/>
      <c r="AB606" s="465"/>
      <c r="AC606" s="465"/>
      <c r="AD606" s="465"/>
      <c r="AE606" s="465"/>
      <c r="AF606" s="465"/>
      <c r="AG606" s="465"/>
      <c r="AH606" s="465"/>
      <c r="AI606" s="465"/>
      <c r="AJ606" s="465"/>
      <c r="AK606" s="465"/>
      <c r="AL606" s="465"/>
      <c r="AM606" s="465"/>
      <c r="AN606" s="465"/>
      <c r="AO606" s="465"/>
      <c r="AP606" s="465"/>
      <c r="AQ606" s="465"/>
      <c r="AR606" s="465"/>
      <c r="AS606" s="465"/>
      <c r="AT606" s="465"/>
      <c r="AU606" s="465"/>
      <c r="AV606" s="465"/>
      <c r="AW606" s="465"/>
      <c r="AX606" s="465"/>
      <c r="AY606" s="465"/>
      <c r="AZ606" s="465"/>
      <c r="BA606" s="465"/>
      <c r="BB606" s="465"/>
      <c r="BC606" s="465"/>
    </row>
    <row r="607" spans="1:55">
      <c r="A607" s="465"/>
      <c r="B607" s="465"/>
      <c r="C607" s="465"/>
      <c r="D607" s="467"/>
      <c r="E607" s="465"/>
      <c r="F607" s="465"/>
      <c r="G607" s="465"/>
      <c r="H607" s="465"/>
      <c r="I607" s="465"/>
      <c r="J607" s="465"/>
      <c r="K607" s="465"/>
      <c r="L607" s="465"/>
      <c r="M607" s="465"/>
      <c r="N607" s="465"/>
      <c r="O607" s="465"/>
      <c r="P607" s="465"/>
      <c r="Q607" s="465"/>
      <c r="R607" s="465"/>
      <c r="S607" s="465"/>
      <c r="T607" s="465"/>
      <c r="U607" s="465"/>
      <c r="V607" s="465"/>
      <c r="W607" s="465"/>
      <c r="X607" s="465"/>
      <c r="Y607" s="465"/>
      <c r="Z607" s="465"/>
      <c r="AA607" s="465"/>
      <c r="AB607" s="465"/>
      <c r="AC607" s="465"/>
      <c r="AD607" s="465"/>
      <c r="AE607" s="465"/>
      <c r="AF607" s="465"/>
      <c r="AG607" s="465"/>
      <c r="AH607" s="465"/>
      <c r="AI607" s="465"/>
      <c r="AJ607" s="465"/>
      <c r="AK607" s="465"/>
      <c r="AL607" s="465"/>
      <c r="AM607" s="465"/>
      <c r="AN607" s="465"/>
      <c r="AO607" s="465"/>
      <c r="AP607" s="465"/>
      <c r="AQ607" s="465"/>
      <c r="AR607" s="465"/>
      <c r="AS607" s="465"/>
      <c r="AT607" s="465"/>
      <c r="AU607" s="465"/>
      <c r="AV607" s="465"/>
      <c r="AW607" s="465"/>
      <c r="AX607" s="465"/>
      <c r="AY607" s="465"/>
      <c r="AZ607" s="465"/>
      <c r="BA607" s="465"/>
      <c r="BB607" s="465"/>
      <c r="BC607" s="465"/>
    </row>
    <row r="608" spans="1:55">
      <c r="A608" s="465"/>
      <c r="B608" s="465"/>
      <c r="C608" s="465"/>
      <c r="D608" s="467"/>
      <c r="E608" s="465"/>
      <c r="F608" s="465"/>
      <c r="G608" s="465"/>
      <c r="H608" s="465"/>
      <c r="I608" s="465"/>
      <c r="J608" s="465"/>
      <c r="K608" s="465"/>
      <c r="L608" s="465"/>
      <c r="M608" s="465"/>
      <c r="N608" s="465"/>
      <c r="O608" s="465"/>
      <c r="P608" s="465"/>
      <c r="Q608" s="465"/>
      <c r="R608" s="465"/>
      <c r="S608" s="465"/>
      <c r="T608" s="465"/>
      <c r="U608" s="465"/>
      <c r="V608" s="465"/>
      <c r="W608" s="465"/>
      <c r="X608" s="465"/>
      <c r="Y608" s="465"/>
      <c r="Z608" s="465"/>
      <c r="AA608" s="465"/>
      <c r="AB608" s="465"/>
      <c r="AC608" s="465"/>
      <c r="AD608" s="465"/>
      <c r="AE608" s="465"/>
      <c r="AF608" s="465"/>
      <c r="AG608" s="465"/>
      <c r="AH608" s="465"/>
      <c r="AI608" s="465"/>
      <c r="AJ608" s="465"/>
      <c r="AK608" s="465"/>
      <c r="AL608" s="465"/>
      <c r="AM608" s="465"/>
      <c r="AN608" s="465"/>
      <c r="AO608" s="465"/>
      <c r="AP608" s="465"/>
      <c r="AQ608" s="465"/>
      <c r="AR608" s="465"/>
      <c r="AS608" s="465"/>
      <c r="AT608" s="465"/>
      <c r="AU608" s="465"/>
      <c r="AV608" s="465"/>
      <c r="AW608" s="465"/>
      <c r="AX608" s="465"/>
      <c r="AY608" s="465"/>
      <c r="AZ608" s="465"/>
      <c r="BA608" s="465"/>
      <c r="BB608" s="465"/>
      <c r="BC608" s="465"/>
    </row>
    <row r="609" spans="1:55">
      <c r="A609" s="465"/>
      <c r="B609" s="465"/>
      <c r="C609" s="465"/>
      <c r="D609" s="467"/>
      <c r="E609" s="465"/>
      <c r="F609" s="465"/>
      <c r="G609" s="465"/>
      <c r="H609" s="465"/>
      <c r="I609" s="465"/>
      <c r="J609" s="465"/>
      <c r="K609" s="465"/>
      <c r="L609" s="465"/>
      <c r="M609" s="465"/>
      <c r="N609" s="465"/>
      <c r="O609" s="465"/>
      <c r="P609" s="465"/>
      <c r="Q609" s="465"/>
      <c r="R609" s="465"/>
      <c r="S609" s="465"/>
      <c r="T609" s="465"/>
      <c r="U609" s="465"/>
      <c r="V609" s="465"/>
      <c r="W609" s="465"/>
      <c r="X609" s="465"/>
      <c r="Y609" s="465"/>
      <c r="Z609" s="465"/>
      <c r="AA609" s="465"/>
      <c r="AB609" s="465"/>
      <c r="AC609" s="465"/>
      <c r="AD609" s="465"/>
      <c r="AE609" s="465"/>
      <c r="AF609" s="465"/>
      <c r="AG609" s="465"/>
      <c r="AH609" s="465"/>
      <c r="AI609" s="465"/>
      <c r="AJ609" s="465"/>
      <c r="AK609" s="465"/>
      <c r="AL609" s="465"/>
      <c r="AM609" s="465"/>
      <c r="AN609" s="465"/>
      <c r="AO609" s="465"/>
      <c r="AP609" s="465"/>
      <c r="AQ609" s="465"/>
      <c r="AR609" s="465"/>
      <c r="AS609" s="465"/>
      <c r="AT609" s="465"/>
      <c r="AU609" s="465"/>
      <c r="AV609" s="465"/>
      <c r="AW609" s="465"/>
      <c r="AX609" s="465"/>
      <c r="AY609" s="465"/>
      <c r="AZ609" s="465"/>
      <c r="BA609" s="465"/>
      <c r="BB609" s="465"/>
      <c r="BC609" s="465"/>
    </row>
    <row r="610" spans="1:55">
      <c r="A610" s="465"/>
      <c r="B610" s="465"/>
      <c r="C610" s="465"/>
      <c r="D610" s="467"/>
      <c r="E610" s="465"/>
      <c r="F610" s="465"/>
      <c r="G610" s="465"/>
      <c r="H610" s="465"/>
      <c r="I610" s="465"/>
      <c r="J610" s="465"/>
      <c r="K610" s="465"/>
      <c r="L610" s="465"/>
      <c r="M610" s="465"/>
      <c r="N610" s="465"/>
      <c r="O610" s="465"/>
      <c r="P610" s="465"/>
      <c r="Q610" s="465"/>
      <c r="R610" s="465"/>
      <c r="S610" s="465"/>
      <c r="T610" s="465"/>
      <c r="U610" s="465"/>
      <c r="V610" s="465"/>
      <c r="W610" s="465"/>
      <c r="X610" s="465"/>
      <c r="Y610" s="465"/>
      <c r="Z610" s="465"/>
      <c r="AA610" s="465"/>
      <c r="AB610" s="465"/>
      <c r="AC610" s="465"/>
      <c r="AD610" s="465"/>
      <c r="AE610" s="465"/>
      <c r="AF610" s="465"/>
      <c r="AG610" s="465"/>
      <c r="AH610" s="465"/>
      <c r="AI610" s="465"/>
      <c r="AJ610" s="465"/>
      <c r="AK610" s="465"/>
      <c r="AL610" s="465"/>
      <c r="AM610" s="465"/>
      <c r="AN610" s="465"/>
      <c r="AO610" s="465"/>
      <c r="AP610" s="465"/>
      <c r="AQ610" s="465"/>
      <c r="AR610" s="465"/>
      <c r="AS610" s="465"/>
      <c r="AT610" s="465"/>
      <c r="AU610" s="465"/>
      <c r="AV610" s="465"/>
      <c r="AW610" s="465"/>
      <c r="AX610" s="465"/>
      <c r="AY610" s="465"/>
      <c r="AZ610" s="465"/>
      <c r="BA610" s="465"/>
      <c r="BB610" s="465"/>
      <c r="BC610" s="465"/>
    </row>
    <row r="611" spans="1:55">
      <c r="A611" s="465"/>
      <c r="B611" s="465"/>
      <c r="C611" s="465"/>
      <c r="D611" s="467"/>
      <c r="E611" s="465"/>
      <c r="F611" s="465"/>
      <c r="G611" s="465"/>
      <c r="H611" s="465"/>
      <c r="I611" s="465"/>
      <c r="J611" s="465"/>
      <c r="K611" s="465"/>
      <c r="L611" s="465"/>
      <c r="M611" s="465"/>
      <c r="N611" s="465"/>
      <c r="O611" s="465"/>
      <c r="P611" s="465"/>
      <c r="Q611" s="465"/>
      <c r="R611" s="465"/>
      <c r="S611" s="465"/>
      <c r="T611" s="465"/>
      <c r="U611" s="465"/>
      <c r="V611" s="465"/>
      <c r="W611" s="465"/>
      <c r="X611" s="465"/>
      <c r="Y611" s="465"/>
      <c r="Z611" s="465"/>
      <c r="AA611" s="465"/>
      <c r="AB611" s="465"/>
      <c r="AC611" s="465"/>
      <c r="AD611" s="465"/>
      <c r="AE611" s="465"/>
      <c r="AF611" s="465"/>
      <c r="AG611" s="465"/>
      <c r="AH611" s="465"/>
      <c r="AI611" s="465"/>
      <c r="AJ611" s="465"/>
      <c r="AK611" s="465"/>
      <c r="AL611" s="465"/>
      <c r="AM611" s="465"/>
      <c r="AN611" s="465"/>
      <c r="AO611" s="465"/>
      <c r="AP611" s="465"/>
      <c r="AQ611" s="465"/>
      <c r="AR611" s="465"/>
      <c r="AS611" s="465"/>
      <c r="AT611" s="465"/>
      <c r="AU611" s="465"/>
      <c r="AV611" s="465"/>
      <c r="AW611" s="465"/>
      <c r="AX611" s="465"/>
      <c r="AY611" s="465"/>
      <c r="AZ611" s="465"/>
      <c r="BA611" s="465"/>
      <c r="BB611" s="465"/>
      <c r="BC611" s="465"/>
    </row>
    <row r="612" spans="1:55">
      <c r="A612" s="465"/>
      <c r="B612" s="465"/>
      <c r="C612" s="465"/>
      <c r="D612" s="467"/>
      <c r="E612" s="465"/>
      <c r="F612" s="465"/>
      <c r="G612" s="465"/>
      <c r="H612" s="465"/>
      <c r="I612" s="465"/>
      <c r="J612" s="465"/>
      <c r="K612" s="465"/>
      <c r="L612" s="465"/>
      <c r="M612" s="465"/>
      <c r="N612" s="465"/>
      <c r="O612" s="465"/>
      <c r="P612" s="465"/>
      <c r="Q612" s="465"/>
      <c r="R612" s="465"/>
      <c r="S612" s="465"/>
      <c r="T612" s="465"/>
      <c r="U612" s="465"/>
      <c r="V612" s="465"/>
      <c r="W612" s="465"/>
      <c r="X612" s="465"/>
      <c r="Y612" s="465"/>
      <c r="Z612" s="465"/>
      <c r="AA612" s="465"/>
      <c r="AB612" s="465"/>
      <c r="AC612" s="465"/>
      <c r="AD612" s="465"/>
      <c r="AE612" s="465"/>
      <c r="AF612" s="465"/>
      <c r="AG612" s="465"/>
      <c r="AH612" s="465"/>
      <c r="AI612" s="465"/>
      <c r="AJ612" s="465"/>
      <c r="AK612" s="465"/>
      <c r="AL612" s="465"/>
      <c r="AM612" s="465"/>
      <c r="AN612" s="465"/>
      <c r="AO612" s="465"/>
      <c r="AP612" s="465"/>
      <c r="AQ612" s="465"/>
      <c r="AR612" s="465"/>
      <c r="AS612" s="465"/>
      <c r="AT612" s="465"/>
      <c r="AU612" s="465"/>
      <c r="AV612" s="465"/>
      <c r="AW612" s="465"/>
      <c r="AX612" s="465"/>
      <c r="AY612" s="465"/>
      <c r="AZ612" s="465"/>
      <c r="BA612" s="465"/>
      <c r="BB612" s="465"/>
      <c r="BC612" s="465"/>
    </row>
    <row r="613" spans="1:55">
      <c r="A613" s="465"/>
      <c r="B613" s="465"/>
      <c r="C613" s="465"/>
      <c r="D613" s="467"/>
      <c r="E613" s="465"/>
      <c r="F613" s="465"/>
      <c r="G613" s="465"/>
      <c r="H613" s="465"/>
      <c r="I613" s="465"/>
      <c r="J613" s="465"/>
      <c r="K613" s="465"/>
      <c r="L613" s="465"/>
      <c r="M613" s="465"/>
      <c r="N613" s="465"/>
      <c r="O613" s="465"/>
      <c r="P613" s="465"/>
      <c r="Q613" s="465"/>
      <c r="R613" s="465"/>
      <c r="S613" s="465"/>
      <c r="T613" s="465"/>
      <c r="U613" s="465"/>
      <c r="V613" s="465"/>
      <c r="W613" s="465"/>
      <c r="X613" s="465"/>
      <c r="Y613" s="465"/>
      <c r="Z613" s="465"/>
      <c r="AA613" s="465"/>
      <c r="AB613" s="465"/>
      <c r="AC613" s="465"/>
      <c r="AD613" s="465"/>
      <c r="AE613" s="465"/>
      <c r="AF613" s="465"/>
      <c r="AG613" s="465"/>
      <c r="AH613" s="465"/>
      <c r="AI613" s="465"/>
      <c r="AJ613" s="465"/>
      <c r="AK613" s="465"/>
      <c r="AL613" s="465"/>
      <c r="AM613" s="465"/>
      <c r="AN613" s="465"/>
      <c r="AO613" s="465"/>
      <c r="AP613" s="465"/>
      <c r="AQ613" s="465"/>
      <c r="AR613" s="465"/>
      <c r="AS613" s="465"/>
      <c r="AT613" s="465"/>
      <c r="AU613" s="465"/>
      <c r="AV613" s="465"/>
      <c r="AW613" s="465"/>
      <c r="AX613" s="465"/>
      <c r="AY613" s="465"/>
      <c r="AZ613" s="465"/>
      <c r="BA613" s="465"/>
      <c r="BB613" s="465"/>
      <c r="BC613" s="465"/>
    </row>
    <row r="614" spans="1:55">
      <c r="A614" s="465"/>
      <c r="B614" s="465"/>
      <c r="C614" s="465"/>
      <c r="D614" s="467"/>
      <c r="E614" s="465"/>
      <c r="F614" s="465"/>
      <c r="G614" s="465"/>
      <c r="H614" s="465"/>
      <c r="I614" s="465"/>
      <c r="J614" s="465"/>
      <c r="K614" s="465"/>
      <c r="L614" s="465"/>
      <c r="M614" s="465"/>
      <c r="N614" s="465"/>
      <c r="O614" s="465"/>
      <c r="P614" s="465"/>
      <c r="Q614" s="465"/>
      <c r="R614" s="465"/>
      <c r="S614" s="465"/>
      <c r="T614" s="465"/>
      <c r="U614" s="465"/>
      <c r="V614" s="465"/>
      <c r="W614" s="465"/>
      <c r="X614" s="465"/>
      <c r="Y614" s="465"/>
      <c r="Z614" s="465"/>
      <c r="AA614" s="465"/>
      <c r="AB614" s="465"/>
      <c r="AC614" s="465"/>
      <c r="AD614" s="465"/>
      <c r="AE614" s="465"/>
      <c r="AF614" s="465"/>
      <c r="AG614" s="465"/>
      <c r="AH614" s="465"/>
      <c r="AI614" s="465"/>
      <c r="AJ614" s="465"/>
      <c r="AK614" s="465"/>
      <c r="AL614" s="465"/>
      <c r="AM614" s="465"/>
      <c r="AN614" s="465"/>
      <c r="AO614" s="465"/>
      <c r="AP614" s="465"/>
      <c r="AQ614" s="465"/>
      <c r="AR614" s="465"/>
      <c r="AS614" s="465"/>
      <c r="AT614" s="465"/>
      <c r="AU614" s="465"/>
      <c r="AV614" s="465"/>
      <c r="AW614" s="465"/>
      <c r="AX614" s="465"/>
      <c r="AY614" s="465"/>
      <c r="AZ614" s="465"/>
      <c r="BA614" s="465"/>
      <c r="BB614" s="465"/>
      <c r="BC614" s="465"/>
    </row>
    <row r="615" spans="1:55">
      <c r="A615" s="465"/>
      <c r="B615" s="465"/>
      <c r="C615" s="465"/>
      <c r="D615" s="467"/>
      <c r="E615" s="465"/>
      <c r="F615" s="465"/>
      <c r="G615" s="465"/>
      <c r="H615" s="465"/>
      <c r="I615" s="465"/>
      <c r="J615" s="465"/>
      <c r="K615" s="465"/>
      <c r="L615" s="465"/>
      <c r="M615" s="465"/>
      <c r="N615" s="465"/>
      <c r="O615" s="465"/>
      <c r="P615" s="465"/>
      <c r="Q615" s="465"/>
      <c r="R615" s="465"/>
      <c r="S615" s="465"/>
      <c r="T615" s="465"/>
      <c r="U615" s="465"/>
      <c r="V615" s="465"/>
      <c r="W615" s="465"/>
      <c r="X615" s="465"/>
      <c r="Y615" s="465"/>
      <c r="Z615" s="465"/>
      <c r="AA615" s="465"/>
      <c r="AB615" s="465"/>
      <c r="AC615" s="465"/>
      <c r="AD615" s="465"/>
      <c r="AE615" s="465"/>
      <c r="AF615" s="465"/>
      <c r="AG615" s="465"/>
      <c r="AH615" s="465"/>
      <c r="AI615" s="465"/>
      <c r="AJ615" s="465"/>
      <c r="AK615" s="465"/>
      <c r="AL615" s="465"/>
      <c r="AM615" s="465"/>
      <c r="AN615" s="465"/>
      <c r="AO615" s="465"/>
      <c r="AP615" s="465"/>
      <c r="AQ615" s="465"/>
      <c r="AR615" s="465"/>
      <c r="AS615" s="465"/>
      <c r="AT615" s="465"/>
      <c r="AU615" s="465"/>
      <c r="AV615" s="465"/>
      <c r="AW615" s="465"/>
      <c r="AX615" s="465"/>
      <c r="AY615" s="465"/>
      <c r="AZ615" s="465"/>
      <c r="BA615" s="465"/>
      <c r="BB615" s="465"/>
      <c r="BC615" s="465"/>
    </row>
    <row r="616" spans="1:55">
      <c r="A616" s="465"/>
      <c r="B616" s="465"/>
      <c r="C616" s="465"/>
      <c r="D616" s="467"/>
      <c r="E616" s="465"/>
      <c r="F616" s="465"/>
      <c r="G616" s="465"/>
      <c r="H616" s="465"/>
      <c r="I616" s="465"/>
      <c r="J616" s="465"/>
      <c r="K616" s="465"/>
      <c r="L616" s="465"/>
      <c r="M616" s="465"/>
      <c r="N616" s="465"/>
      <c r="O616" s="465"/>
      <c r="P616" s="465"/>
      <c r="Q616" s="465"/>
      <c r="R616" s="465"/>
      <c r="S616" s="465"/>
      <c r="T616" s="465"/>
      <c r="U616" s="465"/>
      <c r="V616" s="465"/>
      <c r="W616" s="465"/>
      <c r="X616" s="465"/>
      <c r="Y616" s="465"/>
      <c r="Z616" s="465"/>
      <c r="AA616" s="465"/>
      <c r="AB616" s="465"/>
      <c r="AC616" s="465"/>
      <c r="AD616" s="465"/>
      <c r="AE616" s="465"/>
      <c r="AF616" s="465"/>
      <c r="AG616" s="465"/>
      <c r="AH616" s="465"/>
      <c r="AI616" s="465"/>
      <c r="AJ616" s="465"/>
      <c r="AK616" s="465"/>
      <c r="AL616" s="465"/>
      <c r="AM616" s="465"/>
      <c r="AN616" s="465"/>
      <c r="AO616" s="465"/>
      <c r="AP616" s="465"/>
      <c r="AQ616" s="465"/>
      <c r="AR616" s="465"/>
      <c r="AS616" s="465"/>
      <c r="AT616" s="465"/>
      <c r="AU616" s="465"/>
      <c r="AV616" s="465"/>
      <c r="AW616" s="465"/>
      <c r="AX616" s="465"/>
      <c r="AY616" s="465"/>
      <c r="AZ616" s="465"/>
      <c r="BA616" s="465"/>
      <c r="BB616" s="465"/>
      <c r="BC616" s="465"/>
    </row>
    <row r="617" spans="1:55">
      <c r="A617" s="465"/>
      <c r="B617" s="465"/>
      <c r="C617" s="465"/>
      <c r="D617" s="467"/>
      <c r="E617" s="465"/>
      <c r="F617" s="465"/>
      <c r="G617" s="465"/>
      <c r="H617" s="465"/>
      <c r="I617" s="465"/>
      <c r="J617" s="465"/>
      <c r="K617" s="465"/>
      <c r="L617" s="465"/>
      <c r="M617" s="465"/>
      <c r="N617" s="465"/>
      <c r="O617" s="465"/>
      <c r="P617" s="465"/>
      <c r="Q617" s="465"/>
      <c r="R617" s="465"/>
      <c r="S617" s="465"/>
      <c r="T617" s="465"/>
      <c r="U617" s="465"/>
      <c r="V617" s="465"/>
      <c r="W617" s="465"/>
      <c r="X617" s="465"/>
      <c r="Y617" s="465"/>
      <c r="Z617" s="465"/>
      <c r="AA617" s="465"/>
      <c r="AB617" s="465"/>
      <c r="AC617" s="465"/>
      <c r="AD617" s="465"/>
      <c r="AE617" s="465"/>
      <c r="AF617" s="465"/>
      <c r="AG617" s="465"/>
      <c r="AH617" s="465"/>
      <c r="AI617" s="465"/>
      <c r="AJ617" s="465"/>
      <c r="AK617" s="465"/>
      <c r="AL617" s="465"/>
      <c r="AM617" s="465"/>
      <c r="AN617" s="465"/>
      <c r="AO617" s="465"/>
      <c r="AP617" s="465"/>
      <c r="AQ617" s="465"/>
      <c r="AR617" s="465"/>
      <c r="AS617" s="465"/>
      <c r="AT617" s="465"/>
      <c r="AU617" s="465"/>
      <c r="AV617" s="465"/>
      <c r="AW617" s="465"/>
      <c r="AX617" s="465"/>
      <c r="AY617" s="465"/>
      <c r="AZ617" s="465"/>
      <c r="BA617" s="465"/>
      <c r="BB617" s="465"/>
      <c r="BC617" s="465"/>
    </row>
    <row r="618" spans="1:55">
      <c r="A618" s="465"/>
      <c r="B618" s="465"/>
      <c r="C618" s="465"/>
      <c r="D618" s="467"/>
      <c r="E618" s="465"/>
      <c r="F618" s="465"/>
      <c r="G618" s="465"/>
      <c r="H618" s="465"/>
      <c r="I618" s="465"/>
      <c r="J618" s="465"/>
      <c r="K618" s="465"/>
      <c r="L618" s="465"/>
      <c r="M618" s="465"/>
      <c r="N618" s="465"/>
      <c r="O618" s="465"/>
      <c r="P618" s="465"/>
      <c r="Q618" s="465"/>
      <c r="R618" s="465"/>
      <c r="S618" s="465"/>
      <c r="T618" s="465"/>
      <c r="U618" s="465"/>
      <c r="V618" s="465"/>
      <c r="W618" s="465"/>
      <c r="X618" s="465"/>
      <c r="Y618" s="465"/>
      <c r="Z618" s="465"/>
      <c r="AA618" s="465"/>
      <c r="AB618" s="465"/>
      <c r="AC618" s="465"/>
      <c r="AD618" s="465"/>
      <c r="AE618" s="465"/>
      <c r="AF618" s="465"/>
      <c r="AG618" s="465"/>
      <c r="AH618" s="465"/>
      <c r="AI618" s="465"/>
      <c r="AJ618" s="465"/>
      <c r="AK618" s="465"/>
      <c r="AL618" s="465"/>
      <c r="AM618" s="465"/>
      <c r="AN618" s="465"/>
      <c r="AO618" s="465"/>
      <c r="AP618" s="465"/>
      <c r="AQ618" s="465"/>
      <c r="AR618" s="465"/>
      <c r="AS618" s="465"/>
      <c r="AT618" s="465"/>
      <c r="AU618" s="465"/>
      <c r="AV618" s="465"/>
      <c r="AW618" s="465"/>
      <c r="AX618" s="465"/>
      <c r="AY618" s="465"/>
      <c r="AZ618" s="465"/>
      <c r="BA618" s="465"/>
      <c r="BB618" s="465"/>
      <c r="BC618" s="465"/>
    </row>
    <row r="619" spans="1:55">
      <c r="A619" s="465"/>
      <c r="B619" s="465"/>
      <c r="C619" s="465"/>
      <c r="D619" s="467"/>
      <c r="E619" s="465"/>
      <c r="F619" s="465"/>
      <c r="G619" s="465"/>
      <c r="H619" s="465"/>
      <c r="I619" s="465"/>
      <c r="J619" s="465"/>
      <c r="K619" s="465"/>
      <c r="L619" s="465"/>
      <c r="M619" s="465"/>
      <c r="N619" s="465"/>
      <c r="O619" s="465"/>
      <c r="P619" s="465"/>
      <c r="Q619" s="465"/>
      <c r="R619" s="465"/>
      <c r="S619" s="465"/>
      <c r="T619" s="465"/>
      <c r="U619" s="465"/>
      <c r="V619" s="465"/>
      <c r="W619" s="465"/>
      <c r="X619" s="465"/>
      <c r="Y619" s="465"/>
      <c r="Z619" s="465"/>
      <c r="AA619" s="465"/>
      <c r="AB619" s="465"/>
      <c r="AC619" s="465"/>
      <c r="AD619" s="465"/>
      <c r="AE619" s="465"/>
      <c r="AF619" s="465"/>
      <c r="AG619" s="465"/>
      <c r="AH619" s="465"/>
      <c r="AI619" s="465"/>
      <c r="AJ619" s="465"/>
      <c r="AK619" s="465"/>
      <c r="AL619" s="465"/>
      <c r="AM619" s="465"/>
      <c r="AN619" s="465"/>
      <c r="AO619" s="465"/>
      <c r="AP619" s="465"/>
      <c r="AQ619" s="465"/>
      <c r="AR619" s="465"/>
      <c r="AS619" s="465"/>
      <c r="AT619" s="465"/>
      <c r="AU619" s="465"/>
      <c r="AV619" s="465"/>
      <c r="AW619" s="465"/>
      <c r="AX619" s="465"/>
      <c r="AY619" s="465"/>
      <c r="AZ619" s="465"/>
      <c r="BA619" s="465"/>
      <c r="BB619" s="465"/>
      <c r="BC619" s="465"/>
    </row>
    <row r="620" spans="1:55">
      <c r="A620" s="465"/>
      <c r="B620" s="465"/>
      <c r="C620" s="465"/>
      <c r="D620" s="467"/>
      <c r="E620" s="465"/>
      <c r="F620" s="465"/>
      <c r="G620" s="465"/>
      <c r="H620" s="465"/>
      <c r="I620" s="465"/>
      <c r="J620" s="465"/>
      <c r="K620" s="465"/>
      <c r="L620" s="465"/>
      <c r="M620" s="465"/>
      <c r="N620" s="465"/>
      <c r="O620" s="465"/>
      <c r="P620" s="465"/>
      <c r="Q620" s="465"/>
      <c r="R620" s="465"/>
      <c r="S620" s="465"/>
      <c r="T620" s="465"/>
      <c r="U620" s="465"/>
      <c r="V620" s="465"/>
      <c r="W620" s="465"/>
      <c r="X620" s="465"/>
      <c r="Y620" s="465"/>
      <c r="Z620" s="465"/>
      <c r="AA620" s="465"/>
      <c r="AB620" s="465"/>
      <c r="AC620" s="465"/>
      <c r="AD620" s="465"/>
      <c r="AE620" s="465"/>
      <c r="AF620" s="465"/>
      <c r="AG620" s="465"/>
      <c r="AH620" s="465"/>
      <c r="AI620" s="465"/>
      <c r="AJ620" s="465"/>
      <c r="AK620" s="465"/>
      <c r="AL620" s="465"/>
      <c r="AM620" s="465"/>
      <c r="AN620" s="465"/>
      <c r="AO620" s="465"/>
      <c r="AP620" s="465"/>
      <c r="AQ620" s="465"/>
      <c r="AR620" s="465"/>
      <c r="AS620" s="465"/>
      <c r="AT620" s="465"/>
      <c r="AU620" s="465"/>
      <c r="AV620" s="465"/>
      <c r="AW620" s="465"/>
      <c r="AX620" s="465"/>
      <c r="AY620" s="465"/>
      <c r="AZ620" s="465"/>
      <c r="BA620" s="465"/>
      <c r="BB620" s="465"/>
      <c r="BC620" s="465"/>
    </row>
    <row r="621" spans="1:55">
      <c r="A621" s="465"/>
      <c r="B621" s="465"/>
      <c r="C621" s="465"/>
      <c r="D621" s="467"/>
      <c r="E621" s="465"/>
      <c r="F621" s="465"/>
      <c r="G621" s="465"/>
      <c r="H621" s="465"/>
      <c r="I621" s="465"/>
      <c r="J621" s="465"/>
      <c r="K621" s="465"/>
      <c r="L621" s="465"/>
      <c r="M621" s="465"/>
      <c r="N621" s="465"/>
      <c r="O621" s="465"/>
      <c r="P621" s="465"/>
      <c r="Q621" s="465"/>
      <c r="R621" s="465"/>
      <c r="S621" s="465"/>
      <c r="T621" s="465"/>
      <c r="U621" s="465"/>
      <c r="V621" s="465"/>
      <c r="W621" s="465"/>
      <c r="X621" s="465"/>
      <c r="Y621" s="465"/>
      <c r="Z621" s="465"/>
      <c r="AA621" s="465"/>
      <c r="AB621" s="465"/>
      <c r="AC621" s="465"/>
      <c r="AD621" s="465"/>
      <c r="AE621" s="465"/>
      <c r="AF621" s="465"/>
      <c r="AG621" s="465"/>
      <c r="AH621" s="465"/>
      <c r="AI621" s="465"/>
      <c r="AJ621" s="465"/>
      <c r="AK621" s="465"/>
      <c r="AL621" s="465"/>
      <c r="AM621" s="465"/>
      <c r="AN621" s="465"/>
      <c r="AO621" s="465"/>
      <c r="AP621" s="465"/>
      <c r="AQ621" s="465"/>
      <c r="AR621" s="465"/>
      <c r="AS621" s="465"/>
      <c r="AT621" s="465"/>
      <c r="AU621" s="465"/>
      <c r="AV621" s="465"/>
      <c r="AW621" s="465"/>
      <c r="AX621" s="465"/>
      <c r="AY621" s="465"/>
      <c r="AZ621" s="465"/>
      <c r="BA621" s="465"/>
      <c r="BB621" s="465"/>
      <c r="BC621" s="465"/>
    </row>
    <row r="622" spans="1:55">
      <c r="A622" s="465"/>
      <c r="B622" s="465"/>
      <c r="C622" s="465"/>
      <c r="D622" s="467"/>
      <c r="E622" s="465"/>
      <c r="F622" s="465"/>
      <c r="G622" s="465"/>
      <c r="H622" s="465"/>
      <c r="I622" s="465"/>
      <c r="J622" s="465"/>
      <c r="K622" s="465"/>
      <c r="L622" s="465"/>
      <c r="M622" s="465"/>
      <c r="N622" s="465"/>
      <c r="O622" s="465"/>
      <c r="P622" s="465"/>
      <c r="Q622" s="465"/>
      <c r="R622" s="465"/>
      <c r="S622" s="465"/>
      <c r="T622" s="465"/>
      <c r="U622" s="465"/>
      <c r="V622" s="465"/>
      <c r="W622" s="465"/>
      <c r="X622" s="465"/>
      <c r="Y622" s="465"/>
      <c r="Z622" s="465"/>
      <c r="AA622" s="465"/>
      <c r="AB622" s="465"/>
      <c r="AC622" s="465"/>
      <c r="AD622" s="465"/>
      <c r="AE622" s="465"/>
      <c r="AF622" s="465"/>
      <c r="AG622" s="465"/>
      <c r="AH622" s="465"/>
      <c r="AI622" s="465"/>
      <c r="AJ622" s="465"/>
      <c r="AK622" s="465"/>
      <c r="AL622" s="465"/>
      <c r="AM622" s="465"/>
      <c r="AN622" s="465"/>
      <c r="AO622" s="465"/>
      <c r="AP622" s="465"/>
      <c r="AQ622" s="465"/>
      <c r="AR622" s="465"/>
      <c r="AS622" s="465"/>
      <c r="AT622" s="465"/>
      <c r="AU622" s="465"/>
      <c r="AV622" s="465"/>
      <c r="AW622" s="465"/>
      <c r="AX622" s="465"/>
      <c r="AY622" s="465"/>
      <c r="AZ622" s="465"/>
      <c r="BA622" s="465"/>
      <c r="BB622" s="465"/>
      <c r="BC622" s="465"/>
    </row>
    <row r="623" spans="1:55">
      <c r="A623" s="465"/>
      <c r="B623" s="465"/>
      <c r="C623" s="465"/>
      <c r="D623" s="467"/>
      <c r="E623" s="465"/>
      <c r="F623" s="465"/>
      <c r="G623" s="465"/>
      <c r="H623" s="465"/>
      <c r="I623" s="465"/>
      <c r="J623" s="465"/>
      <c r="K623" s="465"/>
      <c r="L623" s="465"/>
      <c r="M623" s="465"/>
      <c r="N623" s="465"/>
      <c r="O623" s="465"/>
      <c r="P623" s="465"/>
      <c r="Q623" s="465"/>
      <c r="R623" s="465"/>
      <c r="S623" s="465"/>
      <c r="T623" s="465"/>
      <c r="U623" s="465"/>
      <c r="V623" s="465"/>
      <c r="W623" s="465"/>
      <c r="X623" s="465"/>
      <c r="Y623" s="465"/>
      <c r="Z623" s="465"/>
      <c r="AA623" s="465"/>
      <c r="AB623" s="465"/>
      <c r="AC623" s="465"/>
      <c r="AD623" s="465"/>
      <c r="AE623" s="465"/>
      <c r="AF623" s="465"/>
      <c r="AG623" s="465"/>
      <c r="AH623" s="465"/>
      <c r="AI623" s="465"/>
      <c r="AJ623" s="465"/>
      <c r="AK623" s="465"/>
      <c r="AL623" s="465"/>
      <c r="AM623" s="465"/>
      <c r="AN623" s="465"/>
      <c r="AO623" s="465"/>
      <c r="AP623" s="465"/>
      <c r="AQ623" s="465"/>
      <c r="AR623" s="465"/>
      <c r="AS623" s="465"/>
      <c r="AT623" s="465"/>
      <c r="AU623" s="465"/>
      <c r="AV623" s="465"/>
      <c r="AW623" s="465"/>
      <c r="AX623" s="465"/>
      <c r="AY623" s="465"/>
      <c r="AZ623" s="465"/>
      <c r="BA623" s="465"/>
      <c r="BB623" s="465"/>
      <c r="BC623" s="465"/>
    </row>
    <row r="624" spans="1:55">
      <c r="A624" s="465"/>
      <c r="B624" s="465"/>
      <c r="C624" s="465"/>
      <c r="D624" s="467"/>
      <c r="E624" s="465"/>
      <c r="F624" s="465"/>
      <c r="G624" s="465"/>
      <c r="H624" s="465"/>
      <c r="I624" s="465"/>
      <c r="J624" s="465"/>
      <c r="K624" s="465"/>
      <c r="L624" s="465"/>
      <c r="M624" s="465"/>
      <c r="N624" s="465"/>
      <c r="O624" s="465"/>
      <c r="P624" s="465"/>
      <c r="Q624" s="465"/>
      <c r="R624" s="465"/>
      <c r="S624" s="465"/>
      <c r="T624" s="465"/>
      <c r="U624" s="465"/>
      <c r="V624" s="465"/>
      <c r="W624" s="465"/>
      <c r="X624" s="465"/>
      <c r="Y624" s="465"/>
      <c r="Z624" s="465"/>
      <c r="AA624" s="465"/>
      <c r="AB624" s="465"/>
      <c r="AC624" s="465"/>
      <c r="AD624" s="465"/>
      <c r="AE624" s="465"/>
      <c r="AF624" s="465"/>
      <c r="AG624" s="465"/>
      <c r="AH624" s="465"/>
      <c r="AI624" s="465"/>
      <c r="AJ624" s="465"/>
      <c r="AK624" s="465"/>
      <c r="AL624" s="465"/>
      <c r="AM624" s="465"/>
      <c r="AN624" s="465"/>
      <c r="AO624" s="465"/>
      <c r="AP624" s="465"/>
      <c r="AQ624" s="465"/>
      <c r="AR624" s="465"/>
      <c r="AS624" s="465"/>
      <c r="AT624" s="465"/>
      <c r="AU624" s="465"/>
      <c r="AV624" s="465"/>
      <c r="AW624" s="465"/>
      <c r="AX624" s="465"/>
      <c r="AY624" s="465"/>
      <c r="AZ624" s="465"/>
      <c r="BA624" s="465"/>
      <c r="BB624" s="465"/>
      <c r="BC624" s="465"/>
    </row>
    <row r="625" spans="1:55">
      <c r="A625" s="465"/>
      <c r="B625" s="465"/>
      <c r="C625" s="465"/>
      <c r="D625" s="467"/>
      <c r="E625" s="465"/>
      <c r="F625" s="465"/>
      <c r="G625" s="465"/>
      <c r="H625" s="465"/>
      <c r="I625" s="465"/>
      <c r="J625" s="465"/>
      <c r="K625" s="465"/>
      <c r="L625" s="465"/>
      <c r="M625" s="465"/>
      <c r="N625" s="465"/>
      <c r="O625" s="465"/>
      <c r="P625" s="465"/>
      <c r="Q625" s="465"/>
      <c r="R625" s="465"/>
      <c r="S625" s="465"/>
      <c r="T625" s="465"/>
      <c r="U625" s="465"/>
      <c r="V625" s="465"/>
      <c r="W625" s="465"/>
      <c r="X625" s="465"/>
      <c r="Y625" s="465"/>
      <c r="Z625" s="465"/>
      <c r="AA625" s="465"/>
      <c r="AB625" s="465"/>
      <c r="AC625" s="465"/>
      <c r="AD625" s="465"/>
      <c r="AE625" s="465"/>
      <c r="AF625" s="465"/>
      <c r="AG625" s="465"/>
      <c r="AH625" s="465"/>
      <c r="AI625" s="465"/>
      <c r="AJ625" s="465"/>
      <c r="AK625" s="465"/>
      <c r="AL625" s="465"/>
      <c r="AM625" s="465"/>
      <c r="AN625" s="465"/>
      <c r="AO625" s="465"/>
      <c r="AP625" s="465"/>
      <c r="AQ625" s="465"/>
      <c r="AR625" s="465"/>
      <c r="AS625" s="465"/>
      <c r="AT625" s="465"/>
      <c r="AU625" s="465"/>
      <c r="AV625" s="465"/>
      <c r="AW625" s="465"/>
      <c r="AX625" s="465"/>
      <c r="AY625" s="465"/>
      <c r="AZ625" s="465"/>
      <c r="BA625" s="465"/>
      <c r="BB625" s="465"/>
      <c r="BC625" s="465"/>
    </row>
    <row r="626" spans="1:55">
      <c r="A626" s="465"/>
      <c r="B626" s="465"/>
      <c r="C626" s="465"/>
      <c r="D626" s="467"/>
      <c r="E626" s="465"/>
      <c r="F626" s="465"/>
      <c r="G626" s="465"/>
      <c r="H626" s="465"/>
      <c r="I626" s="465"/>
      <c r="J626" s="465"/>
      <c r="K626" s="465"/>
      <c r="L626" s="465"/>
      <c r="M626" s="465"/>
      <c r="N626" s="465"/>
      <c r="O626" s="465"/>
      <c r="P626" s="465"/>
      <c r="Q626" s="465"/>
      <c r="R626" s="465"/>
      <c r="S626" s="465"/>
      <c r="T626" s="465"/>
      <c r="U626" s="465"/>
      <c r="V626" s="465"/>
      <c r="W626" s="465"/>
      <c r="X626" s="465"/>
      <c r="Y626" s="465"/>
      <c r="Z626" s="465"/>
      <c r="AA626" s="465"/>
      <c r="AB626" s="465"/>
      <c r="AC626" s="465"/>
      <c r="AD626" s="465"/>
      <c r="AE626" s="465"/>
      <c r="AF626" s="465"/>
      <c r="AG626" s="465"/>
      <c r="AH626" s="465"/>
      <c r="AI626" s="465"/>
      <c r="AJ626" s="465"/>
      <c r="AK626" s="465"/>
      <c r="AL626" s="465"/>
      <c r="AM626" s="465"/>
      <c r="AN626" s="465"/>
      <c r="AO626" s="465"/>
      <c r="AP626" s="465"/>
      <c r="AQ626" s="465"/>
      <c r="AR626" s="465"/>
      <c r="AS626" s="465"/>
      <c r="AT626" s="465"/>
      <c r="AU626" s="465"/>
      <c r="AV626" s="465"/>
      <c r="AW626" s="465"/>
      <c r="AX626" s="465"/>
      <c r="AY626" s="465"/>
      <c r="AZ626" s="465"/>
      <c r="BA626" s="465"/>
      <c r="BB626" s="465"/>
      <c r="BC626" s="465"/>
    </row>
    <row r="627" spans="1:55">
      <c r="A627" s="465"/>
      <c r="B627" s="465"/>
      <c r="C627" s="465"/>
      <c r="D627" s="467"/>
      <c r="E627" s="465"/>
      <c r="F627" s="465"/>
      <c r="G627" s="465"/>
      <c r="H627" s="465"/>
      <c r="I627" s="465"/>
      <c r="J627" s="465"/>
      <c r="K627" s="465"/>
      <c r="L627" s="465"/>
      <c r="M627" s="465"/>
      <c r="N627" s="465"/>
      <c r="O627" s="465"/>
      <c r="P627" s="465"/>
      <c r="Q627" s="465"/>
      <c r="R627" s="465"/>
      <c r="S627" s="465"/>
      <c r="T627" s="465"/>
      <c r="U627" s="465"/>
      <c r="V627" s="465"/>
      <c r="W627" s="465"/>
      <c r="X627" s="465"/>
      <c r="Y627" s="465"/>
      <c r="Z627" s="465"/>
      <c r="AA627" s="465"/>
      <c r="AB627" s="465"/>
      <c r="AC627" s="465"/>
      <c r="AD627" s="465"/>
      <c r="AE627" s="465"/>
      <c r="AF627" s="465"/>
      <c r="AG627" s="465"/>
      <c r="AH627" s="465"/>
      <c r="AI627" s="465"/>
      <c r="AJ627" s="465"/>
      <c r="AK627" s="465"/>
      <c r="AL627" s="465"/>
      <c r="AM627" s="465"/>
      <c r="AN627" s="465"/>
      <c r="AO627" s="465"/>
      <c r="AP627" s="465"/>
      <c r="AQ627" s="465"/>
      <c r="AR627" s="465"/>
      <c r="AS627" s="465"/>
      <c r="AT627" s="465"/>
      <c r="AU627" s="465"/>
      <c r="AV627" s="465"/>
      <c r="AW627" s="465"/>
      <c r="AX627" s="465"/>
      <c r="AY627" s="465"/>
      <c r="AZ627" s="465"/>
      <c r="BA627" s="465"/>
      <c r="BB627" s="465"/>
      <c r="BC627" s="465"/>
    </row>
    <row r="628" spans="1:55">
      <c r="A628" s="465"/>
      <c r="B628" s="465"/>
      <c r="C628" s="465"/>
      <c r="D628" s="467"/>
      <c r="E628" s="465"/>
      <c r="F628" s="465"/>
      <c r="G628" s="465"/>
      <c r="H628" s="465"/>
      <c r="I628" s="465"/>
      <c r="J628" s="465"/>
      <c r="K628" s="465"/>
      <c r="L628" s="465"/>
      <c r="M628" s="465"/>
      <c r="N628" s="465"/>
      <c r="O628" s="465"/>
      <c r="P628" s="465"/>
      <c r="Q628" s="465"/>
      <c r="R628" s="465"/>
      <c r="S628" s="465"/>
      <c r="T628" s="465"/>
      <c r="U628" s="465"/>
      <c r="V628" s="465"/>
      <c r="W628" s="465"/>
      <c r="X628" s="465"/>
      <c r="Y628" s="465"/>
      <c r="Z628" s="465"/>
      <c r="AA628" s="465"/>
      <c r="AB628" s="465"/>
      <c r="AC628" s="465"/>
      <c r="AD628" s="465"/>
      <c r="AE628" s="465"/>
      <c r="AF628" s="465"/>
      <c r="AG628" s="465"/>
      <c r="AH628" s="465"/>
      <c r="AI628" s="465"/>
      <c r="AJ628" s="465"/>
      <c r="AK628" s="465"/>
      <c r="AL628" s="465"/>
      <c r="AM628" s="465"/>
      <c r="AN628" s="465"/>
      <c r="AO628" s="465"/>
      <c r="AP628" s="465"/>
      <c r="AQ628" s="465"/>
      <c r="AR628" s="465"/>
      <c r="AS628" s="465"/>
      <c r="AT628" s="465"/>
      <c r="AU628" s="465"/>
      <c r="AV628" s="465"/>
      <c r="AW628" s="465"/>
      <c r="AX628" s="465"/>
      <c r="AY628" s="465"/>
      <c r="AZ628" s="465"/>
      <c r="BA628" s="465"/>
      <c r="BB628" s="465"/>
      <c r="BC628" s="465"/>
    </row>
    <row r="629" spans="1:55">
      <c r="A629" s="465"/>
      <c r="B629" s="465"/>
      <c r="C629" s="465"/>
      <c r="D629" s="467"/>
      <c r="E629" s="465"/>
      <c r="F629" s="465"/>
      <c r="G629" s="465"/>
      <c r="H629" s="465"/>
      <c r="I629" s="465"/>
      <c r="J629" s="465"/>
      <c r="K629" s="465"/>
      <c r="L629" s="465"/>
      <c r="M629" s="465"/>
      <c r="N629" s="465"/>
      <c r="O629" s="465"/>
      <c r="P629" s="465"/>
      <c r="Q629" s="465"/>
      <c r="R629" s="465"/>
      <c r="S629" s="465"/>
      <c r="T629" s="465"/>
      <c r="U629" s="465"/>
      <c r="V629" s="465"/>
      <c r="W629" s="465"/>
      <c r="X629" s="465"/>
      <c r="Y629" s="465"/>
      <c r="Z629" s="465"/>
      <c r="AA629" s="465"/>
      <c r="AB629" s="465"/>
      <c r="AC629" s="465"/>
      <c r="AD629" s="465"/>
      <c r="AE629" s="465"/>
      <c r="AF629" s="465"/>
      <c r="AG629" s="465"/>
      <c r="AH629" s="465"/>
      <c r="AI629" s="465"/>
      <c r="AJ629" s="465"/>
      <c r="AK629" s="465"/>
      <c r="AL629" s="465"/>
      <c r="AM629" s="465"/>
      <c r="AN629" s="465"/>
      <c r="AO629" s="465"/>
      <c r="AP629" s="465"/>
      <c r="AQ629" s="465"/>
      <c r="AR629" s="465"/>
      <c r="AS629" s="465"/>
      <c r="AT629" s="465"/>
      <c r="AU629" s="465"/>
      <c r="AV629" s="465"/>
      <c r="AW629" s="465"/>
      <c r="AX629" s="465"/>
      <c r="AY629" s="465"/>
      <c r="AZ629" s="465"/>
      <c r="BA629" s="465"/>
      <c r="BB629" s="465"/>
      <c r="BC629" s="465"/>
    </row>
    <row r="630" spans="1:55">
      <c r="A630" s="465"/>
      <c r="B630" s="465"/>
      <c r="C630" s="465"/>
      <c r="D630" s="467"/>
      <c r="E630" s="465"/>
      <c r="F630" s="465"/>
      <c r="G630" s="465"/>
      <c r="H630" s="465"/>
      <c r="I630" s="465"/>
      <c r="J630" s="465"/>
      <c r="K630" s="465"/>
      <c r="L630" s="465"/>
      <c r="M630" s="465"/>
      <c r="N630" s="465"/>
      <c r="O630" s="465"/>
      <c r="P630" s="465"/>
      <c r="Q630" s="465"/>
      <c r="R630" s="465"/>
      <c r="S630" s="465"/>
      <c r="T630" s="465"/>
      <c r="U630" s="465"/>
      <c r="V630" s="465"/>
      <c r="W630" s="465"/>
      <c r="X630" s="465"/>
      <c r="Y630" s="465"/>
      <c r="Z630" s="465"/>
      <c r="AA630" s="465"/>
      <c r="AB630" s="465"/>
      <c r="AC630" s="465"/>
      <c r="AD630" s="465"/>
      <c r="AE630" s="465"/>
      <c r="AF630" s="465"/>
      <c r="AG630" s="465"/>
      <c r="AH630" s="465"/>
      <c r="AI630" s="465"/>
      <c r="AJ630" s="465"/>
      <c r="AK630" s="465"/>
      <c r="AL630" s="465"/>
      <c r="AM630" s="465"/>
      <c r="AN630" s="465"/>
      <c r="AO630" s="465"/>
      <c r="AP630" s="465"/>
      <c r="AQ630" s="465"/>
      <c r="AR630" s="465"/>
      <c r="AS630" s="465"/>
      <c r="AT630" s="465"/>
      <c r="AU630" s="465"/>
      <c r="AV630" s="465"/>
      <c r="AW630" s="465"/>
      <c r="AX630" s="465"/>
      <c r="AY630" s="465"/>
      <c r="AZ630" s="465"/>
      <c r="BA630" s="465"/>
      <c r="BB630" s="465"/>
      <c r="BC630" s="465"/>
    </row>
    <row r="631" spans="1:55">
      <c r="A631" s="465"/>
      <c r="B631" s="465"/>
      <c r="C631" s="465"/>
      <c r="D631" s="467"/>
      <c r="E631" s="465"/>
      <c r="F631" s="465"/>
      <c r="G631" s="465"/>
      <c r="H631" s="465"/>
      <c r="I631" s="465"/>
      <c r="J631" s="465"/>
      <c r="K631" s="465"/>
      <c r="L631" s="465"/>
      <c r="M631" s="465"/>
      <c r="N631" s="465"/>
      <c r="O631" s="465"/>
      <c r="P631" s="465"/>
      <c r="Q631" s="465"/>
      <c r="R631" s="465"/>
      <c r="S631" s="465"/>
      <c r="T631" s="465"/>
      <c r="U631" s="465"/>
      <c r="V631" s="465"/>
      <c r="W631" s="465"/>
      <c r="X631" s="465"/>
      <c r="Y631" s="465"/>
      <c r="Z631" s="465"/>
      <c r="AA631" s="465"/>
      <c r="AB631" s="465"/>
      <c r="AC631" s="465"/>
      <c r="AD631" s="465"/>
      <c r="AE631" s="465"/>
      <c r="AF631" s="465"/>
      <c r="AG631" s="465"/>
      <c r="AH631" s="465"/>
      <c r="AI631" s="465"/>
      <c r="AJ631" s="465"/>
      <c r="AK631" s="465"/>
      <c r="AL631" s="465"/>
      <c r="AM631" s="465"/>
      <c r="AN631" s="465"/>
      <c r="AO631" s="465"/>
      <c r="AP631" s="465"/>
      <c r="AQ631" s="465"/>
      <c r="AR631" s="465"/>
      <c r="AS631" s="465"/>
      <c r="AT631" s="465"/>
      <c r="AU631" s="465"/>
      <c r="AV631" s="465"/>
      <c r="AW631" s="465"/>
      <c r="AX631" s="465"/>
      <c r="AY631" s="465"/>
      <c r="AZ631" s="465"/>
      <c r="BA631" s="465"/>
      <c r="BB631" s="465"/>
      <c r="BC631" s="465"/>
    </row>
    <row r="632" spans="1:55">
      <c r="A632" s="465"/>
      <c r="B632" s="465"/>
      <c r="C632" s="465"/>
      <c r="D632" s="467"/>
      <c r="E632" s="465"/>
      <c r="F632" s="465"/>
      <c r="G632" s="465"/>
      <c r="H632" s="465"/>
      <c r="I632" s="465"/>
      <c r="J632" s="465"/>
      <c r="K632" s="465"/>
      <c r="L632" s="465"/>
      <c r="M632" s="465"/>
      <c r="N632" s="465"/>
      <c r="O632" s="465"/>
      <c r="P632" s="465"/>
      <c r="Q632" s="465"/>
      <c r="R632" s="465"/>
      <c r="S632" s="465"/>
      <c r="T632" s="465"/>
      <c r="U632" s="465"/>
      <c r="V632" s="465"/>
      <c r="W632" s="465"/>
      <c r="X632" s="465"/>
      <c r="Y632" s="465"/>
      <c r="Z632" s="465"/>
      <c r="AA632" s="465"/>
      <c r="AB632" s="465"/>
      <c r="AC632" s="465"/>
      <c r="AD632" s="465"/>
      <c r="AE632" s="465"/>
      <c r="AF632" s="465"/>
      <c r="AG632" s="465"/>
      <c r="AH632" s="465"/>
      <c r="AI632" s="465"/>
      <c r="AJ632" s="465"/>
      <c r="AK632" s="465"/>
      <c r="AL632" s="465"/>
      <c r="AM632" s="465"/>
      <c r="AN632" s="465"/>
      <c r="AO632" s="465"/>
      <c r="AP632" s="465"/>
      <c r="AQ632" s="465"/>
      <c r="AR632" s="465"/>
      <c r="AS632" s="465"/>
      <c r="AT632" s="465"/>
      <c r="AU632" s="465"/>
      <c r="AV632" s="465"/>
      <c r="AW632" s="465"/>
      <c r="AX632" s="465"/>
      <c r="AY632" s="465"/>
      <c r="AZ632" s="465"/>
      <c r="BA632" s="465"/>
      <c r="BB632" s="465"/>
      <c r="BC632" s="465"/>
    </row>
    <row r="633" spans="1:55">
      <c r="A633" s="465"/>
      <c r="B633" s="465"/>
      <c r="C633" s="465"/>
      <c r="D633" s="467"/>
      <c r="E633" s="465"/>
      <c r="F633" s="465"/>
      <c r="G633" s="465"/>
      <c r="H633" s="465"/>
      <c r="I633" s="465"/>
      <c r="J633" s="465"/>
      <c r="K633" s="465"/>
      <c r="L633" s="465"/>
      <c r="M633" s="465"/>
      <c r="N633" s="465"/>
      <c r="O633" s="465"/>
      <c r="P633" s="465"/>
      <c r="Q633" s="465"/>
      <c r="R633" s="465"/>
      <c r="S633" s="465"/>
      <c r="T633" s="465"/>
      <c r="U633" s="465"/>
      <c r="V633" s="465"/>
      <c r="W633" s="465"/>
      <c r="X633" s="465"/>
      <c r="Y633" s="465"/>
      <c r="Z633" s="465"/>
      <c r="AA633" s="465"/>
      <c r="AB633" s="465"/>
      <c r="AC633" s="465"/>
      <c r="AD633" s="465"/>
      <c r="AE633" s="465"/>
      <c r="AF633" s="465"/>
      <c r="AG633" s="465"/>
      <c r="AH633" s="465"/>
      <c r="AI633" s="465"/>
      <c r="AJ633" s="465"/>
      <c r="AK633" s="465"/>
      <c r="AL633" s="465"/>
      <c r="AM633" s="465"/>
      <c r="AN633" s="465"/>
      <c r="AO633" s="465"/>
      <c r="AP633" s="465"/>
      <c r="AQ633" s="465"/>
      <c r="AR633" s="465"/>
      <c r="AS633" s="465"/>
      <c r="AT633" s="465"/>
      <c r="AU633" s="465"/>
      <c r="AV633" s="465"/>
      <c r="AW633" s="465"/>
      <c r="AX633" s="465"/>
      <c r="AY633" s="465"/>
      <c r="AZ633" s="465"/>
      <c r="BA633" s="465"/>
      <c r="BB633" s="465"/>
      <c r="BC633" s="465"/>
    </row>
    <row r="634" spans="1:55">
      <c r="A634" s="465"/>
      <c r="B634" s="465"/>
      <c r="C634" s="465"/>
      <c r="D634" s="467"/>
      <c r="E634" s="465"/>
      <c r="F634" s="465"/>
      <c r="G634" s="465"/>
      <c r="H634" s="465"/>
      <c r="I634" s="465"/>
      <c r="J634" s="465"/>
      <c r="K634" s="465"/>
      <c r="L634" s="465"/>
      <c r="M634" s="465"/>
      <c r="N634" s="465"/>
      <c r="O634" s="465"/>
      <c r="P634" s="465"/>
      <c r="Q634" s="465"/>
      <c r="R634" s="465"/>
      <c r="S634" s="465"/>
      <c r="T634" s="465"/>
      <c r="U634" s="465"/>
      <c r="V634" s="465"/>
      <c r="W634" s="465"/>
      <c r="X634" s="465"/>
      <c r="Y634" s="465"/>
      <c r="Z634" s="465"/>
      <c r="AA634" s="465"/>
      <c r="AB634" s="465"/>
      <c r="AC634" s="465"/>
      <c r="AD634" s="465"/>
      <c r="AE634" s="465"/>
      <c r="AF634" s="465"/>
      <c r="AG634" s="465"/>
      <c r="AH634" s="465"/>
      <c r="AI634" s="465"/>
      <c r="AJ634" s="465"/>
      <c r="AK634" s="465"/>
      <c r="AL634" s="465"/>
      <c r="AM634" s="465"/>
      <c r="AN634" s="465"/>
      <c r="AO634" s="465"/>
      <c r="AP634" s="465"/>
      <c r="AQ634" s="465"/>
      <c r="AR634" s="465"/>
      <c r="AS634" s="465"/>
      <c r="AT634" s="465"/>
      <c r="AU634" s="465"/>
      <c r="AV634" s="465"/>
      <c r="AW634" s="465"/>
      <c r="AX634" s="465"/>
      <c r="AY634" s="465"/>
      <c r="AZ634" s="465"/>
      <c r="BA634" s="465"/>
      <c r="BB634" s="465"/>
      <c r="BC634" s="465"/>
    </row>
    <row r="635" spans="1:55">
      <c r="A635" s="465"/>
      <c r="B635" s="465"/>
      <c r="C635" s="465"/>
      <c r="D635" s="467"/>
      <c r="E635" s="465"/>
      <c r="F635" s="465"/>
      <c r="G635" s="465"/>
      <c r="H635" s="465"/>
      <c r="I635" s="465"/>
      <c r="J635" s="465"/>
      <c r="K635" s="465"/>
      <c r="L635" s="465"/>
      <c r="M635" s="465"/>
      <c r="N635" s="465"/>
      <c r="O635" s="465"/>
      <c r="P635" s="465"/>
      <c r="Q635" s="465"/>
      <c r="R635" s="465"/>
      <c r="S635" s="465"/>
      <c r="T635" s="465"/>
      <c r="U635" s="465"/>
      <c r="V635" s="465"/>
      <c r="W635" s="465"/>
      <c r="X635" s="465"/>
      <c r="Y635" s="465"/>
      <c r="Z635" s="465"/>
      <c r="AA635" s="465"/>
      <c r="AB635" s="465"/>
      <c r="AC635" s="465"/>
      <c r="AD635" s="465"/>
      <c r="AE635" s="465"/>
      <c r="AF635" s="465"/>
      <c r="AG635" s="465"/>
      <c r="AH635" s="465"/>
      <c r="AI635" s="465"/>
      <c r="AJ635" s="465"/>
      <c r="AK635" s="465"/>
      <c r="AL635" s="465"/>
      <c r="AM635" s="465"/>
      <c r="AN635" s="465"/>
      <c r="AO635" s="465"/>
      <c r="AP635" s="465"/>
      <c r="AQ635" s="465"/>
      <c r="AR635" s="465"/>
      <c r="AS635" s="465"/>
      <c r="AT635" s="465"/>
      <c r="AU635" s="465"/>
      <c r="AV635" s="465"/>
      <c r="AW635" s="465"/>
      <c r="AX635" s="465"/>
      <c r="AY635" s="465"/>
      <c r="AZ635" s="465"/>
      <c r="BA635" s="465"/>
      <c r="BB635" s="465"/>
      <c r="BC635" s="465"/>
    </row>
    <row r="636" spans="1:55">
      <c r="A636" s="465"/>
      <c r="B636" s="465"/>
      <c r="C636" s="465"/>
      <c r="D636" s="467"/>
      <c r="E636" s="465"/>
      <c r="F636" s="465"/>
      <c r="G636" s="465"/>
      <c r="H636" s="465"/>
      <c r="I636" s="465"/>
      <c r="J636" s="465"/>
      <c r="K636" s="465"/>
      <c r="L636" s="465"/>
      <c r="M636" s="465"/>
      <c r="N636" s="465"/>
      <c r="O636" s="465"/>
      <c r="P636" s="465"/>
      <c r="Q636" s="465"/>
      <c r="R636" s="465"/>
      <c r="S636" s="465"/>
      <c r="T636" s="465"/>
      <c r="U636" s="465"/>
      <c r="V636" s="465"/>
      <c r="W636" s="465"/>
      <c r="X636" s="465"/>
      <c r="Y636" s="465"/>
      <c r="Z636" s="465"/>
      <c r="AA636" s="465"/>
      <c r="AB636" s="465"/>
      <c r="AC636" s="465"/>
      <c r="AD636" s="465"/>
      <c r="AE636" s="465"/>
      <c r="AF636" s="465"/>
      <c r="AG636" s="465"/>
      <c r="AH636" s="465"/>
      <c r="AI636" s="465"/>
      <c r="AJ636" s="465"/>
      <c r="AK636" s="465"/>
      <c r="AL636" s="465"/>
      <c r="AM636" s="465"/>
      <c r="AN636" s="465"/>
      <c r="AO636" s="465"/>
      <c r="AP636" s="465"/>
      <c r="AQ636" s="465"/>
      <c r="AR636" s="465"/>
      <c r="AS636" s="465"/>
      <c r="AT636" s="465"/>
      <c r="AU636" s="465"/>
      <c r="AV636" s="465"/>
      <c r="AW636" s="465"/>
      <c r="AX636" s="465"/>
      <c r="AY636" s="465"/>
      <c r="AZ636" s="465"/>
      <c r="BA636" s="465"/>
      <c r="BB636" s="465"/>
      <c r="BC636" s="465"/>
    </row>
    <row r="637" spans="1:55">
      <c r="A637" s="465"/>
      <c r="B637" s="465"/>
      <c r="C637" s="465"/>
      <c r="D637" s="467"/>
      <c r="E637" s="465"/>
      <c r="F637" s="465"/>
      <c r="G637" s="465"/>
      <c r="H637" s="465"/>
      <c r="I637" s="465"/>
      <c r="J637" s="465"/>
      <c r="K637" s="465"/>
      <c r="L637" s="465"/>
      <c r="M637" s="465"/>
      <c r="N637" s="465"/>
      <c r="O637" s="465"/>
      <c r="P637" s="465"/>
      <c r="Q637" s="465"/>
      <c r="R637" s="465"/>
      <c r="S637" s="465"/>
      <c r="T637" s="465"/>
      <c r="U637" s="465"/>
      <c r="V637" s="465"/>
      <c r="W637" s="465"/>
      <c r="X637" s="465"/>
      <c r="Y637" s="465"/>
      <c r="Z637" s="465"/>
      <c r="AA637" s="465"/>
      <c r="AB637" s="465"/>
      <c r="AC637" s="465"/>
      <c r="AD637" s="465"/>
      <c r="AE637" s="465"/>
      <c r="AF637" s="465"/>
      <c r="AG637" s="465"/>
      <c r="AH637" s="465"/>
      <c r="AI637" s="465"/>
      <c r="AJ637" s="465"/>
      <c r="AK637" s="465"/>
      <c r="AL637" s="465"/>
      <c r="AM637" s="465"/>
      <c r="AN637" s="465"/>
      <c r="AO637" s="465"/>
      <c r="AP637" s="465"/>
      <c r="AQ637" s="465"/>
      <c r="AR637" s="465"/>
      <c r="AS637" s="465"/>
      <c r="AT637" s="465"/>
      <c r="AU637" s="465"/>
      <c r="AV637" s="465"/>
      <c r="AW637" s="465"/>
      <c r="AX637" s="465"/>
      <c r="AY637" s="465"/>
      <c r="AZ637" s="465"/>
      <c r="BA637" s="465"/>
      <c r="BB637" s="465"/>
      <c r="BC637" s="465"/>
    </row>
    <row r="638" spans="1:55">
      <c r="A638" s="465"/>
      <c r="B638" s="465"/>
      <c r="C638" s="465"/>
      <c r="D638" s="467"/>
      <c r="E638" s="465"/>
      <c r="F638" s="465"/>
      <c r="G638" s="465"/>
      <c r="H638" s="465"/>
      <c r="I638" s="465"/>
      <c r="J638" s="465"/>
      <c r="K638" s="465"/>
      <c r="L638" s="465"/>
      <c r="M638" s="465"/>
      <c r="N638" s="465"/>
      <c r="O638" s="465"/>
      <c r="P638" s="465"/>
      <c r="Q638" s="465"/>
      <c r="R638" s="465"/>
      <c r="S638" s="465"/>
      <c r="T638" s="465"/>
      <c r="U638" s="465"/>
      <c r="V638" s="465"/>
      <c r="W638" s="465"/>
      <c r="X638" s="465"/>
      <c r="Y638" s="465"/>
      <c r="Z638" s="465"/>
      <c r="AA638" s="465"/>
      <c r="AB638" s="465"/>
      <c r="AC638" s="465"/>
      <c r="AD638" s="465"/>
      <c r="AE638" s="465"/>
      <c r="AF638" s="465"/>
      <c r="AG638" s="465"/>
      <c r="AH638" s="465"/>
      <c r="AI638" s="465"/>
      <c r="AJ638" s="465"/>
      <c r="AK638" s="465"/>
      <c r="AL638" s="465"/>
      <c r="AM638" s="465"/>
      <c r="AN638" s="465"/>
      <c r="AO638" s="465"/>
      <c r="AP638" s="465"/>
      <c r="AQ638" s="465"/>
      <c r="AR638" s="465"/>
      <c r="AS638" s="465"/>
      <c r="AT638" s="465"/>
      <c r="AU638" s="465"/>
      <c r="AV638" s="465"/>
      <c r="AW638" s="465"/>
      <c r="AX638" s="465"/>
      <c r="AY638" s="465"/>
      <c r="AZ638" s="465"/>
      <c r="BA638" s="465"/>
      <c r="BB638" s="465"/>
      <c r="BC638" s="465"/>
    </row>
    <row r="639" spans="1:55">
      <c r="A639" s="465"/>
      <c r="B639" s="465"/>
      <c r="C639" s="465"/>
      <c r="D639" s="467"/>
      <c r="E639" s="465"/>
      <c r="F639" s="465"/>
      <c r="G639" s="465"/>
      <c r="H639" s="465"/>
      <c r="I639" s="465"/>
      <c r="J639" s="465"/>
      <c r="K639" s="465"/>
      <c r="L639" s="465"/>
      <c r="M639" s="465"/>
      <c r="N639" s="465"/>
      <c r="O639" s="465"/>
      <c r="P639" s="465"/>
      <c r="Q639" s="465"/>
      <c r="R639" s="465"/>
      <c r="S639" s="465"/>
      <c r="T639" s="465"/>
      <c r="U639" s="465"/>
      <c r="V639" s="465"/>
      <c r="W639" s="465"/>
      <c r="X639" s="465"/>
      <c r="Y639" s="465"/>
      <c r="Z639" s="465"/>
      <c r="AA639" s="465"/>
      <c r="AB639" s="465"/>
      <c r="AC639" s="465"/>
      <c r="AD639" s="465"/>
      <c r="AE639" s="465"/>
      <c r="AF639" s="465"/>
      <c r="AG639" s="465"/>
      <c r="AH639" s="465"/>
      <c r="AI639" s="465"/>
      <c r="AJ639" s="465"/>
      <c r="AK639" s="465"/>
      <c r="AL639" s="465"/>
      <c r="AM639" s="465"/>
      <c r="AN639" s="465"/>
      <c r="AO639" s="465"/>
      <c r="AP639" s="465"/>
      <c r="AQ639" s="465"/>
      <c r="AR639" s="465"/>
      <c r="AS639" s="465"/>
      <c r="AT639" s="465"/>
      <c r="AU639" s="465"/>
      <c r="AV639" s="465"/>
      <c r="AW639" s="465"/>
      <c r="AX639" s="465"/>
      <c r="AY639" s="465"/>
      <c r="AZ639" s="465"/>
      <c r="BA639" s="465"/>
      <c r="BB639" s="465"/>
      <c r="BC639" s="465"/>
    </row>
    <row r="640" spans="1:55">
      <c r="A640" s="465"/>
      <c r="B640" s="465"/>
      <c r="C640" s="465"/>
      <c r="D640" s="467"/>
      <c r="E640" s="465"/>
      <c r="F640" s="465"/>
      <c r="G640" s="465"/>
      <c r="H640" s="465"/>
      <c r="I640" s="465"/>
      <c r="J640" s="465"/>
      <c r="K640" s="465"/>
      <c r="L640" s="465"/>
      <c r="M640" s="465"/>
      <c r="N640" s="465"/>
      <c r="O640" s="465"/>
      <c r="P640" s="465"/>
      <c r="Q640" s="465"/>
      <c r="R640" s="465"/>
      <c r="S640" s="465"/>
      <c r="T640" s="465"/>
      <c r="U640" s="465"/>
      <c r="V640" s="465"/>
      <c r="W640" s="465"/>
      <c r="X640" s="465"/>
      <c r="Y640" s="465"/>
      <c r="Z640" s="465"/>
      <c r="AA640" s="465"/>
      <c r="AB640" s="465"/>
      <c r="AC640" s="465"/>
      <c r="AD640" s="465"/>
      <c r="AE640" s="465"/>
      <c r="AF640" s="465"/>
      <c r="AG640" s="465"/>
      <c r="AH640" s="465"/>
      <c r="AI640" s="465"/>
      <c r="AJ640" s="465"/>
      <c r="AK640" s="465"/>
      <c r="AL640" s="465"/>
      <c r="AM640" s="465"/>
      <c r="AN640" s="465"/>
      <c r="AO640" s="465"/>
      <c r="AP640" s="465"/>
      <c r="AQ640" s="465"/>
      <c r="AR640" s="465"/>
      <c r="AS640" s="465"/>
      <c r="AT640" s="465"/>
      <c r="AU640" s="465"/>
      <c r="AV640" s="465"/>
      <c r="AW640" s="465"/>
      <c r="AX640" s="465"/>
      <c r="AY640" s="465"/>
      <c r="AZ640" s="465"/>
      <c r="BA640" s="465"/>
      <c r="BB640" s="465"/>
      <c r="BC640" s="465"/>
    </row>
    <row r="641" spans="1:55">
      <c r="A641" s="465"/>
      <c r="B641" s="465"/>
      <c r="C641" s="465"/>
      <c r="D641" s="467"/>
      <c r="E641" s="465"/>
      <c r="F641" s="465"/>
      <c r="G641" s="465"/>
      <c r="H641" s="465"/>
      <c r="I641" s="465"/>
      <c r="J641" s="465"/>
      <c r="K641" s="465"/>
      <c r="L641" s="465"/>
      <c r="M641" s="465"/>
      <c r="N641" s="465"/>
      <c r="O641" s="465"/>
      <c r="P641" s="465"/>
      <c r="Q641" s="465"/>
      <c r="R641" s="465"/>
      <c r="S641" s="465"/>
      <c r="T641" s="465"/>
      <c r="U641" s="465"/>
      <c r="V641" s="465"/>
      <c r="W641" s="465"/>
      <c r="X641" s="465"/>
      <c r="Y641" s="465"/>
      <c r="Z641" s="465"/>
      <c r="AA641" s="465"/>
      <c r="AB641" s="465"/>
      <c r="AC641" s="465"/>
      <c r="AD641" s="465"/>
      <c r="AE641" s="465"/>
      <c r="AF641" s="465"/>
      <c r="AG641" s="465"/>
      <c r="AH641" s="465"/>
      <c r="AI641" s="465"/>
      <c r="AJ641" s="465"/>
      <c r="AK641" s="465"/>
      <c r="AL641" s="465"/>
      <c r="AM641" s="465"/>
      <c r="AN641" s="465"/>
      <c r="AO641" s="465"/>
      <c r="AP641" s="465"/>
      <c r="AQ641" s="465"/>
      <c r="AR641" s="465"/>
      <c r="AS641" s="465"/>
      <c r="AT641" s="465"/>
      <c r="AU641" s="465"/>
      <c r="AV641" s="465"/>
      <c r="AW641" s="465"/>
      <c r="AX641" s="465"/>
      <c r="AY641" s="465"/>
      <c r="AZ641" s="465"/>
      <c r="BA641" s="465"/>
      <c r="BB641" s="465"/>
      <c r="BC641" s="465"/>
    </row>
    <row r="642" spans="1:55">
      <c r="A642" s="465"/>
      <c r="B642" s="465"/>
      <c r="C642" s="465"/>
      <c r="D642" s="467"/>
      <c r="E642" s="465"/>
      <c r="F642" s="465"/>
      <c r="G642" s="465"/>
      <c r="H642" s="465"/>
      <c r="I642" s="465"/>
      <c r="J642" s="465"/>
      <c r="K642" s="465"/>
      <c r="L642" s="465"/>
      <c r="M642" s="465"/>
      <c r="N642" s="465"/>
      <c r="O642" s="465"/>
      <c r="P642" s="465"/>
      <c r="Q642" s="465"/>
      <c r="R642" s="465"/>
      <c r="S642" s="465"/>
      <c r="T642" s="465"/>
      <c r="U642" s="465"/>
      <c r="V642" s="465"/>
      <c r="W642" s="465"/>
      <c r="X642" s="465"/>
      <c r="Y642" s="465"/>
      <c r="Z642" s="465"/>
      <c r="AA642" s="465"/>
      <c r="AB642" s="465"/>
      <c r="AC642" s="465"/>
      <c r="AD642" s="465"/>
      <c r="AE642" s="465"/>
      <c r="AF642" s="465"/>
      <c r="AG642" s="465"/>
      <c r="AH642" s="465"/>
      <c r="AI642" s="465"/>
      <c r="AJ642" s="465"/>
      <c r="AK642" s="465"/>
      <c r="AL642" s="465"/>
      <c r="AM642" s="465"/>
      <c r="AN642" s="465"/>
      <c r="AO642" s="465"/>
      <c r="AP642" s="465"/>
      <c r="AQ642" s="465"/>
      <c r="AR642" s="465"/>
      <c r="AS642" s="465"/>
      <c r="AT642" s="465"/>
      <c r="AU642" s="465"/>
      <c r="AV642" s="465"/>
      <c r="AW642" s="465"/>
      <c r="AX642" s="465"/>
      <c r="AY642" s="465"/>
      <c r="AZ642" s="465"/>
      <c r="BA642" s="465"/>
      <c r="BB642" s="465"/>
      <c r="BC642" s="465"/>
    </row>
    <row r="643" spans="1:55">
      <c r="A643" s="465"/>
      <c r="B643" s="465"/>
      <c r="C643" s="465"/>
      <c r="D643" s="467"/>
      <c r="E643" s="465"/>
      <c r="F643" s="465"/>
      <c r="G643" s="465"/>
      <c r="H643" s="465"/>
      <c r="I643" s="465"/>
      <c r="J643" s="465"/>
      <c r="K643" s="465"/>
      <c r="L643" s="465"/>
      <c r="M643" s="465"/>
      <c r="N643" s="465"/>
      <c r="O643" s="465"/>
      <c r="P643" s="465"/>
      <c r="Q643" s="465"/>
      <c r="R643" s="465"/>
      <c r="S643" s="465"/>
      <c r="T643" s="465"/>
      <c r="U643" s="465"/>
      <c r="V643" s="465"/>
      <c r="W643" s="465"/>
      <c r="X643" s="465"/>
      <c r="Y643" s="465"/>
      <c r="Z643" s="465"/>
      <c r="AA643" s="465"/>
      <c r="AB643" s="465"/>
      <c r="AC643" s="465"/>
      <c r="AD643" s="465"/>
      <c r="AE643" s="465"/>
      <c r="AF643" s="465"/>
      <c r="AG643" s="465"/>
      <c r="AH643" s="465"/>
      <c r="AI643" s="465"/>
      <c r="AJ643" s="465"/>
      <c r="AK643" s="465"/>
      <c r="AL643" s="465"/>
      <c r="AM643" s="465"/>
      <c r="AN643" s="465"/>
      <c r="AO643" s="465"/>
      <c r="AP643" s="465"/>
      <c r="AQ643" s="465"/>
      <c r="AR643" s="465"/>
      <c r="AS643" s="465"/>
      <c r="AT643" s="465"/>
      <c r="AU643" s="465"/>
      <c r="AV643" s="465"/>
      <c r="AW643" s="465"/>
      <c r="AX643" s="465"/>
      <c r="AY643" s="465"/>
      <c r="AZ643" s="465"/>
      <c r="BA643" s="465"/>
      <c r="BB643" s="465"/>
      <c r="BC643" s="465"/>
    </row>
    <row r="644" spans="1:55">
      <c r="A644" s="465"/>
      <c r="B644" s="465"/>
      <c r="C644" s="465"/>
      <c r="D644" s="467"/>
      <c r="E644" s="465"/>
      <c r="F644" s="465"/>
      <c r="G644" s="465"/>
      <c r="H644" s="465"/>
      <c r="I644" s="465"/>
      <c r="J644" s="465"/>
      <c r="K644" s="465"/>
      <c r="L644" s="465"/>
      <c r="M644" s="465"/>
      <c r="N644" s="465"/>
      <c r="O644" s="465"/>
      <c r="P644" s="465"/>
      <c r="Q644" s="465"/>
      <c r="R644" s="465"/>
      <c r="S644" s="465"/>
      <c r="T644" s="465"/>
      <c r="U644" s="465"/>
      <c r="V644" s="465"/>
      <c r="W644" s="465"/>
      <c r="X644" s="465"/>
      <c r="Y644" s="465"/>
      <c r="Z644" s="465"/>
      <c r="AA644" s="465"/>
      <c r="AB644" s="465"/>
      <c r="AC644" s="465"/>
      <c r="AD644" s="465"/>
      <c r="AE644" s="465"/>
      <c r="AF644" s="465"/>
      <c r="AG644" s="465"/>
      <c r="AH644" s="465"/>
      <c r="AI644" s="465"/>
      <c r="AJ644" s="465"/>
      <c r="AK644" s="465"/>
      <c r="AL644" s="465"/>
      <c r="AM644" s="465"/>
      <c r="AN644" s="465"/>
      <c r="AO644" s="465"/>
      <c r="AP644" s="465"/>
      <c r="AQ644" s="465"/>
      <c r="AR644" s="465"/>
      <c r="AS644" s="465"/>
      <c r="AT644" s="465"/>
      <c r="AU644" s="465"/>
      <c r="AV644" s="465"/>
      <c r="AW644" s="465"/>
      <c r="AX644" s="465"/>
      <c r="AY644" s="465"/>
      <c r="AZ644" s="465"/>
      <c r="BA644" s="465"/>
      <c r="BB644" s="465"/>
      <c r="BC644" s="465"/>
    </row>
    <row r="645" spans="1:55">
      <c r="A645" s="465"/>
      <c r="B645" s="465"/>
      <c r="C645" s="465"/>
      <c r="D645" s="467"/>
      <c r="E645" s="465"/>
      <c r="F645" s="465"/>
      <c r="G645" s="465"/>
      <c r="H645" s="465"/>
      <c r="I645" s="465"/>
      <c r="J645" s="465"/>
      <c r="K645" s="465"/>
      <c r="L645" s="465"/>
      <c r="M645" s="465"/>
      <c r="N645" s="465"/>
      <c r="O645" s="465"/>
      <c r="P645" s="465"/>
      <c r="Q645" s="465"/>
      <c r="R645" s="465"/>
      <c r="S645" s="465"/>
      <c r="T645" s="465"/>
      <c r="U645" s="465"/>
      <c r="V645" s="465"/>
      <c r="W645" s="465"/>
      <c r="X645" s="465"/>
      <c r="Y645" s="465"/>
      <c r="Z645" s="465"/>
      <c r="AA645" s="465"/>
      <c r="AB645" s="465"/>
      <c r="AC645" s="465"/>
      <c r="AD645" s="465"/>
      <c r="AE645" s="465"/>
      <c r="AF645" s="465"/>
      <c r="AG645" s="465"/>
      <c r="AH645" s="465"/>
      <c r="AI645" s="465"/>
      <c r="AJ645" s="465"/>
      <c r="AK645" s="465"/>
      <c r="AL645" s="465"/>
      <c r="AM645" s="465"/>
      <c r="AN645" s="465"/>
      <c r="AO645" s="465"/>
      <c r="AP645" s="465"/>
      <c r="AQ645" s="465"/>
      <c r="AR645" s="465"/>
      <c r="AS645" s="465"/>
      <c r="AT645" s="465"/>
      <c r="AU645" s="465"/>
      <c r="AV645" s="465"/>
      <c r="AW645" s="465"/>
      <c r="AX645" s="465"/>
      <c r="AY645" s="465"/>
      <c r="AZ645" s="465"/>
      <c r="BA645" s="465"/>
      <c r="BB645" s="465"/>
      <c r="BC645" s="465"/>
    </row>
    <row r="646" spans="1:55">
      <c r="A646" s="465"/>
      <c r="B646" s="465"/>
      <c r="C646" s="465"/>
      <c r="D646" s="467"/>
      <c r="E646" s="465"/>
      <c r="F646" s="465"/>
      <c r="G646" s="465"/>
      <c r="H646" s="465"/>
      <c r="I646" s="465"/>
      <c r="J646" s="465"/>
      <c r="K646" s="465"/>
      <c r="L646" s="465"/>
      <c r="M646" s="465"/>
      <c r="N646" s="465"/>
      <c r="O646" s="465"/>
      <c r="P646" s="465"/>
      <c r="Q646" s="465"/>
      <c r="R646" s="465"/>
      <c r="S646" s="465"/>
      <c r="T646" s="465"/>
      <c r="U646" s="465"/>
      <c r="V646" s="465"/>
      <c r="W646" s="465"/>
      <c r="X646" s="465"/>
      <c r="Y646" s="465"/>
      <c r="Z646" s="465"/>
      <c r="AA646" s="465"/>
      <c r="AB646" s="465"/>
      <c r="AC646" s="465"/>
      <c r="AD646" s="465"/>
      <c r="AE646" s="465"/>
      <c r="AF646" s="465"/>
      <c r="AG646" s="465"/>
      <c r="AH646" s="465"/>
      <c r="AI646" s="465"/>
      <c r="AJ646" s="465"/>
      <c r="AK646" s="465"/>
      <c r="AL646" s="465"/>
      <c r="AM646" s="465"/>
      <c r="AN646" s="465"/>
      <c r="AO646" s="465"/>
      <c r="AP646" s="465"/>
      <c r="AQ646" s="465"/>
      <c r="AR646" s="465"/>
      <c r="AS646" s="465"/>
      <c r="AT646" s="465"/>
      <c r="AU646" s="465"/>
      <c r="AV646" s="465"/>
      <c r="AW646" s="465"/>
      <c r="AX646" s="465"/>
      <c r="AY646" s="465"/>
      <c r="AZ646" s="465"/>
      <c r="BA646" s="465"/>
      <c r="BB646" s="465"/>
      <c r="BC646" s="465"/>
    </row>
    <row r="647" spans="1:55">
      <c r="A647" s="465"/>
      <c r="B647" s="465"/>
      <c r="C647" s="465"/>
      <c r="D647" s="467"/>
      <c r="E647" s="465"/>
      <c r="F647" s="465"/>
      <c r="G647" s="465"/>
      <c r="H647" s="465"/>
      <c r="I647" s="465"/>
      <c r="J647" s="465"/>
      <c r="K647" s="465"/>
      <c r="L647" s="465"/>
      <c r="M647" s="465"/>
      <c r="N647" s="465"/>
      <c r="O647" s="465"/>
      <c r="P647" s="465"/>
      <c r="Q647" s="465"/>
      <c r="R647" s="465"/>
      <c r="S647" s="465"/>
      <c r="T647" s="465"/>
      <c r="U647" s="465"/>
      <c r="V647" s="465"/>
      <c r="W647" s="465"/>
      <c r="X647" s="465"/>
      <c r="Y647" s="465"/>
      <c r="Z647" s="465"/>
      <c r="AA647" s="465"/>
      <c r="AB647" s="465"/>
      <c r="AC647" s="465"/>
      <c r="AD647" s="465"/>
      <c r="AE647" s="465"/>
      <c r="AF647" s="465"/>
      <c r="AG647" s="465"/>
      <c r="AH647" s="465"/>
      <c r="AI647" s="465"/>
      <c r="AJ647" s="465"/>
      <c r="AK647" s="465"/>
      <c r="AL647" s="465"/>
      <c r="AM647" s="465"/>
      <c r="AN647" s="465"/>
      <c r="AO647" s="465"/>
      <c r="AP647" s="465"/>
      <c r="AQ647" s="465"/>
      <c r="AR647" s="465"/>
      <c r="AS647" s="465"/>
      <c r="AT647" s="465"/>
      <c r="AU647" s="465"/>
      <c r="AV647" s="465"/>
      <c r="AW647" s="465"/>
      <c r="AX647" s="465"/>
      <c r="AY647" s="465"/>
      <c r="AZ647" s="465"/>
      <c r="BA647" s="465"/>
      <c r="BB647" s="465"/>
      <c r="BC647" s="465"/>
    </row>
    <row r="648" spans="1:55">
      <c r="A648" s="465"/>
      <c r="B648" s="465"/>
      <c r="C648" s="465"/>
      <c r="D648" s="467"/>
      <c r="E648" s="465"/>
      <c r="F648" s="465"/>
      <c r="G648" s="465"/>
      <c r="H648" s="465"/>
      <c r="I648" s="465"/>
      <c r="J648" s="465"/>
      <c r="K648" s="465"/>
      <c r="L648" s="465"/>
      <c r="M648" s="465"/>
      <c r="N648" s="465"/>
      <c r="O648" s="465"/>
      <c r="P648" s="465"/>
      <c r="Q648" s="465"/>
      <c r="R648" s="465"/>
      <c r="S648" s="465"/>
      <c r="T648" s="465"/>
      <c r="U648" s="465"/>
      <c r="V648" s="465"/>
      <c r="W648" s="465"/>
      <c r="X648" s="465"/>
      <c r="Y648" s="465"/>
      <c r="Z648" s="465"/>
      <c r="AA648" s="465"/>
      <c r="AB648" s="465"/>
      <c r="AC648" s="465"/>
      <c r="AD648" s="465"/>
      <c r="AE648" s="465"/>
      <c r="AF648" s="465"/>
      <c r="AG648" s="465"/>
      <c r="AH648" s="465"/>
      <c r="AI648" s="465"/>
      <c r="AJ648" s="465"/>
      <c r="AK648" s="465"/>
      <c r="AL648" s="465"/>
      <c r="AM648" s="465"/>
      <c r="AN648" s="465"/>
      <c r="AO648" s="465"/>
      <c r="AP648" s="465"/>
      <c r="AQ648" s="465"/>
      <c r="AR648" s="465"/>
      <c r="AS648" s="465"/>
      <c r="AT648" s="465"/>
      <c r="AU648" s="465"/>
      <c r="AV648" s="465"/>
      <c r="AW648" s="465"/>
      <c r="AX648" s="465"/>
      <c r="AY648" s="465"/>
      <c r="AZ648" s="465"/>
      <c r="BA648" s="465"/>
      <c r="BB648" s="465"/>
      <c r="BC648" s="465"/>
    </row>
    <row r="649" spans="1:55">
      <c r="A649" s="465"/>
      <c r="B649" s="465"/>
      <c r="C649" s="465"/>
      <c r="D649" s="467"/>
      <c r="E649" s="465"/>
      <c r="F649" s="465"/>
      <c r="G649" s="465"/>
      <c r="H649" s="465"/>
      <c r="I649" s="465"/>
      <c r="J649" s="465"/>
      <c r="K649" s="465"/>
      <c r="L649" s="465"/>
      <c r="M649" s="465"/>
      <c r="N649" s="465"/>
      <c r="O649" s="465"/>
      <c r="P649" s="465"/>
      <c r="Q649" s="465"/>
      <c r="R649" s="465"/>
      <c r="S649" s="465"/>
      <c r="T649" s="465"/>
      <c r="U649" s="465"/>
      <c r="V649" s="465"/>
      <c r="W649" s="465"/>
      <c r="X649" s="465"/>
      <c r="Y649" s="465"/>
      <c r="Z649" s="465"/>
      <c r="AA649" s="465"/>
      <c r="AB649" s="465"/>
      <c r="AC649" s="465"/>
      <c r="AD649" s="465"/>
      <c r="AE649" s="465"/>
      <c r="AF649" s="465"/>
      <c r="AG649" s="465"/>
      <c r="AH649" s="465"/>
      <c r="AI649" s="465"/>
      <c r="AJ649" s="465"/>
      <c r="AK649" s="465"/>
      <c r="AL649" s="465"/>
      <c r="AM649" s="465"/>
      <c r="AN649" s="465"/>
      <c r="AO649" s="465"/>
      <c r="AP649" s="465"/>
      <c r="AQ649" s="465"/>
      <c r="AR649" s="465"/>
      <c r="AS649" s="465"/>
      <c r="AT649" s="465"/>
      <c r="AU649" s="465"/>
      <c r="AV649" s="465"/>
      <c r="AW649" s="465"/>
      <c r="AX649" s="465"/>
      <c r="AY649" s="465"/>
      <c r="AZ649" s="465"/>
      <c r="BA649" s="465"/>
      <c r="BB649" s="465"/>
      <c r="BC649" s="465"/>
    </row>
    <row r="650" spans="1:55">
      <c r="A650" s="465"/>
      <c r="B650" s="465"/>
      <c r="C650" s="465"/>
      <c r="D650" s="467"/>
      <c r="E650" s="465"/>
      <c r="F650" s="465"/>
      <c r="G650" s="465"/>
      <c r="H650" s="465"/>
      <c r="I650" s="465"/>
      <c r="J650" s="465"/>
      <c r="K650" s="465"/>
      <c r="L650" s="465"/>
      <c r="M650" s="465"/>
      <c r="N650" s="465"/>
      <c r="O650" s="465"/>
      <c r="P650" s="465"/>
      <c r="Q650" s="465"/>
      <c r="R650" s="465"/>
      <c r="S650" s="465"/>
      <c r="T650" s="465"/>
      <c r="U650" s="465"/>
      <c r="V650" s="465"/>
      <c r="W650" s="465"/>
      <c r="X650" s="465"/>
      <c r="Y650" s="465"/>
      <c r="Z650" s="465"/>
      <c r="AA650" s="465"/>
      <c r="AB650" s="465"/>
      <c r="AC650" s="465"/>
      <c r="AD650" s="465"/>
      <c r="AE650" s="465"/>
      <c r="AF650" s="465"/>
      <c r="AG650" s="465"/>
      <c r="AH650" s="465"/>
      <c r="AI650" s="465"/>
      <c r="AJ650" s="465"/>
      <c r="AK650" s="465"/>
      <c r="AL650" s="465"/>
      <c r="AM650" s="465"/>
      <c r="AN650" s="465"/>
      <c r="AO650" s="465"/>
      <c r="AP650" s="465"/>
      <c r="AQ650" s="465"/>
      <c r="AR650" s="465"/>
      <c r="AS650" s="465"/>
      <c r="AT650" s="465"/>
      <c r="AU650" s="465"/>
      <c r="AV650" s="465"/>
      <c r="AW650" s="465"/>
      <c r="AX650" s="465"/>
      <c r="AY650" s="465"/>
      <c r="AZ650" s="465"/>
      <c r="BA650" s="465"/>
      <c r="BB650" s="465"/>
      <c r="BC650" s="465"/>
    </row>
    <row r="651" spans="1:55">
      <c r="A651" s="465"/>
      <c r="B651" s="465"/>
      <c r="C651" s="465"/>
      <c r="D651" s="467"/>
      <c r="E651" s="465"/>
      <c r="F651" s="465"/>
      <c r="G651" s="465"/>
      <c r="H651" s="465"/>
      <c r="I651" s="465"/>
      <c r="J651" s="465"/>
      <c r="K651" s="465"/>
      <c r="L651" s="465"/>
      <c r="M651" s="465"/>
      <c r="N651" s="465"/>
      <c r="O651" s="465"/>
      <c r="P651" s="465"/>
      <c r="Q651" s="465"/>
      <c r="R651" s="465"/>
      <c r="S651" s="465"/>
      <c r="T651" s="465"/>
      <c r="U651" s="465"/>
      <c r="V651" s="465"/>
      <c r="W651" s="465"/>
      <c r="X651" s="465"/>
      <c r="Y651" s="465"/>
      <c r="Z651" s="465"/>
      <c r="AA651" s="465"/>
      <c r="AB651" s="465"/>
      <c r="AC651" s="465"/>
      <c r="AD651" s="465"/>
      <c r="AE651" s="465"/>
      <c r="AF651" s="465"/>
      <c r="AG651" s="465"/>
      <c r="AH651" s="465"/>
      <c r="AI651" s="465"/>
      <c r="AJ651" s="465"/>
      <c r="AK651" s="465"/>
      <c r="AL651" s="465"/>
      <c r="AM651" s="465"/>
      <c r="AN651" s="465"/>
      <c r="AO651" s="465"/>
      <c r="AP651" s="465"/>
      <c r="AQ651" s="465"/>
      <c r="AR651" s="465"/>
      <c r="AS651" s="465"/>
      <c r="AT651" s="465"/>
      <c r="AU651" s="465"/>
      <c r="AV651" s="465"/>
      <c r="AW651" s="465"/>
      <c r="AX651" s="465"/>
      <c r="AY651" s="465"/>
      <c r="AZ651" s="465"/>
      <c r="BA651" s="465"/>
      <c r="BB651" s="465"/>
      <c r="BC651" s="465"/>
    </row>
    <row r="652" spans="1:55">
      <c r="A652" s="465"/>
      <c r="B652" s="465"/>
      <c r="C652" s="465"/>
      <c r="D652" s="467"/>
      <c r="E652" s="465"/>
      <c r="F652" s="465"/>
      <c r="G652" s="465"/>
      <c r="H652" s="465"/>
      <c r="I652" s="465"/>
      <c r="J652" s="465"/>
      <c r="K652" s="465"/>
      <c r="L652" s="465"/>
      <c r="M652" s="465"/>
      <c r="N652" s="465"/>
      <c r="O652" s="465"/>
      <c r="P652" s="465"/>
      <c r="Q652" s="465"/>
      <c r="R652" s="465"/>
      <c r="S652" s="465"/>
      <c r="T652" s="465"/>
      <c r="U652" s="465"/>
      <c r="V652" s="465"/>
      <c r="W652" s="465"/>
      <c r="X652" s="465"/>
      <c r="Y652" s="465"/>
      <c r="Z652" s="465"/>
      <c r="AA652" s="465"/>
      <c r="AB652" s="465"/>
      <c r="AC652" s="465"/>
      <c r="AD652" s="465"/>
      <c r="AE652" s="465"/>
      <c r="AF652" s="465"/>
      <c r="AG652" s="465"/>
      <c r="AH652" s="465"/>
      <c r="AI652" s="465"/>
      <c r="AJ652" s="465"/>
      <c r="AK652" s="465"/>
      <c r="AL652" s="465"/>
      <c r="AM652" s="465"/>
      <c r="AN652" s="465"/>
      <c r="AO652" s="465"/>
      <c r="AP652" s="465"/>
      <c r="AQ652" s="465"/>
      <c r="AR652" s="465"/>
      <c r="AS652" s="465"/>
      <c r="AT652" s="465"/>
      <c r="AU652" s="465"/>
      <c r="AV652" s="465"/>
      <c r="AW652" s="465"/>
      <c r="AX652" s="465"/>
      <c r="AY652" s="465"/>
      <c r="AZ652" s="465"/>
      <c r="BA652" s="465"/>
      <c r="BB652" s="465"/>
      <c r="BC652" s="465"/>
    </row>
    <row r="653" spans="1:55">
      <c r="A653" s="465"/>
      <c r="B653" s="465"/>
      <c r="C653" s="465"/>
      <c r="D653" s="467"/>
      <c r="E653" s="465"/>
      <c r="F653" s="465"/>
      <c r="G653" s="465"/>
      <c r="H653" s="465"/>
      <c r="I653" s="465"/>
      <c r="J653" s="465"/>
      <c r="K653" s="465"/>
      <c r="L653" s="465"/>
      <c r="M653" s="465"/>
      <c r="N653" s="465"/>
      <c r="O653" s="465"/>
      <c r="P653" s="465"/>
      <c r="Q653" s="465"/>
      <c r="R653" s="465"/>
      <c r="S653" s="465"/>
      <c r="T653" s="465"/>
      <c r="U653" s="465"/>
      <c r="V653" s="465"/>
      <c r="W653" s="465"/>
      <c r="X653" s="465"/>
      <c r="Y653" s="465"/>
      <c r="Z653" s="465"/>
      <c r="AA653" s="465"/>
      <c r="AB653" s="465"/>
      <c r="AC653" s="465"/>
      <c r="AD653" s="465"/>
      <c r="AE653" s="465"/>
      <c r="AF653" s="465"/>
      <c r="AG653" s="465"/>
      <c r="AH653" s="465"/>
      <c r="AI653" s="465"/>
      <c r="AJ653" s="465"/>
      <c r="AK653" s="465"/>
      <c r="AL653" s="465"/>
      <c r="AM653" s="465"/>
      <c r="AN653" s="465"/>
      <c r="AO653" s="465"/>
      <c r="AP653" s="465"/>
      <c r="AQ653" s="465"/>
      <c r="AR653" s="465"/>
      <c r="AS653" s="465"/>
      <c r="AT653" s="465"/>
      <c r="AU653" s="465"/>
      <c r="AV653" s="465"/>
      <c r="AW653" s="465"/>
      <c r="AX653" s="465"/>
      <c r="AY653" s="465"/>
      <c r="AZ653" s="465"/>
      <c r="BA653" s="465"/>
      <c r="BB653" s="465"/>
      <c r="BC653" s="465"/>
    </row>
    <row r="654" spans="1:55">
      <c r="A654" s="465"/>
      <c r="B654" s="465"/>
      <c r="C654" s="465"/>
      <c r="D654" s="467"/>
      <c r="E654" s="465"/>
      <c r="F654" s="465"/>
      <c r="G654" s="465"/>
      <c r="H654" s="465"/>
      <c r="I654" s="465"/>
      <c r="J654" s="465"/>
      <c r="K654" s="465"/>
      <c r="L654" s="465"/>
      <c r="M654" s="465"/>
      <c r="N654" s="465"/>
      <c r="O654" s="465"/>
      <c r="P654" s="465"/>
      <c r="Q654" s="465"/>
      <c r="R654" s="465"/>
      <c r="S654" s="465"/>
      <c r="T654" s="465"/>
      <c r="U654" s="465"/>
      <c r="V654" s="465"/>
      <c r="W654" s="465"/>
      <c r="X654" s="465"/>
      <c r="Y654" s="465"/>
      <c r="Z654" s="465"/>
      <c r="AA654" s="465"/>
      <c r="AB654" s="465"/>
      <c r="AC654" s="465"/>
      <c r="AD654" s="465"/>
      <c r="AE654" s="465"/>
      <c r="AF654" s="465"/>
      <c r="AG654" s="465"/>
      <c r="AH654" s="465"/>
      <c r="AI654" s="465"/>
      <c r="AJ654" s="465"/>
      <c r="AK654" s="465"/>
      <c r="AL654" s="465"/>
      <c r="AM654" s="465"/>
      <c r="AN654" s="465"/>
      <c r="AO654" s="465"/>
      <c r="AP654" s="465"/>
      <c r="AQ654" s="465"/>
      <c r="AR654" s="465"/>
      <c r="AS654" s="465"/>
      <c r="AT654" s="465"/>
      <c r="AU654" s="465"/>
      <c r="AV654" s="465"/>
      <c r="AW654" s="465"/>
      <c r="AX654" s="465"/>
      <c r="AY654" s="465"/>
      <c r="AZ654" s="465"/>
      <c r="BA654" s="465"/>
      <c r="BB654" s="465"/>
      <c r="BC654" s="465"/>
    </row>
    <row r="655" spans="1:55">
      <c r="A655" s="465"/>
      <c r="B655" s="465"/>
      <c r="C655" s="465"/>
      <c r="D655" s="467"/>
      <c r="E655" s="465"/>
      <c r="F655" s="465"/>
      <c r="G655" s="465"/>
      <c r="H655" s="465"/>
      <c r="I655" s="465"/>
      <c r="J655" s="465"/>
      <c r="K655" s="465"/>
      <c r="L655" s="465"/>
      <c r="M655" s="465"/>
      <c r="N655" s="465"/>
      <c r="O655" s="465"/>
      <c r="P655" s="465"/>
      <c r="Q655" s="465"/>
      <c r="R655" s="465"/>
      <c r="S655" s="465"/>
      <c r="T655" s="465"/>
      <c r="U655" s="465"/>
      <c r="V655" s="465"/>
      <c r="W655" s="465"/>
      <c r="X655" s="465"/>
      <c r="Y655" s="465"/>
      <c r="Z655" s="465"/>
      <c r="AA655" s="465"/>
      <c r="AB655" s="465"/>
      <c r="AC655" s="465"/>
      <c r="AD655" s="465"/>
      <c r="AE655" s="465"/>
      <c r="AF655" s="465"/>
      <c r="AG655" s="465"/>
      <c r="AH655" s="465"/>
      <c r="AI655" s="465"/>
      <c r="AJ655" s="465"/>
      <c r="AK655" s="465"/>
      <c r="AL655" s="465"/>
      <c r="AM655" s="465"/>
      <c r="AN655" s="465"/>
      <c r="AO655" s="465"/>
      <c r="AP655" s="465"/>
      <c r="AQ655" s="465"/>
      <c r="AR655" s="465"/>
      <c r="AS655" s="465"/>
      <c r="AT655" s="465"/>
      <c r="AU655" s="465"/>
      <c r="AV655" s="465"/>
      <c r="AW655" s="465"/>
      <c r="AX655" s="465"/>
      <c r="AY655" s="465"/>
      <c r="AZ655" s="465"/>
      <c r="BA655" s="465"/>
      <c r="BB655" s="465"/>
      <c r="BC655" s="465"/>
    </row>
    <row r="656" spans="1:55">
      <c r="A656" s="465"/>
      <c r="B656" s="465"/>
      <c r="C656" s="465"/>
      <c r="D656" s="467"/>
      <c r="E656" s="465"/>
      <c r="F656" s="465"/>
      <c r="G656" s="465"/>
      <c r="H656" s="465"/>
      <c r="I656" s="465"/>
      <c r="J656" s="465"/>
      <c r="K656" s="465"/>
      <c r="L656" s="465"/>
      <c r="M656" s="465"/>
      <c r="N656" s="465"/>
      <c r="O656" s="465"/>
      <c r="P656" s="465"/>
      <c r="Q656" s="465"/>
      <c r="R656" s="465"/>
      <c r="S656" s="465"/>
      <c r="T656" s="465"/>
      <c r="U656" s="465"/>
      <c r="V656" s="465"/>
      <c r="W656" s="465"/>
      <c r="X656" s="465"/>
      <c r="Y656" s="465"/>
      <c r="Z656" s="465"/>
      <c r="AA656" s="465"/>
      <c r="AB656" s="465"/>
      <c r="AC656" s="465"/>
      <c r="AD656" s="465"/>
      <c r="AE656" s="465"/>
      <c r="AF656" s="465"/>
      <c r="AG656" s="465"/>
      <c r="AH656" s="465"/>
      <c r="AI656" s="465"/>
      <c r="AJ656" s="465"/>
      <c r="AK656" s="465"/>
      <c r="AL656" s="465"/>
      <c r="AM656" s="465"/>
      <c r="AN656" s="465"/>
      <c r="AO656" s="465"/>
      <c r="AP656" s="465"/>
      <c r="AQ656" s="465"/>
      <c r="AR656" s="465"/>
      <c r="AS656" s="465"/>
      <c r="AT656" s="465"/>
      <c r="AU656" s="465"/>
      <c r="AV656" s="465"/>
      <c r="AW656" s="465"/>
      <c r="AX656" s="465"/>
      <c r="AY656" s="465"/>
      <c r="AZ656" s="465"/>
      <c r="BA656" s="465"/>
      <c r="BB656" s="465"/>
      <c r="BC656" s="465"/>
    </row>
    <row r="657" spans="1:55">
      <c r="A657" s="465"/>
      <c r="B657" s="465"/>
      <c r="C657" s="465"/>
      <c r="D657" s="467"/>
      <c r="E657" s="465"/>
      <c r="F657" s="465"/>
      <c r="G657" s="465"/>
      <c r="H657" s="465"/>
      <c r="I657" s="465"/>
      <c r="J657" s="465"/>
      <c r="K657" s="465"/>
      <c r="L657" s="465"/>
      <c r="M657" s="465"/>
      <c r="N657" s="465"/>
      <c r="O657" s="465"/>
      <c r="P657" s="465"/>
      <c r="Q657" s="465"/>
      <c r="R657" s="465"/>
      <c r="S657" s="465"/>
      <c r="T657" s="465"/>
      <c r="U657" s="465"/>
      <c r="V657" s="465"/>
      <c r="W657" s="465"/>
      <c r="X657" s="465"/>
      <c r="Y657" s="465"/>
      <c r="Z657" s="465"/>
      <c r="AA657" s="465"/>
      <c r="AB657" s="465"/>
      <c r="AC657" s="465"/>
      <c r="AD657" s="465"/>
      <c r="AE657" s="465"/>
      <c r="AF657" s="465"/>
      <c r="AG657" s="465"/>
      <c r="AH657" s="465"/>
      <c r="AI657" s="465"/>
      <c r="AJ657" s="465"/>
      <c r="AK657" s="465"/>
      <c r="AL657" s="465"/>
      <c r="AM657" s="465"/>
      <c r="AN657" s="465"/>
      <c r="AO657" s="465"/>
      <c r="AP657" s="465"/>
      <c r="AQ657" s="465"/>
      <c r="AR657" s="465"/>
      <c r="AS657" s="465"/>
      <c r="AT657" s="465"/>
      <c r="AU657" s="465"/>
      <c r="AV657" s="465"/>
      <c r="AW657" s="465"/>
      <c r="AX657" s="465"/>
      <c r="AY657" s="465"/>
      <c r="AZ657" s="465"/>
      <c r="BA657" s="465"/>
      <c r="BB657" s="465"/>
      <c r="BC657" s="465"/>
    </row>
    <row r="658" spans="1:55">
      <c r="A658" s="465"/>
      <c r="B658" s="465"/>
      <c r="C658" s="465"/>
      <c r="D658" s="467"/>
      <c r="E658" s="465"/>
      <c r="F658" s="465"/>
      <c r="G658" s="465"/>
      <c r="H658" s="465"/>
      <c r="I658" s="465"/>
      <c r="J658" s="465"/>
      <c r="K658" s="465"/>
      <c r="L658" s="465"/>
      <c r="M658" s="465"/>
      <c r="N658" s="465"/>
      <c r="O658" s="465"/>
      <c r="P658" s="465"/>
      <c r="Q658" s="465"/>
      <c r="R658" s="465"/>
      <c r="S658" s="465"/>
      <c r="T658" s="465"/>
      <c r="U658" s="465"/>
      <c r="V658" s="465"/>
      <c r="W658" s="465"/>
      <c r="X658" s="465"/>
      <c r="Y658" s="465"/>
      <c r="Z658" s="465"/>
      <c r="AA658" s="465"/>
      <c r="AB658" s="465"/>
      <c r="AC658" s="465"/>
      <c r="AD658" s="465"/>
      <c r="AE658" s="465"/>
      <c r="AF658" s="465"/>
      <c r="AG658" s="465"/>
      <c r="AH658" s="465"/>
      <c r="AI658" s="465"/>
      <c r="AJ658" s="465"/>
      <c r="AK658" s="465"/>
      <c r="AL658" s="465"/>
      <c r="AM658" s="465"/>
      <c r="AN658" s="465"/>
      <c r="AO658" s="465"/>
      <c r="AP658" s="465"/>
      <c r="AQ658" s="465"/>
      <c r="AR658" s="465"/>
      <c r="AS658" s="465"/>
      <c r="AT658" s="465"/>
      <c r="AU658" s="465"/>
      <c r="AV658" s="465"/>
      <c r="AW658" s="465"/>
      <c r="AX658" s="465"/>
      <c r="AY658" s="465"/>
      <c r="AZ658" s="465"/>
      <c r="BA658" s="465"/>
      <c r="BB658" s="465"/>
      <c r="BC658" s="465"/>
    </row>
    <row r="659" spans="1:55">
      <c r="A659" s="465"/>
      <c r="B659" s="465"/>
      <c r="C659" s="465"/>
      <c r="D659" s="467"/>
      <c r="E659" s="465"/>
      <c r="F659" s="465"/>
      <c r="G659" s="465"/>
      <c r="H659" s="465"/>
      <c r="I659" s="465"/>
      <c r="J659" s="465"/>
      <c r="K659" s="465"/>
      <c r="L659" s="465"/>
      <c r="M659" s="465"/>
      <c r="N659" s="465"/>
      <c r="O659" s="465"/>
      <c r="P659" s="465"/>
      <c r="Q659" s="465"/>
      <c r="R659" s="465"/>
      <c r="S659" s="465"/>
      <c r="T659" s="465"/>
      <c r="U659" s="465"/>
      <c r="V659" s="465"/>
      <c r="W659" s="465"/>
      <c r="X659" s="465"/>
      <c r="Y659" s="465"/>
      <c r="Z659" s="465"/>
      <c r="AA659" s="465"/>
      <c r="AB659" s="465"/>
      <c r="AC659" s="465"/>
      <c r="AD659" s="465"/>
      <c r="AE659" s="465"/>
      <c r="AF659" s="465"/>
      <c r="AG659" s="465"/>
      <c r="AH659" s="465"/>
      <c r="AI659" s="465"/>
      <c r="AJ659" s="465"/>
      <c r="AK659" s="465"/>
      <c r="AL659" s="465"/>
      <c r="AM659" s="465"/>
      <c r="AN659" s="465"/>
      <c r="AO659" s="465"/>
      <c r="AP659" s="465"/>
      <c r="AQ659" s="465"/>
      <c r="AR659" s="465"/>
      <c r="AS659" s="465"/>
      <c r="AT659" s="465"/>
      <c r="AU659" s="465"/>
      <c r="AV659" s="465"/>
      <c r="AW659" s="465"/>
      <c r="AX659" s="465"/>
      <c r="AY659" s="465"/>
      <c r="AZ659" s="465"/>
      <c r="BA659" s="465"/>
      <c r="BB659" s="465"/>
      <c r="BC659" s="465"/>
    </row>
    <row r="660" spans="1:55">
      <c r="A660" s="465"/>
      <c r="B660" s="465"/>
      <c r="C660" s="465"/>
      <c r="D660" s="467"/>
      <c r="E660" s="465"/>
      <c r="F660" s="465"/>
      <c r="G660" s="465"/>
      <c r="H660" s="465"/>
      <c r="I660" s="465"/>
      <c r="J660" s="465"/>
      <c r="K660" s="465"/>
      <c r="L660" s="465"/>
      <c r="M660" s="465"/>
      <c r="N660" s="465"/>
      <c r="O660" s="465"/>
      <c r="P660" s="465"/>
      <c r="Q660" s="465"/>
      <c r="R660" s="465"/>
      <c r="S660" s="465"/>
      <c r="T660" s="465"/>
      <c r="U660" s="465"/>
      <c r="V660" s="465"/>
      <c r="W660" s="465"/>
      <c r="X660" s="465"/>
      <c r="Y660" s="465"/>
      <c r="Z660" s="465"/>
      <c r="AA660" s="465"/>
      <c r="AB660" s="465"/>
      <c r="AC660" s="465"/>
      <c r="AD660" s="465"/>
      <c r="AE660" s="465"/>
      <c r="AF660" s="465"/>
      <c r="AG660" s="465"/>
      <c r="AH660" s="465"/>
      <c r="AI660" s="465"/>
      <c r="AJ660" s="465"/>
      <c r="AK660" s="465"/>
      <c r="AL660" s="465"/>
      <c r="AM660" s="465"/>
      <c r="AN660" s="465"/>
      <c r="AO660" s="465"/>
      <c r="AP660" s="465"/>
      <c r="AQ660" s="465"/>
      <c r="AR660" s="465"/>
      <c r="AS660" s="465"/>
      <c r="AT660" s="465"/>
      <c r="AU660" s="465"/>
      <c r="AV660" s="465"/>
      <c r="AW660" s="465"/>
      <c r="AX660" s="465"/>
      <c r="AY660" s="465"/>
      <c r="AZ660" s="465"/>
      <c r="BA660" s="465"/>
      <c r="BB660" s="465"/>
      <c r="BC660" s="465"/>
    </row>
    <row r="661" spans="1:55">
      <c r="A661" s="465"/>
      <c r="B661" s="465"/>
      <c r="C661" s="465"/>
      <c r="D661" s="467"/>
      <c r="E661" s="465"/>
      <c r="F661" s="465"/>
      <c r="G661" s="465"/>
      <c r="H661" s="465"/>
      <c r="I661" s="465"/>
      <c r="J661" s="465"/>
      <c r="K661" s="465"/>
      <c r="L661" s="465"/>
      <c r="M661" s="465"/>
      <c r="N661" s="465"/>
      <c r="O661" s="465"/>
      <c r="P661" s="465"/>
      <c r="Q661" s="465"/>
      <c r="R661" s="465"/>
      <c r="S661" s="465"/>
      <c r="T661" s="465"/>
      <c r="U661" s="465"/>
      <c r="V661" s="465"/>
      <c r="W661" s="465"/>
      <c r="X661" s="465"/>
      <c r="Y661" s="465"/>
      <c r="Z661" s="465"/>
      <c r="AA661" s="465"/>
      <c r="AB661" s="465"/>
      <c r="AC661" s="465"/>
      <c r="AD661" s="465"/>
      <c r="AE661" s="465"/>
      <c r="AF661" s="465"/>
      <c r="AG661" s="465"/>
      <c r="AH661" s="465"/>
      <c r="AI661" s="465"/>
      <c r="AJ661" s="465"/>
      <c r="AK661" s="465"/>
      <c r="AL661" s="465"/>
      <c r="AM661" s="465"/>
      <c r="AN661" s="465"/>
      <c r="AO661" s="465"/>
      <c r="AP661" s="465"/>
      <c r="AQ661" s="465"/>
      <c r="AR661" s="465"/>
      <c r="AS661" s="465"/>
      <c r="AT661" s="465"/>
      <c r="AU661" s="465"/>
      <c r="AV661" s="465"/>
      <c r="AW661" s="465"/>
      <c r="AX661" s="465"/>
      <c r="AY661" s="465"/>
      <c r="AZ661" s="465"/>
      <c r="BA661" s="465"/>
      <c r="BB661" s="465"/>
      <c r="BC661" s="465"/>
    </row>
    <row r="662" spans="1:55">
      <c r="A662" s="465"/>
      <c r="B662" s="465"/>
      <c r="C662" s="465"/>
      <c r="D662" s="467"/>
      <c r="E662" s="465"/>
      <c r="F662" s="465"/>
      <c r="G662" s="465"/>
      <c r="H662" s="465"/>
      <c r="I662" s="465"/>
      <c r="J662" s="465"/>
      <c r="K662" s="465"/>
      <c r="L662" s="465"/>
      <c r="M662" s="465"/>
      <c r="N662" s="465"/>
      <c r="O662" s="465"/>
      <c r="P662" s="465"/>
      <c r="Q662" s="465"/>
      <c r="R662" s="465"/>
      <c r="S662" s="465"/>
      <c r="T662" s="465"/>
      <c r="U662" s="465"/>
      <c r="V662" s="465"/>
      <c r="W662" s="465"/>
      <c r="X662" s="465"/>
      <c r="Y662" s="465"/>
      <c r="Z662" s="465"/>
      <c r="AA662" s="465"/>
      <c r="AB662" s="465"/>
      <c r="AC662" s="465"/>
      <c r="AD662" s="465"/>
      <c r="AE662" s="465"/>
      <c r="AF662" s="465"/>
      <c r="AG662" s="465"/>
      <c r="AH662" s="465"/>
      <c r="AI662" s="465"/>
      <c r="AJ662" s="465"/>
      <c r="AK662" s="465"/>
      <c r="AL662" s="465"/>
      <c r="AM662" s="465"/>
      <c r="AN662" s="465"/>
      <c r="AO662" s="465"/>
      <c r="AP662" s="465"/>
      <c r="AQ662" s="465"/>
      <c r="AR662" s="465"/>
      <c r="AS662" s="465"/>
      <c r="AT662" s="465"/>
      <c r="AU662" s="465"/>
      <c r="AV662" s="465"/>
      <c r="AW662" s="465"/>
      <c r="AX662" s="465"/>
      <c r="AY662" s="465"/>
      <c r="AZ662" s="465"/>
      <c r="BA662" s="465"/>
      <c r="BB662" s="465"/>
      <c r="BC662" s="465"/>
    </row>
    <row r="663" spans="1:55">
      <c r="A663" s="465"/>
      <c r="B663" s="465"/>
      <c r="C663" s="465"/>
      <c r="D663" s="467"/>
      <c r="E663" s="465"/>
      <c r="F663" s="465"/>
      <c r="G663" s="465"/>
      <c r="H663" s="465"/>
      <c r="I663" s="465"/>
      <c r="J663" s="465"/>
      <c r="K663" s="465"/>
      <c r="L663" s="465"/>
      <c r="M663" s="465"/>
      <c r="N663" s="465"/>
      <c r="O663" s="465"/>
      <c r="P663" s="465"/>
      <c r="Q663" s="465"/>
      <c r="R663" s="465"/>
      <c r="S663" s="465"/>
      <c r="T663" s="465"/>
      <c r="U663" s="465"/>
      <c r="V663" s="465"/>
      <c r="W663" s="465"/>
      <c r="X663" s="465"/>
      <c r="Y663" s="465"/>
      <c r="Z663" s="465"/>
      <c r="AA663" s="465"/>
      <c r="AB663" s="465"/>
      <c r="AC663" s="465"/>
      <c r="AD663" s="465"/>
      <c r="AE663" s="465"/>
      <c r="AF663" s="465"/>
      <c r="AG663" s="465"/>
      <c r="AH663" s="465"/>
      <c r="AI663" s="465"/>
      <c r="AJ663" s="465"/>
      <c r="AK663" s="465"/>
      <c r="AL663" s="465"/>
      <c r="AM663" s="465"/>
      <c r="AN663" s="465"/>
      <c r="AO663" s="465"/>
      <c r="AP663" s="465"/>
      <c r="AQ663" s="465"/>
      <c r="AR663" s="465"/>
      <c r="AS663" s="465"/>
      <c r="AT663" s="465"/>
      <c r="AU663" s="465"/>
      <c r="AV663" s="465"/>
      <c r="AW663" s="465"/>
      <c r="AX663" s="465"/>
      <c r="AY663" s="465"/>
      <c r="AZ663" s="465"/>
      <c r="BA663" s="465"/>
      <c r="BB663" s="465"/>
      <c r="BC663" s="465"/>
    </row>
    <row r="664" spans="1:55">
      <c r="A664" s="465"/>
      <c r="B664" s="465"/>
      <c r="C664" s="465"/>
      <c r="D664" s="467"/>
      <c r="E664" s="465"/>
      <c r="F664" s="465"/>
      <c r="G664" s="465"/>
      <c r="H664" s="465"/>
      <c r="I664" s="465"/>
      <c r="J664" s="465"/>
      <c r="K664" s="465"/>
      <c r="L664" s="465"/>
      <c r="M664" s="465"/>
      <c r="N664" s="465"/>
      <c r="O664" s="465"/>
      <c r="P664" s="465"/>
      <c r="Q664" s="465"/>
      <c r="R664" s="465"/>
      <c r="S664" s="465"/>
      <c r="T664" s="465"/>
      <c r="U664" s="465"/>
      <c r="V664" s="465"/>
      <c r="W664" s="465"/>
      <c r="X664" s="465"/>
      <c r="Y664" s="465"/>
      <c r="Z664" s="465"/>
      <c r="AA664" s="465"/>
      <c r="AB664" s="465"/>
      <c r="AC664" s="465"/>
      <c r="AD664" s="465"/>
      <c r="AE664" s="465"/>
      <c r="AF664" s="465"/>
      <c r="AG664" s="465"/>
      <c r="AH664" s="465"/>
      <c r="AI664" s="465"/>
      <c r="AJ664" s="465"/>
      <c r="AK664" s="465"/>
      <c r="AL664" s="465"/>
      <c r="AM664" s="465"/>
      <c r="AN664" s="465"/>
      <c r="AO664" s="465"/>
      <c r="AP664" s="465"/>
      <c r="AQ664" s="465"/>
      <c r="AR664" s="465"/>
      <c r="AS664" s="465"/>
      <c r="AT664" s="465"/>
      <c r="AU664" s="465"/>
      <c r="AV664" s="465"/>
      <c r="AW664" s="465"/>
      <c r="AX664" s="465"/>
      <c r="AY664" s="465"/>
      <c r="AZ664" s="465"/>
      <c r="BA664" s="465"/>
      <c r="BB664" s="465"/>
      <c r="BC664" s="465"/>
    </row>
    <row r="665" spans="1:55">
      <c r="A665" s="465"/>
      <c r="B665" s="465"/>
      <c r="C665" s="465"/>
      <c r="D665" s="467"/>
      <c r="E665" s="465"/>
      <c r="F665" s="465"/>
      <c r="G665" s="465"/>
      <c r="H665" s="465"/>
      <c r="I665" s="465"/>
      <c r="J665" s="465"/>
      <c r="K665" s="465"/>
      <c r="L665" s="465"/>
      <c r="M665" s="465"/>
      <c r="N665" s="465"/>
      <c r="O665" s="465"/>
      <c r="P665" s="465"/>
      <c r="Q665" s="465"/>
      <c r="R665" s="465"/>
      <c r="S665" s="465"/>
      <c r="T665" s="465"/>
      <c r="U665" s="465"/>
      <c r="V665" s="465"/>
      <c r="W665" s="465"/>
      <c r="X665" s="465"/>
      <c r="Y665" s="465"/>
      <c r="Z665" s="465"/>
      <c r="AA665" s="465"/>
      <c r="AB665" s="465"/>
      <c r="AC665" s="465"/>
      <c r="AD665" s="465"/>
      <c r="AE665" s="465"/>
      <c r="AF665" s="465"/>
      <c r="AG665" s="465"/>
      <c r="AH665" s="465"/>
      <c r="AI665" s="465"/>
      <c r="AJ665" s="465"/>
      <c r="AK665" s="465"/>
      <c r="AL665" s="465"/>
      <c r="AM665" s="465"/>
      <c r="AN665" s="465"/>
      <c r="AO665" s="465"/>
      <c r="AP665" s="465"/>
      <c r="AQ665" s="465"/>
      <c r="AR665" s="465"/>
      <c r="AS665" s="465"/>
      <c r="AT665" s="465"/>
      <c r="AU665" s="465"/>
      <c r="AV665" s="465"/>
      <c r="AW665" s="465"/>
      <c r="AX665" s="465"/>
      <c r="AY665" s="465"/>
      <c r="AZ665" s="465"/>
      <c r="BA665" s="465"/>
      <c r="BB665" s="465"/>
      <c r="BC665" s="465"/>
    </row>
    <row r="666" spans="1:55">
      <c r="A666" s="465"/>
      <c r="B666" s="465"/>
      <c r="C666" s="465"/>
      <c r="D666" s="467"/>
      <c r="E666" s="465"/>
      <c r="F666" s="465"/>
      <c r="G666" s="465"/>
      <c r="H666" s="465"/>
      <c r="I666" s="465"/>
      <c r="J666" s="465"/>
      <c r="K666" s="465"/>
      <c r="L666" s="465"/>
      <c r="M666" s="465"/>
      <c r="N666" s="465"/>
      <c r="O666" s="465"/>
      <c r="P666" s="465"/>
      <c r="Q666" s="465"/>
      <c r="R666" s="465"/>
      <c r="S666" s="465"/>
      <c r="T666" s="465"/>
      <c r="U666" s="465"/>
      <c r="V666" s="465"/>
      <c r="W666" s="465"/>
      <c r="X666" s="465"/>
      <c r="Y666" s="465"/>
      <c r="Z666" s="465"/>
      <c r="AA666" s="465"/>
      <c r="AB666" s="465"/>
      <c r="AC666" s="465"/>
      <c r="AD666" s="465"/>
      <c r="AE666" s="465"/>
      <c r="AF666" s="465"/>
      <c r="AG666" s="465"/>
      <c r="AH666" s="465"/>
      <c r="AI666" s="465"/>
      <c r="AJ666" s="465"/>
      <c r="AK666" s="465"/>
      <c r="AL666" s="465"/>
      <c r="AM666" s="465"/>
      <c r="AN666" s="465"/>
      <c r="AO666" s="465"/>
      <c r="AP666" s="465"/>
      <c r="AQ666" s="465"/>
      <c r="AR666" s="465"/>
      <c r="AS666" s="465"/>
      <c r="AT666" s="465"/>
      <c r="AU666" s="465"/>
      <c r="AV666" s="465"/>
      <c r="AW666" s="465"/>
      <c r="AX666" s="465"/>
      <c r="AY666" s="465"/>
      <c r="AZ666" s="465"/>
      <c r="BA666" s="465"/>
      <c r="BB666" s="465"/>
      <c r="BC666" s="465"/>
    </row>
    <row r="667" spans="1:55">
      <c r="A667" s="465"/>
      <c r="B667" s="465"/>
      <c r="C667" s="465"/>
      <c r="D667" s="467"/>
      <c r="E667" s="465"/>
      <c r="F667" s="465"/>
      <c r="G667" s="465"/>
      <c r="H667" s="465"/>
      <c r="I667" s="465"/>
      <c r="J667" s="465"/>
      <c r="K667" s="465"/>
      <c r="L667" s="465"/>
      <c r="M667" s="465"/>
      <c r="N667" s="465"/>
      <c r="O667" s="465"/>
      <c r="P667" s="465"/>
      <c r="Q667" s="465"/>
      <c r="R667" s="465"/>
      <c r="S667" s="465"/>
      <c r="T667" s="465"/>
      <c r="U667" s="465"/>
      <c r="V667" s="465"/>
      <c r="W667" s="465"/>
      <c r="X667" s="465"/>
      <c r="Y667" s="465"/>
      <c r="Z667" s="465"/>
      <c r="AA667" s="465"/>
      <c r="AB667" s="465"/>
      <c r="AC667" s="465"/>
      <c r="AD667" s="465"/>
      <c r="AE667" s="465"/>
      <c r="AF667" s="465"/>
      <c r="AG667" s="465"/>
      <c r="AH667" s="465"/>
      <c r="AI667" s="465"/>
      <c r="AJ667" s="465"/>
      <c r="AK667" s="465"/>
      <c r="AL667" s="465"/>
      <c r="AM667" s="465"/>
      <c r="AN667" s="465"/>
      <c r="AO667" s="465"/>
      <c r="AP667" s="465"/>
      <c r="AQ667" s="465"/>
      <c r="AR667" s="465"/>
      <c r="AS667" s="465"/>
      <c r="AT667" s="465"/>
      <c r="AU667" s="465"/>
      <c r="AV667" s="465"/>
      <c r="AW667" s="465"/>
      <c r="AX667" s="465"/>
      <c r="AY667" s="465"/>
      <c r="AZ667" s="465"/>
      <c r="BA667" s="465"/>
      <c r="BB667" s="465"/>
      <c r="BC667" s="465"/>
    </row>
    <row r="668" spans="1:55">
      <c r="A668" s="465"/>
      <c r="B668" s="465"/>
      <c r="C668" s="465"/>
      <c r="D668" s="467"/>
      <c r="E668" s="465"/>
      <c r="F668" s="465"/>
      <c r="G668" s="465"/>
      <c r="H668" s="465"/>
      <c r="I668" s="465"/>
      <c r="J668" s="465"/>
      <c r="K668" s="465"/>
      <c r="L668" s="465"/>
      <c r="M668" s="465"/>
      <c r="N668" s="465"/>
      <c r="O668" s="465"/>
      <c r="P668" s="465"/>
      <c r="Q668" s="465"/>
      <c r="R668" s="465"/>
      <c r="S668" s="465"/>
      <c r="T668" s="465"/>
      <c r="U668" s="465"/>
      <c r="V668" s="465"/>
      <c r="W668" s="465"/>
      <c r="X668" s="465"/>
      <c r="Y668" s="465"/>
      <c r="Z668" s="465"/>
      <c r="AA668" s="465"/>
      <c r="AB668" s="465"/>
      <c r="AC668" s="465"/>
      <c r="AD668" s="465"/>
      <c r="AE668" s="465"/>
      <c r="AF668" s="465"/>
      <c r="AG668" s="465"/>
      <c r="AH668" s="465"/>
      <c r="AI668" s="465"/>
      <c r="AJ668" s="465"/>
      <c r="AK668" s="465"/>
      <c r="AL668" s="465"/>
      <c r="AM668" s="465"/>
      <c r="AN668" s="465"/>
      <c r="AO668" s="465"/>
      <c r="AP668" s="465"/>
      <c r="AQ668" s="465"/>
      <c r="AR668" s="465"/>
      <c r="AS668" s="465"/>
      <c r="AT668" s="465"/>
      <c r="AU668" s="465"/>
      <c r="AV668" s="465"/>
      <c r="AW668" s="465"/>
      <c r="AX668" s="465"/>
      <c r="AY668" s="465"/>
      <c r="AZ668" s="465"/>
      <c r="BA668" s="465"/>
      <c r="BB668" s="465"/>
      <c r="BC668" s="465"/>
    </row>
    <row r="669" spans="1:55">
      <c r="A669" s="465"/>
      <c r="B669" s="465"/>
      <c r="C669" s="465"/>
      <c r="D669" s="467"/>
      <c r="E669" s="465"/>
      <c r="F669" s="465"/>
      <c r="G669" s="465"/>
      <c r="H669" s="465"/>
      <c r="I669" s="465"/>
      <c r="J669" s="465"/>
      <c r="K669" s="465"/>
      <c r="L669" s="465"/>
      <c r="M669" s="465"/>
      <c r="N669" s="465"/>
      <c r="O669" s="465"/>
      <c r="P669" s="465"/>
      <c r="Q669" s="465"/>
      <c r="R669" s="465"/>
      <c r="S669" s="465"/>
      <c r="T669" s="465"/>
      <c r="U669" s="465"/>
      <c r="V669" s="465"/>
      <c r="W669" s="465"/>
      <c r="X669" s="465"/>
      <c r="Y669" s="465"/>
      <c r="Z669" s="465"/>
      <c r="AA669" s="465"/>
      <c r="AB669" s="465"/>
      <c r="AC669" s="465"/>
      <c r="AD669" s="465"/>
      <c r="AE669" s="465"/>
      <c r="AF669" s="465"/>
      <c r="AG669" s="465"/>
      <c r="AH669" s="465"/>
      <c r="AI669" s="465"/>
      <c r="AJ669" s="465"/>
      <c r="AK669" s="465"/>
      <c r="AL669" s="465"/>
      <c r="AM669" s="465"/>
      <c r="AN669" s="465"/>
      <c r="AO669" s="465"/>
      <c r="AP669" s="465"/>
      <c r="AQ669" s="465"/>
      <c r="AR669" s="465"/>
      <c r="AS669" s="465"/>
      <c r="AT669" s="465"/>
      <c r="AU669" s="465"/>
      <c r="AV669" s="465"/>
      <c r="AW669" s="465"/>
      <c r="AX669" s="465"/>
      <c r="AY669" s="465"/>
      <c r="AZ669" s="465"/>
      <c r="BA669" s="465"/>
      <c r="BB669" s="465"/>
      <c r="BC669" s="465"/>
    </row>
    <row r="670" spans="1:55">
      <c r="A670" s="465"/>
      <c r="B670" s="465"/>
      <c r="C670" s="465"/>
      <c r="D670" s="467"/>
      <c r="E670" s="465"/>
      <c r="F670" s="465"/>
      <c r="G670" s="465"/>
      <c r="H670" s="465"/>
      <c r="I670" s="465"/>
      <c r="J670" s="465"/>
      <c r="K670" s="465"/>
      <c r="L670" s="465"/>
      <c r="M670" s="465"/>
      <c r="N670" s="465"/>
      <c r="O670" s="465"/>
      <c r="P670" s="465"/>
      <c r="Q670" s="465"/>
      <c r="R670" s="465"/>
      <c r="S670" s="465"/>
      <c r="T670" s="465"/>
      <c r="U670" s="465"/>
      <c r="V670" s="465"/>
      <c r="W670" s="465"/>
      <c r="X670" s="465"/>
      <c r="Y670" s="465"/>
      <c r="Z670" s="465"/>
      <c r="AA670" s="465"/>
      <c r="AB670" s="465"/>
      <c r="AC670" s="465"/>
      <c r="AD670" s="465"/>
      <c r="AE670" s="465"/>
      <c r="AF670" s="465"/>
      <c r="AG670" s="465"/>
      <c r="AH670" s="465"/>
      <c r="AI670" s="465"/>
      <c r="AJ670" s="465"/>
      <c r="AK670" s="465"/>
      <c r="AL670" s="465"/>
      <c r="AM670" s="465"/>
      <c r="AN670" s="465"/>
      <c r="AO670" s="465"/>
      <c r="AP670" s="465"/>
      <c r="AQ670" s="465"/>
      <c r="AR670" s="465"/>
      <c r="AS670" s="465"/>
      <c r="AT670" s="465"/>
      <c r="AU670" s="465"/>
      <c r="AV670" s="465"/>
      <c r="AW670" s="465"/>
      <c r="AX670" s="465"/>
      <c r="AY670" s="465"/>
      <c r="AZ670" s="465"/>
      <c r="BA670" s="465"/>
      <c r="BB670" s="465"/>
      <c r="BC670" s="465"/>
    </row>
    <row r="671" spans="1:55">
      <c r="A671" s="465"/>
      <c r="B671" s="465"/>
      <c r="C671" s="465"/>
      <c r="D671" s="467"/>
      <c r="E671" s="465"/>
      <c r="F671" s="465"/>
      <c r="G671" s="465"/>
      <c r="H671" s="465"/>
      <c r="I671" s="465"/>
      <c r="J671" s="465"/>
      <c r="K671" s="465"/>
      <c r="L671" s="465"/>
      <c r="M671" s="465"/>
      <c r="N671" s="465"/>
      <c r="O671" s="465"/>
      <c r="P671" s="465"/>
      <c r="Q671" s="465"/>
      <c r="R671" s="465"/>
      <c r="S671" s="465"/>
      <c r="T671" s="465"/>
      <c r="U671" s="465"/>
      <c r="V671" s="465"/>
      <c r="W671" s="465"/>
      <c r="X671" s="465"/>
      <c r="Y671" s="465"/>
      <c r="Z671" s="465"/>
      <c r="AA671" s="465"/>
      <c r="AB671" s="465"/>
      <c r="AC671" s="465"/>
      <c r="AD671" s="465"/>
      <c r="AE671" s="465"/>
      <c r="AF671" s="465"/>
      <c r="AG671" s="465"/>
      <c r="AH671" s="465"/>
      <c r="AI671" s="465"/>
      <c r="AJ671" s="465"/>
      <c r="AK671" s="465"/>
      <c r="AL671" s="465"/>
      <c r="AM671" s="465"/>
      <c r="AN671" s="465"/>
      <c r="AO671" s="465"/>
      <c r="AP671" s="465"/>
      <c r="AQ671" s="465"/>
      <c r="AR671" s="465"/>
      <c r="AS671" s="465"/>
      <c r="AT671" s="465"/>
      <c r="AU671" s="465"/>
      <c r="AV671" s="465"/>
      <c r="AW671" s="465"/>
      <c r="AX671" s="465"/>
      <c r="AY671" s="465"/>
      <c r="AZ671" s="465"/>
      <c r="BA671" s="465"/>
      <c r="BB671" s="465"/>
      <c r="BC671" s="465"/>
    </row>
    <row r="672" spans="1:55">
      <c r="A672" s="465"/>
      <c r="B672" s="465"/>
      <c r="C672" s="465"/>
      <c r="D672" s="467"/>
      <c r="E672" s="465"/>
      <c r="F672" s="465"/>
      <c r="G672" s="465"/>
      <c r="H672" s="465"/>
      <c r="I672" s="465"/>
      <c r="J672" s="465"/>
      <c r="K672" s="465"/>
      <c r="L672" s="465"/>
      <c r="M672" s="465"/>
      <c r="N672" s="465"/>
      <c r="O672" s="465"/>
      <c r="P672" s="465"/>
      <c r="Q672" s="465"/>
      <c r="R672" s="465"/>
      <c r="S672" s="465"/>
      <c r="T672" s="465"/>
      <c r="U672" s="465"/>
      <c r="V672" s="465"/>
      <c r="W672" s="465"/>
      <c r="X672" s="465"/>
      <c r="Y672" s="465"/>
      <c r="Z672" s="465"/>
      <c r="AA672" s="465"/>
      <c r="AB672" s="465"/>
      <c r="AC672" s="465"/>
      <c r="AD672" s="465"/>
      <c r="AE672" s="465"/>
      <c r="AF672" s="465"/>
      <c r="AG672" s="465"/>
      <c r="AH672" s="465"/>
      <c r="AI672" s="465"/>
      <c r="AJ672" s="465"/>
      <c r="AK672" s="465"/>
      <c r="AL672" s="465"/>
      <c r="AM672" s="465"/>
      <c r="AN672" s="465"/>
      <c r="AO672" s="465"/>
      <c r="AP672" s="465"/>
      <c r="AQ672" s="465"/>
      <c r="AR672" s="465"/>
      <c r="AS672" s="465"/>
      <c r="AT672" s="465"/>
      <c r="AU672" s="465"/>
      <c r="AV672" s="465"/>
      <c r="AW672" s="465"/>
      <c r="AX672" s="465"/>
      <c r="AY672" s="465"/>
      <c r="AZ672" s="465"/>
      <c r="BA672" s="465"/>
      <c r="BB672" s="465"/>
      <c r="BC672" s="465"/>
    </row>
    <row r="673" spans="1:55">
      <c r="A673" s="465"/>
      <c r="B673" s="465"/>
      <c r="C673" s="465"/>
      <c r="D673" s="467"/>
      <c r="E673" s="465"/>
      <c r="F673" s="465"/>
      <c r="G673" s="465"/>
      <c r="H673" s="465"/>
      <c r="I673" s="465"/>
      <c r="J673" s="465"/>
      <c r="K673" s="465"/>
      <c r="L673" s="465"/>
      <c r="M673" s="465"/>
      <c r="N673" s="465"/>
      <c r="O673" s="465"/>
      <c r="P673" s="465"/>
      <c r="Q673" s="465"/>
      <c r="R673" s="465"/>
      <c r="S673" s="465"/>
      <c r="T673" s="465"/>
      <c r="U673" s="465"/>
      <c r="V673" s="465"/>
      <c r="W673" s="465"/>
      <c r="X673" s="465"/>
      <c r="Y673" s="465"/>
      <c r="Z673" s="465"/>
      <c r="AA673" s="465"/>
      <c r="AB673" s="465"/>
      <c r="AC673" s="465"/>
      <c r="AD673" s="465"/>
      <c r="AE673" s="465"/>
      <c r="AF673" s="465"/>
      <c r="AG673" s="465"/>
      <c r="AH673" s="465"/>
      <c r="AI673" s="465"/>
      <c r="AJ673" s="465"/>
      <c r="AK673" s="465"/>
      <c r="AL673" s="465"/>
      <c r="AM673" s="465"/>
      <c r="AN673" s="465"/>
      <c r="AO673" s="465"/>
      <c r="AP673" s="465"/>
      <c r="AQ673" s="465"/>
      <c r="AR673" s="465"/>
      <c r="AS673" s="465"/>
      <c r="AT673" s="465"/>
      <c r="AU673" s="465"/>
      <c r="AV673" s="465"/>
      <c r="AW673" s="465"/>
      <c r="AX673" s="465"/>
      <c r="AY673" s="465"/>
      <c r="AZ673" s="465"/>
      <c r="BA673" s="465"/>
      <c r="BB673" s="465"/>
      <c r="BC673" s="465"/>
    </row>
    <row r="674" spans="1:55">
      <c r="A674" s="465"/>
      <c r="B674" s="465"/>
      <c r="C674" s="465"/>
      <c r="D674" s="467"/>
      <c r="E674" s="465"/>
      <c r="F674" s="465"/>
      <c r="G674" s="465"/>
      <c r="H674" s="465"/>
      <c r="I674" s="465"/>
      <c r="J674" s="465"/>
      <c r="K674" s="465"/>
      <c r="L674" s="465"/>
      <c r="M674" s="465"/>
      <c r="N674" s="465"/>
      <c r="O674" s="465"/>
      <c r="P674" s="465"/>
      <c r="Q674" s="465"/>
      <c r="R674" s="465"/>
      <c r="S674" s="465"/>
      <c r="T674" s="465"/>
      <c r="U674" s="465"/>
      <c r="V674" s="465"/>
      <c r="W674" s="465"/>
      <c r="X674" s="465"/>
      <c r="Y674" s="465"/>
      <c r="Z674" s="465"/>
      <c r="AA674" s="465"/>
      <c r="AB674" s="465"/>
      <c r="AC674" s="465"/>
      <c r="AD674" s="465"/>
      <c r="AE674" s="465"/>
      <c r="AF674" s="465"/>
      <c r="AG674" s="465"/>
      <c r="AH674" s="465"/>
      <c r="AI674" s="465"/>
      <c r="AJ674" s="465"/>
      <c r="AK674" s="465"/>
      <c r="AL674" s="465"/>
      <c r="AM674" s="465"/>
      <c r="AN674" s="465"/>
      <c r="AO674" s="465"/>
      <c r="AP674" s="465"/>
      <c r="AQ674" s="465"/>
      <c r="AR674" s="465"/>
      <c r="AS674" s="465"/>
      <c r="AT674" s="465"/>
      <c r="AU674" s="465"/>
      <c r="AV674" s="465"/>
      <c r="AW674" s="465"/>
      <c r="AX674" s="465"/>
      <c r="AY674" s="465"/>
      <c r="AZ674" s="465"/>
      <c r="BA674" s="465"/>
      <c r="BB674" s="465"/>
      <c r="BC674" s="465"/>
    </row>
    <row r="675" spans="1:55">
      <c r="A675" s="465"/>
      <c r="B675" s="465"/>
      <c r="C675" s="465"/>
      <c r="D675" s="467"/>
      <c r="E675" s="465"/>
      <c r="F675" s="465"/>
      <c r="G675" s="465"/>
      <c r="H675" s="465"/>
      <c r="I675" s="465"/>
      <c r="J675" s="465"/>
      <c r="K675" s="465"/>
      <c r="L675" s="465"/>
      <c r="M675" s="465"/>
      <c r="N675" s="465"/>
      <c r="O675" s="465"/>
      <c r="P675" s="465"/>
      <c r="Q675" s="465"/>
      <c r="R675" s="465"/>
      <c r="S675" s="465"/>
      <c r="T675" s="465"/>
      <c r="U675" s="465"/>
      <c r="V675" s="465"/>
      <c r="W675" s="465"/>
      <c r="X675" s="465"/>
      <c r="Y675" s="465"/>
      <c r="Z675" s="465"/>
      <c r="AA675" s="465"/>
      <c r="AB675" s="465"/>
      <c r="AC675" s="465"/>
      <c r="AD675" s="465"/>
      <c r="AE675" s="465"/>
      <c r="AF675" s="465"/>
      <c r="AG675" s="465"/>
      <c r="AH675" s="465"/>
      <c r="AI675" s="465"/>
      <c r="AJ675" s="465"/>
      <c r="AK675" s="465"/>
      <c r="AL675" s="465"/>
      <c r="AM675" s="465"/>
      <c r="AN675" s="465"/>
      <c r="AO675" s="465"/>
      <c r="AP675" s="465"/>
      <c r="AQ675" s="465"/>
      <c r="AR675" s="465"/>
      <c r="AS675" s="465"/>
      <c r="AT675" s="465"/>
      <c r="AU675" s="465"/>
      <c r="AV675" s="465"/>
      <c r="AW675" s="465"/>
      <c r="AX675" s="465"/>
      <c r="AY675" s="465"/>
      <c r="AZ675" s="465"/>
      <c r="BA675" s="465"/>
      <c r="BB675" s="465"/>
      <c r="BC675" s="465"/>
    </row>
    <row r="676" spans="1:55">
      <c r="A676" s="465"/>
      <c r="B676" s="465"/>
      <c r="C676" s="465"/>
      <c r="D676" s="467"/>
      <c r="E676" s="465"/>
      <c r="F676" s="465"/>
      <c r="G676" s="465"/>
      <c r="H676" s="465"/>
      <c r="I676" s="465"/>
      <c r="J676" s="465"/>
      <c r="K676" s="465"/>
      <c r="L676" s="465"/>
      <c r="M676" s="465"/>
      <c r="N676" s="465"/>
      <c r="O676" s="465"/>
      <c r="P676" s="465"/>
      <c r="Q676" s="465"/>
      <c r="R676" s="465"/>
      <c r="S676" s="465"/>
      <c r="T676" s="465"/>
      <c r="U676" s="465"/>
      <c r="V676" s="465"/>
      <c r="W676" s="465"/>
      <c r="X676" s="465"/>
      <c r="Y676" s="465"/>
      <c r="Z676" s="465"/>
      <c r="AA676" s="465"/>
      <c r="AB676" s="465"/>
      <c r="AC676" s="465"/>
      <c r="AD676" s="465"/>
      <c r="AE676" s="465"/>
      <c r="AF676" s="465"/>
      <c r="AG676" s="465"/>
      <c r="AH676" s="465"/>
      <c r="AI676" s="465"/>
      <c r="AJ676" s="465"/>
      <c r="AK676" s="465"/>
      <c r="AL676" s="465"/>
      <c r="AM676" s="465"/>
      <c r="AN676" s="465"/>
      <c r="AO676" s="465"/>
      <c r="AP676" s="465"/>
      <c r="AQ676" s="465"/>
      <c r="AR676" s="465"/>
      <c r="AS676" s="465"/>
      <c r="AT676" s="465"/>
      <c r="AU676" s="465"/>
      <c r="AV676" s="465"/>
      <c r="AW676" s="465"/>
      <c r="AX676" s="465"/>
      <c r="AY676" s="465"/>
      <c r="AZ676" s="465"/>
      <c r="BA676" s="465"/>
      <c r="BB676" s="465"/>
      <c r="BC676" s="465"/>
    </row>
    <row r="677" spans="1:55">
      <c r="A677" s="465"/>
      <c r="B677" s="465"/>
      <c r="C677" s="465"/>
      <c r="D677" s="467"/>
      <c r="E677" s="465"/>
      <c r="F677" s="465"/>
      <c r="G677" s="465"/>
      <c r="H677" s="465"/>
      <c r="I677" s="465"/>
      <c r="J677" s="465"/>
      <c r="K677" s="465"/>
      <c r="L677" s="465"/>
      <c r="M677" s="465"/>
      <c r="N677" s="465"/>
      <c r="O677" s="465"/>
      <c r="P677" s="465"/>
      <c r="Q677" s="465"/>
      <c r="R677" s="465"/>
      <c r="S677" s="465"/>
      <c r="T677" s="465"/>
      <c r="U677" s="465"/>
      <c r="V677" s="465"/>
      <c r="W677" s="465"/>
      <c r="X677" s="465"/>
      <c r="Y677" s="465"/>
      <c r="Z677" s="465"/>
      <c r="AA677" s="465"/>
      <c r="AB677" s="465"/>
      <c r="AC677" s="465"/>
      <c r="AD677" s="465"/>
      <c r="AE677" s="465"/>
      <c r="AF677" s="465"/>
      <c r="AG677" s="465"/>
      <c r="AH677" s="465"/>
      <c r="AI677" s="465"/>
      <c r="AJ677" s="465"/>
      <c r="AK677" s="465"/>
      <c r="AL677" s="465"/>
      <c r="AM677" s="465"/>
      <c r="AN677" s="465"/>
      <c r="AO677" s="465"/>
      <c r="AP677" s="465"/>
      <c r="AQ677" s="465"/>
      <c r="AR677" s="465"/>
      <c r="AS677" s="465"/>
      <c r="AT677" s="465"/>
      <c r="AU677" s="465"/>
      <c r="AV677" s="465"/>
      <c r="AW677" s="465"/>
      <c r="AX677" s="465"/>
      <c r="AY677" s="465"/>
      <c r="AZ677" s="465"/>
      <c r="BA677" s="465"/>
      <c r="BB677" s="465"/>
      <c r="BC677" s="465"/>
    </row>
    <row r="678" spans="1:55">
      <c r="A678" s="465"/>
      <c r="B678" s="465"/>
      <c r="C678" s="465"/>
      <c r="D678" s="467"/>
      <c r="E678" s="465"/>
      <c r="F678" s="465"/>
      <c r="G678" s="465"/>
      <c r="H678" s="465"/>
      <c r="I678" s="465"/>
      <c r="J678" s="465"/>
      <c r="K678" s="465"/>
      <c r="L678" s="465"/>
      <c r="M678" s="465"/>
      <c r="N678" s="465"/>
      <c r="O678" s="465"/>
      <c r="P678" s="465"/>
      <c r="Q678" s="465"/>
      <c r="R678" s="465"/>
      <c r="S678" s="465"/>
      <c r="T678" s="465"/>
      <c r="U678" s="465"/>
      <c r="V678" s="465"/>
      <c r="W678" s="465"/>
      <c r="X678" s="465"/>
      <c r="Y678" s="465"/>
      <c r="Z678" s="465"/>
      <c r="AA678" s="465"/>
      <c r="AB678" s="465"/>
      <c r="AC678" s="465"/>
      <c r="AD678" s="465"/>
      <c r="AE678" s="465"/>
      <c r="AF678" s="465"/>
      <c r="AG678" s="465"/>
      <c r="AH678" s="465"/>
      <c r="AI678" s="465"/>
      <c r="AJ678" s="465"/>
      <c r="AK678" s="465"/>
      <c r="AL678" s="465"/>
      <c r="AM678" s="465"/>
      <c r="AN678" s="465"/>
      <c r="AO678" s="465"/>
      <c r="AP678" s="465"/>
      <c r="AQ678" s="465"/>
      <c r="AR678" s="465"/>
      <c r="AS678" s="465"/>
      <c r="AT678" s="465"/>
      <c r="AU678" s="465"/>
      <c r="AV678" s="465"/>
      <c r="AW678" s="465"/>
      <c r="AX678" s="465"/>
      <c r="AY678" s="465"/>
      <c r="AZ678" s="465"/>
      <c r="BA678" s="465"/>
      <c r="BB678" s="465"/>
      <c r="BC678" s="465"/>
    </row>
    <row r="679" spans="1:55">
      <c r="A679" s="465"/>
      <c r="B679" s="465"/>
      <c r="C679" s="465"/>
      <c r="D679" s="467"/>
      <c r="E679" s="465"/>
      <c r="F679" s="465"/>
      <c r="G679" s="465"/>
      <c r="H679" s="465"/>
      <c r="I679" s="465"/>
      <c r="J679" s="465"/>
      <c r="K679" s="465"/>
      <c r="L679" s="465"/>
      <c r="M679" s="465"/>
      <c r="N679" s="465"/>
      <c r="O679" s="465"/>
      <c r="P679" s="465"/>
      <c r="Q679" s="465"/>
      <c r="R679" s="465"/>
      <c r="S679" s="465"/>
      <c r="T679" s="465"/>
      <c r="U679" s="465"/>
      <c r="V679" s="465"/>
      <c r="W679" s="465"/>
      <c r="X679" s="465"/>
      <c r="Y679" s="465"/>
      <c r="Z679" s="465"/>
      <c r="AA679" s="465"/>
      <c r="AB679" s="465"/>
      <c r="AC679" s="465"/>
      <c r="AD679" s="465"/>
      <c r="AE679" s="465"/>
      <c r="AF679" s="465"/>
      <c r="AG679" s="465"/>
      <c r="AH679" s="465"/>
      <c r="AI679" s="465"/>
      <c r="AJ679" s="465"/>
      <c r="AK679" s="465"/>
      <c r="AL679" s="465"/>
      <c r="AM679" s="465"/>
      <c r="AN679" s="465"/>
      <c r="AO679" s="465"/>
      <c r="AP679" s="465"/>
      <c r="AQ679" s="465"/>
      <c r="AR679" s="465"/>
      <c r="AS679" s="465"/>
      <c r="AT679" s="465"/>
      <c r="AU679" s="465"/>
      <c r="AV679" s="465"/>
      <c r="AW679" s="465"/>
      <c r="AX679" s="465"/>
      <c r="AY679" s="465"/>
      <c r="AZ679" s="465"/>
      <c r="BA679" s="465"/>
      <c r="BB679" s="465"/>
      <c r="BC679" s="465"/>
    </row>
    <row r="680" spans="1:55">
      <c r="A680" s="465"/>
      <c r="B680" s="465"/>
      <c r="C680" s="465"/>
      <c r="D680" s="467"/>
      <c r="E680" s="465"/>
      <c r="F680" s="465"/>
      <c r="G680" s="465"/>
      <c r="H680" s="465"/>
      <c r="I680" s="465"/>
      <c r="J680" s="465"/>
      <c r="K680" s="465"/>
      <c r="L680" s="465"/>
      <c r="M680" s="465"/>
      <c r="N680" s="465"/>
      <c r="O680" s="465"/>
      <c r="P680" s="465"/>
      <c r="Q680" s="465"/>
      <c r="R680" s="465"/>
      <c r="S680" s="465"/>
      <c r="T680" s="465"/>
      <c r="U680" s="465"/>
      <c r="V680" s="465"/>
      <c r="W680" s="465"/>
      <c r="X680" s="465"/>
      <c r="Y680" s="465"/>
      <c r="Z680" s="465"/>
      <c r="AA680" s="465"/>
      <c r="AB680" s="465"/>
      <c r="AC680" s="465"/>
      <c r="AD680" s="465"/>
      <c r="AE680" s="465"/>
      <c r="AF680" s="465"/>
      <c r="AG680" s="465"/>
      <c r="AH680" s="465"/>
      <c r="AI680" s="465"/>
      <c r="AJ680" s="465"/>
      <c r="AK680" s="465"/>
      <c r="AL680" s="465"/>
      <c r="AM680" s="465"/>
      <c r="AN680" s="465"/>
      <c r="AO680" s="465"/>
      <c r="AP680" s="465"/>
      <c r="AQ680" s="465"/>
      <c r="AR680" s="465"/>
      <c r="AS680" s="465"/>
      <c r="AT680" s="465"/>
      <c r="AU680" s="465"/>
      <c r="AV680" s="465"/>
      <c r="AW680" s="465"/>
      <c r="AX680" s="465"/>
      <c r="AY680" s="465"/>
      <c r="AZ680" s="465"/>
      <c r="BA680" s="465"/>
      <c r="BB680" s="465"/>
      <c r="BC680" s="465"/>
    </row>
    <row r="681" spans="1:55">
      <c r="A681" s="465"/>
      <c r="B681" s="465"/>
      <c r="C681" s="465"/>
      <c r="D681" s="467"/>
      <c r="E681" s="465"/>
      <c r="F681" s="465"/>
      <c r="G681" s="465"/>
      <c r="H681" s="465"/>
      <c r="I681" s="465"/>
      <c r="J681" s="465"/>
      <c r="K681" s="465"/>
      <c r="L681" s="465"/>
      <c r="M681" s="465"/>
      <c r="N681" s="465"/>
      <c r="O681" s="465"/>
      <c r="P681" s="465"/>
      <c r="Q681" s="465"/>
      <c r="R681" s="465"/>
      <c r="S681" s="465"/>
      <c r="T681" s="465"/>
      <c r="U681" s="465"/>
      <c r="V681" s="465"/>
      <c r="W681" s="465"/>
      <c r="X681" s="465"/>
      <c r="Y681" s="465"/>
      <c r="Z681" s="465"/>
      <c r="AA681" s="465"/>
      <c r="AB681" s="465"/>
      <c r="AC681" s="465"/>
      <c r="AD681" s="465"/>
      <c r="AE681" s="465"/>
      <c r="AF681" s="465"/>
      <c r="AG681" s="465"/>
      <c r="AH681" s="465"/>
      <c r="AI681" s="465"/>
      <c r="AJ681" s="465"/>
      <c r="AK681" s="465"/>
      <c r="AL681" s="465"/>
      <c r="AM681" s="465"/>
      <c r="AN681" s="465"/>
      <c r="AO681" s="465"/>
      <c r="AP681" s="465"/>
      <c r="AQ681" s="465"/>
      <c r="AR681" s="465"/>
      <c r="AS681" s="465"/>
      <c r="AT681" s="465"/>
      <c r="AU681" s="465"/>
      <c r="AV681" s="465"/>
      <c r="AW681" s="465"/>
      <c r="AX681" s="465"/>
      <c r="AY681" s="465"/>
      <c r="AZ681" s="465"/>
      <c r="BA681" s="465"/>
      <c r="BB681" s="465"/>
      <c r="BC681" s="465"/>
    </row>
    <row r="682" spans="1:55">
      <c r="A682" s="465"/>
      <c r="B682" s="465"/>
      <c r="C682" s="465"/>
      <c r="D682" s="467"/>
      <c r="E682" s="465"/>
      <c r="F682" s="465"/>
      <c r="G682" s="465"/>
      <c r="H682" s="465"/>
      <c r="I682" s="465"/>
      <c r="J682" s="465"/>
      <c r="K682" s="465"/>
      <c r="L682" s="465"/>
      <c r="M682" s="465"/>
      <c r="N682" s="465"/>
      <c r="O682" s="465"/>
      <c r="P682" s="465"/>
      <c r="Q682" s="465"/>
      <c r="R682" s="465"/>
      <c r="S682" s="465"/>
      <c r="T682" s="465"/>
      <c r="U682" s="465"/>
      <c r="V682" s="465"/>
      <c r="W682" s="465"/>
      <c r="X682" s="465"/>
      <c r="Y682" s="465"/>
      <c r="Z682" s="465"/>
      <c r="AA682" s="465"/>
      <c r="AB682" s="465"/>
      <c r="AC682" s="465"/>
      <c r="AD682" s="465"/>
      <c r="AE682" s="465"/>
      <c r="AF682" s="465"/>
      <c r="AG682" s="465"/>
      <c r="AH682" s="465"/>
      <c r="AI682" s="465"/>
      <c r="AJ682" s="465"/>
      <c r="AK682" s="465"/>
      <c r="AL682" s="465"/>
      <c r="AM682" s="465"/>
      <c r="AN682" s="465"/>
      <c r="AO682" s="465"/>
      <c r="AP682" s="465"/>
      <c r="AQ682" s="465"/>
      <c r="AR682" s="465"/>
      <c r="AS682" s="465"/>
      <c r="AT682" s="465"/>
      <c r="AU682" s="465"/>
      <c r="AV682" s="465"/>
      <c r="AW682" s="465"/>
      <c r="AX682" s="465"/>
      <c r="AY682" s="465"/>
      <c r="AZ682" s="465"/>
      <c r="BA682" s="465"/>
      <c r="BB682" s="465"/>
      <c r="BC682" s="465"/>
    </row>
    <row r="683" spans="1:55">
      <c r="A683" s="465"/>
      <c r="B683" s="465"/>
      <c r="C683" s="465"/>
      <c r="D683" s="467"/>
      <c r="E683" s="465"/>
      <c r="F683" s="465"/>
      <c r="G683" s="465"/>
      <c r="H683" s="465"/>
      <c r="I683" s="465"/>
      <c r="J683" s="465"/>
      <c r="K683" s="465"/>
      <c r="L683" s="465"/>
      <c r="M683" s="465"/>
      <c r="N683" s="465"/>
      <c r="O683" s="465"/>
      <c r="P683" s="465"/>
      <c r="Q683" s="465"/>
      <c r="R683" s="465"/>
      <c r="S683" s="465"/>
      <c r="T683" s="465"/>
      <c r="U683" s="465"/>
      <c r="V683" s="465"/>
      <c r="W683" s="465"/>
      <c r="X683" s="465"/>
      <c r="Y683" s="465"/>
      <c r="Z683" s="465"/>
      <c r="AA683" s="465"/>
      <c r="AB683" s="465"/>
      <c r="AC683" s="465"/>
      <c r="AD683" s="465"/>
      <c r="AE683" s="465"/>
      <c r="AF683" s="465"/>
      <c r="AG683" s="465"/>
      <c r="AH683" s="465"/>
      <c r="AI683" s="465"/>
      <c r="AJ683" s="465"/>
      <c r="AK683" s="465"/>
      <c r="AL683" s="465"/>
      <c r="AM683" s="465"/>
      <c r="AN683" s="465"/>
      <c r="AO683" s="465"/>
      <c r="AP683" s="465"/>
      <c r="AQ683" s="465"/>
      <c r="AR683" s="465"/>
      <c r="AS683" s="465"/>
      <c r="AT683" s="465"/>
      <c r="AU683" s="465"/>
      <c r="AV683" s="465"/>
      <c r="AW683" s="465"/>
      <c r="AX683" s="465"/>
      <c r="AY683" s="465"/>
      <c r="AZ683" s="465"/>
      <c r="BA683" s="465"/>
      <c r="BB683" s="465"/>
      <c r="BC683" s="465"/>
    </row>
    <row r="684" spans="1:55">
      <c r="A684" s="465"/>
      <c r="B684" s="465"/>
      <c r="C684" s="465"/>
      <c r="D684" s="467"/>
      <c r="E684" s="465"/>
      <c r="F684" s="465"/>
      <c r="G684" s="465"/>
      <c r="H684" s="465"/>
      <c r="I684" s="465"/>
      <c r="J684" s="465"/>
      <c r="K684" s="465"/>
      <c r="L684" s="465"/>
      <c r="M684" s="465"/>
      <c r="N684" s="465"/>
      <c r="O684" s="465"/>
      <c r="P684" s="465"/>
      <c r="Q684" s="465"/>
      <c r="R684" s="465"/>
      <c r="S684" s="465"/>
      <c r="T684" s="465"/>
      <c r="U684" s="465"/>
      <c r="V684" s="465"/>
      <c r="W684" s="465"/>
      <c r="X684" s="465"/>
      <c r="Y684" s="465"/>
      <c r="Z684" s="465"/>
      <c r="AA684" s="465"/>
      <c r="AB684" s="465"/>
      <c r="AC684" s="465"/>
      <c r="AD684" s="465"/>
      <c r="AE684" s="465"/>
      <c r="AF684" s="465"/>
      <c r="AG684" s="465"/>
      <c r="AH684" s="465"/>
      <c r="AI684" s="465"/>
      <c r="AJ684" s="465"/>
      <c r="AK684" s="465"/>
      <c r="AL684" s="465"/>
      <c r="AM684" s="465"/>
      <c r="AN684" s="465"/>
      <c r="AO684" s="465"/>
      <c r="AP684" s="465"/>
      <c r="AQ684" s="465"/>
      <c r="AR684" s="465"/>
      <c r="AS684" s="465"/>
      <c r="AT684" s="465"/>
      <c r="AU684" s="465"/>
      <c r="AV684" s="465"/>
      <c r="AW684" s="465"/>
      <c r="AX684" s="465"/>
      <c r="AY684" s="465"/>
      <c r="AZ684" s="465"/>
      <c r="BA684" s="465"/>
      <c r="BB684" s="465"/>
      <c r="BC684" s="465"/>
    </row>
    <row r="685" spans="1:55">
      <c r="A685" s="465"/>
      <c r="B685" s="465"/>
      <c r="C685" s="465"/>
      <c r="D685" s="467"/>
      <c r="E685" s="465"/>
      <c r="F685" s="465"/>
      <c r="G685" s="465"/>
      <c r="H685" s="465"/>
      <c r="I685" s="465"/>
      <c r="J685" s="465"/>
      <c r="K685" s="465"/>
      <c r="L685" s="465"/>
      <c r="M685" s="465"/>
      <c r="N685" s="465"/>
      <c r="O685" s="465"/>
      <c r="P685" s="465"/>
      <c r="Q685" s="465"/>
      <c r="R685" s="465"/>
      <c r="S685" s="465"/>
      <c r="T685" s="465"/>
      <c r="U685" s="465"/>
      <c r="V685" s="465"/>
      <c r="W685" s="465"/>
      <c r="X685" s="465"/>
      <c r="Y685" s="465"/>
      <c r="Z685" s="465"/>
      <c r="AA685" s="465"/>
      <c r="AB685" s="465"/>
      <c r="AC685" s="465"/>
      <c r="AD685" s="465"/>
      <c r="AE685" s="465"/>
      <c r="AF685" s="465"/>
      <c r="AG685" s="465"/>
      <c r="AH685" s="465"/>
      <c r="AI685" s="465"/>
      <c r="AJ685" s="465"/>
      <c r="AK685" s="465"/>
      <c r="AL685" s="465"/>
      <c r="AM685" s="465"/>
      <c r="AN685" s="465"/>
      <c r="AO685" s="465"/>
      <c r="AP685" s="465"/>
      <c r="AQ685" s="465"/>
      <c r="AR685" s="465"/>
      <c r="AS685" s="465"/>
      <c r="AT685" s="465"/>
      <c r="AU685" s="465"/>
      <c r="AV685" s="465"/>
      <c r="AW685" s="465"/>
      <c r="AX685" s="465"/>
      <c r="AY685" s="465"/>
      <c r="AZ685" s="465"/>
      <c r="BA685" s="465"/>
      <c r="BB685" s="465"/>
      <c r="BC685" s="465"/>
    </row>
    <row r="686" spans="1:55">
      <c r="A686" s="465"/>
      <c r="B686" s="465"/>
      <c r="C686" s="465"/>
      <c r="D686" s="467"/>
      <c r="E686" s="465"/>
      <c r="F686" s="465"/>
      <c r="G686" s="465"/>
      <c r="H686" s="465"/>
      <c r="I686" s="465"/>
      <c r="J686" s="465"/>
      <c r="K686" s="465"/>
      <c r="L686" s="465"/>
      <c r="M686" s="465"/>
      <c r="N686" s="465"/>
      <c r="O686" s="465"/>
      <c r="P686" s="465"/>
      <c r="Q686" s="465"/>
      <c r="R686" s="465"/>
      <c r="S686" s="465"/>
      <c r="T686" s="465"/>
      <c r="U686" s="465"/>
      <c r="V686" s="465"/>
      <c r="W686" s="465"/>
      <c r="X686" s="465"/>
      <c r="Y686" s="465"/>
      <c r="Z686" s="465"/>
      <c r="AA686" s="465"/>
      <c r="AB686" s="465"/>
      <c r="AC686" s="465"/>
      <c r="AD686" s="465"/>
      <c r="AE686" s="465"/>
      <c r="AF686" s="465"/>
      <c r="AG686" s="465"/>
      <c r="AH686" s="465"/>
      <c r="AI686" s="465"/>
      <c r="AJ686" s="465"/>
      <c r="AK686" s="465"/>
      <c r="AL686" s="465"/>
      <c r="AM686" s="465"/>
      <c r="AN686" s="465"/>
      <c r="AO686" s="465"/>
      <c r="AP686" s="465"/>
      <c r="AQ686" s="465"/>
      <c r="AR686" s="465"/>
      <c r="AS686" s="465"/>
      <c r="AT686" s="465"/>
      <c r="AU686" s="465"/>
      <c r="AV686" s="465"/>
      <c r="AW686" s="465"/>
      <c r="AX686" s="465"/>
      <c r="AY686" s="465"/>
      <c r="AZ686" s="465"/>
      <c r="BA686" s="465"/>
      <c r="BB686" s="465"/>
      <c r="BC686" s="465"/>
    </row>
    <row r="687" spans="1:55">
      <c r="A687" s="465"/>
      <c r="B687" s="465"/>
      <c r="C687" s="465"/>
      <c r="D687" s="467"/>
      <c r="E687" s="465"/>
      <c r="F687" s="465"/>
      <c r="G687" s="465"/>
      <c r="H687" s="465"/>
      <c r="I687" s="465"/>
      <c r="J687" s="465"/>
      <c r="K687" s="465"/>
      <c r="L687" s="465"/>
      <c r="M687" s="465"/>
      <c r="N687" s="465"/>
      <c r="O687" s="465"/>
      <c r="P687" s="465"/>
      <c r="Q687" s="465"/>
      <c r="R687" s="465"/>
      <c r="S687" s="465"/>
      <c r="T687" s="465"/>
      <c r="U687" s="465"/>
      <c r="V687" s="465"/>
      <c r="W687" s="465"/>
      <c r="X687" s="465"/>
      <c r="Y687" s="465"/>
      <c r="Z687" s="465"/>
      <c r="AA687" s="465"/>
      <c r="AB687" s="465"/>
      <c r="AC687" s="465"/>
      <c r="AD687" s="465"/>
      <c r="AE687" s="465"/>
      <c r="AF687" s="465"/>
      <c r="AG687" s="465"/>
      <c r="AH687" s="465"/>
      <c r="AI687" s="465"/>
      <c r="AJ687" s="465"/>
      <c r="AK687" s="465"/>
      <c r="AL687" s="465"/>
      <c r="AM687" s="465"/>
      <c r="AN687" s="465"/>
      <c r="AO687" s="465"/>
      <c r="AP687" s="465"/>
      <c r="AQ687" s="465"/>
      <c r="AR687" s="465"/>
      <c r="AS687" s="465"/>
      <c r="AT687" s="465"/>
      <c r="AU687" s="465"/>
      <c r="AV687" s="465"/>
      <c r="AW687" s="465"/>
      <c r="AX687" s="465"/>
      <c r="AY687" s="465"/>
      <c r="AZ687" s="465"/>
      <c r="BA687" s="465"/>
      <c r="BB687" s="465"/>
      <c r="BC687" s="465"/>
    </row>
    <row r="688" spans="1:55">
      <c r="A688" s="465"/>
      <c r="B688" s="465"/>
      <c r="C688" s="465"/>
      <c r="D688" s="467"/>
      <c r="E688" s="465"/>
      <c r="F688" s="465"/>
      <c r="G688" s="465"/>
      <c r="H688" s="465"/>
      <c r="I688" s="465"/>
      <c r="J688" s="465"/>
      <c r="K688" s="465"/>
      <c r="L688" s="465"/>
      <c r="M688" s="465"/>
      <c r="N688" s="465"/>
      <c r="O688" s="465"/>
      <c r="P688" s="465"/>
      <c r="Q688" s="465"/>
      <c r="R688" s="465"/>
      <c r="S688" s="465"/>
      <c r="T688" s="465"/>
      <c r="U688" s="465"/>
      <c r="V688" s="465"/>
      <c r="W688" s="465"/>
      <c r="X688" s="465"/>
      <c r="Y688" s="465"/>
      <c r="Z688" s="465"/>
      <c r="AA688" s="465"/>
      <c r="AB688" s="465"/>
      <c r="AC688" s="465"/>
      <c r="AD688" s="465"/>
      <c r="AE688" s="465"/>
      <c r="AF688" s="465"/>
      <c r="AG688" s="465"/>
      <c r="AH688" s="465"/>
      <c r="AI688" s="465"/>
      <c r="AJ688" s="465"/>
      <c r="AK688" s="465"/>
      <c r="AL688" s="465"/>
      <c r="AM688" s="465"/>
      <c r="AN688" s="465"/>
      <c r="AO688" s="465"/>
      <c r="AP688" s="465"/>
      <c r="AQ688" s="465"/>
      <c r="AR688" s="465"/>
      <c r="AS688" s="465"/>
      <c r="AT688" s="465"/>
      <c r="AU688" s="465"/>
      <c r="AV688" s="465"/>
      <c r="AW688" s="465"/>
      <c r="AX688" s="465"/>
      <c r="AY688" s="465"/>
      <c r="AZ688" s="465"/>
      <c r="BA688" s="465"/>
      <c r="BB688" s="465"/>
      <c r="BC688" s="465"/>
    </row>
    <row r="689" spans="1:55">
      <c r="A689" s="465"/>
      <c r="B689" s="465"/>
      <c r="C689" s="465"/>
      <c r="D689" s="467"/>
      <c r="E689" s="465"/>
      <c r="F689" s="465"/>
      <c r="G689" s="465"/>
      <c r="H689" s="465"/>
      <c r="I689" s="465"/>
      <c r="J689" s="465"/>
      <c r="K689" s="465"/>
      <c r="L689" s="465"/>
      <c r="M689" s="465"/>
      <c r="N689" s="465"/>
      <c r="O689" s="465"/>
      <c r="P689" s="465"/>
      <c r="Q689" s="465"/>
      <c r="R689" s="465"/>
      <c r="S689" s="465"/>
      <c r="T689" s="465"/>
      <c r="U689" s="465"/>
      <c r="V689" s="465"/>
      <c r="W689" s="465"/>
      <c r="X689" s="465"/>
      <c r="Y689" s="465"/>
      <c r="Z689" s="465"/>
      <c r="AA689" s="465"/>
      <c r="AB689" s="465"/>
      <c r="AC689" s="465"/>
      <c r="AD689" s="465"/>
      <c r="AE689" s="465"/>
      <c r="AF689" s="465"/>
      <c r="AG689" s="465"/>
      <c r="AH689" s="465"/>
      <c r="AI689" s="465"/>
      <c r="AJ689" s="465"/>
      <c r="AK689" s="465"/>
      <c r="AL689" s="465"/>
      <c r="AM689" s="465"/>
      <c r="AN689" s="465"/>
      <c r="AO689" s="465"/>
      <c r="AP689" s="465"/>
      <c r="AQ689" s="465"/>
      <c r="AR689" s="465"/>
      <c r="AS689" s="465"/>
      <c r="AT689" s="465"/>
      <c r="AU689" s="465"/>
      <c r="AV689" s="465"/>
      <c r="AW689" s="465"/>
      <c r="AX689" s="465"/>
      <c r="AY689" s="465"/>
      <c r="AZ689" s="465"/>
      <c r="BA689" s="465"/>
      <c r="BB689" s="465"/>
      <c r="BC689" s="465"/>
    </row>
    <row r="690" spans="1:55">
      <c r="A690" s="465"/>
      <c r="B690" s="465"/>
      <c r="C690" s="465"/>
      <c r="D690" s="467"/>
      <c r="E690" s="465"/>
      <c r="F690" s="465"/>
      <c r="G690" s="465"/>
      <c r="H690" s="465"/>
      <c r="I690" s="465"/>
      <c r="J690" s="465"/>
      <c r="K690" s="465"/>
      <c r="L690" s="465"/>
      <c r="M690" s="465"/>
      <c r="N690" s="465"/>
      <c r="O690" s="465"/>
      <c r="P690" s="465"/>
      <c r="Q690" s="465"/>
      <c r="R690" s="465"/>
      <c r="S690" s="465"/>
      <c r="T690" s="465"/>
      <c r="U690" s="465"/>
      <c r="V690" s="465"/>
      <c r="W690" s="465"/>
      <c r="X690" s="465"/>
      <c r="Y690" s="465"/>
      <c r="Z690" s="465"/>
      <c r="AA690" s="465"/>
      <c r="AB690" s="465"/>
      <c r="AC690" s="465"/>
      <c r="AD690" s="465"/>
      <c r="AE690" s="465"/>
      <c r="AF690" s="465"/>
      <c r="AG690" s="465"/>
      <c r="AH690" s="465"/>
      <c r="AI690" s="465"/>
      <c r="AJ690" s="465"/>
      <c r="AK690" s="465"/>
      <c r="AL690" s="465"/>
      <c r="AM690" s="465"/>
      <c r="AN690" s="465"/>
      <c r="AO690" s="465"/>
      <c r="AP690" s="465"/>
      <c r="AQ690" s="465"/>
      <c r="AR690" s="465"/>
      <c r="AS690" s="465"/>
      <c r="AT690" s="465"/>
      <c r="AU690" s="465"/>
      <c r="AV690" s="465"/>
      <c r="AW690" s="465"/>
      <c r="AX690" s="465"/>
      <c r="AY690" s="465"/>
      <c r="AZ690" s="465"/>
      <c r="BA690" s="465"/>
      <c r="BB690" s="465"/>
      <c r="BC690" s="465"/>
    </row>
    <row r="691" spans="1:55">
      <c r="A691" s="465"/>
      <c r="B691" s="465"/>
      <c r="C691" s="465"/>
      <c r="D691" s="467"/>
      <c r="E691" s="465"/>
      <c r="F691" s="465"/>
      <c r="G691" s="465"/>
      <c r="H691" s="465"/>
      <c r="I691" s="465"/>
      <c r="J691" s="465"/>
      <c r="K691" s="465"/>
      <c r="L691" s="465"/>
      <c r="M691" s="465"/>
      <c r="N691" s="465"/>
      <c r="O691" s="465"/>
      <c r="P691" s="465"/>
      <c r="Q691" s="465"/>
      <c r="R691" s="465"/>
      <c r="S691" s="465"/>
      <c r="T691" s="465"/>
      <c r="U691" s="465"/>
      <c r="V691" s="465"/>
      <c r="W691" s="465"/>
      <c r="X691" s="465"/>
      <c r="Y691" s="465"/>
      <c r="Z691" s="465"/>
      <c r="AA691" s="465"/>
      <c r="AB691" s="465"/>
      <c r="AC691" s="465"/>
      <c r="AD691" s="465"/>
      <c r="AE691" s="465"/>
      <c r="AF691" s="465"/>
      <c r="AG691" s="465"/>
      <c r="AH691" s="465"/>
      <c r="AI691" s="465"/>
      <c r="AJ691" s="465"/>
      <c r="AK691" s="465"/>
      <c r="AL691" s="465"/>
      <c r="AM691" s="465"/>
      <c r="AN691" s="465"/>
      <c r="AO691" s="465"/>
      <c r="AP691" s="465"/>
      <c r="AQ691" s="465"/>
      <c r="AR691" s="465"/>
      <c r="AS691" s="465"/>
      <c r="AT691" s="465"/>
      <c r="AU691" s="465"/>
      <c r="AV691" s="465"/>
      <c r="AW691" s="465"/>
      <c r="AX691" s="465"/>
      <c r="AY691" s="465"/>
      <c r="AZ691" s="465"/>
      <c r="BA691" s="465"/>
      <c r="BB691" s="465"/>
      <c r="BC691" s="465"/>
    </row>
    <row r="692" spans="1:55">
      <c r="A692" s="465"/>
      <c r="B692" s="465"/>
      <c r="C692" s="465"/>
      <c r="D692" s="467"/>
      <c r="E692" s="465"/>
      <c r="F692" s="465"/>
      <c r="G692" s="465"/>
      <c r="H692" s="465"/>
      <c r="I692" s="465"/>
      <c r="J692" s="465"/>
      <c r="K692" s="465"/>
      <c r="L692" s="465"/>
      <c r="M692" s="465"/>
      <c r="N692" s="465"/>
      <c r="O692" s="465"/>
      <c r="P692" s="465"/>
      <c r="Q692" s="465"/>
      <c r="R692" s="465"/>
      <c r="S692" s="465"/>
      <c r="T692" s="465"/>
      <c r="U692" s="465"/>
      <c r="V692" s="465"/>
      <c r="W692" s="465"/>
      <c r="X692" s="465"/>
      <c r="Y692" s="465"/>
      <c r="Z692" s="465"/>
      <c r="AA692" s="465"/>
      <c r="AB692" s="465"/>
      <c r="AC692" s="465"/>
      <c r="AD692" s="465"/>
      <c r="AE692" s="465"/>
      <c r="AF692" s="465"/>
      <c r="AG692" s="465"/>
      <c r="AH692" s="465"/>
      <c r="AI692" s="465"/>
      <c r="AJ692" s="465"/>
      <c r="AK692" s="465"/>
      <c r="AL692" s="465"/>
      <c r="AM692" s="465"/>
      <c r="AN692" s="465"/>
      <c r="AO692" s="465"/>
      <c r="AP692" s="465"/>
      <c r="AQ692" s="465"/>
      <c r="AR692" s="465"/>
      <c r="AS692" s="465"/>
      <c r="AT692" s="465"/>
      <c r="AU692" s="465"/>
      <c r="AV692" s="465"/>
      <c r="AW692" s="465"/>
      <c r="AX692" s="465"/>
      <c r="AY692" s="465"/>
      <c r="AZ692" s="465"/>
      <c r="BA692" s="465"/>
      <c r="BB692" s="465"/>
      <c r="BC692" s="465"/>
    </row>
    <row r="693" spans="1:55">
      <c r="A693" s="465"/>
      <c r="B693" s="465"/>
      <c r="C693" s="465"/>
      <c r="D693" s="467"/>
      <c r="E693" s="465"/>
      <c r="F693" s="465"/>
      <c r="G693" s="465"/>
      <c r="H693" s="465"/>
      <c r="I693" s="465"/>
      <c r="J693" s="465"/>
      <c r="K693" s="465"/>
      <c r="L693" s="465"/>
      <c r="M693" s="465"/>
      <c r="N693" s="465"/>
      <c r="O693" s="465"/>
      <c r="P693" s="465"/>
      <c r="Q693" s="465"/>
      <c r="R693" s="465"/>
      <c r="S693" s="465"/>
      <c r="T693" s="465"/>
      <c r="U693" s="465"/>
      <c r="V693" s="465"/>
      <c r="W693" s="465"/>
      <c r="X693" s="465"/>
      <c r="Y693" s="465"/>
      <c r="Z693" s="465"/>
      <c r="AA693" s="465"/>
      <c r="AB693" s="465"/>
      <c r="AC693" s="465"/>
      <c r="AD693" s="465"/>
      <c r="AE693" s="465"/>
      <c r="AF693" s="465"/>
      <c r="AG693" s="465"/>
      <c r="AH693" s="465"/>
      <c r="AI693" s="465"/>
      <c r="AJ693" s="465"/>
      <c r="AK693" s="465"/>
      <c r="AL693" s="465"/>
      <c r="AM693" s="465"/>
      <c r="AN693" s="465"/>
      <c r="AO693" s="465"/>
      <c r="AP693" s="465"/>
      <c r="AQ693" s="465"/>
      <c r="AR693" s="465"/>
      <c r="AS693" s="465"/>
      <c r="AT693" s="465"/>
      <c r="AU693" s="465"/>
      <c r="AV693" s="465"/>
      <c r="AW693" s="465"/>
      <c r="AX693" s="465"/>
      <c r="AY693" s="465"/>
      <c r="AZ693" s="465"/>
      <c r="BA693" s="465"/>
      <c r="BB693" s="465"/>
      <c r="BC693" s="465"/>
    </row>
    <row r="694" spans="1:55">
      <c r="A694" s="465"/>
      <c r="B694" s="465"/>
      <c r="C694" s="465"/>
      <c r="D694" s="467"/>
      <c r="E694" s="465"/>
      <c r="F694" s="465"/>
      <c r="G694" s="465"/>
      <c r="H694" s="465"/>
      <c r="I694" s="465"/>
      <c r="J694" s="465"/>
      <c r="K694" s="465"/>
      <c r="L694" s="465"/>
      <c r="M694" s="465"/>
      <c r="N694" s="465"/>
      <c r="O694" s="465"/>
      <c r="P694" s="465"/>
      <c r="Q694" s="465"/>
      <c r="R694" s="465"/>
      <c r="S694" s="465"/>
      <c r="T694" s="465"/>
      <c r="U694" s="465"/>
      <c r="V694" s="465"/>
      <c r="W694" s="465"/>
      <c r="X694" s="465"/>
      <c r="Y694" s="465"/>
      <c r="Z694" s="465"/>
      <c r="AA694" s="465"/>
      <c r="AB694" s="465"/>
      <c r="AC694" s="465"/>
      <c r="AD694" s="465"/>
      <c r="AE694" s="465"/>
      <c r="AF694" s="465"/>
      <c r="AG694" s="465"/>
      <c r="AH694" s="465"/>
      <c r="AI694" s="465"/>
      <c r="AJ694" s="465"/>
      <c r="AK694" s="465"/>
      <c r="AL694" s="465"/>
      <c r="AM694" s="465"/>
      <c r="AN694" s="465"/>
      <c r="AO694" s="465"/>
      <c r="AP694" s="465"/>
      <c r="AQ694" s="465"/>
      <c r="AR694" s="465"/>
      <c r="AS694" s="465"/>
      <c r="AT694" s="465"/>
      <c r="AU694" s="465"/>
      <c r="AV694" s="465"/>
      <c r="AW694" s="465"/>
      <c r="AX694" s="465"/>
      <c r="AY694" s="465"/>
      <c r="AZ694" s="465"/>
      <c r="BA694" s="465"/>
      <c r="BB694" s="465"/>
      <c r="BC694" s="465"/>
    </row>
    <row r="695" spans="1:55">
      <c r="A695" s="465"/>
      <c r="B695" s="465"/>
      <c r="C695" s="465"/>
      <c r="D695" s="467"/>
      <c r="E695" s="465"/>
      <c r="F695" s="465"/>
      <c r="G695" s="465"/>
      <c r="H695" s="465"/>
      <c r="I695" s="465"/>
      <c r="J695" s="465"/>
      <c r="K695" s="465"/>
      <c r="L695" s="465"/>
      <c r="M695" s="465"/>
      <c r="N695" s="465"/>
      <c r="O695" s="465"/>
      <c r="P695" s="465"/>
      <c r="Q695" s="465"/>
      <c r="R695" s="465"/>
      <c r="S695" s="465"/>
      <c r="T695" s="465"/>
      <c r="U695" s="465"/>
      <c r="V695" s="465"/>
      <c r="W695" s="465"/>
      <c r="X695" s="465"/>
      <c r="Y695" s="465"/>
      <c r="Z695" s="465"/>
      <c r="AA695" s="465"/>
      <c r="AB695" s="465"/>
      <c r="AC695" s="465"/>
      <c r="AD695" s="465"/>
      <c r="AE695" s="465"/>
      <c r="AF695" s="465"/>
      <c r="AG695" s="465"/>
      <c r="AH695" s="465"/>
      <c r="AI695" s="465"/>
      <c r="AJ695" s="465"/>
      <c r="AK695" s="465"/>
      <c r="AL695" s="465"/>
      <c r="AM695" s="465"/>
      <c r="AN695" s="465"/>
      <c r="AO695" s="465"/>
      <c r="AP695" s="465"/>
      <c r="AQ695" s="465"/>
      <c r="AR695" s="465"/>
      <c r="AS695" s="465"/>
      <c r="AT695" s="465"/>
      <c r="AU695" s="465"/>
      <c r="AV695" s="465"/>
      <c r="AW695" s="465"/>
      <c r="AX695" s="465"/>
      <c r="AY695" s="465"/>
      <c r="AZ695" s="465"/>
      <c r="BA695" s="465"/>
      <c r="BB695" s="465"/>
      <c r="BC695" s="465"/>
    </row>
    <row r="696" spans="1:55">
      <c r="A696" s="465"/>
      <c r="B696" s="465"/>
      <c r="C696" s="465"/>
      <c r="D696" s="467"/>
      <c r="E696" s="465"/>
      <c r="F696" s="465"/>
      <c r="G696" s="465"/>
      <c r="H696" s="465"/>
      <c r="I696" s="465"/>
      <c r="J696" s="465"/>
      <c r="K696" s="465"/>
      <c r="L696" s="465"/>
      <c r="M696" s="465"/>
      <c r="N696" s="465"/>
      <c r="O696" s="465"/>
      <c r="P696" s="465"/>
      <c r="Q696" s="465"/>
      <c r="R696" s="465"/>
      <c r="S696" s="465"/>
      <c r="T696" s="465"/>
      <c r="U696" s="465"/>
      <c r="V696" s="465"/>
      <c r="W696" s="465"/>
      <c r="X696" s="465"/>
      <c r="Y696" s="465"/>
      <c r="Z696" s="465"/>
      <c r="AA696" s="465"/>
      <c r="AB696" s="465"/>
      <c r="AC696" s="465"/>
      <c r="AD696" s="465"/>
      <c r="AE696" s="465"/>
      <c r="AF696" s="465"/>
      <c r="AG696" s="465"/>
      <c r="AH696" s="465"/>
      <c r="AI696" s="465"/>
      <c r="AJ696" s="465"/>
      <c r="AK696" s="465"/>
      <c r="AL696" s="465"/>
      <c r="AM696" s="465"/>
      <c r="AN696" s="465"/>
      <c r="AO696" s="465"/>
      <c r="AP696" s="465"/>
      <c r="AQ696" s="465"/>
      <c r="AR696" s="465"/>
      <c r="AS696" s="465"/>
      <c r="AT696" s="465"/>
      <c r="AU696" s="465"/>
      <c r="AV696" s="465"/>
      <c r="AW696" s="465"/>
      <c r="AX696" s="465"/>
      <c r="AY696" s="465"/>
      <c r="AZ696" s="465"/>
      <c r="BA696" s="465"/>
      <c r="BB696" s="465"/>
      <c r="BC696" s="465"/>
    </row>
    <row r="697" spans="1:55">
      <c r="A697" s="465"/>
      <c r="B697" s="465"/>
      <c r="C697" s="465"/>
      <c r="D697" s="467"/>
      <c r="E697" s="465"/>
      <c r="F697" s="465"/>
      <c r="G697" s="465"/>
      <c r="H697" s="465"/>
      <c r="I697" s="465"/>
      <c r="J697" s="465"/>
      <c r="K697" s="465"/>
      <c r="L697" s="465"/>
      <c r="M697" s="465"/>
      <c r="N697" s="465"/>
      <c r="O697" s="465"/>
      <c r="P697" s="465"/>
      <c r="Q697" s="465"/>
      <c r="R697" s="465"/>
      <c r="S697" s="465"/>
      <c r="T697" s="465"/>
      <c r="U697" s="465"/>
      <c r="V697" s="465"/>
      <c r="W697" s="465"/>
      <c r="X697" s="465"/>
      <c r="Y697" s="465"/>
      <c r="Z697" s="465"/>
      <c r="AA697" s="465"/>
      <c r="AB697" s="465"/>
      <c r="AC697" s="465"/>
      <c r="AD697" s="465"/>
      <c r="AE697" s="465"/>
      <c r="AF697" s="465"/>
      <c r="AG697" s="465"/>
      <c r="AH697" s="465"/>
      <c r="AI697" s="465"/>
      <c r="AJ697" s="465"/>
      <c r="AK697" s="465"/>
      <c r="AL697" s="465"/>
      <c r="AM697" s="465"/>
      <c r="AN697" s="465"/>
      <c r="AO697" s="465"/>
      <c r="AP697" s="465"/>
      <c r="AQ697" s="465"/>
      <c r="AR697" s="465"/>
      <c r="AS697" s="465"/>
      <c r="AT697" s="465"/>
      <c r="AU697" s="465"/>
      <c r="AV697" s="465"/>
      <c r="AW697" s="465"/>
      <c r="AX697" s="465"/>
      <c r="AY697" s="465"/>
      <c r="AZ697" s="465"/>
      <c r="BA697" s="465"/>
      <c r="BB697" s="465"/>
      <c r="BC697" s="465"/>
    </row>
    <row r="698" spans="1:55">
      <c r="A698" s="465"/>
      <c r="B698" s="465"/>
      <c r="C698" s="465"/>
      <c r="D698" s="467"/>
      <c r="E698" s="465"/>
      <c r="F698" s="465"/>
      <c r="G698" s="465"/>
      <c r="H698" s="465"/>
      <c r="I698" s="465"/>
      <c r="J698" s="465"/>
      <c r="K698" s="465"/>
      <c r="L698" s="465"/>
      <c r="M698" s="465"/>
      <c r="N698" s="465"/>
      <c r="O698" s="465"/>
      <c r="P698" s="465"/>
      <c r="Q698" s="465"/>
      <c r="R698" s="465"/>
      <c r="S698" s="465"/>
      <c r="T698" s="465"/>
      <c r="U698" s="465"/>
      <c r="V698" s="465"/>
      <c r="W698" s="465"/>
      <c r="X698" s="465"/>
      <c r="Y698" s="465"/>
      <c r="Z698" s="465"/>
      <c r="AA698" s="465"/>
      <c r="AB698" s="465"/>
      <c r="AC698" s="465"/>
      <c r="AD698" s="465"/>
      <c r="AE698" s="465"/>
      <c r="AF698" s="465"/>
      <c r="AG698" s="465"/>
      <c r="AH698" s="465"/>
      <c r="AI698" s="465"/>
      <c r="AJ698" s="465"/>
      <c r="AK698" s="465"/>
      <c r="AL698" s="465"/>
      <c r="AM698" s="465"/>
      <c r="AN698" s="465"/>
      <c r="AO698" s="465"/>
      <c r="AP698" s="465"/>
      <c r="AQ698" s="465"/>
      <c r="AR698" s="465"/>
      <c r="AS698" s="465"/>
      <c r="AT698" s="465"/>
      <c r="AU698" s="465"/>
      <c r="AV698" s="465"/>
      <c r="AW698" s="465"/>
      <c r="AX698" s="465"/>
      <c r="AY698" s="465"/>
      <c r="AZ698" s="465"/>
      <c r="BA698" s="465"/>
      <c r="BB698" s="465"/>
      <c r="BC698" s="465"/>
    </row>
    <row r="699" spans="1:55">
      <c r="A699" s="465"/>
      <c r="B699" s="465"/>
      <c r="C699" s="465"/>
      <c r="D699" s="467"/>
      <c r="E699" s="465"/>
      <c r="F699" s="465"/>
      <c r="G699" s="465"/>
      <c r="H699" s="465"/>
      <c r="I699" s="465"/>
      <c r="J699" s="465"/>
      <c r="K699" s="465"/>
      <c r="L699" s="465"/>
      <c r="M699" s="465"/>
      <c r="N699" s="465"/>
      <c r="O699" s="465"/>
      <c r="P699" s="465"/>
      <c r="Q699" s="465"/>
      <c r="R699" s="465"/>
      <c r="S699" s="465"/>
      <c r="T699" s="465"/>
      <c r="U699" s="465"/>
      <c r="V699" s="465"/>
      <c r="W699" s="465"/>
      <c r="X699" s="465"/>
      <c r="Y699" s="465"/>
      <c r="Z699" s="465"/>
      <c r="AA699" s="465"/>
      <c r="AB699" s="465"/>
      <c r="AC699" s="465"/>
      <c r="AD699" s="465"/>
      <c r="AE699" s="465"/>
      <c r="AF699" s="465"/>
      <c r="AG699" s="465"/>
      <c r="AH699" s="465"/>
      <c r="AI699" s="465"/>
      <c r="AJ699" s="465"/>
      <c r="AK699" s="465"/>
      <c r="AL699" s="465"/>
      <c r="AM699" s="465"/>
      <c r="AN699" s="465"/>
      <c r="AO699" s="465"/>
      <c r="AP699" s="465"/>
      <c r="AQ699" s="465"/>
      <c r="AR699" s="465"/>
      <c r="AS699" s="465"/>
      <c r="AT699" s="465"/>
      <c r="AU699" s="465"/>
      <c r="AV699" s="465"/>
      <c r="AW699" s="465"/>
      <c r="AX699" s="465"/>
      <c r="AY699" s="465"/>
      <c r="AZ699" s="465"/>
      <c r="BA699" s="465"/>
      <c r="BB699" s="465"/>
      <c r="BC699" s="465"/>
    </row>
    <row r="700" spans="1:55">
      <c r="A700" s="465"/>
      <c r="B700" s="465"/>
      <c r="C700" s="465"/>
      <c r="D700" s="467"/>
      <c r="E700" s="465"/>
      <c r="F700" s="465"/>
      <c r="G700" s="465"/>
      <c r="H700" s="465"/>
      <c r="I700" s="465"/>
      <c r="J700" s="465"/>
      <c r="K700" s="465"/>
      <c r="L700" s="465"/>
      <c r="M700" s="465"/>
      <c r="N700" s="465"/>
      <c r="O700" s="465"/>
      <c r="P700" s="465"/>
      <c r="Q700" s="465"/>
      <c r="R700" s="465"/>
      <c r="S700" s="465"/>
      <c r="T700" s="465"/>
      <c r="U700" s="465"/>
      <c r="V700" s="465"/>
      <c r="W700" s="465"/>
      <c r="X700" s="465"/>
      <c r="Y700" s="465"/>
      <c r="Z700" s="465"/>
      <c r="AA700" s="465"/>
      <c r="AB700" s="465"/>
      <c r="AC700" s="465"/>
      <c r="AD700" s="465"/>
      <c r="AE700" s="465"/>
      <c r="AF700" s="465"/>
      <c r="AG700" s="465"/>
      <c r="AH700" s="465"/>
      <c r="AI700" s="465"/>
      <c r="AJ700" s="465"/>
      <c r="AK700" s="465"/>
      <c r="AL700" s="465"/>
      <c r="AM700" s="465"/>
      <c r="AN700" s="465"/>
      <c r="AO700" s="465"/>
      <c r="AP700" s="465"/>
      <c r="AQ700" s="465"/>
      <c r="AR700" s="465"/>
      <c r="AS700" s="465"/>
      <c r="AT700" s="465"/>
      <c r="AU700" s="465"/>
      <c r="AV700" s="465"/>
      <c r="AW700" s="465"/>
      <c r="AX700" s="465"/>
      <c r="AY700" s="465"/>
      <c r="AZ700" s="465"/>
      <c r="BA700" s="465"/>
      <c r="BB700" s="465"/>
      <c r="BC700" s="465"/>
    </row>
    <row r="701" spans="1:55">
      <c r="A701" s="465"/>
      <c r="B701" s="465"/>
      <c r="C701" s="465"/>
      <c r="D701" s="467"/>
      <c r="E701" s="465"/>
      <c r="F701" s="465"/>
      <c r="G701" s="465"/>
      <c r="H701" s="465"/>
      <c r="I701" s="465"/>
      <c r="J701" s="465"/>
      <c r="K701" s="465"/>
      <c r="L701" s="465"/>
      <c r="M701" s="465"/>
      <c r="N701" s="465"/>
      <c r="O701" s="465"/>
      <c r="P701" s="465"/>
      <c r="Q701" s="465"/>
      <c r="R701" s="465"/>
      <c r="S701" s="465"/>
      <c r="T701" s="465"/>
      <c r="U701" s="465"/>
      <c r="V701" s="465"/>
      <c r="W701" s="465"/>
      <c r="X701" s="465"/>
      <c r="Y701" s="465"/>
      <c r="Z701" s="465"/>
      <c r="AA701" s="465"/>
      <c r="AB701" s="465"/>
      <c r="AC701" s="465"/>
      <c r="AD701" s="465"/>
      <c r="AE701" s="465"/>
      <c r="AF701" s="465"/>
      <c r="AG701" s="465"/>
      <c r="AH701" s="465"/>
      <c r="AI701" s="465"/>
      <c r="AJ701" s="465"/>
      <c r="AK701" s="465"/>
      <c r="AL701" s="465"/>
      <c r="AM701" s="465"/>
      <c r="AN701" s="465"/>
      <c r="AO701" s="465"/>
      <c r="AP701" s="465"/>
      <c r="AQ701" s="465"/>
      <c r="AR701" s="465"/>
      <c r="AS701" s="465"/>
      <c r="AT701" s="465"/>
      <c r="AU701" s="465"/>
      <c r="AV701" s="465"/>
      <c r="AW701" s="465"/>
      <c r="AX701" s="465"/>
      <c r="AY701" s="465"/>
      <c r="AZ701" s="465"/>
      <c r="BA701" s="465"/>
      <c r="BB701" s="465"/>
      <c r="BC701" s="465"/>
    </row>
    <row r="702" spans="1:55">
      <c r="A702" s="465"/>
      <c r="B702" s="465"/>
      <c r="C702" s="465"/>
      <c r="D702" s="467"/>
      <c r="E702" s="465"/>
      <c r="F702" s="465"/>
      <c r="G702" s="465"/>
      <c r="H702" s="465"/>
      <c r="I702" s="465"/>
      <c r="J702" s="465"/>
      <c r="K702" s="465"/>
      <c r="L702" s="465"/>
      <c r="M702" s="465"/>
      <c r="N702" s="465"/>
      <c r="O702" s="465"/>
      <c r="P702" s="465"/>
      <c r="Q702" s="465"/>
      <c r="R702" s="465"/>
      <c r="S702" s="465"/>
      <c r="T702" s="465"/>
      <c r="U702" s="465"/>
      <c r="V702" s="465"/>
      <c r="W702" s="465"/>
      <c r="X702" s="465"/>
      <c r="Y702" s="465"/>
      <c r="Z702" s="465"/>
      <c r="AA702" s="465"/>
      <c r="AB702" s="465"/>
      <c r="AC702" s="465"/>
      <c r="AD702" s="465"/>
      <c r="AE702" s="465"/>
      <c r="AF702" s="465"/>
      <c r="AG702" s="465"/>
      <c r="AH702" s="465"/>
      <c r="AI702" s="465"/>
      <c r="AJ702" s="465"/>
      <c r="AK702" s="465"/>
      <c r="AL702" s="465"/>
      <c r="AM702" s="465"/>
      <c r="AN702" s="465"/>
      <c r="AO702" s="465"/>
      <c r="AP702" s="465"/>
      <c r="AQ702" s="465"/>
      <c r="AR702" s="465"/>
      <c r="AS702" s="465"/>
      <c r="AT702" s="465"/>
      <c r="AU702" s="465"/>
      <c r="AV702" s="465"/>
      <c r="AW702" s="465"/>
      <c r="AX702" s="465"/>
      <c r="AY702" s="465"/>
      <c r="AZ702" s="465"/>
      <c r="BA702" s="465"/>
      <c r="BB702" s="465"/>
      <c r="BC702" s="465"/>
    </row>
    <row r="703" spans="1:55">
      <c r="A703" s="465"/>
      <c r="B703" s="465"/>
      <c r="C703" s="465"/>
      <c r="D703" s="467"/>
      <c r="E703" s="465"/>
      <c r="F703" s="465"/>
      <c r="G703" s="465"/>
      <c r="H703" s="465"/>
      <c r="I703" s="465"/>
      <c r="J703" s="465"/>
      <c r="K703" s="465"/>
      <c r="L703" s="465"/>
      <c r="M703" s="465"/>
      <c r="N703" s="465"/>
      <c r="O703" s="465"/>
      <c r="P703" s="465"/>
      <c r="Q703" s="465"/>
      <c r="R703" s="465"/>
      <c r="S703" s="465"/>
      <c r="T703" s="465"/>
      <c r="U703" s="465"/>
      <c r="V703" s="465"/>
      <c r="W703" s="465"/>
      <c r="X703" s="465"/>
      <c r="Y703" s="465"/>
      <c r="Z703" s="465"/>
      <c r="AA703" s="465"/>
      <c r="AB703" s="465"/>
      <c r="AC703" s="465"/>
      <c r="AD703" s="465"/>
      <c r="AE703" s="465"/>
      <c r="AF703" s="465"/>
      <c r="AG703" s="465"/>
      <c r="AH703" s="465"/>
      <c r="AI703" s="465"/>
      <c r="AJ703" s="465"/>
      <c r="AK703" s="465"/>
      <c r="AL703" s="465"/>
      <c r="AM703" s="465"/>
      <c r="AN703" s="465"/>
      <c r="AO703" s="465"/>
      <c r="AP703" s="465"/>
      <c r="AQ703" s="465"/>
      <c r="AR703" s="465"/>
      <c r="AS703" s="465"/>
      <c r="AT703" s="465"/>
      <c r="AU703" s="465"/>
      <c r="AV703" s="465"/>
      <c r="AW703" s="465"/>
      <c r="AX703" s="465"/>
      <c r="AY703" s="465"/>
      <c r="AZ703" s="465"/>
      <c r="BA703" s="465"/>
      <c r="BB703" s="465"/>
      <c r="BC703" s="465"/>
    </row>
    <row r="704" spans="1:55">
      <c r="A704" s="465"/>
      <c r="B704" s="465"/>
      <c r="C704" s="465"/>
      <c r="D704" s="467"/>
      <c r="E704" s="465"/>
      <c r="F704" s="465"/>
      <c r="G704" s="465"/>
      <c r="H704" s="465"/>
      <c r="I704" s="465"/>
      <c r="J704" s="465"/>
      <c r="K704" s="465"/>
      <c r="L704" s="465"/>
      <c r="M704" s="465"/>
      <c r="N704" s="465"/>
      <c r="O704" s="465"/>
      <c r="P704" s="465"/>
      <c r="Q704" s="465"/>
      <c r="R704" s="465"/>
      <c r="S704" s="465"/>
      <c r="T704" s="465"/>
      <c r="U704" s="465"/>
      <c r="V704" s="465"/>
      <c r="W704" s="465"/>
      <c r="X704" s="465"/>
      <c r="Y704" s="465"/>
      <c r="Z704" s="465"/>
      <c r="AA704" s="465"/>
      <c r="AB704" s="465"/>
      <c r="AC704" s="465"/>
      <c r="AD704" s="465"/>
      <c r="AE704" s="465"/>
      <c r="AF704" s="465"/>
      <c r="AG704" s="465"/>
      <c r="AH704" s="465"/>
      <c r="AI704" s="465"/>
      <c r="AJ704" s="465"/>
      <c r="AK704" s="465"/>
      <c r="AL704" s="465"/>
      <c r="AM704" s="465"/>
      <c r="AN704" s="465"/>
      <c r="AO704" s="465"/>
      <c r="AP704" s="465"/>
      <c r="AQ704" s="465"/>
      <c r="AR704" s="465"/>
      <c r="AS704" s="465"/>
      <c r="AT704" s="465"/>
      <c r="AU704" s="465"/>
      <c r="AV704" s="465"/>
      <c r="AW704" s="465"/>
      <c r="AX704" s="465"/>
      <c r="AY704" s="465"/>
      <c r="AZ704" s="465"/>
      <c r="BA704" s="465"/>
      <c r="BB704" s="465"/>
      <c r="BC704" s="465"/>
    </row>
    <row r="705" spans="1:55">
      <c r="A705" s="465"/>
      <c r="B705" s="465"/>
      <c r="C705" s="465"/>
      <c r="D705" s="467"/>
      <c r="E705" s="465"/>
      <c r="F705" s="465"/>
      <c r="G705" s="465"/>
      <c r="H705" s="465"/>
      <c r="I705" s="465"/>
      <c r="J705" s="465"/>
      <c r="K705" s="465"/>
      <c r="L705" s="465"/>
      <c r="M705" s="465"/>
      <c r="N705" s="465"/>
      <c r="O705" s="465"/>
      <c r="P705" s="465"/>
      <c r="Q705" s="465"/>
      <c r="R705" s="465"/>
      <c r="S705" s="465"/>
      <c r="T705" s="465"/>
      <c r="U705" s="465"/>
      <c r="V705" s="465"/>
      <c r="W705" s="465"/>
      <c r="X705" s="465"/>
      <c r="Y705" s="465"/>
      <c r="Z705" s="465"/>
      <c r="AA705" s="465"/>
      <c r="AB705" s="465"/>
      <c r="AC705" s="465"/>
      <c r="AD705" s="465"/>
      <c r="AE705" s="465"/>
      <c r="AF705" s="465"/>
      <c r="AG705" s="465"/>
      <c r="AH705" s="465"/>
      <c r="AI705" s="465"/>
      <c r="AJ705" s="465"/>
      <c r="AK705" s="465"/>
      <c r="AL705" s="465"/>
      <c r="AM705" s="465"/>
      <c r="AN705" s="465"/>
      <c r="AO705" s="465"/>
      <c r="AP705" s="465"/>
      <c r="AQ705" s="465"/>
      <c r="AR705" s="465"/>
      <c r="AS705" s="465"/>
      <c r="AT705" s="465"/>
      <c r="AU705" s="465"/>
      <c r="AV705" s="465"/>
      <c r="AW705" s="465"/>
      <c r="AX705" s="465"/>
      <c r="AY705" s="465"/>
      <c r="AZ705" s="465"/>
      <c r="BA705" s="465"/>
      <c r="BB705" s="465"/>
      <c r="BC705" s="465"/>
    </row>
    <row r="706" spans="1:55">
      <c r="A706" s="465"/>
      <c r="B706" s="465"/>
      <c r="C706" s="465"/>
      <c r="D706" s="467"/>
      <c r="E706" s="465"/>
      <c r="F706" s="465"/>
      <c r="G706" s="465"/>
      <c r="H706" s="465"/>
      <c r="I706" s="465"/>
      <c r="J706" s="465"/>
      <c r="K706" s="465"/>
      <c r="L706" s="465"/>
      <c r="M706" s="465"/>
      <c r="N706" s="465"/>
      <c r="O706" s="465"/>
      <c r="P706" s="465"/>
      <c r="Q706" s="465"/>
      <c r="R706" s="465"/>
      <c r="S706" s="465"/>
      <c r="T706" s="465"/>
      <c r="U706" s="465"/>
      <c r="V706" s="465"/>
      <c r="W706" s="465"/>
      <c r="X706" s="465"/>
      <c r="Y706" s="465"/>
      <c r="Z706" s="465"/>
      <c r="AA706" s="465"/>
      <c r="AB706" s="465"/>
      <c r="AC706" s="465"/>
      <c r="AD706" s="465"/>
      <c r="AE706" s="465"/>
      <c r="AF706" s="465"/>
      <c r="AG706" s="465"/>
      <c r="AH706" s="465"/>
      <c r="AI706" s="465"/>
      <c r="AJ706" s="465"/>
      <c r="AK706" s="465"/>
      <c r="AL706" s="465"/>
      <c r="AM706" s="465"/>
      <c r="AN706" s="465"/>
      <c r="AO706" s="465"/>
      <c r="AP706" s="465"/>
      <c r="AQ706" s="465"/>
      <c r="AR706" s="465"/>
      <c r="AS706" s="465"/>
      <c r="AT706" s="465"/>
      <c r="AU706" s="465"/>
      <c r="AV706" s="465"/>
      <c r="AW706" s="465"/>
      <c r="AX706" s="465"/>
      <c r="AY706" s="465"/>
      <c r="AZ706" s="465"/>
      <c r="BA706" s="465"/>
      <c r="BB706" s="465"/>
      <c r="BC706" s="465"/>
    </row>
    <row r="707" spans="1:55">
      <c r="A707" s="465"/>
      <c r="B707" s="465"/>
      <c r="C707" s="465"/>
      <c r="D707" s="467"/>
      <c r="E707" s="465"/>
      <c r="F707" s="465"/>
      <c r="G707" s="465"/>
      <c r="H707" s="465"/>
      <c r="I707" s="465"/>
      <c r="J707" s="465"/>
      <c r="K707" s="465"/>
      <c r="L707" s="465"/>
      <c r="M707" s="465"/>
      <c r="N707" s="465"/>
      <c r="O707" s="465"/>
      <c r="P707" s="465"/>
      <c r="Q707" s="465"/>
      <c r="R707" s="465"/>
      <c r="S707" s="465"/>
      <c r="T707" s="465"/>
      <c r="U707" s="465"/>
      <c r="V707" s="465"/>
      <c r="W707" s="465"/>
      <c r="X707" s="465"/>
      <c r="Y707" s="465"/>
      <c r="Z707" s="465"/>
      <c r="AA707" s="465"/>
      <c r="AB707" s="465"/>
      <c r="AC707" s="465"/>
      <c r="AD707" s="465"/>
      <c r="AE707" s="465"/>
      <c r="AF707" s="465"/>
      <c r="AG707" s="465"/>
      <c r="AH707" s="465"/>
      <c r="AI707" s="465"/>
      <c r="AJ707" s="465"/>
      <c r="AK707" s="465"/>
      <c r="AL707" s="465"/>
      <c r="AM707" s="465"/>
      <c r="AN707" s="465"/>
      <c r="AO707" s="465"/>
      <c r="AP707" s="465"/>
      <c r="AQ707" s="465"/>
      <c r="AR707" s="465"/>
      <c r="AS707" s="465"/>
      <c r="AT707" s="465"/>
      <c r="AU707" s="465"/>
      <c r="AV707" s="465"/>
      <c r="AW707" s="465"/>
      <c r="AX707" s="465"/>
      <c r="AY707" s="465"/>
      <c r="AZ707" s="465"/>
      <c r="BA707" s="465"/>
      <c r="BB707" s="465"/>
      <c r="BC707" s="465"/>
    </row>
    <row r="708" spans="1:55">
      <c r="A708" s="465"/>
      <c r="B708" s="465"/>
      <c r="C708" s="465"/>
      <c r="D708" s="467"/>
      <c r="E708" s="465"/>
      <c r="F708" s="465"/>
      <c r="G708" s="465"/>
      <c r="H708" s="465"/>
      <c r="I708" s="465"/>
      <c r="J708" s="465"/>
      <c r="K708" s="465"/>
      <c r="L708" s="465"/>
      <c r="M708" s="465"/>
      <c r="N708" s="465"/>
      <c r="O708" s="465"/>
      <c r="P708" s="465"/>
      <c r="Q708" s="465"/>
      <c r="R708" s="465"/>
      <c r="S708" s="465"/>
      <c r="T708" s="465"/>
      <c r="U708" s="465"/>
      <c r="V708" s="465"/>
      <c r="W708" s="465"/>
      <c r="X708" s="465"/>
      <c r="Y708" s="465"/>
      <c r="Z708" s="465"/>
      <c r="AA708" s="465"/>
      <c r="AB708" s="465"/>
      <c r="AC708" s="465"/>
      <c r="AD708" s="465"/>
      <c r="AE708" s="465"/>
      <c r="AF708" s="465"/>
      <c r="AG708" s="465"/>
      <c r="AH708" s="465"/>
      <c r="AI708" s="465"/>
      <c r="AJ708" s="465"/>
      <c r="AK708" s="465"/>
      <c r="AL708" s="465"/>
      <c r="AM708" s="465"/>
      <c r="AN708" s="465"/>
      <c r="AO708" s="465"/>
      <c r="AP708" s="465"/>
      <c r="AQ708" s="465"/>
      <c r="AR708" s="465"/>
      <c r="AS708" s="465"/>
      <c r="AT708" s="465"/>
      <c r="AU708" s="465"/>
      <c r="AV708" s="465"/>
      <c r="AW708" s="465"/>
      <c r="AX708" s="465"/>
      <c r="AY708" s="465"/>
      <c r="AZ708" s="465"/>
      <c r="BA708" s="465"/>
      <c r="BB708" s="465"/>
      <c r="BC708" s="465"/>
    </row>
    <row r="709" spans="1:55">
      <c r="A709" s="465"/>
      <c r="B709" s="465"/>
      <c r="C709" s="465"/>
      <c r="D709" s="467"/>
      <c r="E709" s="465"/>
      <c r="F709" s="465"/>
      <c r="G709" s="465"/>
      <c r="H709" s="465"/>
      <c r="I709" s="465"/>
      <c r="J709" s="465"/>
      <c r="K709" s="465"/>
      <c r="L709" s="465"/>
      <c r="M709" s="465"/>
      <c r="N709" s="465"/>
      <c r="O709" s="465"/>
      <c r="P709" s="465"/>
      <c r="Q709" s="465"/>
      <c r="R709" s="465"/>
      <c r="S709" s="465"/>
      <c r="T709" s="465"/>
      <c r="U709" s="465"/>
      <c r="V709" s="465"/>
      <c r="W709" s="465"/>
      <c r="X709" s="465"/>
      <c r="Y709" s="465"/>
      <c r="Z709" s="465"/>
      <c r="AA709" s="465"/>
      <c r="AB709" s="465"/>
      <c r="AC709" s="465"/>
      <c r="AD709" s="465"/>
      <c r="AE709" s="465"/>
      <c r="AF709" s="465"/>
      <c r="AG709" s="465"/>
      <c r="AH709" s="465"/>
      <c r="AI709" s="465"/>
      <c r="AJ709" s="465"/>
      <c r="AK709" s="465"/>
      <c r="AL709" s="465"/>
      <c r="AM709" s="465"/>
      <c r="AN709" s="465"/>
      <c r="AO709" s="465"/>
      <c r="AP709" s="465"/>
      <c r="AQ709" s="465"/>
      <c r="AR709" s="465"/>
      <c r="AS709" s="465"/>
      <c r="AT709" s="465"/>
      <c r="AU709" s="465"/>
      <c r="AV709" s="465"/>
      <c r="AW709" s="465"/>
      <c r="AX709" s="465"/>
      <c r="AY709" s="465"/>
      <c r="AZ709" s="465"/>
      <c r="BA709" s="465"/>
      <c r="BB709" s="465"/>
      <c r="BC709" s="465"/>
    </row>
    <row r="710" spans="1:55">
      <c r="A710" s="465"/>
      <c r="B710" s="465"/>
      <c r="C710" s="465"/>
      <c r="D710" s="467"/>
      <c r="E710" s="465"/>
      <c r="F710" s="465"/>
      <c r="G710" s="465"/>
      <c r="H710" s="465"/>
      <c r="I710" s="465"/>
      <c r="J710" s="465"/>
      <c r="K710" s="465"/>
      <c r="L710" s="465"/>
      <c r="M710" s="465"/>
      <c r="N710" s="465"/>
      <c r="O710" s="465"/>
      <c r="P710" s="465"/>
      <c r="Q710" s="465"/>
      <c r="R710" s="465"/>
      <c r="S710" s="465"/>
      <c r="T710" s="465"/>
      <c r="U710" s="465"/>
      <c r="V710" s="465"/>
      <c r="W710" s="465"/>
      <c r="X710" s="465"/>
      <c r="Y710" s="465"/>
      <c r="Z710" s="465"/>
      <c r="AA710" s="465"/>
      <c r="AB710" s="465"/>
      <c r="AC710" s="465"/>
      <c r="AD710" s="465"/>
      <c r="AE710" s="465"/>
      <c r="AF710" s="465"/>
      <c r="AG710" s="465"/>
      <c r="AH710" s="465"/>
      <c r="AI710" s="465"/>
      <c r="AJ710" s="465"/>
      <c r="AK710" s="465"/>
      <c r="AL710" s="465"/>
      <c r="AM710" s="465"/>
      <c r="AN710" s="465"/>
      <c r="AO710" s="465"/>
      <c r="AP710" s="465"/>
      <c r="AQ710" s="465"/>
      <c r="AR710" s="465"/>
      <c r="AS710" s="465"/>
      <c r="AT710" s="465"/>
      <c r="AU710" s="465"/>
      <c r="AV710" s="465"/>
      <c r="AW710" s="465"/>
      <c r="AX710" s="465"/>
      <c r="AY710" s="465"/>
      <c r="AZ710" s="465"/>
      <c r="BA710" s="465"/>
      <c r="BB710" s="465"/>
      <c r="BC710" s="465"/>
    </row>
    <row r="711" spans="1:55">
      <c r="A711" s="465"/>
      <c r="B711" s="465"/>
      <c r="C711" s="465"/>
      <c r="D711" s="467"/>
      <c r="E711" s="465"/>
      <c r="F711" s="465"/>
      <c r="G711" s="465"/>
      <c r="H711" s="465"/>
      <c r="I711" s="465"/>
      <c r="J711" s="465"/>
      <c r="K711" s="465"/>
      <c r="L711" s="465"/>
      <c r="M711" s="465"/>
      <c r="N711" s="465"/>
      <c r="O711" s="465"/>
      <c r="P711" s="465"/>
      <c r="Q711" s="465"/>
      <c r="R711" s="465"/>
      <c r="S711" s="465"/>
      <c r="T711" s="465"/>
      <c r="U711" s="465"/>
      <c r="V711" s="465"/>
      <c r="W711" s="465"/>
      <c r="X711" s="465"/>
      <c r="Y711" s="465"/>
      <c r="Z711" s="465"/>
      <c r="AA711" s="465"/>
      <c r="AB711" s="465"/>
      <c r="AC711" s="465"/>
      <c r="AD711" s="465"/>
      <c r="AE711" s="465"/>
      <c r="AF711" s="465"/>
      <c r="AG711" s="465"/>
      <c r="AH711" s="465"/>
      <c r="AI711" s="465"/>
      <c r="AJ711" s="465"/>
      <c r="AK711" s="465"/>
      <c r="AL711" s="465"/>
      <c r="AM711" s="465"/>
      <c r="AN711" s="465"/>
      <c r="AO711" s="465"/>
      <c r="AP711" s="465"/>
      <c r="AQ711" s="465"/>
      <c r="AR711" s="465"/>
      <c r="AS711" s="465"/>
      <c r="AT711" s="465"/>
      <c r="AU711" s="465"/>
      <c r="AV711" s="465"/>
      <c r="AW711" s="465"/>
      <c r="AX711" s="465"/>
      <c r="AY711" s="465"/>
      <c r="AZ711" s="465"/>
      <c r="BA711" s="465"/>
      <c r="BB711" s="465"/>
      <c r="BC711" s="465"/>
    </row>
    <row r="712" spans="1:55">
      <c r="A712" s="465"/>
      <c r="B712" s="465"/>
      <c r="C712" s="465"/>
      <c r="D712" s="467"/>
      <c r="E712" s="465"/>
      <c r="F712" s="465"/>
      <c r="G712" s="465"/>
      <c r="H712" s="465"/>
      <c r="I712" s="465"/>
      <c r="J712" s="465"/>
      <c r="K712" s="465"/>
      <c r="L712" s="465"/>
      <c r="M712" s="465"/>
      <c r="N712" s="465"/>
      <c r="O712" s="465"/>
      <c r="P712" s="465"/>
      <c r="Q712" s="465"/>
      <c r="R712" s="465"/>
      <c r="S712" s="465"/>
      <c r="T712" s="465"/>
      <c r="U712" s="465"/>
      <c r="V712" s="465"/>
      <c r="W712" s="465"/>
      <c r="X712" s="465"/>
      <c r="Y712" s="465"/>
      <c r="Z712" s="465"/>
      <c r="AA712" s="465"/>
      <c r="AB712" s="465"/>
      <c r="AC712" s="465"/>
      <c r="AD712" s="465"/>
      <c r="AE712" s="465"/>
      <c r="AF712" s="465"/>
      <c r="AG712" s="465"/>
      <c r="AH712" s="465"/>
      <c r="AI712" s="465"/>
      <c r="AJ712" s="465"/>
      <c r="AK712" s="465"/>
      <c r="AL712" s="465"/>
      <c r="AM712" s="465"/>
      <c r="AN712" s="465"/>
      <c r="AO712" s="465"/>
      <c r="AP712" s="465"/>
      <c r="AQ712" s="465"/>
      <c r="AR712" s="465"/>
      <c r="AS712" s="465"/>
      <c r="AT712" s="465"/>
      <c r="AU712" s="465"/>
      <c r="AV712" s="465"/>
      <c r="AW712" s="465"/>
      <c r="AX712" s="465"/>
      <c r="AY712" s="465"/>
      <c r="AZ712" s="465"/>
      <c r="BA712" s="465"/>
      <c r="BB712" s="465"/>
      <c r="BC712" s="465"/>
    </row>
    <row r="713" spans="1:55">
      <c r="A713" s="465"/>
      <c r="B713" s="465"/>
      <c r="C713" s="465"/>
      <c r="D713" s="467"/>
      <c r="E713" s="465"/>
      <c r="F713" s="465"/>
      <c r="G713" s="465"/>
      <c r="H713" s="465"/>
      <c r="I713" s="465"/>
      <c r="J713" s="465"/>
      <c r="K713" s="465"/>
      <c r="L713" s="465"/>
      <c r="M713" s="465"/>
      <c r="N713" s="465"/>
      <c r="O713" s="465"/>
      <c r="P713" s="465"/>
      <c r="Q713" s="465"/>
      <c r="R713" s="465"/>
      <c r="S713" s="465"/>
      <c r="T713" s="465"/>
      <c r="U713" s="465"/>
      <c r="V713" s="465"/>
      <c r="W713" s="465"/>
      <c r="X713" s="465"/>
      <c r="Y713" s="465"/>
      <c r="Z713" s="465"/>
      <c r="AA713" s="465"/>
      <c r="AB713" s="465"/>
      <c r="AC713" s="465"/>
      <c r="AD713" s="465"/>
      <c r="AE713" s="465"/>
      <c r="AF713" s="465"/>
      <c r="AG713" s="465"/>
      <c r="AH713" s="465"/>
      <c r="AI713" s="465"/>
      <c r="AJ713" s="465"/>
      <c r="AK713" s="465"/>
      <c r="AL713" s="465"/>
      <c r="AM713" s="465"/>
      <c r="AN713" s="465"/>
      <c r="AO713" s="465"/>
      <c r="AP713" s="465"/>
      <c r="AQ713" s="465"/>
      <c r="AR713" s="465"/>
      <c r="AS713" s="465"/>
      <c r="AT713" s="465"/>
      <c r="AU713" s="465"/>
      <c r="AV713" s="465"/>
      <c r="AW713" s="465"/>
      <c r="AX713" s="465"/>
      <c r="AY713" s="465"/>
      <c r="AZ713" s="465"/>
      <c r="BA713" s="465"/>
      <c r="BB713" s="465"/>
      <c r="BC713" s="465"/>
    </row>
    <row r="714" spans="1:55">
      <c r="A714" s="465"/>
      <c r="B714" s="465"/>
      <c r="C714" s="465"/>
      <c r="D714" s="467"/>
      <c r="E714" s="465"/>
      <c r="F714" s="465"/>
      <c r="G714" s="465"/>
      <c r="H714" s="465"/>
      <c r="I714" s="465"/>
      <c r="J714" s="465"/>
      <c r="K714" s="465"/>
      <c r="L714" s="465"/>
      <c r="M714" s="465"/>
      <c r="N714" s="465"/>
      <c r="O714" s="465"/>
      <c r="P714" s="465"/>
      <c r="Q714" s="465"/>
      <c r="R714" s="465"/>
      <c r="S714" s="465"/>
      <c r="T714" s="465"/>
      <c r="U714" s="465"/>
      <c r="V714" s="465"/>
      <c r="W714" s="465"/>
      <c r="X714" s="465"/>
      <c r="Y714" s="465"/>
      <c r="Z714" s="465"/>
      <c r="AA714" s="465"/>
      <c r="AB714" s="465"/>
      <c r="AC714" s="465"/>
      <c r="AD714" s="465"/>
      <c r="AE714" s="465"/>
      <c r="AF714" s="465"/>
      <c r="AG714" s="465"/>
      <c r="AH714" s="465"/>
      <c r="AI714" s="465"/>
      <c r="AJ714" s="465"/>
      <c r="AK714" s="465"/>
      <c r="AL714" s="465"/>
      <c r="AM714" s="465"/>
      <c r="AN714" s="465"/>
      <c r="AO714" s="465"/>
      <c r="AP714" s="465"/>
      <c r="AQ714" s="465"/>
      <c r="AR714" s="465"/>
      <c r="AS714" s="465"/>
      <c r="AT714" s="465"/>
      <c r="AU714" s="465"/>
      <c r="AV714" s="465"/>
      <c r="AW714" s="465"/>
      <c r="AX714" s="465"/>
      <c r="AY714" s="465"/>
      <c r="AZ714" s="465"/>
      <c r="BA714" s="465"/>
      <c r="BB714" s="465"/>
      <c r="BC714" s="465"/>
    </row>
    <row r="715" spans="1:55">
      <c r="A715" s="465"/>
      <c r="B715" s="465"/>
      <c r="C715" s="465"/>
      <c r="D715" s="467"/>
      <c r="E715" s="465"/>
      <c r="F715" s="465"/>
      <c r="G715" s="465"/>
      <c r="H715" s="465"/>
      <c r="I715" s="465"/>
      <c r="J715" s="465"/>
      <c r="K715" s="465"/>
      <c r="L715" s="465"/>
      <c r="M715" s="465"/>
      <c r="N715" s="465"/>
      <c r="O715" s="465"/>
      <c r="P715" s="465"/>
      <c r="Q715" s="465"/>
      <c r="R715" s="465"/>
      <c r="S715" s="465"/>
      <c r="T715" s="465"/>
      <c r="U715" s="465"/>
      <c r="V715" s="465"/>
      <c r="W715" s="465"/>
      <c r="X715" s="465"/>
      <c r="Y715" s="465"/>
      <c r="Z715" s="465"/>
      <c r="AA715" s="465"/>
      <c r="AB715" s="465"/>
      <c r="AC715" s="465"/>
      <c r="AD715" s="465"/>
      <c r="AE715" s="465"/>
      <c r="AF715" s="465"/>
      <c r="AG715" s="465"/>
      <c r="AH715" s="465"/>
      <c r="AI715" s="465"/>
      <c r="AJ715" s="465"/>
      <c r="AK715" s="465"/>
      <c r="AL715" s="465"/>
      <c r="AM715" s="465"/>
      <c r="AN715" s="465"/>
      <c r="AO715" s="465"/>
      <c r="AP715" s="465"/>
      <c r="AQ715" s="465"/>
      <c r="AR715" s="465"/>
      <c r="AS715" s="465"/>
      <c r="AT715" s="465"/>
      <c r="AU715" s="465"/>
      <c r="AV715" s="465"/>
      <c r="AW715" s="465"/>
      <c r="AX715" s="465"/>
      <c r="AY715" s="465"/>
      <c r="AZ715" s="465"/>
      <c r="BA715" s="465"/>
      <c r="BB715" s="465"/>
      <c r="BC715" s="465"/>
    </row>
    <row r="716" spans="1:55">
      <c r="A716" s="465"/>
      <c r="B716" s="465"/>
      <c r="C716" s="465"/>
      <c r="D716" s="467"/>
      <c r="E716" s="465"/>
      <c r="F716" s="465"/>
      <c r="G716" s="465"/>
      <c r="H716" s="465"/>
      <c r="I716" s="465"/>
      <c r="J716" s="465"/>
      <c r="K716" s="465"/>
      <c r="L716" s="465"/>
      <c r="M716" s="465"/>
      <c r="N716" s="465"/>
      <c r="O716" s="465"/>
      <c r="P716" s="465"/>
      <c r="Q716" s="465"/>
      <c r="R716" s="465"/>
      <c r="S716" s="465"/>
      <c r="T716" s="465"/>
      <c r="U716" s="465"/>
      <c r="V716" s="465"/>
      <c r="W716" s="465"/>
      <c r="X716" s="465"/>
      <c r="Y716" s="465"/>
      <c r="Z716" s="465"/>
      <c r="AA716" s="465"/>
      <c r="AB716" s="465"/>
      <c r="AC716" s="465"/>
      <c r="AD716" s="465"/>
      <c r="AE716" s="465"/>
      <c r="AF716" s="465"/>
      <c r="AG716" s="465"/>
      <c r="AH716" s="465"/>
      <c r="AI716" s="465"/>
      <c r="AJ716" s="465"/>
      <c r="AK716" s="465"/>
      <c r="AL716" s="465"/>
      <c r="AM716" s="465"/>
      <c r="AN716" s="465"/>
      <c r="AO716" s="465"/>
      <c r="AP716" s="465"/>
      <c r="AQ716" s="465"/>
      <c r="AR716" s="465"/>
      <c r="AS716" s="465"/>
      <c r="AT716" s="465"/>
      <c r="AU716" s="465"/>
      <c r="AV716" s="465"/>
      <c r="AW716" s="465"/>
      <c r="AX716" s="465"/>
      <c r="AY716" s="465"/>
      <c r="AZ716" s="465"/>
      <c r="BA716" s="465"/>
      <c r="BB716" s="465"/>
      <c r="BC716" s="465"/>
    </row>
    <row r="717" spans="1:55">
      <c r="A717" s="465"/>
      <c r="B717" s="465"/>
      <c r="C717" s="465"/>
      <c r="D717" s="467"/>
      <c r="E717" s="465"/>
      <c r="F717" s="465"/>
      <c r="G717" s="465"/>
      <c r="H717" s="465"/>
      <c r="I717" s="465"/>
      <c r="J717" s="465"/>
      <c r="K717" s="465"/>
      <c r="L717" s="465"/>
      <c r="M717" s="465"/>
      <c r="N717" s="465"/>
      <c r="O717" s="465"/>
      <c r="P717" s="465"/>
      <c r="Q717" s="465"/>
      <c r="R717" s="465"/>
      <c r="S717" s="465"/>
      <c r="T717" s="465"/>
      <c r="U717" s="465"/>
      <c r="V717" s="465"/>
      <c r="W717" s="465"/>
      <c r="X717" s="465"/>
      <c r="Y717" s="465"/>
      <c r="Z717" s="465"/>
      <c r="AA717" s="465"/>
      <c r="AB717" s="465"/>
      <c r="AC717" s="465"/>
      <c r="AD717" s="465"/>
      <c r="AE717" s="465"/>
      <c r="AF717" s="465"/>
      <c r="AG717" s="465"/>
      <c r="AH717" s="465"/>
      <c r="AI717" s="465"/>
      <c r="AJ717" s="465"/>
      <c r="AK717" s="465"/>
      <c r="AL717" s="465"/>
      <c r="AM717" s="465"/>
      <c r="AN717" s="465"/>
      <c r="AO717" s="465"/>
      <c r="AP717" s="465"/>
      <c r="AQ717" s="465"/>
      <c r="AR717" s="465"/>
      <c r="AS717" s="465"/>
      <c r="AT717" s="465"/>
      <c r="AU717" s="465"/>
      <c r="AV717" s="465"/>
      <c r="AW717" s="465"/>
      <c r="AX717" s="465"/>
      <c r="AY717" s="465"/>
      <c r="AZ717" s="465"/>
      <c r="BA717" s="465"/>
      <c r="BB717" s="465"/>
      <c r="BC717" s="465"/>
    </row>
    <row r="718" spans="1:55">
      <c r="A718" s="465"/>
      <c r="B718" s="465"/>
      <c r="C718" s="465"/>
      <c r="D718" s="467"/>
      <c r="E718" s="465"/>
      <c r="F718" s="465"/>
      <c r="G718" s="465"/>
      <c r="H718" s="465"/>
      <c r="I718" s="465"/>
      <c r="J718" s="465"/>
      <c r="K718" s="465"/>
      <c r="L718" s="465"/>
      <c r="M718" s="465"/>
      <c r="N718" s="465"/>
      <c r="O718" s="465"/>
      <c r="P718" s="465"/>
      <c r="Q718" s="465"/>
      <c r="R718" s="465"/>
      <c r="S718" s="465"/>
      <c r="T718" s="465"/>
      <c r="U718" s="465"/>
      <c r="V718" s="465"/>
      <c r="W718" s="465"/>
      <c r="X718" s="465"/>
      <c r="Y718" s="465"/>
      <c r="Z718" s="465"/>
      <c r="AA718" s="465"/>
      <c r="AB718" s="465"/>
      <c r="AC718" s="465"/>
      <c r="AD718" s="465"/>
      <c r="AE718" s="465"/>
      <c r="AF718" s="465"/>
      <c r="AG718" s="465"/>
      <c r="AH718" s="465"/>
      <c r="AI718" s="465"/>
      <c r="AJ718" s="465"/>
      <c r="AK718" s="465"/>
      <c r="AL718" s="465"/>
      <c r="AM718" s="465"/>
      <c r="AN718" s="465"/>
      <c r="AO718" s="465"/>
      <c r="AP718" s="465"/>
      <c r="AQ718" s="465"/>
      <c r="AR718" s="465"/>
      <c r="AS718" s="465"/>
      <c r="AT718" s="465"/>
      <c r="AU718" s="465"/>
      <c r="AV718" s="465"/>
      <c r="AW718" s="465"/>
      <c r="AX718" s="465"/>
      <c r="AY718" s="465"/>
      <c r="AZ718" s="465"/>
      <c r="BA718" s="465"/>
      <c r="BB718" s="465"/>
      <c r="BC718" s="465"/>
    </row>
    <row r="719" spans="1:55">
      <c r="A719" s="465"/>
      <c r="B719" s="465"/>
      <c r="C719" s="465"/>
      <c r="D719" s="467"/>
      <c r="E719" s="465"/>
      <c r="F719" s="465"/>
      <c r="G719" s="465"/>
      <c r="H719" s="465"/>
      <c r="I719" s="465"/>
      <c r="J719" s="465"/>
      <c r="K719" s="465"/>
      <c r="L719" s="465"/>
      <c r="M719" s="465"/>
      <c r="N719" s="465"/>
      <c r="O719" s="465"/>
      <c r="P719" s="465"/>
      <c r="Q719" s="465"/>
      <c r="R719" s="465"/>
      <c r="S719" s="465"/>
      <c r="T719" s="465"/>
      <c r="U719" s="465"/>
      <c r="V719" s="465"/>
      <c r="W719" s="465"/>
      <c r="X719" s="465"/>
      <c r="Y719" s="465"/>
      <c r="Z719" s="465"/>
      <c r="AA719" s="465"/>
      <c r="AB719" s="465"/>
      <c r="AC719" s="465"/>
      <c r="AD719" s="465"/>
      <c r="AE719" s="465"/>
      <c r="AF719" s="465"/>
      <c r="AG719" s="465"/>
      <c r="AH719" s="465"/>
      <c r="AI719" s="465"/>
      <c r="AJ719" s="465"/>
      <c r="AK719" s="465"/>
      <c r="AL719" s="465"/>
      <c r="AM719" s="465"/>
      <c r="AN719" s="465"/>
      <c r="AO719" s="465"/>
      <c r="AP719" s="465"/>
      <c r="AQ719" s="465"/>
      <c r="AR719" s="465"/>
      <c r="AS719" s="465"/>
      <c r="AT719" s="465"/>
      <c r="AU719" s="465"/>
      <c r="AV719" s="465"/>
      <c r="AW719" s="465"/>
      <c r="AX719" s="465"/>
      <c r="AY719" s="465"/>
      <c r="AZ719" s="465"/>
      <c r="BA719" s="465"/>
      <c r="BB719" s="465"/>
      <c r="BC719" s="465"/>
    </row>
    <row r="720" spans="1:55">
      <c r="A720" s="465"/>
      <c r="B720" s="465"/>
      <c r="C720" s="465"/>
      <c r="D720" s="467"/>
      <c r="E720" s="465"/>
      <c r="F720" s="465"/>
      <c r="G720" s="465"/>
      <c r="H720" s="465"/>
      <c r="I720" s="465"/>
      <c r="J720" s="465"/>
      <c r="K720" s="465"/>
      <c r="L720" s="465"/>
      <c r="M720" s="465"/>
      <c r="N720" s="465"/>
      <c r="O720" s="465"/>
      <c r="P720" s="465"/>
      <c r="Q720" s="465"/>
      <c r="R720" s="465"/>
      <c r="S720" s="465"/>
      <c r="T720" s="465"/>
      <c r="U720" s="465"/>
      <c r="V720" s="465"/>
      <c r="W720" s="465"/>
      <c r="X720" s="465"/>
      <c r="Y720" s="465"/>
      <c r="Z720" s="465"/>
      <c r="AA720" s="465"/>
      <c r="AB720" s="465"/>
      <c r="AC720" s="465"/>
      <c r="AD720" s="465"/>
      <c r="AE720" s="465"/>
      <c r="AF720" s="465"/>
      <c r="AG720" s="465"/>
      <c r="AH720" s="465"/>
      <c r="AI720" s="465"/>
      <c r="AJ720" s="465"/>
      <c r="AK720" s="465"/>
      <c r="AL720" s="465"/>
      <c r="AM720" s="465"/>
      <c r="AN720" s="465"/>
      <c r="AO720" s="465"/>
      <c r="AP720" s="465"/>
      <c r="AQ720" s="465"/>
      <c r="AR720" s="465"/>
      <c r="AS720" s="465"/>
      <c r="AT720" s="465"/>
      <c r="AU720" s="465"/>
      <c r="AV720" s="465"/>
      <c r="AW720" s="465"/>
      <c r="AX720" s="465"/>
      <c r="AY720" s="465"/>
      <c r="AZ720" s="465"/>
      <c r="BA720" s="465"/>
      <c r="BB720" s="465"/>
      <c r="BC720" s="465"/>
    </row>
    <row r="721" spans="1:55">
      <c r="A721" s="465"/>
      <c r="B721" s="465"/>
      <c r="C721" s="465"/>
      <c r="D721" s="467"/>
      <c r="E721" s="465"/>
      <c r="F721" s="465"/>
      <c r="G721" s="465"/>
      <c r="H721" s="465"/>
      <c r="I721" s="465"/>
      <c r="J721" s="465"/>
      <c r="K721" s="465"/>
      <c r="L721" s="465"/>
      <c r="M721" s="465"/>
      <c r="N721" s="465"/>
      <c r="O721" s="465"/>
      <c r="P721" s="465"/>
      <c r="Q721" s="465"/>
      <c r="R721" s="465"/>
      <c r="S721" s="465"/>
      <c r="T721" s="465"/>
      <c r="U721" s="465"/>
      <c r="V721" s="465"/>
      <c r="W721" s="465"/>
      <c r="X721" s="465"/>
      <c r="Y721" s="465"/>
      <c r="Z721" s="465"/>
      <c r="AA721" s="465"/>
      <c r="AB721" s="465"/>
      <c r="AC721" s="465"/>
      <c r="AD721" s="465"/>
      <c r="AE721" s="465"/>
      <c r="AF721" s="465"/>
      <c r="AG721" s="465"/>
      <c r="AH721" s="465"/>
      <c r="AI721" s="465"/>
      <c r="AJ721" s="465"/>
      <c r="AK721" s="465"/>
      <c r="AL721" s="465"/>
      <c r="AM721" s="465"/>
      <c r="AN721" s="465"/>
      <c r="AO721" s="465"/>
      <c r="AP721" s="465"/>
      <c r="AQ721" s="465"/>
      <c r="AR721" s="465"/>
      <c r="AS721" s="465"/>
      <c r="AT721" s="465"/>
      <c r="AU721" s="465"/>
      <c r="AV721" s="465"/>
      <c r="AW721" s="465"/>
      <c r="AX721" s="465"/>
      <c r="AY721" s="465"/>
      <c r="AZ721" s="465"/>
      <c r="BA721" s="465"/>
      <c r="BB721" s="465"/>
      <c r="BC721" s="465"/>
    </row>
    <row r="722" spans="1:55">
      <c r="A722" s="465"/>
      <c r="B722" s="465"/>
      <c r="C722" s="465"/>
      <c r="D722" s="467"/>
      <c r="E722" s="465"/>
      <c r="F722" s="465"/>
      <c r="G722" s="465"/>
      <c r="H722" s="465"/>
      <c r="I722" s="465"/>
      <c r="J722" s="465"/>
      <c r="K722" s="465"/>
      <c r="L722" s="465"/>
      <c r="M722" s="465"/>
      <c r="N722" s="465"/>
      <c r="O722" s="465"/>
      <c r="P722" s="465"/>
      <c r="Q722" s="465"/>
      <c r="R722" s="465"/>
      <c r="S722" s="465"/>
      <c r="T722" s="465"/>
      <c r="U722" s="465"/>
      <c r="V722" s="465"/>
      <c r="W722" s="465"/>
      <c r="X722" s="465"/>
      <c r="Y722" s="465"/>
      <c r="Z722" s="465"/>
      <c r="AA722" s="465"/>
      <c r="AB722" s="465"/>
      <c r="AC722" s="465"/>
      <c r="AD722" s="465"/>
      <c r="AE722" s="465"/>
      <c r="AF722" s="465"/>
      <c r="AG722" s="465"/>
      <c r="AH722" s="465"/>
      <c r="AI722" s="465"/>
      <c r="AJ722" s="465"/>
      <c r="AK722" s="465"/>
      <c r="AL722" s="465"/>
      <c r="AM722" s="465"/>
      <c r="AN722" s="465"/>
      <c r="AO722" s="465"/>
      <c r="AP722" s="465"/>
      <c r="AQ722" s="465"/>
      <c r="AR722" s="465"/>
      <c r="AS722" s="465"/>
      <c r="AT722" s="465"/>
      <c r="AU722" s="465"/>
      <c r="AV722" s="465"/>
      <c r="AW722" s="465"/>
      <c r="AX722" s="465"/>
      <c r="AY722" s="465"/>
      <c r="AZ722" s="465"/>
      <c r="BA722" s="465"/>
      <c r="BB722" s="465"/>
      <c r="BC722" s="465"/>
    </row>
    <row r="723" spans="1:55">
      <c r="A723" s="465"/>
      <c r="B723" s="465"/>
      <c r="C723" s="465"/>
      <c r="D723" s="467"/>
      <c r="E723" s="465"/>
      <c r="F723" s="465"/>
      <c r="G723" s="465"/>
      <c r="H723" s="465"/>
      <c r="I723" s="465"/>
      <c r="J723" s="465"/>
      <c r="K723" s="465"/>
      <c r="L723" s="465"/>
      <c r="M723" s="465"/>
      <c r="N723" s="465"/>
      <c r="O723" s="465"/>
      <c r="P723" s="465"/>
      <c r="Q723" s="465"/>
      <c r="R723" s="465"/>
      <c r="S723" s="465"/>
      <c r="T723" s="465"/>
      <c r="U723" s="465"/>
      <c r="V723" s="465"/>
      <c r="W723" s="465"/>
      <c r="X723" s="465"/>
      <c r="Y723" s="465"/>
      <c r="Z723" s="465"/>
      <c r="AA723" s="465"/>
      <c r="AB723" s="465"/>
      <c r="AC723" s="465"/>
      <c r="AD723" s="465"/>
      <c r="AE723" s="465"/>
      <c r="AF723" s="465"/>
      <c r="AG723" s="465"/>
      <c r="AH723" s="465"/>
      <c r="AI723" s="465"/>
      <c r="AJ723" s="465"/>
      <c r="AK723" s="465"/>
      <c r="AL723" s="465"/>
      <c r="AM723" s="465"/>
      <c r="AN723" s="465"/>
      <c r="AO723" s="465"/>
      <c r="AP723" s="465"/>
      <c r="AQ723" s="465"/>
      <c r="AR723" s="465"/>
      <c r="AS723" s="465"/>
      <c r="AT723" s="465"/>
      <c r="AU723" s="465"/>
      <c r="AV723" s="465"/>
      <c r="AW723" s="465"/>
      <c r="AX723" s="465"/>
      <c r="AY723" s="465"/>
      <c r="AZ723" s="465"/>
      <c r="BA723" s="465"/>
      <c r="BB723" s="465"/>
      <c r="BC723" s="465"/>
    </row>
    <row r="724" spans="1:55">
      <c r="A724" s="465"/>
      <c r="B724" s="465"/>
      <c r="C724" s="465"/>
      <c r="D724" s="467"/>
      <c r="E724" s="465"/>
      <c r="F724" s="465"/>
      <c r="G724" s="465"/>
      <c r="H724" s="465"/>
      <c r="I724" s="465"/>
      <c r="J724" s="465"/>
      <c r="K724" s="465"/>
      <c r="L724" s="465"/>
      <c r="M724" s="465"/>
      <c r="N724" s="465"/>
      <c r="O724" s="465"/>
      <c r="P724" s="465"/>
      <c r="Q724" s="465"/>
      <c r="R724" s="465"/>
      <c r="S724" s="465"/>
      <c r="T724" s="465"/>
      <c r="U724" s="465"/>
      <c r="V724" s="465"/>
      <c r="W724" s="465"/>
      <c r="X724" s="465"/>
      <c r="Y724" s="465"/>
      <c r="Z724" s="465"/>
      <c r="AA724" s="465"/>
      <c r="AB724" s="465"/>
      <c r="AC724" s="465"/>
      <c r="AD724" s="465"/>
      <c r="AE724" s="465"/>
      <c r="AF724" s="465"/>
      <c r="AG724" s="465"/>
      <c r="AH724" s="465"/>
      <c r="AI724" s="465"/>
      <c r="AJ724" s="465"/>
      <c r="AK724" s="465"/>
      <c r="AL724" s="465"/>
      <c r="AM724" s="465"/>
      <c r="AN724" s="465"/>
      <c r="AO724" s="465"/>
      <c r="AP724" s="465"/>
      <c r="AQ724" s="465"/>
      <c r="AR724" s="465"/>
      <c r="AS724" s="465"/>
      <c r="AT724" s="465"/>
      <c r="AU724" s="465"/>
      <c r="AV724" s="465"/>
      <c r="AW724" s="465"/>
      <c r="AX724" s="465"/>
      <c r="AY724" s="465"/>
      <c r="AZ724" s="465"/>
      <c r="BA724" s="465"/>
      <c r="BB724" s="465"/>
      <c r="BC724" s="465"/>
    </row>
    <row r="725" spans="1:55">
      <c r="A725" s="465"/>
      <c r="B725" s="465"/>
      <c r="C725" s="465"/>
      <c r="D725" s="467"/>
      <c r="E725" s="465"/>
      <c r="F725" s="465"/>
      <c r="G725" s="465"/>
      <c r="H725" s="465"/>
      <c r="I725" s="465"/>
      <c r="J725" s="465"/>
      <c r="K725" s="465"/>
      <c r="L725" s="465"/>
      <c r="M725" s="465"/>
      <c r="N725" s="465"/>
      <c r="O725" s="465"/>
      <c r="P725" s="465"/>
      <c r="Q725" s="465"/>
      <c r="R725" s="465"/>
      <c r="S725" s="465"/>
      <c r="T725" s="465"/>
      <c r="U725" s="465"/>
      <c r="V725" s="465"/>
      <c r="W725" s="465"/>
      <c r="X725" s="465"/>
      <c r="Y725" s="465"/>
      <c r="Z725" s="465"/>
      <c r="AA725" s="465"/>
      <c r="AB725" s="465"/>
      <c r="AC725" s="465"/>
      <c r="AD725" s="465"/>
      <c r="AE725" s="465"/>
      <c r="AF725" s="465"/>
      <c r="AG725" s="465"/>
      <c r="AH725" s="465"/>
      <c r="AI725" s="465"/>
      <c r="AJ725" s="465"/>
      <c r="AK725" s="465"/>
      <c r="AL725" s="465"/>
      <c r="AM725" s="465"/>
      <c r="AN725" s="465"/>
      <c r="AO725" s="465"/>
      <c r="AP725" s="465"/>
      <c r="AQ725" s="465"/>
      <c r="AR725" s="465"/>
      <c r="AS725" s="465"/>
      <c r="AT725" s="465"/>
      <c r="AU725" s="465"/>
      <c r="AV725" s="465"/>
      <c r="AW725" s="465"/>
      <c r="AX725" s="465"/>
      <c r="AY725" s="465"/>
      <c r="AZ725" s="465"/>
      <c r="BA725" s="465"/>
      <c r="BB725" s="465"/>
      <c r="BC725" s="465"/>
    </row>
    <row r="726" spans="1:55">
      <c r="A726" s="465"/>
      <c r="B726" s="465"/>
      <c r="C726" s="465"/>
      <c r="D726" s="467"/>
      <c r="E726" s="465"/>
      <c r="F726" s="465"/>
      <c r="G726" s="465"/>
      <c r="H726" s="465"/>
      <c r="I726" s="465"/>
      <c r="J726" s="465"/>
      <c r="K726" s="465"/>
      <c r="L726" s="465"/>
      <c r="M726" s="465"/>
      <c r="N726" s="465"/>
      <c r="O726" s="465"/>
      <c r="P726" s="465"/>
      <c r="Q726" s="465"/>
      <c r="R726" s="465"/>
      <c r="S726" s="465"/>
      <c r="T726" s="465"/>
      <c r="U726" s="465"/>
      <c r="V726" s="465"/>
      <c r="W726" s="465"/>
      <c r="X726" s="465"/>
      <c r="Y726" s="465"/>
      <c r="Z726" s="465"/>
      <c r="AA726" s="465"/>
      <c r="AB726" s="465"/>
      <c r="AC726" s="465"/>
      <c r="AD726" s="465"/>
      <c r="AE726" s="465"/>
      <c r="AF726" s="465"/>
      <c r="AG726" s="465"/>
      <c r="AH726" s="465"/>
      <c r="AI726" s="465"/>
      <c r="AJ726" s="465"/>
      <c r="AK726" s="465"/>
      <c r="AL726" s="465"/>
      <c r="AM726" s="465"/>
      <c r="AN726" s="465"/>
      <c r="AO726" s="465"/>
      <c r="AP726" s="465"/>
      <c r="AQ726" s="465"/>
      <c r="AR726" s="465"/>
      <c r="AS726" s="465"/>
      <c r="AT726" s="465"/>
      <c r="AU726" s="465"/>
      <c r="AV726" s="465"/>
      <c r="AW726" s="465"/>
      <c r="AX726" s="465"/>
      <c r="AY726" s="465"/>
      <c r="AZ726" s="465"/>
      <c r="BA726" s="465"/>
      <c r="BB726" s="465"/>
      <c r="BC726" s="465"/>
    </row>
    <row r="727" spans="1:55">
      <c r="A727" s="465"/>
      <c r="B727" s="465"/>
      <c r="C727" s="465"/>
      <c r="D727" s="467"/>
      <c r="E727" s="465"/>
      <c r="F727" s="465"/>
      <c r="G727" s="465"/>
      <c r="H727" s="465"/>
      <c r="I727" s="465"/>
      <c r="J727" s="465"/>
      <c r="K727" s="465"/>
      <c r="L727" s="465"/>
      <c r="M727" s="465"/>
      <c r="N727" s="465"/>
      <c r="O727" s="465"/>
      <c r="P727" s="465"/>
      <c r="Q727" s="465"/>
      <c r="R727" s="465"/>
      <c r="S727" s="465"/>
      <c r="T727" s="465"/>
      <c r="U727" s="465"/>
      <c r="V727" s="465"/>
      <c r="W727" s="465"/>
      <c r="X727" s="465"/>
      <c r="Y727" s="465"/>
      <c r="Z727" s="465"/>
      <c r="AA727" s="465"/>
      <c r="AB727" s="465"/>
      <c r="AC727" s="465"/>
      <c r="AD727" s="465"/>
      <c r="AE727" s="465"/>
      <c r="AF727" s="465"/>
      <c r="AG727" s="465"/>
      <c r="AH727" s="465"/>
      <c r="AI727" s="465"/>
      <c r="AJ727" s="465"/>
      <c r="AK727" s="465"/>
      <c r="AL727" s="465"/>
      <c r="AM727" s="465"/>
      <c r="AN727" s="465"/>
      <c r="AO727" s="465"/>
      <c r="AP727" s="465"/>
      <c r="AQ727" s="465"/>
      <c r="AR727" s="465"/>
      <c r="AS727" s="465"/>
      <c r="AT727" s="465"/>
      <c r="AU727" s="465"/>
      <c r="AV727" s="465"/>
      <c r="AW727" s="465"/>
      <c r="AX727" s="465"/>
      <c r="AY727" s="465"/>
      <c r="AZ727" s="465"/>
      <c r="BA727" s="465"/>
      <c r="BB727" s="465"/>
      <c r="BC727" s="465"/>
    </row>
    <row r="728" spans="1:55">
      <c r="A728" s="465"/>
      <c r="B728" s="465"/>
      <c r="C728" s="465"/>
      <c r="D728" s="467"/>
      <c r="E728" s="465"/>
      <c r="F728" s="465"/>
      <c r="G728" s="465"/>
      <c r="H728" s="465"/>
      <c r="I728" s="465"/>
      <c r="J728" s="465"/>
      <c r="K728" s="465"/>
      <c r="L728" s="465"/>
      <c r="M728" s="465"/>
      <c r="N728" s="465"/>
      <c r="O728" s="465"/>
      <c r="P728" s="465"/>
      <c r="Q728" s="465"/>
      <c r="R728" s="465"/>
      <c r="S728" s="465"/>
      <c r="T728" s="465"/>
      <c r="U728" s="465"/>
      <c r="V728" s="465"/>
      <c r="W728" s="465"/>
      <c r="X728" s="465"/>
      <c r="Y728" s="465"/>
      <c r="Z728" s="465"/>
      <c r="AA728" s="465"/>
      <c r="AB728" s="465"/>
      <c r="AC728" s="465"/>
      <c r="AD728" s="465"/>
      <c r="AE728" s="465"/>
      <c r="AF728" s="465"/>
      <c r="AG728" s="465"/>
      <c r="AH728" s="465"/>
      <c r="AI728" s="465"/>
      <c r="AJ728" s="465"/>
      <c r="AK728" s="465"/>
      <c r="AL728" s="465"/>
      <c r="AM728" s="465"/>
      <c r="AN728" s="465"/>
      <c r="AO728" s="465"/>
      <c r="AP728" s="465"/>
      <c r="AQ728" s="465"/>
      <c r="AR728" s="465"/>
      <c r="AS728" s="465"/>
      <c r="AT728" s="465"/>
      <c r="AU728" s="465"/>
      <c r="AV728" s="465"/>
      <c r="AW728" s="465"/>
      <c r="AX728" s="465"/>
      <c r="AY728" s="465"/>
      <c r="AZ728" s="465"/>
      <c r="BA728" s="465"/>
      <c r="BB728" s="465"/>
      <c r="BC728" s="465"/>
    </row>
    <row r="729" spans="1:55">
      <c r="A729" s="465"/>
      <c r="B729" s="465"/>
      <c r="C729" s="465"/>
      <c r="D729" s="467"/>
      <c r="E729" s="465"/>
      <c r="F729" s="465"/>
      <c r="G729" s="465"/>
      <c r="H729" s="465"/>
      <c r="I729" s="465"/>
      <c r="J729" s="465"/>
      <c r="K729" s="465"/>
      <c r="L729" s="465"/>
      <c r="M729" s="465"/>
      <c r="N729" s="465"/>
      <c r="O729" s="465"/>
      <c r="P729" s="465"/>
      <c r="Q729" s="465"/>
      <c r="R729" s="465"/>
      <c r="S729" s="465"/>
      <c r="T729" s="465"/>
      <c r="U729" s="465"/>
      <c r="V729" s="465"/>
      <c r="W729" s="465"/>
      <c r="X729" s="465"/>
      <c r="Y729" s="465"/>
      <c r="Z729" s="465"/>
      <c r="AA729" s="465"/>
      <c r="AB729" s="465"/>
      <c r="AC729" s="465"/>
      <c r="AD729" s="465"/>
      <c r="AE729" s="465"/>
      <c r="AF729" s="465"/>
      <c r="AG729" s="465"/>
      <c r="AH729" s="465"/>
      <c r="AI729" s="465"/>
      <c r="AJ729" s="465"/>
      <c r="AK729" s="465"/>
      <c r="AL729" s="465"/>
      <c r="AM729" s="465"/>
      <c r="AN729" s="465"/>
      <c r="AO729" s="465"/>
      <c r="AP729" s="465"/>
      <c r="AQ729" s="465"/>
      <c r="AR729" s="465"/>
      <c r="AS729" s="465"/>
      <c r="AT729" s="465"/>
      <c r="AU729" s="465"/>
      <c r="AV729" s="465"/>
      <c r="AW729" s="465"/>
      <c r="AX729" s="465"/>
      <c r="AY729" s="465"/>
      <c r="AZ729" s="465"/>
      <c r="BA729" s="465"/>
      <c r="BB729" s="465"/>
      <c r="BC729" s="465"/>
    </row>
    <row r="730" spans="1:55">
      <c r="A730" s="465"/>
      <c r="B730" s="465"/>
      <c r="C730" s="465"/>
      <c r="D730" s="467"/>
      <c r="E730" s="465"/>
      <c r="F730" s="465"/>
      <c r="G730" s="465"/>
      <c r="H730" s="465"/>
      <c r="I730" s="465"/>
      <c r="J730" s="465"/>
      <c r="K730" s="465"/>
      <c r="L730" s="465"/>
      <c r="M730" s="465"/>
      <c r="N730" s="465"/>
      <c r="O730" s="465"/>
      <c r="P730" s="465"/>
      <c r="Q730" s="465"/>
      <c r="R730" s="465"/>
      <c r="S730" s="465"/>
      <c r="T730" s="465"/>
      <c r="U730" s="465"/>
      <c r="V730" s="465"/>
      <c r="W730" s="465"/>
      <c r="X730" s="465"/>
      <c r="Y730" s="465"/>
      <c r="Z730" s="465"/>
      <c r="AA730" s="465"/>
      <c r="AB730" s="465"/>
      <c r="AC730" s="465"/>
      <c r="AD730" s="465"/>
      <c r="AE730" s="465"/>
      <c r="AF730" s="465"/>
      <c r="AG730" s="465"/>
      <c r="AH730" s="465"/>
      <c r="AI730" s="465"/>
      <c r="AJ730" s="465"/>
      <c r="AK730" s="465"/>
      <c r="AL730" s="465"/>
      <c r="AM730" s="465"/>
      <c r="AN730" s="465"/>
      <c r="AO730" s="465"/>
      <c r="AP730" s="465"/>
      <c r="AQ730" s="465"/>
      <c r="AR730" s="465"/>
      <c r="AS730" s="465"/>
      <c r="AT730" s="465"/>
      <c r="AU730" s="465"/>
      <c r="AV730" s="465"/>
      <c r="AW730" s="465"/>
      <c r="AX730" s="465"/>
      <c r="AY730" s="465"/>
      <c r="AZ730" s="465"/>
      <c r="BA730" s="465"/>
      <c r="BB730" s="465"/>
      <c r="BC730" s="465"/>
    </row>
    <row r="731" spans="1:55">
      <c r="A731" s="465"/>
      <c r="B731" s="465"/>
      <c r="C731" s="465"/>
      <c r="D731" s="467"/>
      <c r="E731" s="465"/>
      <c r="F731" s="465"/>
      <c r="G731" s="465"/>
      <c r="H731" s="465"/>
      <c r="I731" s="465"/>
      <c r="J731" s="465"/>
      <c r="K731" s="465"/>
      <c r="L731" s="465"/>
      <c r="M731" s="465"/>
      <c r="N731" s="465"/>
      <c r="O731" s="465"/>
      <c r="P731" s="465"/>
      <c r="Q731" s="465"/>
      <c r="R731" s="465"/>
      <c r="S731" s="465"/>
      <c r="T731" s="465"/>
      <c r="U731" s="465"/>
      <c r="V731" s="465"/>
      <c r="W731" s="465"/>
      <c r="X731" s="465"/>
      <c r="Y731" s="465"/>
      <c r="Z731" s="465"/>
      <c r="AA731" s="465"/>
      <c r="AB731" s="465"/>
      <c r="AC731" s="465"/>
      <c r="AD731" s="465"/>
      <c r="AE731" s="465"/>
      <c r="AF731" s="465"/>
      <c r="AG731" s="465"/>
      <c r="AH731" s="465"/>
      <c r="AI731" s="465"/>
      <c r="AJ731" s="465"/>
      <c r="AK731" s="465"/>
      <c r="AL731" s="465"/>
      <c r="AM731" s="465"/>
      <c r="AN731" s="465"/>
      <c r="AO731" s="465"/>
      <c r="AP731" s="465"/>
      <c r="AQ731" s="465"/>
      <c r="AR731" s="465"/>
      <c r="AS731" s="465"/>
      <c r="AT731" s="465"/>
      <c r="AU731" s="465"/>
      <c r="AV731" s="465"/>
      <c r="AW731" s="465"/>
      <c r="AX731" s="465"/>
      <c r="AY731" s="465"/>
      <c r="AZ731" s="465"/>
      <c r="BA731" s="465"/>
      <c r="BB731" s="465"/>
      <c r="BC731" s="465"/>
    </row>
    <row r="732" spans="1:55">
      <c r="A732" s="465"/>
      <c r="B732" s="465"/>
      <c r="C732" s="465"/>
      <c r="D732" s="467"/>
      <c r="E732" s="465"/>
      <c r="F732" s="465"/>
      <c r="G732" s="465"/>
      <c r="H732" s="465"/>
      <c r="I732" s="465"/>
      <c r="J732" s="465"/>
      <c r="K732" s="465"/>
      <c r="L732" s="465"/>
      <c r="M732" s="465"/>
      <c r="N732" s="465"/>
      <c r="O732" s="465"/>
      <c r="P732" s="465"/>
      <c r="Q732" s="465"/>
      <c r="R732" s="465"/>
      <c r="S732" s="465"/>
      <c r="T732" s="465"/>
      <c r="U732" s="465"/>
      <c r="V732" s="465"/>
      <c r="W732" s="465"/>
      <c r="X732" s="465"/>
      <c r="Y732" s="465"/>
      <c r="Z732" s="465"/>
      <c r="AA732" s="465"/>
      <c r="AB732" s="465"/>
      <c r="AC732" s="465"/>
      <c r="AD732" s="465"/>
      <c r="AE732" s="465"/>
      <c r="AF732" s="465"/>
      <c r="AG732" s="465"/>
      <c r="AH732" s="465"/>
      <c r="AI732" s="465"/>
      <c r="AJ732" s="465"/>
      <c r="AK732" s="465"/>
      <c r="AL732" s="465"/>
      <c r="AM732" s="465"/>
      <c r="AN732" s="465"/>
      <c r="AO732" s="465"/>
      <c r="AP732" s="465"/>
      <c r="AQ732" s="465"/>
      <c r="AR732" s="465"/>
      <c r="AS732" s="465"/>
      <c r="AT732" s="465"/>
      <c r="AU732" s="465"/>
      <c r="AV732" s="465"/>
      <c r="AW732" s="465"/>
      <c r="AX732" s="465"/>
      <c r="AY732" s="465"/>
      <c r="AZ732" s="465"/>
      <c r="BA732" s="465"/>
      <c r="BB732" s="465"/>
      <c r="BC732" s="465"/>
    </row>
    <row r="733" spans="1:55">
      <c r="A733" s="465"/>
      <c r="B733" s="465"/>
      <c r="C733" s="465"/>
      <c r="D733" s="467"/>
      <c r="E733" s="465"/>
      <c r="F733" s="465"/>
      <c r="G733" s="465"/>
      <c r="H733" s="465"/>
      <c r="I733" s="465"/>
      <c r="J733" s="465"/>
      <c r="K733" s="465"/>
      <c r="L733" s="465"/>
      <c r="M733" s="465"/>
      <c r="N733" s="465"/>
      <c r="O733" s="465"/>
      <c r="P733" s="465"/>
      <c r="Q733" s="465"/>
      <c r="R733" s="465"/>
      <c r="S733" s="465"/>
      <c r="T733" s="465"/>
      <c r="U733" s="465"/>
      <c r="V733" s="465"/>
      <c r="W733" s="465"/>
      <c r="X733" s="465"/>
      <c r="Y733" s="465"/>
      <c r="Z733" s="465"/>
      <c r="AA733" s="465"/>
      <c r="AB733" s="465"/>
      <c r="AC733" s="465"/>
      <c r="AD733" s="465"/>
      <c r="AE733" s="465"/>
      <c r="AF733" s="465"/>
      <c r="AG733" s="465"/>
      <c r="AH733" s="465"/>
      <c r="AI733" s="465"/>
      <c r="AJ733" s="465"/>
      <c r="AK733" s="465"/>
      <c r="AL733" s="465"/>
      <c r="AM733" s="465"/>
      <c r="AN733" s="465"/>
      <c r="AO733" s="465"/>
      <c r="AP733" s="465"/>
      <c r="AQ733" s="465"/>
      <c r="AR733" s="465"/>
      <c r="AS733" s="465"/>
      <c r="AT733" s="465"/>
      <c r="AU733" s="465"/>
      <c r="AV733" s="465"/>
      <c r="AW733" s="465"/>
      <c r="AX733" s="465"/>
      <c r="AY733" s="465"/>
      <c r="AZ733" s="465"/>
      <c r="BA733" s="465"/>
      <c r="BB733" s="465"/>
      <c r="BC733" s="465"/>
    </row>
    <row r="734" spans="1:55">
      <c r="A734" s="465"/>
      <c r="B734" s="465"/>
      <c r="C734" s="465"/>
      <c r="D734" s="467"/>
      <c r="E734" s="465"/>
      <c r="F734" s="465"/>
      <c r="G734" s="465"/>
      <c r="H734" s="465"/>
      <c r="I734" s="465"/>
      <c r="J734" s="465"/>
      <c r="K734" s="465"/>
      <c r="L734" s="465"/>
      <c r="M734" s="465"/>
      <c r="N734" s="465"/>
      <c r="O734" s="465"/>
      <c r="P734" s="465"/>
      <c r="Q734" s="465"/>
      <c r="R734" s="465"/>
      <c r="S734" s="465"/>
      <c r="T734" s="465"/>
      <c r="U734" s="465"/>
      <c r="V734" s="465"/>
      <c r="W734" s="465"/>
      <c r="X734" s="465"/>
      <c r="Y734" s="465"/>
      <c r="Z734" s="465"/>
      <c r="AA734" s="465"/>
      <c r="AB734" s="465"/>
      <c r="AC734" s="465"/>
      <c r="AD734" s="465"/>
      <c r="AE734" s="465"/>
      <c r="AF734" s="465"/>
      <c r="AG734" s="465"/>
      <c r="AH734" s="465"/>
      <c r="AI734" s="465"/>
      <c r="AJ734" s="465"/>
      <c r="AK734" s="465"/>
      <c r="AL734" s="465"/>
      <c r="AM734" s="465"/>
      <c r="AN734" s="465"/>
      <c r="AO734" s="465"/>
      <c r="AP734" s="465"/>
      <c r="AQ734" s="465"/>
      <c r="AR734" s="465"/>
      <c r="AS734" s="465"/>
      <c r="AT734" s="465"/>
      <c r="AU734" s="465"/>
      <c r="AV734" s="465"/>
      <c r="AW734" s="465"/>
      <c r="AX734" s="465"/>
      <c r="AY734" s="465"/>
      <c r="AZ734" s="465"/>
      <c r="BA734" s="465"/>
      <c r="BB734" s="465"/>
      <c r="BC734" s="465"/>
    </row>
    <row r="735" spans="1:55">
      <c r="A735" s="465"/>
      <c r="B735" s="465"/>
      <c r="C735" s="465"/>
      <c r="D735" s="467"/>
      <c r="E735" s="465"/>
      <c r="F735" s="465"/>
      <c r="G735" s="465"/>
      <c r="H735" s="465"/>
      <c r="I735" s="465"/>
      <c r="J735" s="465"/>
      <c r="K735" s="465"/>
      <c r="L735" s="465"/>
      <c r="M735" s="465"/>
      <c r="N735" s="465"/>
      <c r="O735" s="465"/>
      <c r="P735" s="465"/>
      <c r="Q735" s="465"/>
      <c r="R735" s="465"/>
      <c r="S735" s="465"/>
      <c r="T735" s="465"/>
      <c r="U735" s="465"/>
      <c r="V735" s="465"/>
      <c r="W735" s="465"/>
      <c r="X735" s="465"/>
      <c r="Y735" s="465"/>
      <c r="Z735" s="465"/>
      <c r="AA735" s="465"/>
      <c r="AB735" s="465"/>
      <c r="AC735" s="465"/>
      <c r="AD735" s="465"/>
      <c r="AE735" s="465"/>
      <c r="AF735" s="465"/>
      <c r="AG735" s="465"/>
      <c r="AH735" s="465"/>
      <c r="AI735" s="465"/>
      <c r="AJ735" s="465"/>
      <c r="AK735" s="465"/>
      <c r="AL735" s="465"/>
      <c r="AM735" s="465"/>
      <c r="AN735" s="465"/>
      <c r="AO735" s="465"/>
      <c r="AP735" s="465"/>
      <c r="AQ735" s="465"/>
      <c r="AR735" s="465"/>
      <c r="AS735" s="465"/>
      <c r="AT735" s="465"/>
      <c r="AU735" s="465"/>
      <c r="AV735" s="465"/>
      <c r="AW735" s="465"/>
      <c r="AX735" s="465"/>
      <c r="AY735" s="465"/>
      <c r="AZ735" s="465"/>
      <c r="BA735" s="465"/>
      <c r="BB735" s="465"/>
      <c r="BC735" s="465"/>
    </row>
    <row r="736" spans="1:55">
      <c r="A736" s="465"/>
      <c r="B736" s="465"/>
      <c r="C736" s="465"/>
      <c r="D736" s="467"/>
      <c r="E736" s="465"/>
      <c r="F736" s="465"/>
      <c r="G736" s="465"/>
      <c r="H736" s="465"/>
      <c r="I736" s="465"/>
      <c r="J736" s="465"/>
      <c r="K736" s="465"/>
      <c r="L736" s="465"/>
      <c r="M736" s="465"/>
      <c r="N736" s="465"/>
      <c r="O736" s="465"/>
      <c r="P736" s="465"/>
      <c r="Q736" s="465"/>
      <c r="R736" s="465"/>
      <c r="S736" s="465"/>
      <c r="T736" s="465"/>
      <c r="U736" s="465"/>
      <c r="V736" s="465"/>
      <c r="W736" s="465"/>
      <c r="X736" s="465"/>
      <c r="Y736" s="465"/>
      <c r="Z736" s="465"/>
      <c r="AA736" s="465"/>
      <c r="AB736" s="465"/>
      <c r="AC736" s="465"/>
      <c r="AD736" s="465"/>
      <c r="AE736" s="465"/>
      <c r="AF736" s="465"/>
      <c r="AG736" s="465"/>
      <c r="AH736" s="465"/>
      <c r="AI736" s="465"/>
      <c r="AJ736" s="465"/>
      <c r="AK736" s="465"/>
      <c r="AL736" s="465"/>
      <c r="AM736" s="465"/>
      <c r="AN736" s="465"/>
      <c r="AO736" s="465"/>
      <c r="AP736" s="465"/>
      <c r="AQ736" s="465"/>
      <c r="AR736" s="465"/>
      <c r="AS736" s="465"/>
      <c r="AT736" s="465"/>
      <c r="AU736" s="465"/>
      <c r="AV736" s="465"/>
      <c r="AW736" s="465"/>
      <c r="AX736" s="465"/>
      <c r="AY736" s="465"/>
      <c r="AZ736" s="465"/>
      <c r="BA736" s="465"/>
      <c r="BB736" s="465"/>
      <c r="BC736" s="465"/>
    </row>
    <row r="737" spans="1:55">
      <c r="A737" s="465"/>
      <c r="B737" s="465"/>
      <c r="C737" s="465"/>
      <c r="D737" s="467"/>
      <c r="E737" s="465"/>
      <c r="F737" s="465"/>
      <c r="G737" s="465"/>
      <c r="H737" s="465"/>
      <c r="I737" s="465"/>
      <c r="J737" s="465"/>
      <c r="K737" s="465"/>
      <c r="L737" s="465"/>
      <c r="M737" s="465"/>
      <c r="N737" s="465"/>
      <c r="O737" s="465"/>
      <c r="P737" s="465"/>
      <c r="Q737" s="465"/>
      <c r="R737" s="465"/>
      <c r="S737" s="465"/>
      <c r="T737" s="465"/>
      <c r="U737" s="465"/>
      <c r="V737" s="465"/>
      <c r="W737" s="465"/>
      <c r="X737" s="465"/>
      <c r="Y737" s="465"/>
      <c r="Z737" s="465"/>
      <c r="AA737" s="465"/>
      <c r="AB737" s="465"/>
      <c r="AC737" s="465"/>
      <c r="AD737" s="465"/>
      <c r="AE737" s="465"/>
      <c r="AF737" s="465"/>
      <c r="AG737" s="465"/>
      <c r="AH737" s="465"/>
      <c r="AI737" s="465"/>
      <c r="AJ737" s="465"/>
      <c r="AK737" s="465"/>
      <c r="AL737" s="465"/>
      <c r="AM737" s="465"/>
      <c r="AN737" s="465"/>
      <c r="AO737" s="465"/>
      <c r="AP737" s="465"/>
      <c r="AQ737" s="465"/>
      <c r="AR737" s="465"/>
      <c r="AS737" s="465"/>
      <c r="AT737" s="465"/>
      <c r="AU737" s="465"/>
      <c r="AV737" s="465"/>
      <c r="AW737" s="465"/>
      <c r="AX737" s="465"/>
      <c r="AY737" s="465"/>
      <c r="AZ737" s="465"/>
      <c r="BA737" s="465"/>
      <c r="BB737" s="465"/>
      <c r="BC737" s="465"/>
    </row>
    <row r="738" spans="1:55">
      <c r="A738" s="465"/>
      <c r="B738" s="465"/>
      <c r="C738" s="465"/>
      <c r="D738" s="467"/>
      <c r="E738" s="465"/>
      <c r="F738" s="465"/>
      <c r="G738" s="465"/>
      <c r="H738" s="465"/>
      <c r="I738" s="465"/>
      <c r="J738" s="465"/>
      <c r="K738" s="465"/>
      <c r="L738" s="465"/>
      <c r="M738" s="465"/>
      <c r="N738" s="465"/>
      <c r="O738" s="465"/>
      <c r="P738" s="465"/>
      <c r="Q738" s="465"/>
      <c r="R738" s="465"/>
      <c r="S738" s="465"/>
      <c r="T738" s="465"/>
      <c r="U738" s="465"/>
      <c r="V738" s="465"/>
      <c r="W738" s="465"/>
      <c r="X738" s="465"/>
      <c r="Y738" s="465"/>
      <c r="Z738" s="465"/>
      <c r="AA738" s="465"/>
      <c r="AB738" s="465"/>
      <c r="AC738" s="465"/>
      <c r="AD738" s="465"/>
      <c r="AE738" s="465"/>
      <c r="AF738" s="465"/>
      <c r="AG738" s="465"/>
      <c r="AH738" s="465"/>
      <c r="AI738" s="465"/>
      <c r="AJ738" s="465"/>
      <c r="AK738" s="465"/>
      <c r="AL738" s="465"/>
      <c r="AM738" s="465"/>
      <c r="AN738" s="465"/>
      <c r="AO738" s="465"/>
      <c r="AP738" s="465"/>
      <c r="AQ738" s="465"/>
      <c r="AR738" s="465"/>
      <c r="AS738" s="465"/>
      <c r="AT738" s="465"/>
      <c r="AU738" s="465"/>
      <c r="AV738" s="465"/>
      <c r="AW738" s="465"/>
      <c r="AX738" s="465"/>
      <c r="AY738" s="465"/>
      <c r="AZ738" s="465"/>
      <c r="BA738" s="465"/>
      <c r="BB738" s="465"/>
      <c r="BC738" s="465"/>
    </row>
    <row r="739" spans="1:55">
      <c r="A739" s="465"/>
      <c r="B739" s="465"/>
      <c r="C739" s="465"/>
      <c r="D739" s="467"/>
      <c r="E739" s="465"/>
      <c r="F739" s="465"/>
      <c r="G739" s="465"/>
      <c r="H739" s="465"/>
      <c r="I739" s="465"/>
      <c r="J739" s="465"/>
      <c r="K739" s="465"/>
      <c r="L739" s="465"/>
      <c r="M739" s="465"/>
      <c r="N739" s="465"/>
      <c r="O739" s="465"/>
      <c r="P739" s="465"/>
      <c r="Q739" s="465"/>
      <c r="R739" s="465"/>
      <c r="S739" s="465"/>
      <c r="T739" s="465"/>
      <c r="U739" s="465"/>
      <c r="V739" s="465"/>
      <c r="W739" s="465"/>
      <c r="X739" s="465"/>
      <c r="Y739" s="465"/>
      <c r="Z739" s="465"/>
      <c r="AA739" s="465"/>
      <c r="AB739" s="465"/>
      <c r="AC739" s="465"/>
      <c r="AD739" s="465"/>
      <c r="AE739" s="465"/>
      <c r="AF739" s="465"/>
      <c r="AG739" s="465"/>
      <c r="AH739" s="465"/>
      <c r="AI739" s="465"/>
      <c r="AJ739" s="465"/>
      <c r="AK739" s="465"/>
      <c r="AL739" s="465"/>
      <c r="AM739" s="465"/>
      <c r="AN739" s="465"/>
      <c r="AO739" s="465"/>
      <c r="AP739" s="465"/>
      <c r="AQ739" s="465"/>
      <c r="AR739" s="465"/>
      <c r="AS739" s="465"/>
      <c r="AT739" s="465"/>
      <c r="AU739" s="465"/>
      <c r="AV739" s="465"/>
      <c r="AW739" s="465"/>
      <c r="AX739" s="465"/>
      <c r="AY739" s="465"/>
      <c r="AZ739" s="465"/>
      <c r="BA739" s="465"/>
      <c r="BB739" s="465"/>
      <c r="BC739" s="465"/>
    </row>
    <row r="740" spans="1:55">
      <c r="A740" s="465"/>
      <c r="B740" s="465"/>
      <c r="C740" s="465"/>
      <c r="D740" s="467"/>
      <c r="E740" s="465"/>
      <c r="F740" s="465"/>
      <c r="G740" s="465"/>
      <c r="H740" s="465"/>
      <c r="I740" s="465"/>
      <c r="J740" s="465"/>
      <c r="K740" s="465"/>
      <c r="L740" s="465"/>
      <c r="M740" s="465"/>
      <c r="N740" s="465"/>
      <c r="O740" s="465"/>
      <c r="P740" s="465"/>
      <c r="Q740" s="465"/>
      <c r="R740" s="465"/>
      <c r="S740" s="465"/>
      <c r="T740" s="465"/>
      <c r="U740" s="465"/>
      <c r="V740" s="465"/>
      <c r="W740" s="465"/>
      <c r="X740" s="465"/>
      <c r="Y740" s="465"/>
      <c r="Z740" s="465"/>
      <c r="AA740" s="465"/>
      <c r="AB740" s="465"/>
      <c r="AC740" s="465"/>
      <c r="AD740" s="465"/>
      <c r="AE740" s="465"/>
      <c r="AF740" s="465"/>
      <c r="AG740" s="465"/>
      <c r="AH740" s="465"/>
      <c r="AI740" s="465"/>
      <c r="AJ740" s="465"/>
      <c r="AK740" s="465"/>
      <c r="AL740" s="465"/>
      <c r="AM740" s="465"/>
      <c r="AN740" s="465"/>
      <c r="AO740" s="465"/>
      <c r="AP740" s="465"/>
      <c r="AQ740" s="465"/>
      <c r="AR740" s="465"/>
      <c r="AS740" s="465"/>
      <c r="AT740" s="465"/>
      <c r="AU740" s="465"/>
      <c r="AV740" s="465"/>
      <c r="AW740" s="465"/>
      <c r="AX740" s="465"/>
      <c r="AY740" s="465"/>
      <c r="AZ740" s="465"/>
      <c r="BA740" s="465"/>
      <c r="BB740" s="465"/>
      <c r="BC740" s="465"/>
    </row>
    <row r="741" spans="1:55">
      <c r="A741" s="465"/>
      <c r="B741" s="465"/>
      <c r="C741" s="465"/>
      <c r="D741" s="467"/>
      <c r="E741" s="465"/>
      <c r="F741" s="465"/>
      <c r="G741" s="465"/>
      <c r="H741" s="465"/>
      <c r="I741" s="465"/>
      <c r="J741" s="465"/>
      <c r="K741" s="465"/>
      <c r="L741" s="465"/>
      <c r="M741" s="465"/>
      <c r="N741" s="465"/>
      <c r="O741" s="465"/>
      <c r="P741" s="465"/>
      <c r="Q741" s="465"/>
      <c r="R741" s="465"/>
      <c r="S741" s="465"/>
      <c r="T741" s="465"/>
      <c r="U741" s="465"/>
      <c r="V741" s="465"/>
      <c r="W741" s="465"/>
      <c r="X741" s="465"/>
      <c r="Y741" s="465"/>
      <c r="Z741" s="465"/>
      <c r="AA741" s="465"/>
      <c r="AB741" s="465"/>
      <c r="AC741" s="465"/>
      <c r="AD741" s="465"/>
      <c r="AE741" s="465"/>
      <c r="AF741" s="465"/>
      <c r="AG741" s="465"/>
      <c r="AH741" s="465"/>
      <c r="AI741" s="465"/>
      <c r="AJ741" s="465"/>
      <c r="AK741" s="465"/>
      <c r="AL741" s="465"/>
      <c r="AM741" s="465"/>
      <c r="AN741" s="465"/>
      <c r="AO741" s="465"/>
      <c r="AP741" s="465"/>
      <c r="AQ741" s="465"/>
      <c r="AR741" s="465"/>
      <c r="AS741" s="465"/>
      <c r="AT741" s="465"/>
      <c r="AU741" s="465"/>
      <c r="AV741" s="465"/>
      <c r="AW741" s="465"/>
      <c r="AX741" s="465"/>
      <c r="AY741" s="465"/>
      <c r="AZ741" s="465"/>
      <c r="BA741" s="465"/>
      <c r="BB741" s="465"/>
      <c r="BC741" s="465"/>
    </row>
    <row r="742" spans="1:55">
      <c r="A742" s="465"/>
      <c r="B742" s="465"/>
      <c r="C742" s="465"/>
      <c r="D742" s="467"/>
      <c r="E742" s="465"/>
      <c r="F742" s="465"/>
      <c r="G742" s="465"/>
      <c r="H742" s="465"/>
      <c r="I742" s="465"/>
      <c r="J742" s="465"/>
      <c r="K742" s="465"/>
      <c r="L742" s="465"/>
      <c r="M742" s="465"/>
      <c r="N742" s="465"/>
      <c r="O742" s="465"/>
      <c r="P742" s="465"/>
      <c r="Q742" s="465"/>
      <c r="R742" s="465"/>
      <c r="S742" s="465"/>
      <c r="T742" s="465"/>
      <c r="U742" s="465"/>
      <c r="V742" s="465"/>
      <c r="W742" s="465"/>
      <c r="X742" s="465"/>
      <c r="Y742" s="465"/>
      <c r="Z742" s="465"/>
      <c r="AA742" s="465"/>
      <c r="AB742" s="465"/>
      <c r="AC742" s="465"/>
      <c r="AD742" s="465"/>
      <c r="AE742" s="465"/>
      <c r="AF742" s="465"/>
      <c r="AG742" s="465"/>
      <c r="AH742" s="465"/>
      <c r="AI742" s="465"/>
      <c r="AJ742" s="465"/>
      <c r="AK742" s="465"/>
      <c r="AL742" s="465"/>
      <c r="AM742" s="465"/>
      <c r="AN742" s="465"/>
      <c r="AO742" s="465"/>
      <c r="AP742" s="465"/>
      <c r="AQ742" s="465"/>
      <c r="AR742" s="465"/>
      <c r="AS742" s="465"/>
      <c r="AT742" s="465"/>
      <c r="AU742" s="465"/>
      <c r="AV742" s="465"/>
      <c r="AW742" s="465"/>
      <c r="AX742" s="465"/>
      <c r="AY742" s="465"/>
      <c r="AZ742" s="465"/>
      <c r="BA742" s="465"/>
      <c r="BB742" s="465"/>
      <c r="BC742" s="465"/>
    </row>
    <row r="743" spans="1:55">
      <c r="A743" s="465"/>
      <c r="B743" s="465"/>
      <c r="C743" s="465"/>
      <c r="D743" s="467"/>
      <c r="E743" s="465"/>
      <c r="F743" s="465"/>
      <c r="G743" s="465"/>
      <c r="H743" s="465"/>
      <c r="I743" s="465"/>
      <c r="J743" s="465"/>
      <c r="K743" s="465"/>
      <c r="L743" s="465"/>
      <c r="M743" s="465"/>
      <c r="N743" s="465"/>
      <c r="O743" s="465"/>
      <c r="P743" s="465"/>
      <c r="Q743" s="465"/>
      <c r="R743" s="465"/>
      <c r="S743" s="465"/>
      <c r="T743" s="465"/>
      <c r="U743" s="465"/>
      <c r="V743" s="465"/>
      <c r="W743" s="465"/>
      <c r="X743" s="465"/>
      <c r="Y743" s="465"/>
      <c r="Z743" s="465"/>
      <c r="AA743" s="465"/>
      <c r="AB743" s="465"/>
      <c r="AC743" s="465"/>
      <c r="AD743" s="465"/>
      <c r="AE743" s="465"/>
      <c r="AF743" s="465"/>
      <c r="AG743" s="465"/>
      <c r="AH743" s="465"/>
      <c r="AI743" s="465"/>
      <c r="AJ743" s="465"/>
      <c r="AK743" s="465"/>
      <c r="AL743" s="465"/>
      <c r="AM743" s="465"/>
      <c r="AN743" s="465"/>
      <c r="AO743" s="465"/>
      <c r="AP743" s="465"/>
      <c r="AQ743" s="465"/>
      <c r="AR743" s="465"/>
      <c r="AS743" s="465"/>
      <c r="AT743" s="465"/>
      <c r="AU743" s="465"/>
      <c r="AV743" s="465"/>
      <c r="AW743" s="465"/>
      <c r="AX743" s="465"/>
      <c r="AY743" s="465"/>
      <c r="AZ743" s="465"/>
      <c r="BA743" s="465"/>
      <c r="BB743" s="465"/>
      <c r="BC743" s="465"/>
    </row>
    <row r="744" spans="1:55">
      <c r="A744" s="465"/>
      <c r="B744" s="465"/>
      <c r="C744" s="465"/>
      <c r="D744" s="467"/>
      <c r="E744" s="465"/>
      <c r="F744" s="465"/>
      <c r="G744" s="465"/>
      <c r="H744" s="465"/>
      <c r="I744" s="465"/>
      <c r="J744" s="465"/>
      <c r="K744" s="465"/>
      <c r="L744" s="465"/>
      <c r="M744" s="465"/>
      <c r="N744" s="465"/>
      <c r="O744" s="465"/>
      <c r="P744" s="465"/>
      <c r="Q744" s="465"/>
      <c r="R744" s="465"/>
      <c r="S744" s="465"/>
      <c r="T744" s="465"/>
      <c r="U744" s="465"/>
      <c r="V744" s="465"/>
      <c r="W744" s="465"/>
      <c r="X744" s="465"/>
      <c r="Y744" s="465"/>
      <c r="Z744" s="465"/>
      <c r="AA744" s="465"/>
      <c r="AB744" s="465"/>
      <c r="AC744" s="465"/>
      <c r="AD744" s="465"/>
      <c r="AE744" s="465"/>
      <c r="AF744" s="465"/>
      <c r="AG744" s="465"/>
      <c r="AH744" s="465"/>
      <c r="AI744" s="465"/>
      <c r="AJ744" s="465"/>
      <c r="AK744" s="465"/>
      <c r="AL744" s="465"/>
      <c r="AM744" s="465"/>
      <c r="AN744" s="465"/>
      <c r="AO744" s="465"/>
      <c r="AP744" s="465"/>
      <c r="AQ744" s="465"/>
      <c r="AR744" s="465"/>
      <c r="AS744" s="465"/>
      <c r="AT744" s="465"/>
      <c r="AU744" s="465"/>
      <c r="AV744" s="465"/>
      <c r="AW744" s="465"/>
      <c r="AX744" s="465"/>
      <c r="AY744" s="465"/>
      <c r="AZ744" s="465"/>
      <c r="BA744" s="465"/>
      <c r="BB744" s="465"/>
      <c r="BC744" s="465"/>
    </row>
    <row r="745" spans="1:55">
      <c r="A745" s="465"/>
      <c r="B745" s="465"/>
      <c r="C745" s="465"/>
      <c r="D745" s="467"/>
      <c r="E745" s="465"/>
      <c r="F745" s="465"/>
      <c r="G745" s="465"/>
      <c r="H745" s="465"/>
      <c r="I745" s="465"/>
      <c r="J745" s="465"/>
      <c r="K745" s="465"/>
      <c r="L745" s="465"/>
      <c r="M745" s="465"/>
      <c r="N745" s="465"/>
      <c r="O745" s="465"/>
      <c r="P745" s="465"/>
      <c r="Q745" s="465"/>
      <c r="R745" s="465"/>
      <c r="S745" s="465"/>
      <c r="T745" s="465"/>
      <c r="U745" s="465"/>
      <c r="V745" s="465"/>
      <c r="W745" s="465"/>
      <c r="X745" s="465"/>
      <c r="Y745" s="465"/>
      <c r="Z745" s="465"/>
      <c r="AA745" s="465"/>
      <c r="AB745" s="465"/>
      <c r="AC745" s="465"/>
      <c r="AD745" s="465"/>
      <c r="AE745" s="465"/>
      <c r="AF745" s="465"/>
      <c r="AG745" s="465"/>
      <c r="AH745" s="465"/>
      <c r="AI745" s="465"/>
      <c r="AJ745" s="465"/>
      <c r="AK745" s="465"/>
      <c r="AL745" s="465"/>
      <c r="AM745" s="465"/>
      <c r="AN745" s="465"/>
      <c r="AO745" s="465"/>
      <c r="AP745" s="465"/>
      <c r="AQ745" s="465"/>
      <c r="AR745" s="465"/>
      <c r="AS745" s="465"/>
      <c r="AT745" s="465"/>
      <c r="AU745" s="465"/>
      <c r="AV745" s="465"/>
      <c r="AW745" s="465"/>
      <c r="AX745" s="465"/>
      <c r="AY745" s="465"/>
      <c r="AZ745" s="465"/>
      <c r="BA745" s="465"/>
      <c r="BB745" s="465"/>
      <c r="BC745" s="465"/>
    </row>
    <row r="746" spans="1:55">
      <c r="A746" s="465"/>
      <c r="B746" s="465"/>
      <c r="C746" s="465"/>
      <c r="D746" s="467"/>
      <c r="E746" s="465"/>
      <c r="F746" s="465"/>
      <c r="G746" s="465"/>
      <c r="H746" s="465"/>
      <c r="I746" s="465"/>
      <c r="J746" s="465"/>
      <c r="K746" s="465"/>
      <c r="L746" s="465"/>
      <c r="M746" s="465"/>
      <c r="N746" s="465"/>
      <c r="O746" s="465"/>
      <c r="P746" s="465"/>
      <c r="Q746" s="465"/>
      <c r="R746" s="465"/>
      <c r="S746" s="465"/>
      <c r="T746" s="465"/>
      <c r="U746" s="465"/>
      <c r="V746" s="465"/>
      <c r="W746" s="465"/>
      <c r="X746" s="465"/>
      <c r="Y746" s="465"/>
      <c r="Z746" s="465"/>
      <c r="AA746" s="465"/>
      <c r="AB746" s="465"/>
      <c r="AC746" s="465"/>
      <c r="AD746" s="465"/>
      <c r="AE746" s="465"/>
      <c r="AF746" s="465"/>
      <c r="AG746" s="465"/>
      <c r="AH746" s="465"/>
      <c r="AI746" s="465"/>
      <c r="AJ746" s="465"/>
      <c r="AK746" s="465"/>
      <c r="AL746" s="465"/>
      <c r="AM746" s="465"/>
      <c r="AN746" s="465"/>
      <c r="AO746" s="465"/>
      <c r="AP746" s="465"/>
      <c r="AQ746" s="465"/>
      <c r="AR746" s="465"/>
      <c r="AS746" s="465"/>
      <c r="AT746" s="465"/>
      <c r="AU746" s="465"/>
      <c r="AV746" s="465"/>
      <c r="AW746" s="465"/>
      <c r="AX746" s="465"/>
      <c r="AY746" s="465"/>
      <c r="AZ746" s="465"/>
      <c r="BA746" s="465"/>
      <c r="BB746" s="465"/>
      <c r="BC746" s="465"/>
    </row>
    <row r="747" spans="1:55">
      <c r="A747" s="465"/>
      <c r="B747" s="465"/>
      <c r="C747" s="465"/>
      <c r="D747" s="467"/>
      <c r="E747" s="465"/>
      <c r="F747" s="465"/>
      <c r="G747" s="465"/>
      <c r="H747" s="465"/>
      <c r="I747" s="465"/>
      <c r="J747" s="465"/>
      <c r="K747" s="465"/>
      <c r="L747" s="465"/>
      <c r="M747" s="465"/>
      <c r="N747" s="465"/>
      <c r="O747" s="465"/>
      <c r="P747" s="465"/>
      <c r="Q747" s="465"/>
      <c r="R747" s="465"/>
      <c r="S747" s="465"/>
      <c r="T747" s="465"/>
      <c r="U747" s="465"/>
      <c r="V747" s="465"/>
      <c r="W747" s="465"/>
      <c r="X747" s="465"/>
      <c r="Y747" s="465"/>
      <c r="Z747" s="465"/>
      <c r="AA747" s="465"/>
      <c r="AB747" s="465"/>
      <c r="AC747" s="465"/>
      <c r="AD747" s="465"/>
      <c r="AE747" s="465"/>
      <c r="AF747" s="465"/>
      <c r="AG747" s="465"/>
      <c r="AH747" s="465"/>
      <c r="AI747" s="465"/>
      <c r="AJ747" s="465"/>
      <c r="AK747" s="465"/>
      <c r="AL747" s="465"/>
      <c r="AM747" s="465"/>
      <c r="AN747" s="465"/>
      <c r="AO747" s="465"/>
      <c r="AP747" s="465"/>
      <c r="AQ747" s="465"/>
      <c r="AR747" s="465"/>
      <c r="AS747" s="465"/>
      <c r="AT747" s="465"/>
      <c r="AU747" s="465"/>
      <c r="AV747" s="465"/>
      <c r="AW747" s="465"/>
      <c r="AX747" s="465"/>
      <c r="AY747" s="465"/>
      <c r="AZ747" s="465"/>
      <c r="BA747" s="465"/>
      <c r="BB747" s="465"/>
      <c r="BC747" s="465"/>
    </row>
    <row r="748" spans="1:55">
      <c r="A748" s="465"/>
      <c r="B748" s="465"/>
      <c r="C748" s="465"/>
      <c r="D748" s="467"/>
      <c r="E748" s="465"/>
      <c r="F748" s="465"/>
      <c r="G748" s="465"/>
      <c r="H748" s="465"/>
      <c r="I748" s="465"/>
      <c r="J748" s="465"/>
      <c r="K748" s="465"/>
      <c r="L748" s="465"/>
      <c r="M748" s="465"/>
      <c r="N748" s="465"/>
      <c r="O748" s="465"/>
      <c r="P748" s="465"/>
      <c r="Q748" s="465"/>
      <c r="R748" s="465"/>
      <c r="S748" s="465"/>
      <c r="T748" s="465"/>
      <c r="U748" s="465"/>
      <c r="V748" s="465"/>
      <c r="W748" s="465"/>
      <c r="X748" s="465"/>
      <c r="Y748" s="465"/>
      <c r="Z748" s="465"/>
      <c r="AA748" s="465"/>
      <c r="AB748" s="465"/>
      <c r="AC748" s="465"/>
      <c r="AD748" s="465"/>
      <c r="AE748" s="465"/>
      <c r="AF748" s="465"/>
      <c r="AG748" s="465"/>
      <c r="AH748" s="465"/>
      <c r="AI748" s="465"/>
      <c r="AJ748" s="465"/>
      <c r="AK748" s="465"/>
      <c r="AL748" s="465"/>
      <c r="AM748" s="465"/>
      <c r="AN748" s="465"/>
      <c r="AO748" s="465"/>
      <c r="AP748" s="465"/>
      <c r="AQ748" s="465"/>
      <c r="AR748" s="465"/>
      <c r="AS748" s="465"/>
      <c r="AT748" s="465"/>
      <c r="AU748" s="465"/>
      <c r="AV748" s="465"/>
      <c r="AW748" s="465"/>
      <c r="AX748" s="465"/>
      <c r="AY748" s="465"/>
      <c r="AZ748" s="465"/>
      <c r="BA748" s="465"/>
      <c r="BB748" s="465"/>
      <c r="BC748" s="465"/>
    </row>
    <row r="749" spans="1:55">
      <c r="A749" s="465"/>
      <c r="B749" s="465"/>
      <c r="C749" s="465"/>
      <c r="D749" s="467"/>
      <c r="E749" s="465"/>
      <c r="F749" s="465"/>
      <c r="G749" s="465"/>
      <c r="H749" s="465"/>
      <c r="I749" s="465"/>
      <c r="J749" s="465"/>
      <c r="K749" s="465"/>
      <c r="L749" s="465"/>
      <c r="M749" s="465"/>
      <c r="N749" s="465"/>
      <c r="O749" s="465"/>
      <c r="P749" s="465"/>
      <c r="Q749" s="465"/>
      <c r="R749" s="465"/>
      <c r="S749" s="465"/>
      <c r="T749" s="465"/>
      <c r="U749" s="465"/>
      <c r="V749" s="465"/>
      <c r="W749" s="465"/>
      <c r="X749" s="465"/>
      <c r="Y749" s="465"/>
      <c r="Z749" s="465"/>
      <c r="AA749" s="465"/>
      <c r="AB749" s="465"/>
      <c r="AC749" s="465"/>
      <c r="AD749" s="465"/>
      <c r="AE749" s="465"/>
      <c r="AF749" s="465"/>
      <c r="AG749" s="465"/>
      <c r="AH749" s="465"/>
      <c r="AI749" s="465"/>
      <c r="AJ749" s="465"/>
      <c r="AK749" s="465"/>
      <c r="AL749" s="465"/>
      <c r="AM749" s="465"/>
      <c r="AN749" s="465"/>
      <c r="AO749" s="465"/>
      <c r="AP749" s="465"/>
      <c r="AQ749" s="465"/>
      <c r="AR749" s="465"/>
      <c r="AS749" s="465"/>
      <c r="AT749" s="465"/>
      <c r="AU749" s="465"/>
      <c r="AV749" s="465"/>
      <c r="AW749" s="465"/>
      <c r="AX749" s="465"/>
      <c r="AY749" s="465"/>
      <c r="AZ749" s="465"/>
      <c r="BA749" s="465"/>
      <c r="BB749" s="465"/>
      <c r="BC749" s="465"/>
    </row>
    <row r="750" spans="1:55">
      <c r="A750" s="465"/>
      <c r="B750" s="465"/>
      <c r="C750" s="465"/>
      <c r="D750" s="467"/>
      <c r="E750" s="465"/>
      <c r="F750" s="465"/>
      <c r="G750" s="465"/>
      <c r="H750" s="465"/>
      <c r="I750" s="465"/>
      <c r="J750" s="465"/>
      <c r="K750" s="465"/>
      <c r="L750" s="465"/>
      <c r="M750" s="465"/>
      <c r="N750" s="465"/>
      <c r="O750" s="465"/>
      <c r="P750" s="465"/>
      <c r="Q750" s="465"/>
      <c r="R750" s="465"/>
      <c r="S750" s="465"/>
      <c r="T750" s="465"/>
      <c r="U750" s="465"/>
      <c r="V750" s="465"/>
      <c r="W750" s="465"/>
      <c r="X750" s="465"/>
      <c r="Y750" s="465"/>
      <c r="Z750" s="465"/>
      <c r="AA750" s="465"/>
      <c r="AB750" s="465"/>
      <c r="AC750" s="465"/>
      <c r="AD750" s="465"/>
      <c r="AE750" s="465"/>
      <c r="AF750" s="465"/>
      <c r="AG750" s="465"/>
      <c r="AH750" s="465"/>
      <c r="AI750" s="465"/>
      <c r="AJ750" s="465"/>
      <c r="AK750" s="465"/>
      <c r="AL750" s="465"/>
      <c r="AM750" s="465"/>
      <c r="AN750" s="465"/>
      <c r="AO750" s="465"/>
      <c r="AP750" s="465"/>
      <c r="AQ750" s="465"/>
      <c r="AR750" s="465"/>
      <c r="AS750" s="465"/>
      <c r="AT750" s="465"/>
      <c r="AU750" s="465"/>
      <c r="AV750" s="465"/>
      <c r="AW750" s="465"/>
      <c r="AX750" s="465"/>
      <c r="AY750" s="465"/>
      <c r="AZ750" s="465"/>
      <c r="BA750" s="465"/>
      <c r="BB750" s="465"/>
      <c r="BC750" s="465"/>
    </row>
    <row r="751" spans="1:55">
      <c r="A751" s="465"/>
      <c r="B751" s="465"/>
      <c r="C751" s="465"/>
      <c r="D751" s="467"/>
      <c r="E751" s="465"/>
      <c r="F751" s="465"/>
      <c r="G751" s="465"/>
      <c r="H751" s="465"/>
      <c r="I751" s="465"/>
      <c r="J751" s="465"/>
      <c r="K751" s="465"/>
      <c r="L751" s="465"/>
      <c r="M751" s="465"/>
      <c r="N751" s="465"/>
      <c r="O751" s="465"/>
      <c r="P751" s="465"/>
      <c r="Q751" s="465"/>
      <c r="R751" s="465"/>
      <c r="S751" s="465"/>
      <c r="T751" s="465"/>
      <c r="U751" s="465"/>
      <c r="V751" s="465"/>
      <c r="W751" s="465"/>
      <c r="X751" s="465"/>
      <c r="Y751" s="465"/>
      <c r="Z751" s="465"/>
      <c r="AA751" s="465"/>
      <c r="AB751" s="465"/>
      <c r="AC751" s="465"/>
      <c r="AD751" s="465"/>
      <c r="AE751" s="465"/>
      <c r="AF751" s="465"/>
      <c r="AG751" s="465"/>
      <c r="AH751" s="465"/>
      <c r="AI751" s="465"/>
      <c r="AJ751" s="465"/>
      <c r="AK751" s="465"/>
      <c r="AL751" s="465"/>
      <c r="AM751" s="465"/>
      <c r="AN751" s="465"/>
      <c r="AO751" s="465"/>
      <c r="AP751" s="465"/>
      <c r="AQ751" s="465"/>
      <c r="AR751" s="465"/>
      <c r="AS751" s="465"/>
      <c r="AT751" s="465"/>
      <c r="AU751" s="465"/>
      <c r="AV751" s="465"/>
      <c r="AW751" s="465"/>
      <c r="AX751" s="465"/>
      <c r="AY751" s="465"/>
      <c r="AZ751" s="465"/>
      <c r="BA751" s="465"/>
      <c r="BB751" s="465"/>
      <c r="BC751" s="465"/>
    </row>
    <row r="752" spans="1:55">
      <c r="A752" s="465"/>
      <c r="B752" s="465"/>
      <c r="C752" s="465"/>
      <c r="D752" s="467"/>
      <c r="E752" s="465"/>
      <c r="F752" s="465"/>
      <c r="G752" s="465"/>
      <c r="H752" s="465"/>
      <c r="I752" s="465"/>
      <c r="J752" s="465"/>
      <c r="K752" s="465"/>
      <c r="L752" s="465"/>
      <c r="M752" s="465"/>
      <c r="N752" s="465"/>
      <c r="O752" s="465"/>
      <c r="P752" s="465"/>
      <c r="Q752" s="465"/>
      <c r="R752" s="465"/>
      <c r="S752" s="465"/>
      <c r="T752" s="465"/>
      <c r="U752" s="465"/>
      <c r="V752" s="465"/>
      <c r="W752" s="465"/>
      <c r="X752" s="465"/>
      <c r="Y752" s="465"/>
      <c r="Z752" s="465"/>
      <c r="AA752" s="465"/>
      <c r="AB752" s="465"/>
      <c r="AC752" s="465"/>
      <c r="AD752" s="465"/>
      <c r="AE752" s="465"/>
      <c r="AF752" s="465"/>
      <c r="AG752" s="465"/>
      <c r="AH752" s="465"/>
      <c r="AI752" s="465"/>
      <c r="AJ752" s="465"/>
      <c r="AK752" s="465"/>
      <c r="AL752" s="465"/>
      <c r="AM752" s="465"/>
      <c r="AN752" s="465"/>
      <c r="AO752" s="465"/>
      <c r="AP752" s="465"/>
      <c r="AQ752" s="465"/>
      <c r="AR752" s="465"/>
      <c r="AS752" s="465"/>
      <c r="AT752" s="465"/>
      <c r="AU752" s="465"/>
      <c r="AV752" s="465"/>
      <c r="AW752" s="465"/>
      <c r="AX752" s="465"/>
      <c r="AY752" s="465"/>
      <c r="AZ752" s="465"/>
      <c r="BA752" s="465"/>
      <c r="BB752" s="465"/>
      <c r="BC752" s="465"/>
    </row>
    <row r="753" spans="1:55">
      <c r="A753" s="465"/>
      <c r="B753" s="465"/>
      <c r="C753" s="465"/>
      <c r="D753" s="467"/>
      <c r="E753" s="465"/>
      <c r="F753" s="465"/>
      <c r="G753" s="465"/>
      <c r="H753" s="465"/>
      <c r="I753" s="465"/>
      <c r="J753" s="465"/>
      <c r="K753" s="465"/>
      <c r="L753" s="465"/>
      <c r="M753" s="465"/>
      <c r="N753" s="465"/>
      <c r="O753" s="465"/>
      <c r="P753" s="465"/>
      <c r="Q753" s="465"/>
      <c r="R753" s="465"/>
      <c r="S753" s="465"/>
      <c r="T753" s="465"/>
      <c r="U753" s="465"/>
      <c r="V753" s="465"/>
      <c r="W753" s="465"/>
      <c r="X753" s="465"/>
      <c r="Y753" s="465"/>
      <c r="Z753" s="465"/>
      <c r="AA753" s="465"/>
      <c r="AB753" s="465"/>
      <c r="AC753" s="465"/>
      <c r="AD753" s="465"/>
      <c r="AE753" s="465"/>
      <c r="AF753" s="465"/>
      <c r="AG753" s="465"/>
      <c r="AH753" s="465"/>
      <c r="AI753" s="465"/>
      <c r="AJ753" s="465"/>
      <c r="AK753" s="465"/>
      <c r="AL753" s="465"/>
      <c r="AM753" s="465"/>
      <c r="AN753" s="465"/>
      <c r="AO753" s="465"/>
      <c r="AP753" s="465"/>
      <c r="AQ753" s="465"/>
      <c r="AR753" s="465"/>
      <c r="AS753" s="465"/>
      <c r="AT753" s="465"/>
      <c r="AU753" s="465"/>
      <c r="AV753" s="465"/>
      <c r="AW753" s="465"/>
      <c r="AX753" s="465"/>
      <c r="AY753" s="465"/>
      <c r="AZ753" s="465"/>
      <c r="BA753" s="465"/>
      <c r="BB753" s="465"/>
      <c r="BC753" s="465"/>
    </row>
    <row r="754" spans="1:55">
      <c r="A754" s="465"/>
      <c r="B754" s="465"/>
      <c r="C754" s="465"/>
      <c r="D754" s="467"/>
      <c r="E754" s="465"/>
      <c r="F754" s="465"/>
      <c r="G754" s="465"/>
      <c r="H754" s="465"/>
      <c r="I754" s="465"/>
      <c r="J754" s="465"/>
      <c r="K754" s="465"/>
      <c r="L754" s="465"/>
      <c r="M754" s="465"/>
      <c r="N754" s="465"/>
      <c r="O754" s="465"/>
      <c r="P754" s="465"/>
      <c r="Q754" s="465"/>
      <c r="R754" s="465"/>
      <c r="S754" s="465"/>
      <c r="T754" s="465"/>
      <c r="U754" s="465"/>
      <c r="V754" s="465"/>
      <c r="W754" s="465"/>
      <c r="X754" s="465"/>
      <c r="Y754" s="465"/>
      <c r="Z754" s="465"/>
      <c r="AA754" s="465"/>
      <c r="AB754" s="465"/>
      <c r="AC754" s="465"/>
      <c r="AD754" s="465"/>
      <c r="AE754" s="465"/>
      <c r="AF754" s="465"/>
      <c r="AG754" s="465"/>
      <c r="AH754" s="465"/>
      <c r="AI754" s="465"/>
      <c r="AJ754" s="465"/>
      <c r="AK754" s="465"/>
      <c r="AL754" s="465"/>
      <c r="AM754" s="465"/>
      <c r="AN754" s="465"/>
      <c r="AO754" s="465"/>
      <c r="AP754" s="465"/>
      <c r="AQ754" s="465"/>
      <c r="AR754" s="465"/>
      <c r="AS754" s="465"/>
      <c r="AT754" s="465"/>
      <c r="AU754" s="465"/>
      <c r="AV754" s="465"/>
      <c r="AW754" s="465"/>
      <c r="AX754" s="465"/>
      <c r="AY754" s="465"/>
      <c r="AZ754" s="465"/>
      <c r="BA754" s="465"/>
      <c r="BB754" s="465"/>
      <c r="BC754" s="465"/>
    </row>
    <row r="755" spans="1:55">
      <c r="A755" s="465"/>
      <c r="B755" s="465"/>
      <c r="C755" s="465"/>
      <c r="D755" s="467"/>
      <c r="E755" s="465"/>
      <c r="F755" s="465"/>
      <c r="G755" s="465"/>
      <c r="H755" s="465"/>
      <c r="I755" s="465"/>
      <c r="J755" s="465"/>
      <c r="K755" s="465"/>
      <c r="L755" s="465"/>
      <c r="M755" s="465"/>
      <c r="N755" s="465"/>
      <c r="O755" s="465"/>
      <c r="P755" s="465"/>
      <c r="Q755" s="465"/>
      <c r="R755" s="465"/>
      <c r="S755" s="465"/>
      <c r="T755" s="465"/>
      <c r="U755" s="465"/>
      <c r="V755" s="465"/>
      <c r="W755" s="465"/>
      <c r="X755" s="465"/>
      <c r="Y755" s="465"/>
      <c r="Z755" s="465"/>
      <c r="AA755" s="465"/>
      <c r="AB755" s="465"/>
      <c r="AC755" s="465"/>
      <c r="AD755" s="465"/>
      <c r="AE755" s="465"/>
      <c r="AF755" s="465"/>
      <c r="AG755" s="465"/>
      <c r="AH755" s="465"/>
      <c r="AI755" s="465"/>
      <c r="AJ755" s="465"/>
      <c r="AK755" s="465"/>
      <c r="AL755" s="465"/>
      <c r="AM755" s="465"/>
      <c r="AN755" s="465"/>
      <c r="AO755" s="465"/>
      <c r="AP755" s="465"/>
      <c r="AQ755" s="465"/>
      <c r="AR755" s="465"/>
      <c r="AS755" s="465"/>
      <c r="AT755" s="465"/>
      <c r="AU755" s="465"/>
      <c r="AV755" s="465"/>
      <c r="AW755" s="465"/>
      <c r="AX755" s="465"/>
      <c r="AY755" s="465"/>
      <c r="AZ755" s="465"/>
      <c r="BA755" s="465"/>
      <c r="BB755" s="465"/>
      <c r="BC755" s="465"/>
    </row>
    <row r="756" spans="1:55">
      <c r="A756" s="465"/>
      <c r="B756" s="465"/>
      <c r="C756" s="465"/>
      <c r="D756" s="467"/>
      <c r="E756" s="465"/>
      <c r="F756" s="465"/>
      <c r="G756" s="465"/>
      <c r="H756" s="465"/>
      <c r="I756" s="465"/>
      <c r="J756" s="465"/>
      <c r="K756" s="465"/>
      <c r="L756" s="465"/>
      <c r="M756" s="465"/>
      <c r="N756" s="465"/>
      <c r="O756" s="465"/>
      <c r="P756" s="465"/>
      <c r="Q756" s="465"/>
      <c r="R756" s="465"/>
      <c r="S756" s="465"/>
      <c r="T756" s="465"/>
      <c r="U756" s="465"/>
      <c r="V756" s="465"/>
      <c r="W756" s="465"/>
      <c r="X756" s="465"/>
      <c r="Y756" s="465"/>
      <c r="Z756" s="465"/>
      <c r="AA756" s="465"/>
      <c r="AB756" s="465"/>
      <c r="AC756" s="465"/>
      <c r="AD756" s="465"/>
      <c r="AE756" s="465"/>
      <c r="AF756" s="465"/>
      <c r="AG756" s="465"/>
      <c r="AH756" s="465"/>
      <c r="AI756" s="465"/>
      <c r="AJ756" s="465"/>
      <c r="AK756" s="465"/>
      <c r="AL756" s="465"/>
      <c r="AM756" s="465"/>
      <c r="AN756" s="465"/>
      <c r="AO756" s="465"/>
      <c r="AP756" s="465"/>
      <c r="AQ756" s="465"/>
      <c r="AR756" s="465"/>
      <c r="AS756" s="465"/>
      <c r="AT756" s="465"/>
      <c r="AU756" s="465"/>
      <c r="AV756" s="465"/>
      <c r="AW756" s="465"/>
      <c r="AX756" s="465"/>
      <c r="AY756" s="465"/>
      <c r="AZ756" s="465"/>
      <c r="BA756" s="465"/>
      <c r="BB756" s="465"/>
      <c r="BC756" s="465"/>
    </row>
    <row r="757" spans="1:55">
      <c r="A757" s="465"/>
      <c r="B757" s="465"/>
      <c r="C757" s="465"/>
      <c r="D757" s="467"/>
      <c r="E757" s="465"/>
      <c r="F757" s="465"/>
      <c r="G757" s="465"/>
      <c r="H757" s="465"/>
      <c r="I757" s="465"/>
      <c r="J757" s="465"/>
      <c r="K757" s="465"/>
      <c r="L757" s="465"/>
      <c r="M757" s="465"/>
      <c r="N757" s="465"/>
      <c r="O757" s="465"/>
      <c r="P757" s="465"/>
      <c r="Q757" s="465"/>
      <c r="R757" s="465"/>
      <c r="S757" s="465"/>
      <c r="T757" s="465"/>
      <c r="U757" s="465"/>
      <c r="V757" s="465"/>
      <c r="W757" s="465"/>
      <c r="X757" s="465"/>
      <c r="Y757" s="465"/>
      <c r="Z757" s="465"/>
      <c r="AA757" s="465"/>
      <c r="AB757" s="465"/>
      <c r="AC757" s="465"/>
      <c r="AD757" s="465"/>
      <c r="AE757" s="465"/>
      <c r="AF757" s="465"/>
      <c r="AG757" s="465"/>
      <c r="AH757" s="465"/>
      <c r="AI757" s="465"/>
      <c r="AJ757" s="465"/>
      <c r="AK757" s="465"/>
      <c r="AL757" s="465"/>
      <c r="AM757" s="465"/>
      <c r="AN757" s="465"/>
      <c r="AO757" s="465"/>
      <c r="AP757" s="465"/>
      <c r="AQ757" s="465"/>
      <c r="AR757" s="465"/>
      <c r="AS757" s="465"/>
      <c r="AT757" s="465"/>
      <c r="AU757" s="465"/>
      <c r="AV757" s="465"/>
      <c r="AW757" s="465"/>
      <c r="AX757" s="465"/>
      <c r="AY757" s="465"/>
      <c r="AZ757" s="465"/>
      <c r="BA757" s="465"/>
      <c r="BB757" s="465"/>
      <c r="BC757" s="465"/>
    </row>
    <row r="758" spans="1:55">
      <c r="A758" s="465"/>
      <c r="B758" s="465"/>
      <c r="C758" s="465"/>
      <c r="D758" s="467"/>
      <c r="E758" s="465"/>
      <c r="F758" s="465"/>
      <c r="G758" s="465"/>
      <c r="H758" s="465"/>
      <c r="I758" s="465"/>
      <c r="J758" s="465"/>
      <c r="K758" s="465"/>
      <c r="L758" s="465"/>
      <c r="M758" s="465"/>
      <c r="N758" s="465"/>
      <c r="O758" s="465"/>
      <c r="P758" s="465"/>
      <c r="Q758" s="465"/>
      <c r="R758" s="465"/>
      <c r="S758" s="465"/>
      <c r="T758" s="465"/>
      <c r="U758" s="465"/>
      <c r="V758" s="465"/>
      <c r="W758" s="465"/>
      <c r="X758" s="465"/>
      <c r="Y758" s="465"/>
      <c r="Z758" s="465"/>
      <c r="AA758" s="465"/>
      <c r="AB758" s="465"/>
      <c r="AC758" s="465"/>
      <c r="AD758" s="465"/>
      <c r="AE758" s="465"/>
      <c r="AF758" s="465"/>
      <c r="AG758" s="465"/>
      <c r="AH758" s="465"/>
      <c r="AI758" s="465"/>
      <c r="AJ758" s="465"/>
      <c r="AK758" s="465"/>
      <c r="AL758" s="465"/>
      <c r="AM758" s="465"/>
      <c r="AN758" s="465"/>
      <c r="AO758" s="465"/>
      <c r="AP758" s="465"/>
      <c r="AQ758" s="465"/>
      <c r="AR758" s="465"/>
      <c r="AS758" s="465"/>
      <c r="AT758" s="465"/>
      <c r="AU758" s="465"/>
      <c r="AV758" s="465"/>
      <c r="AW758" s="465"/>
      <c r="AX758" s="465"/>
      <c r="AY758" s="465"/>
      <c r="AZ758" s="465"/>
      <c r="BA758" s="465"/>
      <c r="BB758" s="465"/>
      <c r="BC758" s="465"/>
    </row>
    <row r="759" spans="1:55">
      <c r="A759" s="465"/>
      <c r="B759" s="465"/>
      <c r="C759" s="465"/>
      <c r="D759" s="467"/>
      <c r="E759" s="465"/>
      <c r="F759" s="465"/>
      <c r="G759" s="465"/>
      <c r="H759" s="465"/>
      <c r="I759" s="465"/>
      <c r="J759" s="465"/>
      <c r="K759" s="465"/>
      <c r="L759" s="465"/>
      <c r="M759" s="465"/>
      <c r="N759" s="465"/>
      <c r="O759" s="465"/>
      <c r="P759" s="465"/>
      <c r="Q759" s="465"/>
      <c r="R759" s="465"/>
      <c r="S759" s="465"/>
      <c r="T759" s="465"/>
      <c r="U759" s="465"/>
      <c r="V759" s="465"/>
      <c r="W759" s="465"/>
      <c r="X759" s="465"/>
      <c r="Y759" s="465"/>
      <c r="Z759" s="465"/>
      <c r="AA759" s="465"/>
      <c r="AB759" s="465"/>
      <c r="AC759" s="465"/>
      <c r="AD759" s="465"/>
      <c r="AE759" s="465"/>
      <c r="AF759" s="465"/>
      <c r="AG759" s="465"/>
      <c r="AH759" s="465"/>
      <c r="AI759" s="465"/>
      <c r="AJ759" s="465"/>
      <c r="AK759" s="465"/>
      <c r="AL759" s="465"/>
      <c r="AM759" s="465"/>
      <c r="AN759" s="465"/>
      <c r="AO759" s="465"/>
      <c r="AP759" s="465"/>
      <c r="AQ759" s="465"/>
      <c r="AR759" s="465"/>
      <c r="AS759" s="465"/>
      <c r="AT759" s="465"/>
      <c r="AU759" s="465"/>
      <c r="AV759" s="465"/>
      <c r="AW759" s="465"/>
      <c r="AX759" s="465"/>
      <c r="AY759" s="465"/>
      <c r="AZ759" s="465"/>
      <c r="BA759" s="465"/>
      <c r="BB759" s="465"/>
      <c r="BC759" s="465"/>
    </row>
    <row r="760" spans="1:55">
      <c r="A760" s="465"/>
      <c r="B760" s="465"/>
      <c r="C760" s="465"/>
      <c r="D760" s="467"/>
      <c r="E760" s="465"/>
      <c r="F760" s="465"/>
      <c r="G760" s="465"/>
      <c r="H760" s="465"/>
      <c r="I760" s="465"/>
      <c r="J760" s="465"/>
      <c r="K760" s="465"/>
      <c r="L760" s="465"/>
      <c r="M760" s="465"/>
      <c r="N760" s="465"/>
      <c r="O760" s="465"/>
      <c r="P760" s="465"/>
      <c r="Q760" s="465"/>
      <c r="R760" s="465"/>
      <c r="S760" s="465"/>
      <c r="T760" s="465"/>
      <c r="U760" s="465"/>
      <c r="V760" s="465"/>
      <c r="W760" s="465"/>
      <c r="X760" s="465"/>
      <c r="Y760" s="465"/>
      <c r="Z760" s="465"/>
      <c r="AA760" s="465"/>
      <c r="AB760" s="465"/>
      <c r="AC760" s="465"/>
      <c r="AD760" s="465"/>
      <c r="AE760" s="465"/>
      <c r="AF760" s="465"/>
      <c r="AG760" s="465"/>
      <c r="AH760" s="465"/>
      <c r="AI760" s="465"/>
      <c r="AJ760" s="465"/>
      <c r="AK760" s="465"/>
      <c r="AL760" s="465"/>
      <c r="AM760" s="465"/>
      <c r="AN760" s="465"/>
      <c r="AO760" s="465"/>
      <c r="AP760" s="465"/>
      <c r="AQ760" s="465"/>
      <c r="AR760" s="465"/>
      <c r="AS760" s="465"/>
      <c r="AT760" s="465"/>
      <c r="AU760" s="465"/>
      <c r="AV760" s="465"/>
      <c r="AW760" s="465"/>
      <c r="AX760" s="465"/>
      <c r="AY760" s="465"/>
      <c r="AZ760" s="465"/>
      <c r="BA760" s="465"/>
      <c r="BB760" s="465"/>
      <c r="BC760" s="465"/>
    </row>
    <row r="761" spans="1:55">
      <c r="A761" s="465"/>
      <c r="B761" s="465"/>
      <c r="C761" s="465"/>
      <c r="D761" s="467"/>
      <c r="E761" s="465"/>
      <c r="F761" s="465"/>
      <c r="G761" s="465"/>
      <c r="H761" s="465"/>
      <c r="I761" s="465"/>
      <c r="J761" s="465"/>
      <c r="K761" s="465"/>
      <c r="L761" s="465"/>
      <c r="M761" s="465"/>
      <c r="N761" s="465"/>
      <c r="O761" s="465"/>
      <c r="P761" s="465"/>
      <c r="Q761" s="465"/>
      <c r="R761" s="465"/>
      <c r="S761" s="465"/>
      <c r="T761" s="465"/>
      <c r="U761" s="465"/>
      <c r="V761" s="465"/>
      <c r="W761" s="465"/>
      <c r="X761" s="465"/>
      <c r="Y761" s="465"/>
      <c r="Z761" s="465"/>
      <c r="AA761" s="465"/>
      <c r="AB761" s="465"/>
      <c r="AC761" s="465"/>
      <c r="AD761" s="465"/>
      <c r="AE761" s="465"/>
      <c r="AF761" s="465"/>
      <c r="AG761" s="465"/>
      <c r="AH761" s="465"/>
      <c r="AI761" s="465"/>
      <c r="AJ761" s="465"/>
      <c r="AK761" s="465"/>
      <c r="AL761" s="465"/>
      <c r="AM761" s="465"/>
      <c r="AN761" s="465"/>
      <c r="AO761" s="465"/>
      <c r="AP761" s="465"/>
      <c r="AQ761" s="465"/>
      <c r="AR761" s="465"/>
      <c r="AS761" s="465"/>
      <c r="AT761" s="465"/>
      <c r="AU761" s="465"/>
      <c r="AV761" s="465"/>
      <c r="AW761" s="465"/>
      <c r="AX761" s="465"/>
      <c r="AY761" s="465"/>
      <c r="AZ761" s="465"/>
      <c r="BA761" s="465"/>
      <c r="BB761" s="465"/>
      <c r="BC761" s="465"/>
    </row>
    <row r="762" spans="1:55">
      <c r="A762" s="465"/>
      <c r="B762" s="465"/>
      <c r="C762" s="465"/>
      <c r="D762" s="467"/>
      <c r="E762" s="465"/>
      <c r="F762" s="465"/>
      <c r="G762" s="465"/>
      <c r="H762" s="465"/>
      <c r="I762" s="465"/>
      <c r="J762" s="465"/>
      <c r="K762" s="465"/>
      <c r="L762" s="465"/>
      <c r="M762" s="465"/>
      <c r="N762" s="465"/>
      <c r="O762" s="465"/>
      <c r="P762" s="465"/>
      <c r="Q762" s="465"/>
      <c r="R762" s="465"/>
      <c r="S762" s="465"/>
      <c r="T762" s="465"/>
      <c r="U762" s="465"/>
      <c r="V762" s="465"/>
      <c r="W762" s="465"/>
      <c r="X762" s="465"/>
      <c r="Y762" s="465"/>
      <c r="Z762" s="465"/>
      <c r="AA762" s="465"/>
      <c r="AB762" s="465"/>
      <c r="AC762" s="465"/>
      <c r="AD762" s="465"/>
      <c r="AE762" s="465"/>
      <c r="AF762" s="465"/>
      <c r="AG762" s="465"/>
      <c r="AH762" s="465"/>
      <c r="AI762" s="465"/>
      <c r="AJ762" s="465"/>
      <c r="AK762" s="465"/>
      <c r="AL762" s="465"/>
      <c r="AM762" s="465"/>
      <c r="AN762" s="465"/>
      <c r="AO762" s="465"/>
      <c r="AP762" s="465"/>
      <c r="AQ762" s="465"/>
      <c r="AR762" s="465"/>
      <c r="AS762" s="465"/>
      <c r="AT762" s="465"/>
      <c r="AU762" s="465"/>
      <c r="AV762" s="465"/>
      <c r="AW762" s="465"/>
      <c r="AX762" s="465"/>
      <c r="AY762" s="465"/>
      <c r="AZ762" s="465"/>
      <c r="BA762" s="465"/>
      <c r="BB762" s="465"/>
      <c r="BC762" s="465"/>
    </row>
    <row r="763" spans="1:55">
      <c r="A763" s="465"/>
      <c r="B763" s="465"/>
      <c r="C763" s="465"/>
      <c r="D763" s="467"/>
      <c r="E763" s="465"/>
      <c r="F763" s="465"/>
      <c r="G763" s="465"/>
      <c r="H763" s="465"/>
      <c r="I763" s="465"/>
      <c r="J763" s="465"/>
      <c r="K763" s="465"/>
      <c r="L763" s="465"/>
      <c r="M763" s="465"/>
      <c r="N763" s="465"/>
      <c r="O763" s="465"/>
      <c r="P763" s="465"/>
      <c r="Q763" s="465"/>
      <c r="R763" s="465"/>
      <c r="S763" s="465"/>
      <c r="T763" s="465"/>
      <c r="U763" s="465"/>
      <c r="V763" s="465"/>
      <c r="W763" s="465"/>
      <c r="X763" s="465"/>
      <c r="Y763" s="465"/>
      <c r="Z763" s="465"/>
      <c r="AA763" s="465"/>
      <c r="AB763" s="465"/>
      <c r="AC763" s="465"/>
      <c r="AD763" s="465"/>
      <c r="AE763" s="465"/>
      <c r="AF763" s="465"/>
      <c r="AG763" s="465"/>
      <c r="AH763" s="465"/>
      <c r="AI763" s="465"/>
      <c r="AJ763" s="465"/>
      <c r="AK763" s="465"/>
      <c r="AL763" s="465"/>
      <c r="AM763" s="465"/>
      <c r="AN763" s="465"/>
      <c r="AO763" s="465"/>
      <c r="AP763" s="465"/>
      <c r="AQ763" s="465"/>
      <c r="AR763" s="465"/>
      <c r="AS763" s="465"/>
      <c r="AT763" s="465"/>
      <c r="AU763" s="465"/>
      <c r="AV763" s="465"/>
      <c r="AW763" s="465"/>
      <c r="AX763" s="465"/>
      <c r="AY763" s="465"/>
      <c r="AZ763" s="465"/>
      <c r="BA763" s="465"/>
      <c r="BB763" s="465"/>
      <c r="BC763" s="465"/>
    </row>
    <row r="764" spans="1:55">
      <c r="A764" s="465"/>
      <c r="B764" s="465"/>
      <c r="C764" s="465"/>
      <c r="D764" s="467"/>
      <c r="E764" s="465"/>
      <c r="F764" s="465"/>
      <c r="G764" s="465"/>
      <c r="H764" s="465"/>
      <c r="I764" s="465"/>
      <c r="J764" s="465"/>
      <c r="K764" s="465"/>
      <c r="L764" s="465"/>
      <c r="M764" s="465"/>
      <c r="N764" s="465"/>
      <c r="O764" s="465"/>
      <c r="P764" s="465"/>
      <c r="Q764" s="465"/>
      <c r="R764" s="465"/>
      <c r="S764" s="465"/>
      <c r="T764" s="465"/>
      <c r="U764" s="465"/>
      <c r="V764" s="465"/>
      <c r="W764" s="465"/>
      <c r="X764" s="465"/>
      <c r="Y764" s="465"/>
      <c r="Z764" s="465"/>
      <c r="AA764" s="465"/>
      <c r="AB764" s="465"/>
      <c r="AC764" s="465"/>
      <c r="AD764" s="465"/>
      <c r="AE764" s="465"/>
      <c r="AF764" s="465"/>
      <c r="AG764" s="465"/>
      <c r="AH764" s="465"/>
      <c r="AI764" s="465"/>
      <c r="AJ764" s="465"/>
      <c r="AK764" s="465"/>
      <c r="AL764" s="465"/>
      <c r="AM764" s="465"/>
      <c r="AN764" s="465"/>
      <c r="AO764" s="465"/>
      <c r="AP764" s="465"/>
      <c r="AQ764" s="465"/>
      <c r="AR764" s="465"/>
      <c r="AS764" s="465"/>
      <c r="AT764" s="465"/>
      <c r="AU764" s="465"/>
      <c r="AV764" s="465"/>
      <c r="AW764" s="465"/>
      <c r="AX764" s="465"/>
      <c r="AY764" s="465"/>
      <c r="AZ764" s="465"/>
      <c r="BA764" s="465"/>
      <c r="BB764" s="465"/>
      <c r="BC764" s="465"/>
    </row>
    <row r="765" spans="1:55">
      <c r="A765" s="465"/>
      <c r="B765" s="465"/>
      <c r="C765" s="465"/>
      <c r="D765" s="467"/>
      <c r="E765" s="465"/>
      <c r="F765" s="465"/>
      <c r="G765" s="465"/>
      <c r="H765" s="465"/>
      <c r="I765" s="465"/>
      <c r="J765" s="465"/>
      <c r="K765" s="465"/>
      <c r="L765" s="465"/>
      <c r="M765" s="465"/>
      <c r="N765" s="465"/>
      <c r="O765" s="465"/>
      <c r="P765" s="465"/>
      <c r="Q765" s="465"/>
      <c r="R765" s="465"/>
      <c r="S765" s="465"/>
      <c r="T765" s="465"/>
      <c r="U765" s="465"/>
      <c r="V765" s="465"/>
      <c r="W765" s="465"/>
      <c r="X765" s="465"/>
      <c r="Y765" s="465"/>
      <c r="Z765" s="465"/>
      <c r="AA765" s="465"/>
      <c r="AB765" s="465"/>
      <c r="AC765" s="465"/>
      <c r="AD765" s="465"/>
      <c r="AE765" s="465"/>
      <c r="AF765" s="465"/>
      <c r="AG765" s="465"/>
      <c r="AH765" s="465"/>
      <c r="AI765" s="465"/>
      <c r="AJ765" s="465"/>
      <c r="AK765" s="465"/>
      <c r="AL765" s="465"/>
      <c r="AM765" s="465"/>
      <c r="AN765" s="465"/>
      <c r="AO765" s="465"/>
      <c r="AP765" s="465"/>
      <c r="AQ765" s="465"/>
      <c r="AR765" s="465"/>
      <c r="AS765" s="465"/>
      <c r="AT765" s="465"/>
      <c r="AU765" s="465"/>
      <c r="AV765" s="465"/>
      <c r="AW765" s="465"/>
      <c r="AX765" s="465"/>
      <c r="AY765" s="465"/>
      <c r="AZ765" s="465"/>
      <c r="BA765" s="465"/>
      <c r="BB765" s="465"/>
      <c r="BC765" s="465"/>
    </row>
    <row r="766" spans="1:55">
      <c r="A766" s="465"/>
      <c r="B766" s="465"/>
      <c r="C766" s="465"/>
      <c r="D766" s="467"/>
      <c r="E766" s="465"/>
      <c r="F766" s="465"/>
      <c r="G766" s="465"/>
      <c r="H766" s="465"/>
      <c r="I766" s="465"/>
      <c r="J766" s="465"/>
      <c r="K766" s="465"/>
      <c r="L766" s="465"/>
      <c r="M766" s="465"/>
      <c r="N766" s="465"/>
      <c r="O766" s="465"/>
      <c r="P766" s="465"/>
      <c r="Q766" s="465"/>
      <c r="R766" s="465"/>
      <c r="S766" s="465"/>
      <c r="T766" s="465"/>
      <c r="U766" s="465"/>
      <c r="V766" s="465"/>
      <c r="W766" s="465"/>
      <c r="X766" s="465"/>
      <c r="Y766" s="465"/>
      <c r="Z766" s="465"/>
      <c r="AA766" s="465"/>
      <c r="AB766" s="465"/>
      <c r="AC766" s="465"/>
      <c r="AD766" s="465"/>
      <c r="AE766" s="465"/>
      <c r="AF766" s="465"/>
      <c r="AG766" s="465"/>
      <c r="AH766" s="465"/>
      <c r="AI766" s="465"/>
      <c r="AJ766" s="465"/>
      <c r="AK766" s="465"/>
      <c r="AL766" s="465"/>
      <c r="AM766" s="465"/>
      <c r="AN766" s="465"/>
      <c r="AO766" s="465"/>
      <c r="AP766" s="465"/>
      <c r="AQ766" s="465"/>
      <c r="AR766" s="465"/>
      <c r="AS766" s="465"/>
      <c r="AT766" s="465"/>
      <c r="AU766" s="465"/>
      <c r="AV766" s="465"/>
      <c r="AW766" s="465"/>
      <c r="AX766" s="465"/>
      <c r="AY766" s="465"/>
      <c r="AZ766" s="465"/>
      <c r="BA766" s="465"/>
      <c r="BB766" s="465"/>
      <c r="BC766" s="465"/>
    </row>
    <row r="767" spans="1:55">
      <c r="A767" s="465"/>
      <c r="B767" s="465"/>
      <c r="C767" s="465"/>
      <c r="D767" s="467"/>
      <c r="E767" s="465"/>
      <c r="F767" s="465"/>
      <c r="G767" s="465"/>
      <c r="H767" s="465"/>
      <c r="I767" s="465"/>
      <c r="J767" s="465"/>
      <c r="K767" s="465"/>
      <c r="L767" s="465"/>
      <c r="M767" s="465"/>
      <c r="N767" s="465"/>
      <c r="O767" s="465"/>
      <c r="P767" s="465"/>
      <c r="Q767" s="465"/>
      <c r="R767" s="465"/>
      <c r="S767" s="465"/>
      <c r="T767" s="465"/>
      <c r="U767" s="465"/>
      <c r="V767" s="465"/>
      <c r="W767" s="465"/>
      <c r="X767" s="465"/>
      <c r="Y767" s="465"/>
      <c r="Z767" s="465"/>
      <c r="AA767" s="465"/>
      <c r="AB767" s="465"/>
      <c r="AC767" s="465"/>
      <c r="AD767" s="465"/>
      <c r="AE767" s="465"/>
      <c r="AF767" s="465"/>
      <c r="AG767" s="465"/>
      <c r="AH767" s="465"/>
      <c r="AI767" s="465"/>
      <c r="AJ767" s="465"/>
      <c r="AK767" s="465"/>
      <c r="AL767" s="465"/>
      <c r="AM767" s="465"/>
      <c r="AN767" s="465"/>
      <c r="AO767" s="465"/>
      <c r="AP767" s="465"/>
      <c r="AQ767" s="465"/>
      <c r="AR767" s="465"/>
      <c r="AS767" s="465"/>
      <c r="AT767" s="465"/>
      <c r="AU767" s="465"/>
      <c r="AV767" s="465"/>
      <c r="AW767" s="465"/>
      <c r="AX767" s="465"/>
      <c r="AY767" s="465"/>
      <c r="AZ767" s="465"/>
      <c r="BA767" s="465"/>
      <c r="BB767" s="465"/>
      <c r="BC767" s="465"/>
    </row>
    <row r="768" spans="1:55">
      <c r="A768" s="465"/>
      <c r="B768" s="465"/>
      <c r="C768" s="465"/>
      <c r="D768" s="467"/>
      <c r="E768" s="465"/>
      <c r="F768" s="465"/>
      <c r="G768" s="465"/>
      <c r="H768" s="465"/>
      <c r="I768" s="465"/>
      <c r="J768" s="465"/>
      <c r="K768" s="465"/>
      <c r="L768" s="465"/>
      <c r="M768" s="465"/>
      <c r="N768" s="465"/>
      <c r="O768" s="465"/>
      <c r="P768" s="465"/>
      <c r="Q768" s="465"/>
      <c r="R768" s="465"/>
      <c r="S768" s="465"/>
      <c r="T768" s="465"/>
      <c r="U768" s="465"/>
      <c r="V768" s="465"/>
      <c r="W768" s="465"/>
      <c r="X768" s="465"/>
      <c r="Y768" s="465"/>
      <c r="Z768" s="465"/>
      <c r="AA768" s="465"/>
      <c r="AB768" s="465"/>
      <c r="AC768" s="465"/>
      <c r="AD768" s="465"/>
      <c r="AE768" s="465"/>
      <c r="AF768" s="465"/>
      <c r="AG768" s="465"/>
      <c r="AH768" s="465"/>
      <c r="AI768" s="465"/>
      <c r="AJ768" s="465"/>
      <c r="AK768" s="465"/>
      <c r="AL768" s="465"/>
      <c r="AM768" s="465"/>
      <c r="AN768" s="465"/>
      <c r="AO768" s="465"/>
      <c r="AP768" s="465"/>
      <c r="AQ768" s="465"/>
      <c r="AR768" s="465"/>
      <c r="AS768" s="465"/>
      <c r="AT768" s="465"/>
      <c r="AU768" s="465"/>
      <c r="AV768" s="465"/>
      <c r="AW768" s="465"/>
      <c r="AX768" s="465"/>
      <c r="AY768" s="465"/>
      <c r="AZ768" s="465"/>
      <c r="BA768" s="465"/>
      <c r="BB768" s="465"/>
      <c r="BC768" s="465"/>
    </row>
    <row r="769" spans="1:55">
      <c r="A769" s="465"/>
      <c r="B769" s="465"/>
      <c r="C769" s="465"/>
      <c r="D769" s="467"/>
      <c r="E769" s="465"/>
      <c r="F769" s="465"/>
      <c r="G769" s="465"/>
      <c r="H769" s="465"/>
      <c r="I769" s="465"/>
      <c r="J769" s="465"/>
      <c r="K769" s="465"/>
      <c r="L769" s="465"/>
      <c r="M769" s="465"/>
      <c r="N769" s="465"/>
      <c r="O769" s="465"/>
      <c r="P769" s="465"/>
      <c r="Q769" s="465"/>
      <c r="R769" s="465"/>
      <c r="S769" s="465"/>
      <c r="T769" s="465"/>
      <c r="U769" s="465"/>
      <c r="V769" s="465"/>
      <c r="W769" s="465"/>
      <c r="X769" s="465"/>
      <c r="Y769" s="465"/>
      <c r="Z769" s="465"/>
      <c r="AA769" s="465"/>
      <c r="AB769" s="465"/>
      <c r="AC769" s="465"/>
      <c r="AD769" s="465"/>
      <c r="AE769" s="465"/>
      <c r="AF769" s="465"/>
      <c r="AG769" s="465"/>
      <c r="AH769" s="465"/>
      <c r="AI769" s="465"/>
      <c r="AJ769" s="465"/>
      <c r="AK769" s="465"/>
      <c r="AL769" s="465"/>
      <c r="AM769" s="465"/>
      <c r="AN769" s="465"/>
      <c r="AO769" s="465"/>
      <c r="AP769" s="465"/>
      <c r="AQ769" s="465"/>
      <c r="AR769" s="465"/>
      <c r="AS769" s="465"/>
      <c r="AT769" s="465"/>
      <c r="AU769" s="465"/>
      <c r="AV769" s="465"/>
      <c r="AW769" s="465"/>
      <c r="AX769" s="465"/>
      <c r="AY769" s="465"/>
      <c r="AZ769" s="465"/>
      <c r="BA769" s="465"/>
      <c r="BB769" s="465"/>
      <c r="BC769" s="465"/>
    </row>
    <row r="770" spans="1:55">
      <c r="A770" s="465"/>
      <c r="B770" s="465"/>
      <c r="C770" s="465"/>
      <c r="D770" s="467"/>
      <c r="E770" s="465"/>
      <c r="F770" s="465"/>
      <c r="G770" s="465"/>
      <c r="H770" s="465"/>
      <c r="I770" s="465"/>
      <c r="J770" s="465"/>
      <c r="K770" s="465"/>
      <c r="L770" s="465"/>
      <c r="M770" s="465"/>
      <c r="N770" s="465"/>
      <c r="O770" s="465"/>
      <c r="P770" s="465"/>
      <c r="Q770" s="465"/>
      <c r="R770" s="465"/>
      <c r="S770" s="465"/>
      <c r="T770" s="465"/>
      <c r="U770" s="465"/>
      <c r="V770" s="465"/>
      <c r="W770" s="465"/>
      <c r="X770" s="465"/>
      <c r="Y770" s="465"/>
      <c r="Z770" s="465"/>
      <c r="AA770" s="465"/>
      <c r="AB770" s="465"/>
      <c r="AC770" s="465"/>
      <c r="AD770" s="465"/>
      <c r="AE770" s="465"/>
      <c r="AF770" s="465"/>
      <c r="AG770" s="465"/>
      <c r="AH770" s="465"/>
      <c r="AI770" s="465"/>
      <c r="AJ770" s="465"/>
      <c r="AK770" s="465"/>
      <c r="AL770" s="465"/>
      <c r="AM770" s="465"/>
      <c r="AN770" s="465"/>
      <c r="AO770" s="465"/>
      <c r="AP770" s="465"/>
      <c r="AQ770" s="465"/>
      <c r="AR770" s="465"/>
      <c r="AS770" s="465"/>
      <c r="AT770" s="465"/>
      <c r="AU770" s="465"/>
      <c r="AV770" s="465"/>
      <c r="AW770" s="465"/>
      <c r="AX770" s="465"/>
      <c r="AY770" s="465"/>
      <c r="AZ770" s="465"/>
      <c r="BA770" s="465"/>
      <c r="BB770" s="465"/>
      <c r="BC770" s="465"/>
    </row>
    <row r="771" spans="1:55">
      <c r="A771" s="465"/>
      <c r="B771" s="465"/>
      <c r="C771" s="465"/>
      <c r="D771" s="467"/>
      <c r="E771" s="465"/>
      <c r="F771" s="465"/>
      <c r="G771" s="465"/>
      <c r="H771" s="465"/>
      <c r="I771" s="465"/>
      <c r="J771" s="465"/>
      <c r="K771" s="465"/>
      <c r="L771" s="465"/>
      <c r="M771" s="465"/>
      <c r="N771" s="465"/>
      <c r="O771" s="465"/>
      <c r="P771" s="465"/>
      <c r="Q771" s="465"/>
      <c r="R771" s="465"/>
      <c r="S771" s="465"/>
      <c r="T771" s="465"/>
      <c r="U771" s="465"/>
      <c r="V771" s="465"/>
      <c r="W771" s="465"/>
      <c r="X771" s="465"/>
      <c r="Y771" s="465"/>
      <c r="Z771" s="465"/>
      <c r="AA771" s="465"/>
      <c r="AB771" s="465"/>
      <c r="AC771" s="465"/>
      <c r="AD771" s="465"/>
      <c r="AE771" s="465"/>
      <c r="AF771" s="465"/>
      <c r="AG771" s="465"/>
      <c r="AH771" s="465"/>
      <c r="AI771" s="465"/>
      <c r="AJ771" s="465"/>
      <c r="AK771" s="465"/>
      <c r="AL771" s="465"/>
      <c r="AM771" s="465"/>
      <c r="AN771" s="465"/>
      <c r="AO771" s="465"/>
      <c r="AP771" s="465"/>
      <c r="AQ771" s="465"/>
      <c r="AR771" s="465"/>
      <c r="AS771" s="465"/>
      <c r="AT771" s="465"/>
      <c r="AU771" s="465"/>
      <c r="AV771" s="465"/>
      <c r="AW771" s="465"/>
      <c r="AX771" s="465"/>
      <c r="AY771" s="465"/>
      <c r="AZ771" s="465"/>
      <c r="BA771" s="465"/>
      <c r="BB771" s="465"/>
      <c r="BC771" s="465"/>
    </row>
    <row r="772" spans="1:55">
      <c r="A772" s="465"/>
      <c r="B772" s="465"/>
      <c r="C772" s="465"/>
      <c r="D772" s="467"/>
      <c r="E772" s="465"/>
      <c r="F772" s="465"/>
      <c r="G772" s="465"/>
      <c r="H772" s="465"/>
      <c r="I772" s="465"/>
      <c r="J772" s="465"/>
      <c r="K772" s="465"/>
      <c r="L772" s="465"/>
      <c r="M772" s="465"/>
      <c r="N772" s="465"/>
      <c r="O772" s="465"/>
      <c r="P772" s="465"/>
      <c r="Q772" s="465"/>
      <c r="R772" s="465"/>
      <c r="S772" s="465"/>
      <c r="T772" s="465"/>
      <c r="U772" s="465"/>
      <c r="V772" s="465"/>
      <c r="W772" s="465"/>
      <c r="X772" s="465"/>
      <c r="Y772" s="465"/>
      <c r="Z772" s="465"/>
      <c r="AA772" s="465"/>
      <c r="AB772" s="465"/>
      <c r="AC772" s="465"/>
      <c r="AD772" s="465"/>
      <c r="AE772" s="465"/>
      <c r="AF772" s="465"/>
      <c r="AG772" s="465"/>
      <c r="AH772" s="465"/>
      <c r="AI772" s="465"/>
      <c r="AJ772" s="465"/>
      <c r="AK772" s="465"/>
      <c r="AL772" s="465"/>
      <c r="AM772" s="465"/>
      <c r="AN772" s="465"/>
      <c r="AO772" s="465"/>
      <c r="AP772" s="465"/>
      <c r="AQ772" s="465"/>
      <c r="AR772" s="465"/>
      <c r="AS772" s="465"/>
      <c r="AT772" s="465"/>
      <c r="AU772" s="465"/>
      <c r="AV772" s="465"/>
      <c r="AW772" s="465"/>
      <c r="AX772" s="465"/>
      <c r="AY772" s="465"/>
      <c r="AZ772" s="465"/>
      <c r="BA772" s="465"/>
      <c r="BB772" s="465"/>
      <c r="BC772" s="465"/>
    </row>
    <row r="773" spans="1:55">
      <c r="A773" s="465"/>
      <c r="B773" s="465"/>
      <c r="C773" s="465"/>
      <c r="D773" s="467"/>
      <c r="E773" s="465"/>
      <c r="F773" s="465"/>
      <c r="G773" s="465"/>
      <c r="H773" s="465"/>
      <c r="I773" s="465"/>
      <c r="J773" s="465"/>
      <c r="K773" s="465"/>
      <c r="L773" s="465"/>
      <c r="M773" s="465"/>
      <c r="N773" s="465"/>
      <c r="O773" s="465"/>
      <c r="P773" s="465"/>
      <c r="Q773" s="465"/>
      <c r="R773" s="465"/>
      <c r="S773" s="465"/>
      <c r="T773" s="465"/>
      <c r="U773" s="465"/>
      <c r="V773" s="465"/>
      <c r="W773" s="465"/>
      <c r="X773" s="465"/>
      <c r="Y773" s="465"/>
      <c r="Z773" s="465"/>
      <c r="AA773" s="465"/>
      <c r="AB773" s="465"/>
      <c r="AC773" s="465"/>
      <c r="AD773" s="465"/>
      <c r="AE773" s="465"/>
      <c r="AF773" s="465"/>
      <c r="AG773" s="465"/>
      <c r="AH773" s="465"/>
      <c r="AI773" s="465"/>
      <c r="AJ773" s="465"/>
      <c r="AK773" s="465"/>
      <c r="AL773" s="465"/>
      <c r="AM773" s="465"/>
      <c r="AN773" s="465"/>
      <c r="AO773" s="465"/>
      <c r="AP773" s="465"/>
      <c r="AQ773" s="465"/>
      <c r="AR773" s="465"/>
      <c r="AS773" s="465"/>
      <c r="AT773" s="465"/>
      <c r="AU773" s="465"/>
      <c r="AV773" s="465"/>
      <c r="AW773" s="465"/>
      <c r="AX773" s="465"/>
      <c r="AY773" s="465"/>
      <c r="AZ773" s="465"/>
      <c r="BA773" s="465"/>
      <c r="BB773" s="465"/>
      <c r="BC773" s="465"/>
    </row>
    <row r="774" spans="1:55">
      <c r="A774" s="465"/>
      <c r="B774" s="465"/>
      <c r="C774" s="465"/>
      <c r="D774" s="467"/>
      <c r="E774" s="465"/>
      <c r="F774" s="465"/>
      <c r="G774" s="465"/>
      <c r="H774" s="465"/>
      <c r="I774" s="465"/>
      <c r="J774" s="465"/>
      <c r="K774" s="465"/>
      <c r="L774" s="465"/>
      <c r="M774" s="465"/>
      <c r="N774" s="465"/>
      <c r="O774" s="465"/>
      <c r="P774" s="465"/>
      <c r="Q774" s="465"/>
      <c r="R774" s="465"/>
      <c r="S774" s="465"/>
      <c r="T774" s="465"/>
      <c r="U774" s="465"/>
      <c r="V774" s="465"/>
      <c r="W774" s="465"/>
      <c r="X774" s="465"/>
      <c r="Y774" s="465"/>
      <c r="Z774" s="465"/>
      <c r="AA774" s="465"/>
      <c r="AB774" s="465"/>
      <c r="AC774" s="465"/>
      <c r="AD774" s="465"/>
      <c r="AE774" s="465"/>
      <c r="AF774" s="465"/>
      <c r="AG774" s="465"/>
      <c r="AH774" s="465"/>
      <c r="AI774" s="465"/>
      <c r="AJ774" s="465"/>
      <c r="AK774" s="465"/>
      <c r="AL774" s="465"/>
      <c r="AM774" s="465"/>
      <c r="AN774" s="465"/>
      <c r="AO774" s="465"/>
      <c r="AP774" s="465"/>
      <c r="AQ774" s="465"/>
      <c r="AR774" s="465"/>
      <c r="AS774" s="465"/>
      <c r="AT774" s="465"/>
      <c r="AU774" s="465"/>
      <c r="AV774" s="465"/>
      <c r="AW774" s="465"/>
      <c r="AX774" s="465"/>
      <c r="AY774" s="465"/>
      <c r="AZ774" s="465"/>
      <c r="BA774" s="465"/>
      <c r="BB774" s="465"/>
      <c r="BC774" s="465"/>
    </row>
    <row r="775" spans="1:55">
      <c r="A775" s="465"/>
      <c r="B775" s="465"/>
      <c r="C775" s="465"/>
      <c r="D775" s="467"/>
      <c r="E775" s="465"/>
      <c r="F775" s="465"/>
      <c r="G775" s="465"/>
      <c r="H775" s="465"/>
      <c r="I775" s="465"/>
      <c r="J775" s="465"/>
      <c r="K775" s="465"/>
      <c r="L775" s="465"/>
      <c r="M775" s="465"/>
      <c r="N775" s="465"/>
      <c r="O775" s="465"/>
      <c r="P775" s="465"/>
      <c r="Q775" s="465"/>
      <c r="R775" s="465"/>
      <c r="S775" s="465"/>
      <c r="T775" s="465"/>
      <c r="U775" s="465"/>
      <c r="V775" s="465"/>
      <c r="W775" s="465"/>
      <c r="X775" s="465"/>
      <c r="Y775" s="465"/>
      <c r="Z775" s="465"/>
      <c r="AA775" s="465"/>
      <c r="AB775" s="465"/>
      <c r="AC775" s="465"/>
      <c r="AD775" s="465"/>
      <c r="AE775" s="465"/>
      <c r="AF775" s="465"/>
      <c r="AG775" s="465"/>
      <c r="AH775" s="465"/>
      <c r="AI775" s="465"/>
      <c r="AJ775" s="465"/>
      <c r="AK775" s="465"/>
      <c r="AL775" s="465"/>
      <c r="AM775" s="465"/>
      <c r="AN775" s="465"/>
      <c r="AO775" s="465"/>
      <c r="AP775" s="465"/>
      <c r="AQ775" s="465"/>
      <c r="AR775" s="465"/>
      <c r="AS775" s="465"/>
      <c r="AT775" s="465"/>
      <c r="AU775" s="465"/>
      <c r="AV775" s="465"/>
      <c r="AW775" s="465"/>
      <c r="AX775" s="465"/>
      <c r="AY775" s="465"/>
      <c r="AZ775" s="465"/>
      <c r="BA775" s="465"/>
      <c r="BB775" s="465"/>
      <c r="BC775" s="465"/>
    </row>
    <row r="776" spans="1:55">
      <c r="A776" s="465"/>
      <c r="B776" s="465"/>
      <c r="C776" s="465"/>
      <c r="D776" s="467"/>
      <c r="E776" s="465"/>
      <c r="F776" s="465"/>
      <c r="G776" s="465"/>
      <c r="H776" s="465"/>
      <c r="I776" s="465"/>
      <c r="J776" s="465"/>
      <c r="K776" s="465"/>
      <c r="L776" s="465"/>
      <c r="M776" s="465"/>
      <c r="N776" s="465"/>
      <c r="O776" s="465"/>
      <c r="P776" s="465"/>
      <c r="Q776" s="465"/>
      <c r="R776" s="465"/>
      <c r="S776" s="465"/>
      <c r="T776" s="465"/>
      <c r="U776" s="465"/>
      <c r="V776" s="465"/>
      <c r="W776" s="465"/>
      <c r="X776" s="465"/>
      <c r="Y776" s="465"/>
      <c r="Z776" s="465"/>
      <c r="AA776" s="465"/>
      <c r="AB776" s="465"/>
      <c r="AC776" s="465"/>
      <c r="AD776" s="465"/>
      <c r="AE776" s="465"/>
      <c r="AF776" s="465"/>
      <c r="AG776" s="465"/>
      <c r="AH776" s="465"/>
      <c r="AI776" s="465"/>
      <c r="AJ776" s="465"/>
      <c r="AK776" s="465"/>
      <c r="AL776" s="465"/>
      <c r="AM776" s="465"/>
      <c r="AN776" s="465"/>
      <c r="AO776" s="465"/>
      <c r="AP776" s="465"/>
      <c r="AQ776" s="465"/>
      <c r="AR776" s="465"/>
      <c r="AS776" s="465"/>
      <c r="AT776" s="465"/>
      <c r="AU776" s="465"/>
      <c r="AV776" s="465"/>
      <c r="AW776" s="465"/>
      <c r="AX776" s="465"/>
      <c r="AY776" s="465"/>
      <c r="AZ776" s="465"/>
      <c r="BA776" s="465"/>
      <c r="BB776" s="465"/>
      <c r="BC776" s="465"/>
    </row>
    <row r="777" spans="1:55">
      <c r="A777" s="465"/>
      <c r="B777" s="465"/>
      <c r="C777" s="465"/>
      <c r="D777" s="467"/>
      <c r="E777" s="465"/>
      <c r="F777" s="465"/>
      <c r="G777" s="465"/>
      <c r="H777" s="465"/>
      <c r="I777" s="465"/>
      <c r="J777" s="465"/>
      <c r="K777" s="465"/>
      <c r="L777" s="465"/>
      <c r="M777" s="465"/>
      <c r="N777" s="465"/>
      <c r="O777" s="465"/>
      <c r="P777" s="465"/>
      <c r="Q777" s="465"/>
      <c r="R777" s="465"/>
      <c r="S777" s="465"/>
      <c r="T777" s="465"/>
      <c r="U777" s="465"/>
      <c r="V777" s="465"/>
      <c r="W777" s="465"/>
      <c r="X777" s="465"/>
      <c r="Y777" s="465"/>
      <c r="Z777" s="465"/>
      <c r="AA777" s="465"/>
      <c r="AB777" s="465"/>
      <c r="AC777" s="465"/>
      <c r="AD777" s="465"/>
      <c r="AE777" s="465"/>
      <c r="AF777" s="465"/>
      <c r="AG777" s="465"/>
      <c r="AH777" s="465"/>
      <c r="AI777" s="465"/>
      <c r="AJ777" s="465"/>
      <c r="AK777" s="465"/>
      <c r="AL777" s="465"/>
      <c r="AM777" s="465"/>
      <c r="AN777" s="465"/>
      <c r="AO777" s="465"/>
      <c r="AP777" s="465"/>
      <c r="AQ777" s="465"/>
      <c r="AR777" s="465"/>
      <c r="AS777" s="465"/>
      <c r="AT777" s="465"/>
      <c r="AU777" s="465"/>
      <c r="AV777" s="465"/>
      <c r="AW777" s="465"/>
      <c r="AX777" s="465"/>
      <c r="AY777" s="465"/>
      <c r="AZ777" s="465"/>
      <c r="BA777" s="465"/>
      <c r="BB777" s="465"/>
      <c r="BC777" s="465"/>
    </row>
    <row r="778" spans="1:55">
      <c r="A778" s="465"/>
      <c r="B778" s="465"/>
      <c r="C778" s="465"/>
      <c r="D778" s="467"/>
      <c r="E778" s="465"/>
      <c r="F778" s="465"/>
      <c r="G778" s="465"/>
      <c r="H778" s="465"/>
      <c r="I778" s="465"/>
      <c r="J778" s="465"/>
      <c r="K778" s="465"/>
      <c r="L778" s="465"/>
      <c r="M778" s="465"/>
      <c r="N778" s="465"/>
      <c r="O778" s="465"/>
      <c r="P778" s="465"/>
      <c r="Q778" s="465"/>
      <c r="R778" s="465"/>
      <c r="S778" s="465"/>
      <c r="T778" s="465"/>
      <c r="U778" s="465"/>
      <c r="V778" s="465"/>
      <c r="W778" s="465"/>
      <c r="X778" s="465"/>
      <c r="Y778" s="465"/>
      <c r="Z778" s="465"/>
      <c r="AA778" s="465"/>
      <c r="AB778" s="465"/>
      <c r="AC778" s="465"/>
      <c r="AD778" s="465"/>
      <c r="AE778" s="465"/>
      <c r="AF778" s="465"/>
      <c r="AG778" s="465"/>
      <c r="AH778" s="465"/>
      <c r="AI778" s="465"/>
      <c r="AJ778" s="465"/>
      <c r="AK778" s="465"/>
      <c r="AL778" s="465"/>
      <c r="AM778" s="465"/>
      <c r="AN778" s="465"/>
      <c r="AO778" s="465"/>
      <c r="AP778" s="465"/>
      <c r="AQ778" s="465"/>
      <c r="AR778" s="465"/>
      <c r="AS778" s="465"/>
      <c r="AT778" s="465"/>
      <c r="AU778" s="465"/>
      <c r="AV778" s="465"/>
      <c r="AW778" s="465"/>
      <c r="AX778" s="465"/>
      <c r="AY778" s="465"/>
      <c r="AZ778" s="465"/>
      <c r="BA778" s="465"/>
      <c r="BB778" s="465"/>
      <c r="BC778" s="465"/>
    </row>
    <row r="779" spans="1:55">
      <c r="A779" s="465"/>
      <c r="B779" s="465"/>
      <c r="C779" s="465"/>
      <c r="D779" s="467"/>
      <c r="E779" s="465"/>
      <c r="F779" s="465"/>
      <c r="G779" s="465"/>
      <c r="H779" s="465"/>
      <c r="I779" s="465"/>
      <c r="J779" s="465"/>
      <c r="K779" s="465"/>
      <c r="L779" s="465"/>
      <c r="M779" s="465"/>
      <c r="N779" s="465"/>
      <c r="O779" s="465"/>
      <c r="P779" s="465"/>
      <c r="Q779" s="465"/>
      <c r="R779" s="465"/>
      <c r="S779" s="465"/>
      <c r="T779" s="465"/>
      <c r="U779" s="465"/>
      <c r="V779" s="465"/>
      <c r="W779" s="465"/>
      <c r="X779" s="465"/>
      <c r="Y779" s="465"/>
      <c r="Z779" s="465"/>
      <c r="AA779" s="465"/>
      <c r="AB779" s="465"/>
      <c r="AC779" s="465"/>
      <c r="AD779" s="465"/>
      <c r="AE779" s="465"/>
      <c r="AF779" s="465"/>
      <c r="AG779" s="465"/>
      <c r="AH779" s="465"/>
      <c r="AI779" s="465"/>
      <c r="AJ779" s="465"/>
      <c r="AK779" s="465"/>
      <c r="AL779" s="465"/>
      <c r="AM779" s="465"/>
      <c r="AN779" s="465"/>
      <c r="AO779" s="465"/>
      <c r="AP779" s="465"/>
      <c r="AQ779" s="465"/>
      <c r="AR779" s="465"/>
      <c r="AS779" s="465"/>
      <c r="AT779" s="465"/>
      <c r="AU779" s="465"/>
      <c r="AV779" s="465"/>
      <c r="AW779" s="465"/>
      <c r="AX779" s="465"/>
      <c r="AY779" s="465"/>
      <c r="AZ779" s="465"/>
      <c r="BA779" s="465"/>
      <c r="BB779" s="465"/>
      <c r="BC779" s="465"/>
    </row>
    <row r="780" spans="1:55">
      <c r="A780" s="465"/>
      <c r="B780" s="465"/>
      <c r="C780" s="465"/>
      <c r="D780" s="467"/>
      <c r="E780" s="465"/>
      <c r="F780" s="465"/>
      <c r="G780" s="465"/>
      <c r="H780" s="465"/>
      <c r="I780" s="465"/>
      <c r="J780" s="465"/>
      <c r="K780" s="465"/>
      <c r="L780" s="465"/>
      <c r="M780" s="465"/>
      <c r="N780" s="465"/>
      <c r="O780" s="465"/>
      <c r="P780" s="465"/>
      <c r="Q780" s="465"/>
      <c r="R780" s="465"/>
      <c r="S780" s="465"/>
      <c r="T780" s="465"/>
      <c r="U780" s="465"/>
      <c r="V780" s="465"/>
      <c r="W780" s="465"/>
      <c r="X780" s="465"/>
      <c r="Y780" s="465"/>
      <c r="Z780" s="465"/>
      <c r="AA780" s="465"/>
      <c r="AB780" s="465"/>
      <c r="AC780" s="465"/>
      <c r="AD780" s="465"/>
      <c r="AE780" s="465"/>
      <c r="AF780" s="465"/>
      <c r="AG780" s="465"/>
      <c r="AH780" s="465"/>
      <c r="AI780" s="465"/>
      <c r="AJ780" s="465"/>
      <c r="AK780" s="465"/>
      <c r="AL780" s="465"/>
      <c r="AM780" s="465"/>
      <c r="AN780" s="465"/>
      <c r="AO780" s="465"/>
      <c r="AP780" s="465"/>
      <c r="AQ780" s="465"/>
      <c r="AR780" s="465"/>
      <c r="AS780" s="465"/>
      <c r="AT780" s="465"/>
      <c r="AU780" s="465"/>
      <c r="AV780" s="465"/>
      <c r="AW780" s="465"/>
      <c r="AX780" s="465"/>
      <c r="AY780" s="465"/>
      <c r="AZ780" s="465"/>
      <c r="BA780" s="465"/>
      <c r="BB780" s="465"/>
      <c r="BC780" s="465"/>
    </row>
    <row r="781" spans="1:55">
      <c r="A781" s="465"/>
      <c r="B781" s="465"/>
      <c r="C781" s="465"/>
      <c r="D781" s="467"/>
      <c r="E781" s="465"/>
      <c r="F781" s="465"/>
      <c r="G781" s="465"/>
      <c r="H781" s="465"/>
      <c r="I781" s="465"/>
      <c r="J781" s="465"/>
      <c r="K781" s="465"/>
      <c r="L781" s="465"/>
      <c r="M781" s="465"/>
      <c r="N781" s="465"/>
      <c r="O781" s="465"/>
      <c r="P781" s="465"/>
      <c r="Q781" s="465"/>
      <c r="R781" s="465"/>
      <c r="S781" s="465"/>
      <c r="T781" s="465"/>
      <c r="U781" s="465"/>
      <c r="V781" s="465"/>
      <c r="W781" s="465"/>
      <c r="X781" s="465"/>
      <c r="Y781" s="465"/>
      <c r="Z781" s="465"/>
      <c r="AA781" s="465"/>
      <c r="AB781" s="465"/>
      <c r="AC781" s="465"/>
      <c r="AD781" s="465"/>
      <c r="AE781" s="465"/>
      <c r="AF781" s="465"/>
      <c r="AG781" s="465"/>
      <c r="AH781" s="465"/>
      <c r="AI781" s="465"/>
      <c r="AJ781" s="465"/>
      <c r="AK781" s="465"/>
      <c r="AL781" s="465"/>
      <c r="AM781" s="465"/>
      <c r="AN781" s="465"/>
      <c r="AO781" s="465"/>
      <c r="AP781" s="465"/>
      <c r="AQ781" s="465"/>
      <c r="AR781" s="465"/>
      <c r="AS781" s="465"/>
      <c r="AT781" s="465"/>
      <c r="AU781" s="465"/>
      <c r="AV781" s="465"/>
      <c r="AW781" s="465"/>
      <c r="AX781" s="465"/>
      <c r="AY781" s="465"/>
      <c r="AZ781" s="465"/>
      <c r="BA781" s="465"/>
      <c r="BB781" s="465"/>
      <c r="BC781" s="465"/>
    </row>
    <row r="782" spans="1:55">
      <c r="A782" s="465"/>
      <c r="B782" s="465"/>
      <c r="C782" s="465"/>
      <c r="D782" s="467"/>
      <c r="E782" s="465"/>
      <c r="F782" s="465"/>
      <c r="G782" s="465"/>
      <c r="H782" s="465"/>
      <c r="I782" s="465"/>
      <c r="J782" s="465"/>
      <c r="K782" s="465"/>
      <c r="L782" s="465"/>
      <c r="M782" s="465"/>
      <c r="N782" s="465"/>
      <c r="O782" s="465"/>
      <c r="P782" s="465"/>
      <c r="Q782" s="465"/>
      <c r="R782" s="465"/>
      <c r="S782" s="465"/>
      <c r="T782" s="465"/>
      <c r="U782" s="465"/>
      <c r="V782" s="465"/>
      <c r="W782" s="465"/>
      <c r="X782" s="465"/>
      <c r="Y782" s="465"/>
      <c r="Z782" s="465"/>
      <c r="AA782" s="465"/>
      <c r="AB782" s="465"/>
      <c r="AC782" s="465"/>
      <c r="AD782" s="465"/>
      <c r="AE782" s="465"/>
      <c r="AF782" s="465"/>
      <c r="AG782" s="465"/>
      <c r="AH782" s="465"/>
      <c r="AI782" s="465"/>
      <c r="AJ782" s="465"/>
      <c r="AK782" s="465"/>
      <c r="AL782" s="465"/>
      <c r="AM782" s="465"/>
      <c r="AN782" s="465"/>
      <c r="AO782" s="465"/>
      <c r="AP782" s="465"/>
      <c r="AQ782" s="465"/>
      <c r="AR782" s="465"/>
      <c r="AS782" s="465"/>
      <c r="AT782" s="465"/>
      <c r="AU782" s="465"/>
      <c r="AV782" s="465"/>
      <c r="AW782" s="465"/>
      <c r="AX782" s="465"/>
      <c r="AY782" s="465"/>
      <c r="AZ782" s="465"/>
      <c r="BA782" s="465"/>
      <c r="BB782" s="465"/>
      <c r="BC782" s="465"/>
    </row>
    <row r="783" spans="1:55">
      <c r="A783" s="465"/>
      <c r="B783" s="465"/>
      <c r="C783" s="465"/>
      <c r="D783" s="467"/>
      <c r="E783" s="465"/>
      <c r="F783" s="465"/>
      <c r="G783" s="465"/>
      <c r="H783" s="465"/>
      <c r="I783" s="465"/>
      <c r="J783" s="465"/>
      <c r="K783" s="465"/>
      <c r="L783" s="465"/>
      <c r="M783" s="465"/>
      <c r="N783" s="465"/>
      <c r="O783" s="465"/>
      <c r="P783" s="465"/>
      <c r="Q783" s="465"/>
      <c r="R783" s="465"/>
      <c r="S783" s="465"/>
      <c r="T783" s="465"/>
      <c r="U783" s="465"/>
      <c r="V783" s="465"/>
      <c r="W783" s="465"/>
      <c r="X783" s="465"/>
      <c r="Y783" s="465"/>
      <c r="Z783" s="465"/>
      <c r="AA783" s="465"/>
      <c r="AB783" s="465"/>
      <c r="AC783" s="465"/>
      <c r="AD783" s="465"/>
      <c r="AE783" s="465"/>
      <c r="AF783" s="465"/>
      <c r="AG783" s="465"/>
      <c r="AH783" s="465"/>
      <c r="AI783" s="465"/>
      <c r="AJ783" s="465"/>
      <c r="AK783" s="465"/>
      <c r="AL783" s="465"/>
      <c r="AM783" s="465"/>
      <c r="AN783" s="465"/>
      <c r="AO783" s="465"/>
      <c r="AP783" s="465"/>
      <c r="AQ783" s="465"/>
      <c r="AR783" s="465"/>
      <c r="AS783" s="465"/>
      <c r="AT783" s="465"/>
      <c r="AU783" s="465"/>
      <c r="AV783" s="465"/>
      <c r="AW783" s="465"/>
      <c r="AX783" s="465"/>
      <c r="AY783" s="465"/>
      <c r="AZ783" s="465"/>
      <c r="BA783" s="465"/>
      <c r="BB783" s="465"/>
      <c r="BC783" s="465"/>
    </row>
    <row r="784" spans="1:55">
      <c r="A784" s="465"/>
      <c r="B784" s="465"/>
      <c r="C784" s="465"/>
      <c r="D784" s="467"/>
      <c r="E784" s="465"/>
      <c r="F784" s="465"/>
      <c r="G784" s="465"/>
      <c r="H784" s="465"/>
      <c r="I784" s="465"/>
      <c r="J784" s="465"/>
      <c r="K784" s="465"/>
      <c r="L784" s="465"/>
      <c r="M784" s="465"/>
      <c r="N784" s="465"/>
      <c r="O784" s="465"/>
      <c r="P784" s="465"/>
      <c r="Q784" s="465"/>
      <c r="R784" s="465"/>
      <c r="S784" s="465"/>
      <c r="T784" s="465"/>
      <c r="U784" s="465"/>
      <c r="V784" s="465"/>
      <c r="W784" s="465"/>
      <c r="X784" s="465"/>
      <c r="Y784" s="465"/>
      <c r="Z784" s="465"/>
      <c r="AA784" s="465"/>
      <c r="AB784" s="465"/>
      <c r="AC784" s="465"/>
      <c r="AD784" s="465"/>
      <c r="AE784" s="465"/>
      <c r="AF784" s="465"/>
      <c r="AG784" s="465"/>
      <c r="AH784" s="465"/>
      <c r="AI784" s="465"/>
      <c r="AJ784" s="465"/>
      <c r="AK784" s="465"/>
      <c r="AL784" s="465"/>
      <c r="AM784" s="465"/>
      <c r="AN784" s="465"/>
      <c r="AO784" s="465"/>
      <c r="AP784" s="465"/>
      <c r="AQ784" s="465"/>
      <c r="AR784" s="465"/>
      <c r="AS784" s="465"/>
      <c r="AT784" s="465"/>
      <c r="AU784" s="465"/>
      <c r="AV784" s="465"/>
      <c r="AW784" s="465"/>
      <c r="AX784" s="465"/>
      <c r="AY784" s="465"/>
      <c r="AZ784" s="465"/>
      <c r="BA784" s="465"/>
      <c r="BB784" s="465"/>
      <c r="BC784" s="465"/>
    </row>
    <row r="785" spans="1:55">
      <c r="A785" s="465"/>
      <c r="B785" s="465"/>
      <c r="C785" s="465"/>
      <c r="D785" s="467"/>
      <c r="E785" s="465"/>
      <c r="F785" s="465"/>
      <c r="G785" s="465"/>
      <c r="H785" s="465"/>
      <c r="I785" s="465"/>
      <c r="J785" s="465"/>
      <c r="K785" s="465"/>
      <c r="L785" s="465"/>
      <c r="M785" s="465"/>
      <c r="N785" s="465"/>
      <c r="O785" s="465"/>
      <c r="P785" s="465"/>
      <c r="Q785" s="465"/>
      <c r="R785" s="465"/>
      <c r="S785" s="465"/>
      <c r="T785" s="465"/>
      <c r="U785" s="465"/>
      <c r="V785" s="465"/>
      <c r="W785" s="465"/>
      <c r="X785" s="465"/>
      <c r="Y785" s="465"/>
      <c r="Z785" s="465"/>
      <c r="AA785" s="465"/>
      <c r="AB785" s="465"/>
      <c r="AC785" s="465"/>
      <c r="AD785" s="465"/>
      <c r="AE785" s="465"/>
      <c r="AF785" s="465"/>
      <c r="AG785" s="465"/>
      <c r="AH785" s="465"/>
      <c r="AI785" s="465"/>
      <c r="AJ785" s="465"/>
      <c r="AK785" s="465"/>
      <c r="AL785" s="465"/>
      <c r="AM785" s="465"/>
      <c r="AN785" s="465"/>
      <c r="AO785" s="465"/>
      <c r="AP785" s="465"/>
      <c r="AQ785" s="465"/>
      <c r="AR785" s="465"/>
      <c r="AS785" s="465"/>
      <c r="AT785" s="465"/>
      <c r="AU785" s="465"/>
      <c r="AV785" s="465"/>
      <c r="AW785" s="465"/>
      <c r="AX785" s="465"/>
      <c r="AY785" s="465"/>
      <c r="AZ785" s="465"/>
      <c r="BA785" s="465"/>
      <c r="BB785" s="465"/>
      <c r="BC785" s="465"/>
    </row>
    <row r="786" spans="1:55">
      <c r="A786" s="465"/>
      <c r="B786" s="465"/>
      <c r="C786" s="465"/>
      <c r="D786" s="467"/>
      <c r="E786" s="465"/>
      <c r="F786" s="465"/>
      <c r="G786" s="465"/>
      <c r="H786" s="465"/>
      <c r="I786" s="465"/>
      <c r="J786" s="465"/>
      <c r="K786" s="465"/>
      <c r="L786" s="465"/>
      <c r="M786" s="465"/>
      <c r="N786" s="465"/>
      <c r="O786" s="465"/>
      <c r="P786" s="465"/>
      <c r="Q786" s="465"/>
      <c r="R786" s="465"/>
      <c r="S786" s="465"/>
      <c r="T786" s="465"/>
      <c r="U786" s="465"/>
      <c r="V786" s="465"/>
      <c r="W786" s="465"/>
      <c r="X786" s="465"/>
      <c r="Y786" s="465"/>
      <c r="Z786" s="465"/>
      <c r="AA786" s="465"/>
      <c r="AB786" s="465"/>
      <c r="AC786" s="465"/>
      <c r="AD786" s="465"/>
      <c r="AE786" s="465"/>
      <c r="AF786" s="465"/>
      <c r="AG786" s="465"/>
      <c r="AH786" s="465"/>
      <c r="AI786" s="465"/>
      <c r="AJ786" s="465"/>
      <c r="AK786" s="465"/>
      <c r="AL786" s="465"/>
      <c r="AM786" s="465"/>
      <c r="AN786" s="465"/>
      <c r="AO786" s="465"/>
      <c r="AP786" s="465"/>
      <c r="AQ786" s="465"/>
      <c r="AR786" s="465"/>
      <c r="AS786" s="465"/>
      <c r="AT786" s="465"/>
      <c r="AU786" s="465"/>
      <c r="AV786" s="465"/>
      <c r="AW786" s="465"/>
      <c r="AX786" s="465"/>
      <c r="AY786" s="465"/>
      <c r="AZ786" s="465"/>
      <c r="BA786" s="465"/>
      <c r="BB786" s="465"/>
      <c r="BC786" s="465"/>
    </row>
    <row r="787" spans="1:55">
      <c r="A787" s="465"/>
      <c r="B787" s="465"/>
      <c r="C787" s="465"/>
      <c r="D787" s="467"/>
      <c r="E787" s="465"/>
      <c r="F787" s="465"/>
      <c r="G787" s="465"/>
      <c r="H787" s="465"/>
      <c r="I787" s="465"/>
      <c r="J787" s="465"/>
      <c r="K787" s="465"/>
      <c r="L787" s="465"/>
      <c r="M787" s="465"/>
      <c r="N787" s="465"/>
      <c r="O787" s="465"/>
      <c r="P787" s="465"/>
      <c r="Q787" s="465"/>
      <c r="R787" s="465"/>
      <c r="S787" s="465"/>
      <c r="T787" s="465"/>
      <c r="U787" s="465"/>
      <c r="V787" s="465"/>
      <c r="W787" s="465"/>
      <c r="X787" s="465"/>
      <c r="Y787" s="465"/>
      <c r="Z787" s="465"/>
      <c r="AA787" s="465"/>
      <c r="AB787" s="465"/>
      <c r="AC787" s="465"/>
      <c r="AD787" s="465"/>
      <c r="AE787" s="465"/>
      <c r="AF787" s="465"/>
      <c r="AG787" s="465"/>
      <c r="AH787" s="465"/>
      <c r="AI787" s="465"/>
      <c r="AJ787" s="465"/>
      <c r="AK787" s="465"/>
      <c r="AL787" s="465"/>
      <c r="AM787" s="465"/>
      <c r="AN787" s="465"/>
      <c r="AO787" s="465"/>
      <c r="AP787" s="465"/>
      <c r="AQ787" s="465"/>
      <c r="AR787" s="465"/>
      <c r="AS787" s="465"/>
      <c r="AT787" s="465"/>
      <c r="AU787" s="465"/>
      <c r="AV787" s="465"/>
      <c r="AW787" s="465"/>
      <c r="AX787" s="465"/>
      <c r="AY787" s="465"/>
      <c r="AZ787" s="465"/>
      <c r="BA787" s="465"/>
      <c r="BB787" s="465"/>
      <c r="BC787" s="465"/>
    </row>
    <row r="788" spans="1:55">
      <c r="A788" s="465"/>
      <c r="B788" s="465"/>
      <c r="C788" s="465"/>
      <c r="D788" s="467"/>
      <c r="E788" s="465"/>
      <c r="F788" s="465"/>
      <c r="G788" s="465"/>
      <c r="H788" s="465"/>
      <c r="I788" s="465"/>
      <c r="J788" s="465"/>
      <c r="K788" s="465"/>
      <c r="L788" s="465"/>
      <c r="M788" s="465"/>
      <c r="N788" s="465"/>
      <c r="O788" s="465"/>
      <c r="P788" s="465"/>
      <c r="Q788" s="465"/>
      <c r="R788" s="465"/>
      <c r="S788" s="465"/>
      <c r="T788" s="465"/>
      <c r="U788" s="465"/>
      <c r="V788" s="465"/>
      <c r="W788" s="465"/>
      <c r="X788" s="465"/>
      <c r="Y788" s="465"/>
      <c r="Z788" s="465"/>
      <c r="AA788" s="465"/>
      <c r="AB788" s="465"/>
      <c r="AC788" s="465"/>
      <c r="AD788" s="465"/>
      <c r="AE788" s="465"/>
      <c r="AF788" s="465"/>
      <c r="AG788" s="465"/>
      <c r="AH788" s="465"/>
      <c r="AI788" s="465"/>
      <c r="AJ788" s="465"/>
      <c r="AK788" s="465"/>
      <c r="AL788" s="465"/>
      <c r="AM788" s="465"/>
      <c r="AN788" s="465"/>
      <c r="AO788" s="465"/>
      <c r="AP788" s="465"/>
      <c r="AQ788" s="465"/>
      <c r="AR788" s="465"/>
      <c r="AS788" s="465"/>
      <c r="AT788" s="465"/>
      <c r="AU788" s="465"/>
      <c r="AV788" s="465"/>
      <c r="AW788" s="465"/>
      <c r="AX788" s="465"/>
      <c r="AY788" s="465"/>
      <c r="AZ788" s="465"/>
      <c r="BA788" s="465"/>
      <c r="BB788" s="465"/>
      <c r="BC788" s="465"/>
    </row>
    <row r="789" spans="1:55">
      <c r="A789" s="465"/>
      <c r="B789" s="465"/>
      <c r="C789" s="465"/>
      <c r="D789" s="467"/>
      <c r="E789" s="465"/>
      <c r="F789" s="465"/>
      <c r="G789" s="465"/>
      <c r="H789" s="465"/>
      <c r="I789" s="465"/>
      <c r="J789" s="465"/>
      <c r="K789" s="465"/>
      <c r="L789" s="465"/>
      <c r="M789" s="465"/>
      <c r="N789" s="465"/>
      <c r="O789" s="465"/>
      <c r="P789" s="465"/>
      <c r="Q789" s="465"/>
      <c r="R789" s="465"/>
      <c r="S789" s="465"/>
      <c r="T789" s="465"/>
      <c r="U789" s="465"/>
      <c r="V789" s="465"/>
      <c r="W789" s="465"/>
      <c r="X789" s="465"/>
      <c r="Y789" s="465"/>
      <c r="Z789" s="465"/>
      <c r="AA789" s="465"/>
      <c r="AB789" s="465"/>
      <c r="AC789" s="465"/>
      <c r="AD789" s="465"/>
      <c r="AE789" s="465"/>
      <c r="AF789" s="465"/>
      <c r="AG789" s="465"/>
      <c r="AH789" s="465"/>
      <c r="AI789" s="465"/>
      <c r="AJ789" s="465"/>
      <c r="AK789" s="465"/>
      <c r="AL789" s="465"/>
      <c r="AM789" s="465"/>
      <c r="AN789" s="465"/>
      <c r="AO789" s="465"/>
      <c r="AP789" s="465"/>
      <c r="AQ789" s="465"/>
      <c r="AR789" s="465"/>
      <c r="AS789" s="465"/>
      <c r="AT789" s="465"/>
      <c r="AU789" s="465"/>
      <c r="AV789" s="465"/>
      <c r="AW789" s="465"/>
      <c r="AX789" s="465"/>
      <c r="AY789" s="465"/>
      <c r="AZ789" s="465"/>
      <c r="BA789" s="465"/>
      <c r="BB789" s="465"/>
      <c r="BC789" s="465"/>
    </row>
    <row r="790" spans="1:55">
      <c r="A790" s="465"/>
      <c r="B790" s="465"/>
      <c r="C790" s="465"/>
      <c r="D790" s="467"/>
      <c r="E790" s="465"/>
      <c r="F790" s="465"/>
      <c r="G790" s="465"/>
      <c r="H790" s="465"/>
      <c r="I790" s="465"/>
      <c r="J790" s="465"/>
      <c r="K790" s="465"/>
      <c r="L790" s="465"/>
      <c r="M790" s="465"/>
      <c r="N790" s="465"/>
      <c r="O790" s="465"/>
      <c r="P790" s="465"/>
      <c r="Q790" s="465"/>
      <c r="R790" s="465"/>
      <c r="S790" s="465"/>
      <c r="T790" s="465"/>
      <c r="U790" s="465"/>
      <c r="V790" s="465"/>
      <c r="W790" s="465"/>
      <c r="X790" s="465"/>
      <c r="Y790" s="465"/>
      <c r="Z790" s="465"/>
      <c r="AA790" s="465"/>
      <c r="AB790" s="465"/>
      <c r="AC790" s="465"/>
      <c r="AD790" s="465"/>
      <c r="AE790" s="465"/>
      <c r="AF790" s="465"/>
      <c r="AG790" s="465"/>
      <c r="AH790" s="465"/>
      <c r="AI790" s="465"/>
      <c r="AJ790" s="465"/>
      <c r="AK790" s="465"/>
      <c r="AL790" s="465"/>
      <c r="AM790" s="465"/>
      <c r="AN790" s="465"/>
      <c r="AO790" s="465"/>
      <c r="AP790" s="465"/>
      <c r="AQ790" s="465"/>
      <c r="AR790" s="465"/>
      <c r="AS790" s="465"/>
      <c r="AT790" s="465"/>
      <c r="AU790" s="465"/>
      <c r="AV790" s="465"/>
      <c r="AW790" s="465"/>
      <c r="AX790" s="465"/>
      <c r="AY790" s="465"/>
      <c r="AZ790" s="465"/>
      <c r="BA790" s="465"/>
      <c r="BB790" s="465"/>
      <c r="BC790" s="465"/>
    </row>
    <row r="791" spans="1:55">
      <c r="A791" s="465"/>
      <c r="B791" s="465"/>
      <c r="C791" s="465"/>
      <c r="D791" s="467"/>
      <c r="E791" s="465"/>
      <c r="F791" s="465"/>
      <c r="G791" s="465"/>
      <c r="H791" s="465"/>
      <c r="I791" s="465"/>
      <c r="J791" s="465"/>
      <c r="K791" s="465"/>
      <c r="L791" s="465"/>
      <c r="M791" s="465"/>
      <c r="N791" s="465"/>
      <c r="O791" s="465"/>
      <c r="P791" s="465"/>
      <c r="Q791" s="465"/>
      <c r="R791" s="465"/>
      <c r="S791" s="465"/>
      <c r="T791" s="465"/>
      <c r="U791" s="465"/>
      <c r="V791" s="465"/>
      <c r="W791" s="465"/>
      <c r="X791" s="465"/>
      <c r="Y791" s="465"/>
      <c r="Z791" s="465"/>
      <c r="AA791" s="465"/>
      <c r="AB791" s="465"/>
      <c r="AC791" s="465"/>
      <c r="AD791" s="465"/>
      <c r="AE791" s="465"/>
      <c r="AF791" s="465"/>
      <c r="AG791" s="465"/>
      <c r="AH791" s="465"/>
      <c r="AI791" s="465"/>
      <c r="AJ791" s="465"/>
      <c r="AK791" s="465"/>
      <c r="AL791" s="465"/>
      <c r="AM791" s="465"/>
      <c r="AN791" s="465"/>
      <c r="AO791" s="465"/>
      <c r="AP791" s="465"/>
      <c r="AQ791" s="465"/>
      <c r="AR791" s="465"/>
      <c r="AS791" s="465"/>
      <c r="AT791" s="465"/>
      <c r="AU791" s="465"/>
      <c r="AV791" s="465"/>
      <c r="AW791" s="465"/>
      <c r="AX791" s="465"/>
      <c r="AY791" s="465"/>
      <c r="AZ791" s="465"/>
      <c r="BA791" s="465"/>
      <c r="BB791" s="465"/>
      <c r="BC791" s="465"/>
    </row>
    <row r="792" spans="1:55">
      <c r="A792" s="465"/>
      <c r="B792" s="465"/>
      <c r="C792" s="465"/>
      <c r="D792" s="467"/>
      <c r="E792" s="465"/>
      <c r="F792" s="465"/>
      <c r="G792" s="465"/>
      <c r="H792" s="465"/>
      <c r="I792" s="465"/>
      <c r="J792" s="465"/>
      <c r="K792" s="465"/>
      <c r="L792" s="465"/>
      <c r="M792" s="465"/>
      <c r="N792" s="465"/>
      <c r="O792" s="465"/>
      <c r="P792" s="465"/>
      <c r="Q792" s="465"/>
      <c r="R792" s="465"/>
      <c r="S792" s="465"/>
      <c r="T792" s="465"/>
      <c r="U792" s="465"/>
      <c r="V792" s="465"/>
      <c r="W792" s="465"/>
      <c r="X792" s="465"/>
      <c r="Y792" s="465"/>
      <c r="Z792" s="465"/>
      <c r="AA792" s="465"/>
      <c r="AB792" s="465"/>
      <c r="AC792" s="465"/>
      <c r="AD792" s="465"/>
      <c r="AE792" s="465"/>
      <c r="AF792" s="465"/>
      <c r="AG792" s="465"/>
      <c r="AH792" s="465"/>
      <c r="AI792" s="465"/>
      <c r="AJ792" s="465"/>
      <c r="AK792" s="465"/>
      <c r="AL792" s="465"/>
      <c r="AM792" s="465"/>
      <c r="AN792" s="465"/>
      <c r="AO792" s="465"/>
      <c r="AP792" s="465"/>
      <c r="AQ792" s="465"/>
      <c r="AR792" s="465"/>
      <c r="AS792" s="465"/>
      <c r="AT792" s="465"/>
      <c r="AU792" s="465"/>
      <c r="AV792" s="465"/>
      <c r="AW792" s="465"/>
      <c r="AX792" s="465"/>
      <c r="AY792" s="465"/>
      <c r="AZ792" s="465"/>
      <c r="BA792" s="465"/>
      <c r="BB792" s="465"/>
      <c r="BC792" s="465"/>
    </row>
    <row r="793" spans="1:55">
      <c r="A793" s="465"/>
      <c r="B793" s="465"/>
      <c r="C793" s="465"/>
      <c r="D793" s="467"/>
      <c r="E793" s="465"/>
      <c r="F793" s="465"/>
      <c r="G793" s="465"/>
      <c r="H793" s="465"/>
      <c r="I793" s="465"/>
      <c r="J793" s="465"/>
      <c r="K793" s="465"/>
      <c r="L793" s="465"/>
      <c r="M793" s="465"/>
      <c r="N793" s="465"/>
      <c r="O793" s="465"/>
      <c r="P793" s="465"/>
      <c r="Q793" s="465"/>
      <c r="R793" s="465"/>
      <c r="S793" s="465"/>
      <c r="T793" s="465"/>
      <c r="U793" s="465"/>
      <c r="V793" s="465"/>
      <c r="W793" s="465"/>
      <c r="X793" s="465"/>
      <c r="Y793" s="465"/>
      <c r="Z793" s="465"/>
      <c r="AA793" s="465"/>
      <c r="AB793" s="465"/>
      <c r="AC793" s="465"/>
      <c r="AD793" s="465"/>
      <c r="AE793" s="465"/>
      <c r="AF793" s="465"/>
      <c r="AG793" s="465"/>
      <c r="AH793" s="465"/>
      <c r="AI793" s="465"/>
      <c r="AJ793" s="465"/>
      <c r="AK793" s="465"/>
      <c r="AL793" s="465"/>
      <c r="AM793" s="465"/>
      <c r="AN793" s="465"/>
      <c r="AO793" s="465"/>
      <c r="AP793" s="465"/>
      <c r="AQ793" s="465"/>
      <c r="AR793" s="465"/>
      <c r="AS793" s="465"/>
      <c r="AT793" s="465"/>
      <c r="AU793" s="465"/>
      <c r="AV793" s="465"/>
      <c r="AW793" s="465"/>
      <c r="AX793" s="465"/>
      <c r="AY793" s="465"/>
      <c r="AZ793" s="465"/>
      <c r="BA793" s="465"/>
      <c r="BB793" s="465"/>
      <c r="BC793" s="465"/>
    </row>
    <row r="794" spans="1:55">
      <c r="A794" s="465"/>
      <c r="B794" s="465"/>
      <c r="C794" s="465"/>
      <c r="D794" s="467"/>
      <c r="E794" s="465"/>
      <c r="F794" s="465"/>
      <c r="G794" s="465"/>
      <c r="H794" s="465"/>
      <c r="I794" s="465"/>
      <c r="J794" s="465"/>
      <c r="K794" s="465"/>
      <c r="L794" s="465"/>
      <c r="M794" s="465"/>
      <c r="N794" s="465"/>
      <c r="O794" s="465"/>
      <c r="P794" s="465"/>
      <c r="Q794" s="465"/>
      <c r="R794" s="465"/>
      <c r="S794" s="465"/>
      <c r="T794" s="465"/>
      <c r="U794" s="465"/>
      <c r="V794" s="465"/>
      <c r="W794" s="465"/>
      <c r="X794" s="465"/>
      <c r="Y794" s="465"/>
      <c r="Z794" s="465"/>
      <c r="AA794" s="465"/>
      <c r="AB794" s="465"/>
      <c r="AC794" s="465"/>
      <c r="AD794" s="465"/>
      <c r="AE794" s="465"/>
      <c r="AF794" s="465"/>
      <c r="AG794" s="465"/>
      <c r="AH794" s="465"/>
      <c r="AI794" s="465"/>
      <c r="AJ794" s="465"/>
      <c r="AK794" s="465"/>
      <c r="AL794" s="465"/>
      <c r="AM794" s="465"/>
      <c r="AN794" s="465"/>
      <c r="AO794" s="465"/>
      <c r="AP794" s="465"/>
      <c r="AQ794" s="465"/>
      <c r="AR794" s="465"/>
      <c r="AS794" s="465"/>
      <c r="AT794" s="465"/>
      <c r="AU794" s="465"/>
      <c r="AV794" s="465"/>
      <c r="AW794" s="465"/>
      <c r="AX794" s="465"/>
      <c r="AY794" s="465"/>
      <c r="AZ794" s="465"/>
      <c r="BA794" s="465"/>
      <c r="BB794" s="465"/>
      <c r="BC794" s="465"/>
    </row>
    <row r="795" spans="1:55">
      <c r="A795" s="465"/>
      <c r="B795" s="465"/>
      <c r="C795" s="465"/>
      <c r="D795" s="467"/>
      <c r="E795" s="465"/>
      <c r="F795" s="465"/>
      <c r="G795" s="465"/>
      <c r="H795" s="465"/>
      <c r="I795" s="465"/>
      <c r="J795" s="465"/>
      <c r="K795" s="465"/>
      <c r="L795" s="465"/>
      <c r="M795" s="465"/>
      <c r="N795" s="465"/>
      <c r="O795" s="465"/>
      <c r="P795" s="465"/>
      <c r="Q795" s="465"/>
      <c r="R795" s="465"/>
      <c r="S795" s="465"/>
      <c r="T795" s="465"/>
      <c r="U795" s="465"/>
      <c r="V795" s="465"/>
      <c r="W795" s="465"/>
      <c r="X795" s="465"/>
      <c r="Y795" s="465"/>
      <c r="Z795" s="465"/>
      <c r="AA795" s="465"/>
      <c r="AB795" s="465"/>
      <c r="AC795" s="465"/>
      <c r="AD795" s="465"/>
      <c r="AE795" s="465"/>
      <c r="AF795" s="465"/>
      <c r="AG795" s="465"/>
      <c r="AH795" s="465"/>
      <c r="AI795" s="465"/>
      <c r="AJ795" s="465"/>
      <c r="AK795" s="465"/>
      <c r="AL795" s="465"/>
      <c r="AM795" s="465"/>
      <c r="AN795" s="465"/>
      <c r="AO795" s="465"/>
      <c r="AP795" s="465"/>
      <c r="AQ795" s="465"/>
      <c r="AR795" s="465"/>
      <c r="AS795" s="465"/>
      <c r="AT795" s="465"/>
      <c r="AU795" s="465"/>
      <c r="AV795" s="465"/>
      <c r="AW795" s="465"/>
      <c r="AX795" s="465"/>
      <c r="AY795" s="465"/>
      <c r="AZ795" s="465"/>
      <c r="BA795" s="465"/>
      <c r="BB795" s="465"/>
      <c r="BC795" s="465"/>
    </row>
    <row r="796" spans="1:55">
      <c r="A796" s="465"/>
      <c r="B796" s="465"/>
      <c r="C796" s="465"/>
      <c r="D796" s="467"/>
      <c r="E796" s="465"/>
      <c r="F796" s="465"/>
      <c r="G796" s="465"/>
      <c r="H796" s="465"/>
      <c r="I796" s="465"/>
      <c r="J796" s="465"/>
      <c r="K796" s="465"/>
      <c r="L796" s="465"/>
      <c r="M796" s="465"/>
      <c r="N796" s="465"/>
      <c r="O796" s="465"/>
      <c r="P796" s="465"/>
      <c r="Q796" s="465"/>
      <c r="R796" s="465"/>
      <c r="S796" s="465"/>
      <c r="T796" s="465"/>
      <c r="U796" s="465"/>
      <c r="V796" s="465"/>
      <c r="W796" s="465"/>
      <c r="X796" s="465"/>
      <c r="Y796" s="465"/>
      <c r="Z796" s="465"/>
      <c r="AA796" s="465"/>
      <c r="AB796" s="465"/>
      <c r="AC796" s="465"/>
      <c r="AD796" s="465"/>
      <c r="AE796" s="465"/>
      <c r="AF796" s="465"/>
      <c r="AG796" s="465"/>
      <c r="AH796" s="465"/>
      <c r="AI796" s="465"/>
      <c r="AJ796" s="465"/>
      <c r="AK796" s="465"/>
      <c r="AL796" s="465"/>
      <c r="AM796" s="465"/>
      <c r="AN796" s="465"/>
      <c r="AO796" s="465"/>
      <c r="AP796" s="465"/>
      <c r="AQ796" s="465"/>
      <c r="AR796" s="465"/>
      <c r="AS796" s="465"/>
      <c r="AT796" s="465"/>
      <c r="AU796" s="465"/>
      <c r="AV796" s="465"/>
      <c r="AW796" s="465"/>
      <c r="AX796" s="465"/>
      <c r="AY796" s="465"/>
      <c r="AZ796" s="465"/>
      <c r="BA796" s="465"/>
      <c r="BB796" s="465"/>
      <c r="BC796" s="465"/>
    </row>
    <row r="797" spans="1:55">
      <c r="A797" s="465"/>
      <c r="B797" s="465"/>
      <c r="C797" s="465"/>
      <c r="D797" s="467"/>
      <c r="E797" s="465"/>
      <c r="F797" s="465"/>
      <c r="G797" s="465"/>
      <c r="H797" s="465"/>
      <c r="I797" s="465"/>
      <c r="J797" s="465"/>
      <c r="K797" s="465"/>
      <c r="L797" s="465"/>
      <c r="M797" s="465"/>
      <c r="N797" s="465"/>
      <c r="O797" s="465"/>
      <c r="P797" s="465"/>
      <c r="Q797" s="465"/>
      <c r="R797" s="465"/>
      <c r="S797" s="465"/>
      <c r="T797" s="465"/>
      <c r="U797" s="465"/>
      <c r="V797" s="465"/>
      <c r="W797" s="465"/>
      <c r="X797" s="465"/>
      <c r="Y797" s="465"/>
      <c r="Z797" s="465"/>
      <c r="AA797" s="465"/>
      <c r="AB797" s="465"/>
      <c r="AC797" s="465"/>
      <c r="AD797" s="465"/>
      <c r="AE797" s="465"/>
      <c r="AF797" s="465"/>
      <c r="AG797" s="465"/>
      <c r="AH797" s="465"/>
      <c r="AI797" s="465"/>
      <c r="AJ797" s="465"/>
      <c r="AK797" s="465"/>
      <c r="AL797" s="465"/>
      <c r="AM797" s="465"/>
      <c r="AN797" s="465"/>
      <c r="AO797" s="465"/>
      <c r="AP797" s="465"/>
      <c r="AQ797" s="465"/>
      <c r="AR797" s="465"/>
      <c r="AS797" s="465"/>
      <c r="AT797" s="465"/>
      <c r="AU797" s="465"/>
      <c r="AV797" s="465"/>
      <c r="AW797" s="465"/>
      <c r="AX797" s="465"/>
      <c r="AY797" s="465"/>
      <c r="AZ797" s="465"/>
      <c r="BA797" s="465"/>
      <c r="BB797" s="465"/>
      <c r="BC797" s="465"/>
    </row>
    <row r="798" spans="1:55">
      <c r="A798" s="465"/>
      <c r="B798" s="465"/>
      <c r="C798" s="465"/>
      <c r="D798" s="467"/>
      <c r="E798" s="465"/>
      <c r="F798" s="465"/>
      <c r="G798" s="465"/>
      <c r="H798" s="465"/>
      <c r="I798" s="465"/>
      <c r="J798" s="465"/>
      <c r="K798" s="465"/>
      <c r="L798" s="465"/>
      <c r="M798" s="465"/>
      <c r="N798" s="465"/>
      <c r="O798" s="465"/>
      <c r="P798" s="465"/>
      <c r="Q798" s="465"/>
      <c r="R798" s="465"/>
      <c r="S798" s="465"/>
      <c r="T798" s="465"/>
      <c r="U798" s="465"/>
      <c r="V798" s="465"/>
      <c r="W798" s="465"/>
      <c r="X798" s="465"/>
      <c r="Y798" s="465"/>
      <c r="Z798" s="465"/>
      <c r="AA798" s="465"/>
      <c r="AB798" s="465"/>
      <c r="AC798" s="465"/>
      <c r="AD798" s="465"/>
      <c r="AE798" s="465"/>
      <c r="AF798" s="465"/>
      <c r="AG798" s="465"/>
      <c r="AH798" s="465"/>
      <c r="AI798" s="465"/>
      <c r="AJ798" s="465"/>
      <c r="AK798" s="465"/>
      <c r="AL798" s="465"/>
      <c r="AM798" s="465"/>
      <c r="AN798" s="465"/>
      <c r="AO798" s="465"/>
      <c r="AP798" s="465"/>
      <c r="AQ798" s="465"/>
      <c r="AR798" s="465"/>
      <c r="AS798" s="465"/>
      <c r="AT798" s="465"/>
      <c r="AU798" s="465"/>
      <c r="AV798" s="465"/>
      <c r="AW798" s="465"/>
      <c r="AX798" s="465"/>
      <c r="AY798" s="465"/>
      <c r="AZ798" s="465"/>
      <c r="BA798" s="465"/>
      <c r="BB798" s="465"/>
      <c r="BC798" s="465"/>
    </row>
    <row r="799" spans="1:55">
      <c r="A799" s="465"/>
      <c r="B799" s="465"/>
      <c r="C799" s="465"/>
      <c r="D799" s="467"/>
      <c r="E799" s="465"/>
      <c r="F799" s="465"/>
      <c r="G799" s="465"/>
      <c r="H799" s="465"/>
      <c r="I799" s="465"/>
      <c r="J799" s="465"/>
      <c r="K799" s="465"/>
      <c r="L799" s="465"/>
      <c r="M799" s="465"/>
      <c r="N799" s="465"/>
      <c r="O799" s="465"/>
      <c r="P799" s="465"/>
      <c r="Q799" s="465"/>
      <c r="R799" s="465"/>
      <c r="S799" s="465"/>
      <c r="T799" s="465"/>
      <c r="U799" s="465"/>
      <c r="V799" s="465"/>
      <c r="W799" s="465"/>
      <c r="X799" s="465"/>
      <c r="Y799" s="465"/>
      <c r="Z799" s="465"/>
      <c r="AA799" s="465"/>
      <c r="AB799" s="465"/>
      <c r="AC799" s="465"/>
      <c r="AD799" s="465"/>
      <c r="AE799" s="465"/>
      <c r="AF799" s="465"/>
      <c r="AG799" s="465"/>
      <c r="AH799" s="465"/>
      <c r="AI799" s="465"/>
      <c r="AJ799" s="465"/>
      <c r="AK799" s="465"/>
      <c r="AL799" s="465"/>
      <c r="AM799" s="465"/>
      <c r="AN799" s="465"/>
      <c r="AO799" s="465"/>
      <c r="AP799" s="465"/>
      <c r="AQ799" s="465"/>
      <c r="AR799" s="465"/>
      <c r="AS799" s="465"/>
      <c r="AT799" s="465"/>
      <c r="AU799" s="465"/>
      <c r="AV799" s="465"/>
      <c r="AW799" s="465"/>
      <c r="AX799" s="465"/>
      <c r="AY799" s="465"/>
      <c r="AZ799" s="465"/>
      <c r="BA799" s="465"/>
      <c r="BB799" s="465"/>
      <c r="BC799" s="465"/>
    </row>
    <row r="800" spans="1:55">
      <c r="A800" s="465"/>
      <c r="B800" s="465"/>
      <c r="C800" s="465"/>
      <c r="D800" s="467"/>
      <c r="E800" s="465"/>
      <c r="F800" s="465"/>
      <c r="G800" s="465"/>
      <c r="H800" s="465"/>
      <c r="I800" s="465"/>
      <c r="J800" s="465"/>
      <c r="K800" s="465"/>
      <c r="L800" s="465"/>
      <c r="M800" s="465"/>
      <c r="N800" s="465"/>
      <c r="O800" s="465"/>
      <c r="P800" s="465"/>
      <c r="Q800" s="465"/>
      <c r="R800" s="465"/>
      <c r="S800" s="465"/>
      <c r="T800" s="465"/>
      <c r="U800" s="465"/>
      <c r="V800" s="465"/>
      <c r="W800" s="465"/>
      <c r="X800" s="465"/>
      <c r="Y800" s="465"/>
      <c r="Z800" s="465"/>
      <c r="AA800" s="465"/>
      <c r="AB800" s="465"/>
      <c r="AC800" s="465"/>
      <c r="AD800" s="465"/>
      <c r="AE800" s="465"/>
      <c r="AF800" s="465"/>
      <c r="AG800" s="465"/>
      <c r="AH800" s="465"/>
      <c r="AI800" s="465"/>
      <c r="AJ800" s="465"/>
      <c r="AK800" s="465"/>
      <c r="AL800" s="465"/>
      <c r="AM800" s="465"/>
      <c r="AN800" s="465"/>
      <c r="AO800" s="465"/>
      <c r="AP800" s="465"/>
      <c r="AQ800" s="465"/>
      <c r="AR800" s="465"/>
      <c r="AS800" s="465"/>
      <c r="AT800" s="465"/>
      <c r="AU800" s="465"/>
      <c r="AV800" s="465"/>
      <c r="AW800" s="465"/>
      <c r="AX800" s="465"/>
      <c r="AY800" s="465"/>
      <c r="AZ800" s="465"/>
      <c r="BA800" s="465"/>
      <c r="BB800" s="465"/>
      <c r="BC800" s="465"/>
    </row>
    <row r="801" spans="1:55">
      <c r="A801" s="465"/>
      <c r="B801" s="465"/>
      <c r="C801" s="465"/>
      <c r="D801" s="467"/>
      <c r="E801" s="465"/>
      <c r="F801" s="465"/>
      <c r="G801" s="465"/>
      <c r="H801" s="465"/>
      <c r="I801" s="465"/>
      <c r="J801" s="465"/>
      <c r="K801" s="465"/>
      <c r="L801" s="465"/>
      <c r="M801" s="465"/>
      <c r="N801" s="465"/>
      <c r="O801" s="465"/>
      <c r="P801" s="465"/>
      <c r="Q801" s="465"/>
      <c r="R801" s="465"/>
      <c r="S801" s="465"/>
      <c r="T801" s="465"/>
      <c r="U801" s="465"/>
      <c r="V801" s="465"/>
      <c r="W801" s="465"/>
      <c r="X801" s="465"/>
      <c r="Y801" s="465"/>
      <c r="Z801" s="465"/>
      <c r="AA801" s="465"/>
      <c r="AB801" s="465"/>
      <c r="AC801" s="465"/>
      <c r="AD801" s="465"/>
      <c r="AE801" s="465"/>
      <c r="AF801" s="465"/>
      <c r="AG801" s="465"/>
      <c r="AH801" s="465"/>
      <c r="AI801" s="465"/>
      <c r="AJ801" s="465"/>
      <c r="AK801" s="465"/>
      <c r="AL801" s="465"/>
      <c r="AM801" s="465"/>
      <c r="AN801" s="465"/>
      <c r="AO801" s="465"/>
      <c r="AP801" s="465"/>
      <c r="AQ801" s="465"/>
      <c r="AR801" s="465"/>
      <c r="AS801" s="465"/>
      <c r="AT801" s="465"/>
      <c r="AU801" s="465"/>
      <c r="AV801" s="465"/>
      <c r="AW801" s="465"/>
      <c r="AX801" s="465"/>
      <c r="AY801" s="465"/>
      <c r="AZ801" s="465"/>
      <c r="BA801" s="465"/>
      <c r="BB801" s="465"/>
      <c r="BC801" s="465"/>
    </row>
    <row r="802" spans="1:55">
      <c r="A802" s="465"/>
      <c r="B802" s="465"/>
      <c r="C802" s="465"/>
      <c r="D802" s="467"/>
      <c r="E802" s="465"/>
      <c r="F802" s="465"/>
      <c r="G802" s="465"/>
      <c r="H802" s="465"/>
      <c r="I802" s="465"/>
      <c r="J802" s="465"/>
      <c r="K802" s="465"/>
      <c r="L802" s="465"/>
      <c r="M802" s="465"/>
      <c r="N802" s="465"/>
      <c r="O802" s="465"/>
      <c r="P802" s="465"/>
      <c r="Q802" s="465"/>
      <c r="R802" s="465"/>
      <c r="S802" s="465"/>
      <c r="T802" s="465"/>
      <c r="U802" s="465"/>
      <c r="V802" s="465"/>
      <c r="W802" s="465"/>
      <c r="X802" s="465"/>
      <c r="Y802" s="465"/>
      <c r="Z802" s="465"/>
      <c r="AA802" s="465"/>
      <c r="AB802" s="465"/>
      <c r="AC802" s="465"/>
      <c r="AD802" s="465"/>
      <c r="AE802" s="465"/>
      <c r="AF802" s="465"/>
      <c r="AG802" s="465"/>
      <c r="AH802" s="465"/>
      <c r="AI802" s="465"/>
      <c r="AJ802" s="465"/>
      <c r="AK802" s="465"/>
      <c r="AL802" s="465"/>
      <c r="AM802" s="465"/>
      <c r="AN802" s="465"/>
      <c r="AO802" s="465"/>
      <c r="AP802" s="465"/>
      <c r="AQ802" s="465"/>
      <c r="AR802" s="465"/>
      <c r="AS802" s="465"/>
      <c r="AT802" s="465"/>
      <c r="AU802" s="465"/>
      <c r="AV802" s="465"/>
      <c r="AW802" s="465"/>
      <c r="AX802" s="465"/>
      <c r="AY802" s="465"/>
      <c r="AZ802" s="465"/>
      <c r="BA802" s="465"/>
      <c r="BB802" s="465"/>
      <c r="BC802" s="465"/>
    </row>
    <row r="803" spans="1:55">
      <c r="A803" s="465"/>
      <c r="B803" s="465"/>
      <c r="C803" s="465"/>
      <c r="D803" s="467"/>
      <c r="E803" s="465"/>
      <c r="F803" s="465"/>
      <c r="G803" s="465"/>
      <c r="H803" s="465"/>
      <c r="I803" s="465"/>
      <c r="J803" s="465"/>
      <c r="K803" s="465"/>
      <c r="L803" s="465"/>
      <c r="M803" s="465"/>
      <c r="N803" s="465"/>
      <c r="O803" s="465"/>
      <c r="P803" s="465"/>
      <c r="Q803" s="465"/>
      <c r="R803" s="465"/>
      <c r="S803" s="465"/>
      <c r="T803" s="465"/>
      <c r="U803" s="465"/>
      <c r="V803" s="465"/>
      <c r="W803" s="465"/>
      <c r="X803" s="465"/>
      <c r="Y803" s="465"/>
      <c r="Z803" s="465"/>
      <c r="AA803" s="465"/>
      <c r="AB803" s="465"/>
      <c r="AC803" s="465"/>
      <c r="AD803" s="465"/>
      <c r="AE803" s="465"/>
      <c r="AF803" s="465"/>
      <c r="AG803" s="465"/>
      <c r="AH803" s="465"/>
      <c r="AI803" s="465"/>
      <c r="AJ803" s="465"/>
      <c r="AK803" s="465"/>
      <c r="AL803" s="465"/>
      <c r="AM803" s="465"/>
      <c r="AN803" s="465"/>
      <c r="AO803" s="465"/>
      <c r="AP803" s="465"/>
      <c r="AQ803" s="465"/>
      <c r="AR803" s="465"/>
      <c r="AS803" s="465"/>
      <c r="AT803" s="465"/>
      <c r="AU803" s="465"/>
      <c r="AV803" s="465"/>
      <c r="AW803" s="465"/>
      <c r="AX803" s="465"/>
      <c r="AY803" s="465"/>
      <c r="AZ803" s="465"/>
      <c r="BA803" s="465"/>
      <c r="BB803" s="465"/>
      <c r="BC803" s="465"/>
    </row>
    <row r="804" spans="1:55">
      <c r="A804" s="465"/>
      <c r="B804" s="465"/>
      <c r="C804" s="465"/>
      <c r="D804" s="467"/>
      <c r="E804" s="465"/>
      <c r="F804" s="465"/>
      <c r="G804" s="465"/>
      <c r="H804" s="465"/>
      <c r="I804" s="465"/>
      <c r="J804" s="465"/>
      <c r="K804" s="465"/>
      <c r="L804" s="465"/>
      <c r="M804" s="465"/>
      <c r="N804" s="465"/>
      <c r="O804" s="465"/>
      <c r="P804" s="465"/>
      <c r="Q804" s="465"/>
      <c r="R804" s="465"/>
      <c r="S804" s="465"/>
      <c r="T804" s="465"/>
      <c r="U804" s="465"/>
      <c r="V804" s="465"/>
      <c r="W804" s="465"/>
      <c r="X804" s="465"/>
      <c r="Y804" s="465"/>
      <c r="Z804" s="465"/>
      <c r="AA804" s="465"/>
      <c r="AB804" s="465"/>
      <c r="AC804" s="465"/>
      <c r="AD804" s="465"/>
      <c r="AE804" s="465"/>
      <c r="AF804" s="465"/>
      <c r="AG804" s="465"/>
      <c r="AH804" s="465"/>
      <c r="AI804" s="465"/>
      <c r="AJ804" s="465"/>
      <c r="AK804" s="465"/>
      <c r="AL804" s="465"/>
      <c r="AM804" s="465"/>
      <c r="AN804" s="465"/>
      <c r="AO804" s="465"/>
      <c r="AP804" s="465"/>
      <c r="AQ804" s="465"/>
      <c r="AR804" s="465"/>
      <c r="AS804" s="465"/>
      <c r="AT804" s="465"/>
      <c r="AU804" s="465"/>
      <c r="AV804" s="465"/>
      <c r="AW804" s="465"/>
      <c r="AX804" s="465"/>
      <c r="AY804" s="465"/>
      <c r="AZ804" s="465"/>
      <c r="BA804" s="465"/>
      <c r="BB804" s="465"/>
      <c r="BC804" s="465"/>
    </row>
    <row r="805" spans="1:55">
      <c r="A805" s="465"/>
      <c r="B805" s="465"/>
      <c r="C805" s="465"/>
      <c r="D805" s="467"/>
      <c r="E805" s="465"/>
      <c r="F805" s="465"/>
      <c r="G805" s="465"/>
      <c r="H805" s="465"/>
      <c r="I805" s="465"/>
      <c r="J805" s="465"/>
      <c r="K805" s="465"/>
      <c r="L805" s="465"/>
      <c r="M805" s="465"/>
      <c r="N805" s="465"/>
      <c r="O805" s="465"/>
      <c r="P805" s="465"/>
      <c r="Q805" s="465"/>
      <c r="R805" s="465"/>
      <c r="S805" s="465"/>
      <c r="T805" s="465"/>
      <c r="U805" s="465"/>
      <c r="V805" s="465"/>
      <c r="W805" s="465"/>
      <c r="X805" s="465"/>
      <c r="Y805" s="465"/>
      <c r="Z805" s="465"/>
      <c r="AA805" s="465"/>
      <c r="AB805" s="465"/>
      <c r="AC805" s="465"/>
      <c r="AD805" s="465"/>
      <c r="AE805" s="465"/>
      <c r="AF805" s="465"/>
      <c r="AG805" s="465"/>
      <c r="AH805" s="465"/>
      <c r="AI805" s="465"/>
      <c r="AJ805" s="465"/>
      <c r="AK805" s="465"/>
      <c r="AL805" s="465"/>
      <c r="AM805" s="465"/>
      <c r="AN805" s="465"/>
      <c r="AO805" s="465"/>
      <c r="AP805" s="465"/>
      <c r="AQ805" s="465"/>
      <c r="AR805" s="465"/>
      <c r="AS805" s="465"/>
      <c r="AT805" s="465"/>
      <c r="AU805" s="465"/>
      <c r="AV805" s="465"/>
      <c r="AW805" s="465"/>
      <c r="AX805" s="465"/>
      <c r="AY805" s="465"/>
      <c r="AZ805" s="465"/>
      <c r="BA805" s="465"/>
      <c r="BB805" s="465"/>
      <c r="BC805" s="465"/>
    </row>
    <row r="806" spans="1:55">
      <c r="A806" s="465"/>
      <c r="B806" s="465"/>
      <c r="C806" s="465"/>
      <c r="D806" s="467"/>
      <c r="E806" s="465"/>
      <c r="F806" s="465"/>
      <c r="G806" s="465"/>
      <c r="H806" s="465"/>
      <c r="I806" s="465"/>
      <c r="J806" s="465"/>
      <c r="K806" s="465"/>
      <c r="L806" s="465"/>
      <c r="M806" s="465"/>
      <c r="N806" s="465"/>
      <c r="O806" s="465"/>
      <c r="P806" s="465"/>
      <c r="Q806" s="465"/>
      <c r="R806" s="465"/>
      <c r="S806" s="465"/>
      <c r="T806" s="465"/>
      <c r="U806" s="465"/>
      <c r="V806" s="465"/>
      <c r="W806" s="465"/>
      <c r="X806" s="465"/>
      <c r="Y806" s="465"/>
      <c r="Z806" s="465"/>
      <c r="AA806" s="465"/>
      <c r="AB806" s="465"/>
      <c r="AC806" s="465"/>
      <c r="AD806" s="465"/>
      <c r="AE806" s="465"/>
      <c r="AF806" s="465"/>
      <c r="AG806" s="465"/>
      <c r="AH806" s="465"/>
      <c r="AI806" s="465"/>
      <c r="AJ806" s="465"/>
      <c r="AK806" s="465"/>
      <c r="AL806" s="465"/>
      <c r="AM806" s="465"/>
      <c r="AN806" s="465"/>
      <c r="AO806" s="465"/>
      <c r="AP806" s="465"/>
      <c r="AQ806" s="465"/>
      <c r="AR806" s="465"/>
      <c r="AS806" s="465"/>
      <c r="AT806" s="465"/>
      <c r="AU806" s="465"/>
      <c r="AV806" s="465"/>
      <c r="AW806" s="465"/>
      <c r="AX806" s="465"/>
      <c r="AY806" s="465"/>
      <c r="AZ806" s="465"/>
      <c r="BA806" s="465"/>
      <c r="BB806" s="465"/>
      <c r="BC806" s="465"/>
    </row>
    <row r="807" spans="1:55">
      <c r="A807" s="465"/>
      <c r="B807" s="465"/>
      <c r="C807" s="465"/>
      <c r="D807" s="467"/>
      <c r="E807" s="465"/>
      <c r="F807" s="465"/>
      <c r="G807" s="465"/>
      <c r="H807" s="465"/>
      <c r="I807" s="465"/>
      <c r="J807" s="465"/>
      <c r="K807" s="465"/>
      <c r="L807" s="465"/>
      <c r="M807" s="465"/>
      <c r="N807" s="465"/>
      <c r="O807" s="465"/>
      <c r="P807" s="465"/>
      <c r="Q807" s="465"/>
      <c r="R807" s="465"/>
      <c r="S807" s="465"/>
      <c r="T807" s="465"/>
      <c r="U807" s="465"/>
      <c r="V807" s="465"/>
      <c r="W807" s="465"/>
      <c r="X807" s="465"/>
      <c r="Y807" s="465"/>
      <c r="Z807" s="465"/>
      <c r="AA807" s="465"/>
      <c r="AB807" s="465"/>
      <c r="AC807" s="465"/>
      <c r="AD807" s="465"/>
      <c r="AE807" s="465"/>
      <c r="AF807" s="465"/>
      <c r="AG807" s="465"/>
      <c r="AH807" s="465"/>
      <c r="AI807" s="465"/>
      <c r="AJ807" s="465"/>
      <c r="AK807" s="465"/>
      <c r="AL807" s="465"/>
      <c r="AM807" s="465"/>
      <c r="AN807" s="465"/>
      <c r="AO807" s="465"/>
      <c r="AP807" s="465"/>
      <c r="AQ807" s="465"/>
      <c r="AR807" s="465"/>
      <c r="AS807" s="465"/>
      <c r="AT807" s="465"/>
      <c r="AU807" s="465"/>
      <c r="AV807" s="465"/>
      <c r="AW807" s="465"/>
      <c r="AX807" s="465"/>
      <c r="AY807" s="465"/>
      <c r="AZ807" s="465"/>
      <c r="BA807" s="465"/>
      <c r="BB807" s="465"/>
      <c r="BC807" s="465"/>
    </row>
    <row r="808" spans="1:55">
      <c r="A808" s="465"/>
      <c r="B808" s="465"/>
      <c r="C808" s="465"/>
      <c r="D808" s="467"/>
      <c r="E808" s="465"/>
      <c r="F808" s="465"/>
      <c r="G808" s="465"/>
      <c r="H808" s="465"/>
      <c r="I808" s="465"/>
      <c r="J808" s="465"/>
      <c r="K808" s="465"/>
      <c r="L808" s="465"/>
      <c r="M808" s="465"/>
      <c r="N808" s="465"/>
      <c r="O808" s="465"/>
      <c r="P808" s="465"/>
      <c r="Q808" s="465"/>
      <c r="R808" s="465"/>
      <c r="S808" s="465"/>
      <c r="T808" s="465"/>
      <c r="U808" s="465"/>
      <c r="V808" s="465"/>
      <c r="W808" s="465"/>
      <c r="X808" s="465"/>
      <c r="Y808" s="465"/>
      <c r="Z808" s="465"/>
      <c r="AA808" s="465"/>
      <c r="AB808" s="465"/>
      <c r="AC808" s="465"/>
      <c r="AD808" s="465"/>
      <c r="AE808" s="465"/>
      <c r="AF808" s="465"/>
      <c r="AG808" s="465"/>
      <c r="AH808" s="465"/>
      <c r="AI808" s="465"/>
      <c r="AJ808" s="465"/>
      <c r="AK808" s="465"/>
      <c r="AL808" s="465"/>
      <c r="AM808" s="465"/>
      <c r="AN808" s="465"/>
      <c r="AO808" s="465"/>
      <c r="AP808" s="465"/>
      <c r="AQ808" s="465"/>
      <c r="AR808" s="465"/>
      <c r="AS808" s="465"/>
      <c r="AT808" s="465"/>
      <c r="AU808" s="465"/>
      <c r="AV808" s="465"/>
      <c r="AW808" s="465"/>
      <c r="AX808" s="465"/>
      <c r="AY808" s="465"/>
      <c r="AZ808" s="465"/>
      <c r="BA808" s="465"/>
      <c r="BB808" s="465"/>
      <c r="BC808" s="465"/>
    </row>
    <row r="809" spans="1:55">
      <c r="A809" s="465"/>
      <c r="B809" s="465"/>
      <c r="C809" s="465"/>
      <c r="D809" s="467"/>
      <c r="E809" s="465"/>
      <c r="F809" s="465"/>
      <c r="G809" s="465"/>
      <c r="H809" s="465"/>
      <c r="I809" s="465"/>
      <c r="J809" s="465"/>
      <c r="K809" s="465"/>
      <c r="L809" s="465"/>
      <c r="M809" s="465"/>
      <c r="N809" s="465"/>
      <c r="O809" s="465"/>
      <c r="P809" s="465"/>
      <c r="Q809" s="465"/>
      <c r="R809" s="465"/>
      <c r="S809" s="465"/>
      <c r="T809" s="465"/>
      <c r="U809" s="465"/>
      <c r="V809" s="465"/>
      <c r="W809" s="465"/>
      <c r="X809" s="465"/>
      <c r="Y809" s="465"/>
      <c r="Z809" s="465"/>
      <c r="AA809" s="465"/>
      <c r="AB809" s="465"/>
      <c r="AC809" s="465"/>
      <c r="AD809" s="465"/>
      <c r="AE809" s="465"/>
      <c r="AF809" s="465"/>
      <c r="AG809" s="465"/>
      <c r="AH809" s="465"/>
      <c r="AI809" s="465"/>
      <c r="AJ809" s="465"/>
      <c r="AK809" s="465"/>
      <c r="AL809" s="465"/>
      <c r="AM809" s="465"/>
      <c r="AN809" s="465"/>
      <c r="AO809" s="465"/>
      <c r="AP809" s="465"/>
      <c r="AQ809" s="465"/>
      <c r="AR809" s="465"/>
      <c r="AS809" s="465"/>
      <c r="AT809" s="465"/>
      <c r="AU809" s="465"/>
      <c r="AV809" s="465"/>
      <c r="AW809" s="465"/>
      <c r="AX809" s="465"/>
      <c r="AY809" s="465"/>
      <c r="AZ809" s="465"/>
      <c r="BA809" s="465"/>
      <c r="BB809" s="465"/>
      <c r="BC809" s="465"/>
    </row>
    <row r="810" spans="1:55">
      <c r="A810" s="465"/>
      <c r="B810" s="465"/>
      <c r="C810" s="465"/>
      <c r="D810" s="467"/>
      <c r="E810" s="465"/>
      <c r="F810" s="465"/>
      <c r="G810" s="465"/>
      <c r="H810" s="465"/>
      <c r="I810" s="465"/>
      <c r="J810" s="465"/>
      <c r="K810" s="465"/>
      <c r="L810" s="465"/>
      <c r="M810" s="465"/>
      <c r="N810" s="465"/>
      <c r="O810" s="465"/>
      <c r="P810" s="465"/>
      <c r="Q810" s="465"/>
      <c r="R810" s="465"/>
      <c r="S810" s="465"/>
      <c r="T810" s="465"/>
      <c r="U810" s="465"/>
      <c r="V810" s="465"/>
      <c r="W810" s="465"/>
      <c r="X810" s="465"/>
      <c r="Y810" s="465"/>
      <c r="Z810" s="465"/>
      <c r="AA810" s="465"/>
      <c r="AB810" s="465"/>
      <c r="AC810" s="465"/>
      <c r="AD810" s="465"/>
      <c r="AE810" s="465"/>
      <c r="AF810" s="465"/>
      <c r="AG810" s="465"/>
      <c r="AH810" s="465"/>
      <c r="AI810" s="465"/>
      <c r="AJ810" s="465"/>
      <c r="AK810" s="465"/>
      <c r="AL810" s="465"/>
      <c r="AM810" s="465"/>
      <c r="AN810" s="465"/>
      <c r="AO810" s="465"/>
      <c r="AP810" s="465"/>
      <c r="AQ810" s="465"/>
      <c r="AR810" s="465"/>
      <c r="AS810" s="465"/>
      <c r="AT810" s="465"/>
      <c r="AU810" s="465"/>
      <c r="AV810" s="465"/>
      <c r="AW810" s="465"/>
      <c r="AX810" s="465"/>
      <c r="AY810" s="465"/>
      <c r="AZ810" s="465"/>
      <c r="BA810" s="465"/>
      <c r="BB810" s="465"/>
      <c r="BC810" s="465"/>
    </row>
    <row r="811" spans="1:55">
      <c r="A811" s="465"/>
      <c r="B811" s="465"/>
      <c r="C811" s="465"/>
      <c r="D811" s="467"/>
      <c r="E811" s="465"/>
      <c r="F811" s="465"/>
      <c r="G811" s="465"/>
      <c r="H811" s="465"/>
      <c r="I811" s="465"/>
      <c r="J811" s="465"/>
      <c r="K811" s="465"/>
      <c r="L811" s="465"/>
      <c r="M811" s="465"/>
      <c r="N811" s="465"/>
      <c r="O811" s="465"/>
      <c r="P811" s="465"/>
      <c r="Q811" s="465"/>
      <c r="R811" s="465"/>
      <c r="S811" s="465"/>
      <c r="T811" s="465"/>
      <c r="U811" s="465"/>
      <c r="V811" s="465"/>
      <c r="W811" s="465"/>
      <c r="X811" s="465"/>
      <c r="Y811" s="465"/>
      <c r="Z811" s="465"/>
      <c r="AA811" s="465"/>
      <c r="AB811" s="465"/>
      <c r="AC811" s="465"/>
      <c r="AD811" s="465"/>
      <c r="AE811" s="465"/>
      <c r="AF811" s="465"/>
      <c r="AG811" s="465"/>
      <c r="AH811" s="465"/>
      <c r="AI811" s="465"/>
      <c r="AJ811" s="465"/>
      <c r="AK811" s="465"/>
      <c r="AL811" s="465"/>
      <c r="AM811" s="465"/>
      <c r="AN811" s="465"/>
      <c r="AO811" s="465"/>
      <c r="AP811" s="465"/>
      <c r="AQ811" s="465"/>
      <c r="AR811" s="465"/>
      <c r="AS811" s="465"/>
      <c r="AT811" s="465"/>
      <c r="AU811" s="465"/>
      <c r="AV811" s="465"/>
      <c r="AW811" s="465"/>
      <c r="AX811" s="465"/>
      <c r="AY811" s="465"/>
      <c r="AZ811" s="465"/>
      <c r="BA811" s="465"/>
      <c r="BB811" s="465"/>
      <c r="BC811" s="465"/>
    </row>
    <row r="812" spans="1:55">
      <c r="A812" s="465"/>
      <c r="B812" s="465"/>
      <c r="C812" s="465"/>
      <c r="D812" s="467"/>
      <c r="E812" s="465"/>
      <c r="F812" s="465"/>
      <c r="G812" s="465"/>
      <c r="H812" s="465"/>
      <c r="I812" s="465"/>
      <c r="J812" s="465"/>
      <c r="K812" s="465"/>
      <c r="L812" s="465"/>
      <c r="M812" s="465"/>
      <c r="N812" s="465"/>
      <c r="O812" s="465"/>
      <c r="P812" s="465"/>
      <c r="Q812" s="465"/>
      <c r="R812" s="465"/>
      <c r="S812" s="465"/>
      <c r="T812" s="465"/>
      <c r="U812" s="465"/>
      <c r="V812" s="465"/>
      <c r="W812" s="465"/>
      <c r="X812" s="465"/>
      <c r="Y812" s="465"/>
      <c r="Z812" s="465"/>
      <c r="AA812" s="465"/>
      <c r="AB812" s="465"/>
      <c r="AC812" s="465"/>
      <c r="AD812" s="465"/>
      <c r="AE812" s="465"/>
      <c r="AF812" s="465"/>
      <c r="AG812" s="465"/>
      <c r="AH812" s="465"/>
      <c r="AI812" s="465"/>
      <c r="AJ812" s="465"/>
      <c r="AK812" s="465"/>
      <c r="AL812" s="465"/>
      <c r="AM812" s="465"/>
      <c r="AN812" s="465"/>
      <c r="AO812" s="465"/>
      <c r="AP812" s="465"/>
      <c r="AQ812" s="465"/>
      <c r="AR812" s="465"/>
      <c r="AS812" s="465"/>
      <c r="AT812" s="465"/>
      <c r="AU812" s="465"/>
      <c r="AV812" s="465"/>
      <c r="AW812" s="465"/>
      <c r="AX812" s="465"/>
      <c r="AY812" s="465"/>
      <c r="AZ812" s="465"/>
      <c r="BA812" s="465"/>
      <c r="BB812" s="465"/>
      <c r="BC812" s="465"/>
    </row>
    <row r="813" spans="1:55">
      <c r="A813" s="465"/>
      <c r="B813" s="465"/>
      <c r="C813" s="465"/>
      <c r="D813" s="467"/>
      <c r="E813" s="465"/>
      <c r="F813" s="465"/>
      <c r="G813" s="465"/>
      <c r="H813" s="465"/>
      <c r="I813" s="465"/>
      <c r="J813" s="465"/>
      <c r="K813" s="465"/>
      <c r="L813" s="465"/>
      <c r="M813" s="465"/>
      <c r="N813" s="465"/>
      <c r="O813" s="465"/>
      <c r="P813" s="465"/>
      <c r="Q813" s="465"/>
      <c r="R813" s="465"/>
      <c r="S813" s="465"/>
      <c r="T813" s="465"/>
      <c r="U813" s="465"/>
      <c r="V813" s="465"/>
      <c r="W813" s="465"/>
      <c r="X813" s="465"/>
      <c r="Y813" s="465"/>
      <c r="Z813" s="465"/>
      <c r="AA813" s="465"/>
      <c r="AB813" s="465"/>
      <c r="AC813" s="465"/>
      <c r="AD813" s="465"/>
      <c r="AE813" s="465"/>
      <c r="AF813" s="465"/>
      <c r="AG813" s="465"/>
      <c r="AH813" s="465"/>
      <c r="AI813" s="465"/>
      <c r="AJ813" s="465"/>
      <c r="AK813" s="465"/>
      <c r="AL813" s="465"/>
      <c r="AM813" s="465"/>
      <c r="AN813" s="465"/>
      <c r="AO813" s="465"/>
      <c r="AP813" s="465"/>
      <c r="AQ813" s="465"/>
      <c r="AR813" s="465"/>
      <c r="AS813" s="465"/>
      <c r="AT813" s="465"/>
      <c r="AU813" s="465"/>
      <c r="AV813" s="465"/>
      <c r="AW813" s="465"/>
      <c r="AX813" s="465"/>
      <c r="AY813" s="465"/>
      <c r="AZ813" s="465"/>
      <c r="BA813" s="465"/>
      <c r="BB813" s="465"/>
      <c r="BC813" s="465"/>
    </row>
    <row r="814" spans="1:55">
      <c r="A814" s="465"/>
      <c r="B814" s="465"/>
      <c r="C814" s="465"/>
      <c r="D814" s="467"/>
      <c r="E814" s="465"/>
      <c r="F814" s="465"/>
      <c r="G814" s="465"/>
      <c r="H814" s="465"/>
      <c r="I814" s="465"/>
      <c r="J814" s="465"/>
      <c r="K814" s="465"/>
      <c r="L814" s="465"/>
      <c r="M814" s="465"/>
      <c r="N814" s="465"/>
      <c r="O814" s="465"/>
      <c r="P814" s="465"/>
      <c r="Q814" s="465"/>
      <c r="R814" s="465"/>
      <c r="S814" s="465"/>
      <c r="T814" s="465"/>
      <c r="U814" s="465"/>
      <c r="V814" s="465"/>
      <c r="W814" s="465"/>
      <c r="X814" s="465"/>
      <c r="Y814" s="465"/>
      <c r="Z814" s="465"/>
      <c r="AA814" s="465"/>
      <c r="AB814" s="465"/>
      <c r="AC814" s="465"/>
      <c r="AD814" s="465"/>
      <c r="AE814" s="465"/>
      <c r="AF814" s="465"/>
      <c r="AG814" s="465"/>
      <c r="AH814" s="465"/>
      <c r="AI814" s="465"/>
      <c r="AJ814" s="465"/>
      <c r="AK814" s="465"/>
      <c r="AL814" s="465"/>
      <c r="AM814" s="465"/>
      <c r="AN814" s="465"/>
      <c r="AO814" s="465"/>
      <c r="AP814" s="465"/>
      <c r="AQ814" s="465"/>
      <c r="AR814" s="465"/>
      <c r="AS814" s="465"/>
      <c r="AT814" s="465"/>
      <c r="AU814" s="465"/>
      <c r="AV814" s="465"/>
      <c r="AW814" s="465"/>
      <c r="AX814" s="465"/>
      <c r="AY814" s="465"/>
      <c r="AZ814" s="465"/>
      <c r="BA814" s="465"/>
      <c r="BB814" s="465"/>
      <c r="BC814" s="465"/>
    </row>
    <row r="815" spans="1:55">
      <c r="A815" s="465"/>
      <c r="B815" s="465"/>
      <c r="C815" s="465"/>
      <c r="D815" s="467"/>
      <c r="E815" s="465"/>
      <c r="F815" s="465"/>
      <c r="G815" s="465"/>
      <c r="H815" s="465"/>
      <c r="I815" s="465"/>
      <c r="J815" s="465"/>
      <c r="K815" s="465"/>
      <c r="L815" s="465"/>
      <c r="M815" s="465"/>
      <c r="N815" s="465"/>
      <c r="O815" s="465"/>
      <c r="P815" s="465"/>
      <c r="Q815" s="465"/>
      <c r="R815" s="465"/>
      <c r="S815" s="465"/>
      <c r="T815" s="465"/>
      <c r="U815" s="465"/>
      <c r="V815" s="465"/>
      <c r="W815" s="465"/>
      <c r="X815" s="465"/>
      <c r="Y815" s="465"/>
      <c r="Z815" s="465"/>
      <c r="AA815" s="465"/>
      <c r="AB815" s="465"/>
      <c r="AC815" s="465"/>
      <c r="AD815" s="465"/>
      <c r="AE815" s="465"/>
      <c r="AF815" s="465"/>
      <c r="AG815" s="465"/>
      <c r="AH815" s="465"/>
      <c r="AI815" s="465"/>
      <c r="AJ815" s="465"/>
      <c r="AK815" s="465"/>
      <c r="AL815" s="465"/>
      <c r="AM815" s="465"/>
      <c r="AN815" s="465"/>
      <c r="AO815" s="465"/>
      <c r="AP815" s="465"/>
      <c r="AQ815" s="465"/>
      <c r="AR815" s="465"/>
      <c r="AS815" s="465"/>
      <c r="AT815" s="465"/>
      <c r="AU815" s="465"/>
      <c r="AV815" s="465"/>
      <c r="AW815" s="465"/>
      <c r="AX815" s="465"/>
      <c r="AY815" s="465"/>
      <c r="AZ815" s="465"/>
      <c r="BA815" s="465"/>
      <c r="BB815" s="465"/>
      <c r="BC815" s="465"/>
    </row>
    <row r="816" spans="1:55">
      <c r="A816" s="465"/>
      <c r="B816" s="465"/>
      <c r="C816" s="465"/>
      <c r="D816" s="467"/>
      <c r="E816" s="465"/>
      <c r="F816" s="465"/>
      <c r="G816" s="465"/>
      <c r="H816" s="465"/>
      <c r="I816" s="465"/>
      <c r="J816" s="465"/>
      <c r="K816" s="465"/>
      <c r="L816" s="465"/>
      <c r="M816" s="465"/>
      <c r="N816" s="465"/>
      <c r="O816" s="465"/>
      <c r="P816" s="465"/>
      <c r="Q816" s="465"/>
      <c r="R816" s="465"/>
      <c r="S816" s="465"/>
      <c r="T816" s="465"/>
      <c r="U816" s="465"/>
      <c r="V816" s="465"/>
      <c r="W816" s="465"/>
      <c r="X816" s="465"/>
      <c r="Y816" s="465"/>
      <c r="Z816" s="465"/>
      <c r="AA816" s="465"/>
      <c r="AB816" s="465"/>
      <c r="AC816" s="465"/>
      <c r="AD816" s="465"/>
      <c r="AE816" s="465"/>
      <c r="AF816" s="465"/>
      <c r="AG816" s="465"/>
      <c r="AH816" s="465"/>
      <c r="AI816" s="465"/>
      <c r="AJ816" s="465"/>
      <c r="AK816" s="465"/>
      <c r="AL816" s="465"/>
      <c r="AM816" s="465"/>
      <c r="AN816" s="465"/>
      <c r="AO816" s="465"/>
      <c r="AP816" s="465"/>
      <c r="AQ816" s="465"/>
      <c r="AR816" s="465"/>
      <c r="AS816" s="465"/>
      <c r="AT816" s="465"/>
      <c r="AU816" s="465"/>
      <c r="AV816" s="465"/>
      <c r="AW816" s="465"/>
      <c r="AX816" s="465"/>
      <c r="AY816" s="465"/>
      <c r="AZ816" s="465"/>
      <c r="BA816" s="465"/>
      <c r="BB816" s="465"/>
      <c r="BC816" s="465"/>
    </row>
    <row r="817" spans="1:55">
      <c r="A817" s="465"/>
      <c r="B817" s="465"/>
      <c r="C817" s="465"/>
      <c r="D817" s="467"/>
      <c r="E817" s="465"/>
      <c r="F817" s="465"/>
      <c r="G817" s="465"/>
      <c r="H817" s="465"/>
      <c r="I817" s="465"/>
      <c r="J817" s="465"/>
      <c r="K817" s="465"/>
      <c r="L817" s="465"/>
      <c r="M817" s="465"/>
      <c r="N817" s="465"/>
      <c r="O817" s="465"/>
      <c r="P817" s="465"/>
      <c r="Q817" s="465"/>
      <c r="R817" s="465"/>
      <c r="S817" s="465"/>
      <c r="T817" s="465"/>
      <c r="U817" s="465"/>
      <c r="V817" s="465"/>
      <c r="W817" s="465"/>
      <c r="X817" s="465"/>
      <c r="Y817" s="465"/>
      <c r="Z817" s="465"/>
      <c r="AA817" s="465"/>
      <c r="AB817" s="465"/>
      <c r="AC817" s="465"/>
      <c r="AD817" s="465"/>
      <c r="AE817" s="465"/>
      <c r="AF817" s="465"/>
      <c r="AG817" s="465"/>
      <c r="AH817" s="465"/>
      <c r="AI817" s="465"/>
      <c r="AJ817" s="465"/>
      <c r="AK817" s="465"/>
      <c r="AL817" s="465"/>
      <c r="AM817" s="465"/>
      <c r="AN817" s="465"/>
      <c r="AO817" s="465"/>
      <c r="AP817" s="465"/>
      <c r="AQ817" s="465"/>
      <c r="AR817" s="465"/>
      <c r="AS817" s="465"/>
      <c r="AT817" s="465"/>
      <c r="AU817" s="465"/>
      <c r="AV817" s="465"/>
      <c r="AW817" s="465"/>
      <c r="AX817" s="465"/>
      <c r="AY817" s="465"/>
      <c r="AZ817" s="465"/>
      <c r="BA817" s="465"/>
      <c r="BB817" s="465"/>
      <c r="BC817" s="465"/>
    </row>
    <row r="818" spans="1:55">
      <c r="A818" s="465"/>
      <c r="B818" s="465"/>
      <c r="C818" s="465"/>
      <c r="D818" s="467"/>
      <c r="E818" s="465"/>
      <c r="F818" s="465"/>
      <c r="G818" s="465"/>
      <c r="H818" s="465"/>
      <c r="I818" s="465"/>
      <c r="J818" s="465"/>
      <c r="K818" s="465"/>
      <c r="L818" s="465"/>
      <c r="M818" s="465"/>
      <c r="N818" s="465"/>
      <c r="O818" s="465"/>
      <c r="P818" s="465"/>
      <c r="Q818" s="465"/>
      <c r="R818" s="465"/>
      <c r="S818" s="465"/>
      <c r="T818" s="465"/>
      <c r="U818" s="465"/>
      <c r="V818" s="465"/>
      <c r="W818" s="465"/>
      <c r="X818" s="465"/>
      <c r="Y818" s="465"/>
      <c r="Z818" s="465"/>
      <c r="AA818" s="465"/>
      <c r="AB818" s="465"/>
      <c r="AC818" s="465"/>
      <c r="AD818" s="465"/>
      <c r="AE818" s="465"/>
      <c r="AF818" s="465"/>
      <c r="AG818" s="465"/>
      <c r="AH818" s="465"/>
      <c r="AI818" s="465"/>
      <c r="AJ818" s="465"/>
      <c r="AK818" s="465"/>
      <c r="AL818" s="465"/>
      <c r="AM818" s="465"/>
      <c r="AN818" s="465"/>
      <c r="AO818" s="465"/>
      <c r="AP818" s="465"/>
      <c r="AQ818" s="465"/>
      <c r="AR818" s="465"/>
      <c r="AS818" s="465"/>
      <c r="AT818" s="465"/>
      <c r="AU818" s="465"/>
      <c r="AV818" s="465"/>
      <c r="AW818" s="465"/>
      <c r="AX818" s="465"/>
      <c r="AY818" s="465"/>
      <c r="AZ818" s="465"/>
      <c r="BA818" s="465"/>
      <c r="BB818" s="465"/>
      <c r="BC818" s="465"/>
    </row>
    <row r="819" spans="1:55">
      <c r="A819" s="465"/>
      <c r="B819" s="465"/>
      <c r="C819" s="465"/>
      <c r="D819" s="467"/>
      <c r="E819" s="465"/>
      <c r="F819" s="465"/>
      <c r="G819" s="465"/>
      <c r="H819" s="465"/>
      <c r="I819" s="465"/>
      <c r="J819" s="465"/>
      <c r="K819" s="465"/>
      <c r="L819" s="465"/>
      <c r="M819" s="465"/>
      <c r="N819" s="465"/>
      <c r="O819" s="465"/>
      <c r="P819" s="465"/>
      <c r="Q819" s="465"/>
      <c r="R819" s="465"/>
      <c r="S819" s="465"/>
      <c r="T819" s="465"/>
      <c r="U819" s="465"/>
      <c r="V819" s="465"/>
      <c r="W819" s="465"/>
      <c r="X819" s="465"/>
      <c r="Y819" s="465"/>
      <c r="Z819" s="465"/>
      <c r="AA819" s="465"/>
      <c r="AB819" s="465"/>
      <c r="AC819" s="465"/>
      <c r="AD819" s="465"/>
      <c r="AE819" s="465"/>
      <c r="AF819" s="465"/>
      <c r="AG819" s="465"/>
      <c r="AH819" s="465"/>
      <c r="AI819" s="465"/>
      <c r="AJ819" s="465"/>
      <c r="AK819" s="465"/>
      <c r="AL819" s="465"/>
      <c r="AM819" s="465"/>
      <c r="AN819" s="465"/>
      <c r="AO819" s="465"/>
      <c r="AP819" s="465"/>
      <c r="AQ819" s="465"/>
      <c r="AR819" s="465"/>
      <c r="AS819" s="465"/>
      <c r="AT819" s="465"/>
      <c r="AU819" s="465"/>
      <c r="AV819" s="465"/>
      <c r="AW819" s="465"/>
      <c r="AX819" s="465"/>
      <c r="AY819" s="465"/>
      <c r="AZ819" s="465"/>
      <c r="BA819" s="465"/>
      <c r="BB819" s="465"/>
      <c r="BC819" s="465"/>
    </row>
    <row r="820" spans="1:55">
      <c r="A820" s="465"/>
      <c r="B820" s="465"/>
      <c r="C820" s="465"/>
      <c r="D820" s="467"/>
      <c r="E820" s="465"/>
      <c r="F820" s="465"/>
      <c r="G820" s="465"/>
      <c r="H820" s="465"/>
      <c r="I820" s="465"/>
      <c r="J820" s="465"/>
      <c r="K820" s="465"/>
      <c r="L820" s="465"/>
      <c r="M820" s="465"/>
      <c r="N820" s="465"/>
      <c r="O820" s="465"/>
      <c r="P820" s="465"/>
      <c r="Q820" s="465"/>
      <c r="R820" s="465"/>
      <c r="S820" s="465"/>
      <c r="T820" s="465"/>
      <c r="U820" s="465"/>
      <c r="V820" s="465"/>
      <c r="W820" s="465"/>
      <c r="X820" s="465"/>
      <c r="Y820" s="465"/>
      <c r="Z820" s="465"/>
      <c r="AA820" s="465"/>
      <c r="AB820" s="465"/>
      <c r="AC820" s="465"/>
      <c r="AD820" s="465"/>
      <c r="AE820" s="465"/>
      <c r="AF820" s="465"/>
      <c r="AG820" s="465"/>
      <c r="AH820" s="465"/>
      <c r="AI820" s="465"/>
      <c r="AJ820" s="465"/>
      <c r="AK820" s="465"/>
      <c r="AL820" s="465"/>
      <c r="AM820" s="465"/>
      <c r="AN820" s="465"/>
      <c r="AO820" s="465"/>
      <c r="AP820" s="465"/>
      <c r="AQ820" s="465"/>
      <c r="AR820" s="465"/>
      <c r="AS820" s="465"/>
      <c r="AT820" s="465"/>
      <c r="AU820" s="465"/>
      <c r="AV820" s="465"/>
      <c r="AW820" s="465"/>
      <c r="AX820" s="465"/>
      <c r="AY820" s="465"/>
      <c r="AZ820" s="465"/>
      <c r="BA820" s="465"/>
      <c r="BB820" s="465"/>
      <c r="BC820" s="465"/>
    </row>
    <row r="821" spans="1:55">
      <c r="A821" s="465"/>
      <c r="B821" s="465"/>
      <c r="C821" s="465"/>
      <c r="D821" s="467"/>
      <c r="E821" s="465"/>
      <c r="F821" s="465"/>
      <c r="G821" s="465"/>
      <c r="H821" s="465"/>
      <c r="I821" s="465"/>
      <c r="J821" s="465"/>
      <c r="K821" s="465"/>
      <c r="L821" s="465"/>
      <c r="M821" s="465"/>
      <c r="N821" s="465"/>
      <c r="O821" s="465"/>
      <c r="P821" s="465"/>
      <c r="Q821" s="465"/>
      <c r="R821" s="465"/>
      <c r="S821" s="465"/>
      <c r="T821" s="465"/>
      <c r="U821" s="465"/>
      <c r="V821" s="465"/>
      <c r="W821" s="465"/>
      <c r="X821" s="465"/>
      <c r="Y821" s="465"/>
      <c r="Z821" s="465"/>
      <c r="AA821" s="465"/>
      <c r="AB821" s="465"/>
      <c r="AC821" s="465"/>
      <c r="AD821" s="465"/>
      <c r="AE821" s="465"/>
      <c r="AF821" s="465"/>
      <c r="AG821" s="465"/>
      <c r="AH821" s="465"/>
      <c r="AI821" s="465"/>
      <c r="AJ821" s="465"/>
      <c r="AK821" s="465"/>
      <c r="AL821" s="465"/>
      <c r="AM821" s="465"/>
      <c r="AN821" s="465"/>
      <c r="AO821" s="465"/>
      <c r="AP821" s="465"/>
      <c r="AQ821" s="465"/>
      <c r="AR821" s="465"/>
      <c r="AS821" s="465"/>
      <c r="AT821" s="465"/>
      <c r="AU821" s="465"/>
      <c r="AV821" s="465"/>
      <c r="AW821" s="465"/>
      <c r="AX821" s="465"/>
      <c r="AY821" s="465"/>
      <c r="AZ821" s="465"/>
      <c r="BA821" s="465"/>
      <c r="BB821" s="465"/>
      <c r="BC821" s="465"/>
    </row>
    <row r="822" spans="1:55">
      <c r="A822" s="465"/>
      <c r="B822" s="465"/>
      <c r="C822" s="465"/>
      <c r="D822" s="467"/>
      <c r="E822" s="465"/>
      <c r="F822" s="465"/>
      <c r="G822" s="465"/>
      <c r="H822" s="465"/>
      <c r="I822" s="465"/>
      <c r="J822" s="465"/>
      <c r="K822" s="465"/>
      <c r="L822" s="465"/>
      <c r="M822" s="465"/>
      <c r="N822" s="465"/>
      <c r="O822" s="465"/>
      <c r="P822" s="465"/>
      <c r="Q822" s="465"/>
      <c r="R822" s="465"/>
      <c r="S822" s="465"/>
      <c r="T822" s="465"/>
      <c r="U822" s="465"/>
      <c r="V822" s="465"/>
      <c r="W822" s="465"/>
      <c r="X822" s="465"/>
      <c r="Y822" s="465"/>
      <c r="Z822" s="465"/>
      <c r="AA822" s="465"/>
      <c r="AB822" s="465"/>
      <c r="AC822" s="465"/>
      <c r="AD822" s="465"/>
      <c r="AE822" s="465"/>
      <c r="AF822" s="465"/>
      <c r="AG822" s="465"/>
      <c r="AH822" s="465"/>
      <c r="AI822" s="465"/>
      <c r="AJ822" s="465"/>
      <c r="AK822" s="465"/>
      <c r="AL822" s="465"/>
      <c r="AM822" s="465"/>
      <c r="AN822" s="465"/>
      <c r="AO822" s="465"/>
      <c r="AP822" s="465"/>
      <c r="AQ822" s="465"/>
      <c r="AR822" s="465"/>
      <c r="AS822" s="465"/>
      <c r="AT822" s="465"/>
      <c r="AU822" s="465"/>
      <c r="AV822" s="465"/>
      <c r="AW822" s="465"/>
      <c r="AX822" s="465"/>
      <c r="AY822" s="465"/>
      <c r="AZ822" s="465"/>
      <c r="BA822" s="465"/>
      <c r="BB822" s="465"/>
      <c r="BC822" s="465"/>
    </row>
    <row r="823" spans="1:55">
      <c r="A823" s="465"/>
      <c r="B823" s="465"/>
      <c r="C823" s="465"/>
      <c r="D823" s="467"/>
      <c r="E823" s="465"/>
      <c r="F823" s="465"/>
      <c r="G823" s="465"/>
      <c r="H823" s="465"/>
      <c r="I823" s="465"/>
      <c r="J823" s="465"/>
      <c r="K823" s="465"/>
      <c r="L823" s="465"/>
      <c r="M823" s="465"/>
      <c r="N823" s="465"/>
      <c r="O823" s="465"/>
      <c r="P823" s="465"/>
      <c r="Q823" s="465"/>
      <c r="R823" s="465"/>
      <c r="S823" s="465"/>
      <c r="T823" s="465"/>
      <c r="U823" s="465"/>
      <c r="V823" s="465"/>
      <c r="W823" s="465"/>
      <c r="X823" s="465"/>
      <c r="Y823" s="465"/>
      <c r="Z823" s="465"/>
      <c r="AA823" s="465"/>
      <c r="AB823" s="465"/>
      <c r="AC823" s="465"/>
      <c r="AD823" s="465"/>
      <c r="AE823" s="465"/>
      <c r="AF823" s="465"/>
      <c r="AG823" s="465"/>
      <c r="AH823" s="465"/>
      <c r="AI823" s="465"/>
      <c r="AJ823" s="465"/>
      <c r="AK823" s="465"/>
      <c r="AL823" s="465"/>
      <c r="AM823" s="465"/>
      <c r="AN823" s="465"/>
      <c r="AO823" s="465"/>
      <c r="AP823" s="465"/>
      <c r="AQ823" s="465"/>
      <c r="AR823" s="465"/>
      <c r="AS823" s="465"/>
      <c r="AT823" s="465"/>
      <c r="AU823" s="465"/>
      <c r="AV823" s="465"/>
      <c r="AW823" s="465"/>
      <c r="AX823" s="465"/>
      <c r="AY823" s="465"/>
      <c r="AZ823" s="465"/>
      <c r="BA823" s="465"/>
      <c r="BB823" s="465"/>
      <c r="BC823" s="465"/>
    </row>
    <row r="824" spans="1:55">
      <c r="A824" s="465"/>
      <c r="B824" s="465"/>
      <c r="C824" s="465"/>
      <c r="D824" s="467"/>
      <c r="E824" s="465"/>
      <c r="F824" s="465"/>
      <c r="G824" s="465"/>
      <c r="H824" s="465"/>
      <c r="I824" s="465"/>
      <c r="J824" s="465"/>
      <c r="K824" s="465"/>
      <c r="L824" s="465"/>
      <c r="M824" s="465"/>
      <c r="N824" s="465"/>
      <c r="O824" s="465"/>
      <c r="P824" s="465"/>
      <c r="Q824" s="465"/>
      <c r="R824" s="465"/>
      <c r="S824" s="465"/>
      <c r="T824" s="465"/>
      <c r="U824" s="465"/>
      <c r="V824" s="465"/>
      <c r="W824" s="465"/>
      <c r="X824" s="465"/>
      <c r="Y824" s="465"/>
      <c r="Z824" s="465"/>
      <c r="AA824" s="465"/>
      <c r="AB824" s="465"/>
      <c r="AC824" s="465"/>
      <c r="AD824" s="465"/>
      <c r="AE824" s="465"/>
      <c r="AF824" s="465"/>
      <c r="AG824" s="465"/>
      <c r="AH824" s="465"/>
      <c r="AI824" s="465"/>
      <c r="AJ824" s="465"/>
      <c r="AK824" s="465"/>
      <c r="AL824" s="465"/>
      <c r="AM824" s="465"/>
      <c r="AN824" s="465"/>
      <c r="AO824" s="465"/>
      <c r="AP824" s="465"/>
      <c r="AQ824" s="465"/>
      <c r="AR824" s="465"/>
      <c r="AS824" s="465"/>
      <c r="AT824" s="465"/>
      <c r="AU824" s="465"/>
      <c r="AV824" s="465"/>
      <c r="AW824" s="465"/>
      <c r="AX824" s="465"/>
      <c r="AY824" s="465"/>
      <c r="AZ824" s="465"/>
      <c r="BA824" s="465"/>
      <c r="BB824" s="465"/>
      <c r="BC824" s="465"/>
    </row>
    <row r="825" spans="1:55">
      <c r="A825" s="465"/>
      <c r="B825" s="465"/>
      <c r="C825" s="465"/>
      <c r="D825" s="467"/>
      <c r="E825" s="465"/>
      <c r="F825" s="465"/>
      <c r="G825" s="465"/>
      <c r="H825" s="465"/>
      <c r="I825" s="465"/>
      <c r="J825" s="465"/>
      <c r="K825" s="465"/>
      <c r="L825" s="465"/>
      <c r="M825" s="465"/>
      <c r="N825" s="465"/>
      <c r="O825" s="465"/>
      <c r="P825" s="465"/>
      <c r="Q825" s="465"/>
      <c r="R825" s="465"/>
      <c r="S825" s="465"/>
      <c r="T825" s="465"/>
      <c r="U825" s="465"/>
      <c r="V825" s="465"/>
      <c r="W825" s="465"/>
      <c r="X825" s="465"/>
      <c r="Y825" s="465"/>
      <c r="Z825" s="465"/>
      <c r="AA825" s="465"/>
      <c r="AB825" s="465"/>
      <c r="AC825" s="465"/>
      <c r="AD825" s="465"/>
      <c r="AE825" s="465"/>
      <c r="AF825" s="465"/>
      <c r="AG825" s="465"/>
      <c r="AH825" s="465"/>
      <c r="AI825" s="465"/>
      <c r="AJ825" s="465"/>
      <c r="AK825" s="465"/>
      <c r="AL825" s="465"/>
      <c r="AM825" s="465"/>
      <c r="AN825" s="465"/>
      <c r="AO825" s="465"/>
      <c r="AP825" s="465"/>
      <c r="AQ825" s="465"/>
      <c r="AR825" s="465"/>
      <c r="AS825" s="465"/>
      <c r="AT825" s="465"/>
      <c r="AU825" s="465"/>
      <c r="AV825" s="465"/>
      <c r="AW825" s="465"/>
      <c r="AX825" s="465"/>
      <c r="AY825" s="465"/>
      <c r="AZ825" s="465"/>
      <c r="BA825" s="465"/>
      <c r="BB825" s="465"/>
      <c r="BC825" s="465"/>
    </row>
    <row r="826" spans="1:55">
      <c r="A826" s="465"/>
      <c r="B826" s="465"/>
      <c r="C826" s="465"/>
      <c r="D826" s="467"/>
      <c r="E826" s="465"/>
      <c r="F826" s="465"/>
      <c r="G826" s="465"/>
      <c r="H826" s="465"/>
      <c r="I826" s="465"/>
      <c r="J826" s="465"/>
      <c r="K826" s="465"/>
      <c r="L826" s="465"/>
      <c r="M826" s="465"/>
      <c r="N826" s="465"/>
      <c r="O826" s="465"/>
      <c r="P826" s="465"/>
      <c r="Q826" s="465"/>
      <c r="R826" s="465"/>
      <c r="S826" s="465"/>
      <c r="T826" s="465"/>
      <c r="U826" s="465"/>
      <c r="V826" s="465"/>
      <c r="W826" s="465"/>
      <c r="X826" s="465"/>
      <c r="Y826" s="465"/>
      <c r="Z826" s="465"/>
      <c r="AA826" s="465"/>
      <c r="AB826" s="465"/>
      <c r="AC826" s="465"/>
      <c r="AD826" s="465"/>
      <c r="AE826" s="465"/>
      <c r="AF826" s="465"/>
      <c r="AG826" s="465"/>
      <c r="AH826" s="465"/>
      <c r="AI826" s="465"/>
      <c r="AJ826" s="465"/>
      <c r="AK826" s="465"/>
      <c r="AL826" s="465"/>
      <c r="AM826" s="465"/>
      <c r="AN826" s="465"/>
      <c r="AO826" s="465"/>
      <c r="AP826" s="465"/>
      <c r="AQ826" s="465"/>
      <c r="AR826" s="465"/>
      <c r="AS826" s="465"/>
      <c r="AT826" s="465"/>
      <c r="AU826" s="465"/>
      <c r="AV826" s="465"/>
      <c r="AW826" s="465"/>
      <c r="AX826" s="465"/>
      <c r="AY826" s="465"/>
      <c r="AZ826" s="465"/>
      <c r="BA826" s="465"/>
      <c r="BB826" s="465"/>
      <c r="BC826" s="465"/>
    </row>
    <row r="827" spans="1:55">
      <c r="A827" s="465"/>
      <c r="B827" s="465"/>
      <c r="C827" s="465"/>
      <c r="D827" s="467"/>
      <c r="E827" s="465"/>
      <c r="F827" s="465"/>
      <c r="G827" s="465"/>
      <c r="H827" s="465"/>
      <c r="I827" s="465"/>
      <c r="J827" s="465"/>
      <c r="K827" s="465"/>
      <c r="L827" s="465"/>
      <c r="M827" s="465"/>
      <c r="N827" s="465"/>
      <c r="O827" s="465"/>
      <c r="P827" s="465"/>
      <c r="Q827" s="465"/>
      <c r="R827" s="465"/>
      <c r="S827" s="465"/>
      <c r="T827" s="465"/>
      <c r="U827" s="465"/>
      <c r="V827" s="465"/>
      <c r="W827" s="465"/>
      <c r="X827" s="465"/>
      <c r="Y827" s="465"/>
      <c r="Z827" s="465"/>
      <c r="AA827" s="465"/>
      <c r="AB827" s="465"/>
      <c r="AC827" s="465"/>
      <c r="AD827" s="465"/>
      <c r="AE827" s="465"/>
      <c r="AF827" s="465"/>
      <c r="AG827" s="465"/>
      <c r="AH827" s="465"/>
      <c r="AI827" s="465"/>
      <c r="AJ827" s="465"/>
      <c r="AK827" s="465"/>
      <c r="AL827" s="465"/>
      <c r="AM827" s="465"/>
      <c r="AN827" s="465"/>
      <c r="AO827" s="465"/>
      <c r="AP827" s="465"/>
      <c r="AQ827" s="465"/>
      <c r="AR827" s="465"/>
      <c r="AS827" s="465"/>
      <c r="AT827" s="465"/>
      <c r="AU827" s="465"/>
      <c r="AV827" s="465"/>
      <c r="AW827" s="465"/>
      <c r="AX827" s="465"/>
      <c r="AY827" s="465"/>
      <c r="AZ827" s="465"/>
      <c r="BA827" s="465"/>
      <c r="BB827" s="465"/>
      <c r="BC827" s="465"/>
    </row>
    <row r="828" spans="1:55">
      <c r="A828" s="465"/>
      <c r="B828" s="465"/>
      <c r="C828" s="465"/>
      <c r="D828" s="467"/>
      <c r="E828" s="465"/>
      <c r="F828" s="465"/>
      <c r="G828" s="465"/>
      <c r="H828" s="465"/>
      <c r="I828" s="465"/>
      <c r="J828" s="465"/>
      <c r="K828" s="465"/>
      <c r="L828" s="465"/>
      <c r="M828" s="465"/>
      <c r="N828" s="465"/>
      <c r="O828" s="465"/>
      <c r="P828" s="465"/>
      <c r="Q828" s="465"/>
      <c r="R828" s="465"/>
      <c r="S828" s="465"/>
      <c r="T828" s="465"/>
      <c r="U828" s="465"/>
      <c r="V828" s="465"/>
      <c r="W828" s="465"/>
      <c r="X828" s="465"/>
      <c r="Y828" s="465"/>
      <c r="Z828" s="465"/>
      <c r="AA828" s="465"/>
      <c r="AB828" s="465"/>
      <c r="AC828" s="465"/>
      <c r="AD828" s="465"/>
      <c r="AE828" s="465"/>
      <c r="AF828" s="465"/>
      <c r="AG828" s="465"/>
      <c r="AH828" s="465"/>
      <c r="AI828" s="465"/>
      <c r="AJ828" s="465"/>
      <c r="AK828" s="465"/>
      <c r="AL828" s="465"/>
      <c r="AM828" s="465"/>
      <c r="AN828" s="465"/>
      <c r="AO828" s="465"/>
      <c r="AP828" s="465"/>
      <c r="AQ828" s="465"/>
      <c r="AR828" s="465"/>
      <c r="AS828" s="465"/>
      <c r="AT828" s="465"/>
      <c r="AU828" s="465"/>
      <c r="AV828" s="465"/>
      <c r="AW828" s="465"/>
      <c r="AX828" s="465"/>
      <c r="AY828" s="465"/>
      <c r="AZ828" s="465"/>
      <c r="BA828" s="465"/>
      <c r="BB828" s="465"/>
      <c r="BC828" s="465"/>
    </row>
    <row r="829" spans="1:55">
      <c r="A829" s="465"/>
      <c r="B829" s="465"/>
      <c r="C829" s="465"/>
      <c r="D829" s="467"/>
      <c r="E829" s="465"/>
      <c r="F829" s="465"/>
      <c r="G829" s="465"/>
      <c r="H829" s="465"/>
      <c r="I829" s="465"/>
      <c r="J829" s="465"/>
      <c r="K829" s="465"/>
      <c r="L829" s="465"/>
      <c r="M829" s="465"/>
      <c r="N829" s="465"/>
      <c r="O829" s="465"/>
      <c r="P829" s="465"/>
      <c r="Q829" s="465"/>
      <c r="R829" s="465"/>
      <c r="S829" s="465"/>
      <c r="T829" s="465"/>
      <c r="U829" s="465"/>
      <c r="V829" s="465"/>
      <c r="W829" s="465"/>
      <c r="X829" s="465"/>
      <c r="Y829" s="465"/>
      <c r="Z829" s="465"/>
      <c r="AA829" s="465"/>
      <c r="AB829" s="465"/>
      <c r="AC829" s="465"/>
      <c r="AD829" s="465"/>
      <c r="AE829" s="465"/>
      <c r="AF829" s="465"/>
      <c r="AG829" s="465"/>
      <c r="AH829" s="465"/>
      <c r="AI829" s="465"/>
      <c r="AJ829" s="465"/>
      <c r="AK829" s="465"/>
      <c r="AL829" s="465"/>
      <c r="AM829" s="465"/>
      <c r="AN829" s="465"/>
      <c r="AO829" s="465"/>
      <c r="AP829" s="465"/>
      <c r="AQ829" s="465"/>
      <c r="AR829" s="465"/>
      <c r="AS829" s="465"/>
      <c r="AT829" s="465"/>
      <c r="AU829" s="465"/>
      <c r="AV829" s="465"/>
      <c r="AW829" s="465"/>
      <c r="AX829" s="465"/>
      <c r="AY829" s="465"/>
      <c r="AZ829" s="465"/>
      <c r="BA829" s="465"/>
      <c r="BB829" s="465"/>
      <c r="BC829" s="465"/>
    </row>
    <row r="830" spans="1:55">
      <c r="A830" s="465"/>
      <c r="B830" s="465"/>
      <c r="C830" s="465"/>
      <c r="D830" s="467"/>
      <c r="E830" s="465"/>
      <c r="F830" s="465"/>
      <c r="G830" s="465"/>
      <c r="H830" s="465"/>
      <c r="I830" s="465"/>
      <c r="J830" s="465"/>
      <c r="K830" s="465"/>
      <c r="L830" s="465"/>
      <c r="M830" s="465"/>
      <c r="N830" s="465"/>
      <c r="O830" s="465"/>
      <c r="P830" s="465"/>
      <c r="Q830" s="465"/>
      <c r="R830" s="465"/>
      <c r="S830" s="465"/>
      <c r="T830" s="465"/>
      <c r="U830" s="465"/>
      <c r="V830" s="465"/>
      <c r="W830" s="465"/>
      <c r="X830" s="465"/>
      <c r="Y830" s="465"/>
      <c r="Z830" s="465"/>
      <c r="AA830" s="465"/>
      <c r="AB830" s="465"/>
      <c r="AC830" s="465"/>
      <c r="AD830" s="465"/>
      <c r="AE830" s="465"/>
      <c r="AF830" s="465"/>
      <c r="AG830" s="465"/>
      <c r="AH830" s="465"/>
      <c r="AI830" s="465"/>
      <c r="AJ830" s="465"/>
      <c r="AK830" s="465"/>
      <c r="AL830" s="465"/>
      <c r="AM830" s="465"/>
      <c r="AN830" s="465"/>
      <c r="AO830" s="465"/>
      <c r="AP830" s="465"/>
      <c r="AQ830" s="465"/>
      <c r="AR830" s="465"/>
      <c r="AS830" s="465"/>
      <c r="AT830" s="465"/>
      <c r="AU830" s="465"/>
      <c r="AV830" s="465"/>
      <c r="AW830" s="465"/>
      <c r="AX830" s="465"/>
      <c r="AY830" s="465"/>
      <c r="AZ830" s="465"/>
      <c r="BA830" s="465"/>
      <c r="BB830" s="465"/>
      <c r="BC830" s="465"/>
    </row>
    <row r="831" spans="1:55">
      <c r="A831" s="465"/>
      <c r="B831" s="465"/>
      <c r="C831" s="465"/>
      <c r="D831" s="467"/>
      <c r="E831" s="465"/>
      <c r="F831" s="465"/>
      <c r="G831" s="465"/>
      <c r="H831" s="465"/>
      <c r="I831" s="465"/>
      <c r="J831" s="465"/>
      <c r="K831" s="465"/>
      <c r="L831" s="465"/>
      <c r="M831" s="465"/>
      <c r="N831" s="465"/>
      <c r="O831" s="465"/>
      <c r="P831" s="465"/>
      <c r="Q831" s="465"/>
      <c r="R831" s="465"/>
      <c r="S831" s="465"/>
      <c r="T831" s="465"/>
      <c r="U831" s="465"/>
      <c r="V831" s="465"/>
      <c r="W831" s="465"/>
      <c r="X831" s="465"/>
      <c r="Y831" s="465"/>
      <c r="Z831" s="465"/>
      <c r="AA831" s="465"/>
      <c r="AB831" s="465"/>
      <c r="AC831" s="465"/>
      <c r="AD831" s="465"/>
      <c r="AE831" s="465"/>
      <c r="AF831" s="465"/>
      <c r="AG831" s="465"/>
      <c r="AH831" s="465"/>
      <c r="AI831" s="465"/>
      <c r="AJ831" s="465"/>
      <c r="AK831" s="465"/>
      <c r="AL831" s="465"/>
      <c r="AM831" s="465"/>
      <c r="AN831" s="465"/>
      <c r="AO831" s="465"/>
      <c r="AP831" s="465"/>
      <c r="AQ831" s="465"/>
      <c r="AR831" s="465"/>
      <c r="AS831" s="465"/>
      <c r="AT831" s="465"/>
      <c r="AU831" s="465"/>
      <c r="AV831" s="465"/>
      <c r="AW831" s="465"/>
      <c r="AX831" s="465"/>
      <c r="AY831" s="465"/>
      <c r="AZ831" s="465"/>
      <c r="BA831" s="465"/>
      <c r="BB831" s="465"/>
      <c r="BC831" s="465"/>
    </row>
    <row r="832" spans="1:55">
      <c r="A832" s="465"/>
      <c r="B832" s="465"/>
      <c r="C832" s="465"/>
      <c r="D832" s="467"/>
      <c r="E832" s="465"/>
      <c r="F832" s="465"/>
      <c r="G832" s="465"/>
      <c r="H832" s="465"/>
      <c r="I832" s="465"/>
      <c r="J832" s="465"/>
      <c r="K832" s="465"/>
      <c r="L832" s="465"/>
      <c r="M832" s="465"/>
      <c r="N832" s="465"/>
      <c r="O832" s="465"/>
      <c r="P832" s="465"/>
      <c r="Q832" s="465"/>
      <c r="R832" s="465"/>
      <c r="S832" s="465"/>
      <c r="T832" s="465"/>
      <c r="U832" s="465"/>
      <c r="V832" s="465"/>
      <c r="W832" s="465"/>
      <c r="X832" s="465"/>
      <c r="Y832" s="465"/>
      <c r="Z832" s="465"/>
      <c r="AA832" s="465"/>
      <c r="AB832" s="465"/>
      <c r="AC832" s="465"/>
      <c r="AD832" s="465"/>
      <c r="AE832" s="465"/>
      <c r="AF832" s="465"/>
      <c r="AG832" s="465"/>
      <c r="AH832" s="465"/>
      <c r="AI832" s="465"/>
      <c r="AJ832" s="465"/>
      <c r="AK832" s="465"/>
      <c r="AL832" s="465"/>
      <c r="AM832" s="465"/>
      <c r="AN832" s="465"/>
      <c r="AO832" s="465"/>
      <c r="AP832" s="465"/>
      <c r="AQ832" s="465"/>
      <c r="AR832" s="465"/>
      <c r="AS832" s="465"/>
      <c r="AT832" s="465"/>
      <c r="AU832" s="465"/>
      <c r="AV832" s="465"/>
      <c r="AW832" s="465"/>
      <c r="AX832" s="465"/>
      <c r="AY832" s="465"/>
      <c r="AZ832" s="465"/>
      <c r="BA832" s="465"/>
      <c r="BB832" s="465"/>
      <c r="BC832" s="465"/>
    </row>
    <row r="833" spans="1:55">
      <c r="A833" s="465"/>
      <c r="B833" s="465"/>
      <c r="C833" s="465"/>
      <c r="D833" s="467"/>
      <c r="E833" s="465"/>
      <c r="F833" s="465"/>
      <c r="G833" s="465"/>
      <c r="H833" s="465"/>
      <c r="I833" s="465"/>
      <c r="J833" s="465"/>
      <c r="K833" s="465"/>
      <c r="L833" s="465"/>
      <c r="M833" s="465"/>
      <c r="N833" s="465"/>
      <c r="O833" s="465"/>
      <c r="P833" s="465"/>
      <c r="Q833" s="465"/>
      <c r="R833" s="465"/>
      <c r="S833" s="465"/>
      <c r="T833" s="465"/>
      <c r="U833" s="465"/>
      <c r="V833" s="465"/>
      <c r="W833" s="465"/>
      <c r="X833" s="465"/>
      <c r="Y833" s="465"/>
      <c r="Z833" s="465"/>
      <c r="AA833" s="465"/>
      <c r="AB833" s="465"/>
      <c r="AC833" s="465"/>
      <c r="AD833" s="465"/>
      <c r="AE833" s="465"/>
      <c r="AF833" s="465"/>
      <c r="AG833" s="465"/>
      <c r="AH833" s="465"/>
      <c r="AI833" s="465"/>
      <c r="AJ833" s="465"/>
      <c r="AK833" s="465"/>
      <c r="AL833" s="465"/>
      <c r="AM833" s="465"/>
      <c r="AN833" s="465"/>
      <c r="AO833" s="465"/>
      <c r="AP833" s="465"/>
      <c r="AQ833" s="465"/>
      <c r="AR833" s="465"/>
      <c r="AS833" s="465"/>
      <c r="AT833" s="465"/>
      <c r="AU833" s="465"/>
      <c r="AV833" s="465"/>
      <c r="AW833" s="465"/>
      <c r="AX833" s="465"/>
      <c r="AY833" s="465"/>
      <c r="AZ833" s="465"/>
      <c r="BA833" s="465"/>
      <c r="BB833" s="465"/>
      <c r="BC833" s="465"/>
    </row>
    <row r="834" spans="1:55">
      <c r="A834" s="465"/>
      <c r="B834" s="465"/>
      <c r="C834" s="465"/>
      <c r="D834" s="467"/>
      <c r="E834" s="465"/>
      <c r="F834" s="465"/>
      <c r="G834" s="465"/>
      <c r="H834" s="465"/>
      <c r="I834" s="465"/>
      <c r="J834" s="465"/>
      <c r="K834" s="465"/>
      <c r="L834" s="465"/>
      <c r="M834" s="465"/>
      <c r="N834" s="465"/>
      <c r="O834" s="465"/>
      <c r="P834" s="465"/>
      <c r="Q834" s="465"/>
      <c r="R834" s="465"/>
      <c r="S834" s="465"/>
      <c r="T834" s="465"/>
      <c r="U834" s="465"/>
      <c r="V834" s="465"/>
      <c r="W834" s="465"/>
      <c r="X834" s="465"/>
      <c r="Y834" s="465"/>
      <c r="Z834" s="465"/>
      <c r="AA834" s="465"/>
      <c r="AB834" s="465"/>
      <c r="AC834" s="465"/>
      <c r="AD834" s="465"/>
      <c r="AE834" s="465"/>
      <c r="AF834" s="465"/>
      <c r="AG834" s="465"/>
      <c r="AH834" s="465"/>
      <c r="AI834" s="465"/>
      <c r="AJ834" s="465"/>
      <c r="AK834" s="465"/>
      <c r="AL834" s="465"/>
      <c r="AM834" s="465"/>
      <c r="AN834" s="465"/>
      <c r="AO834" s="465"/>
      <c r="AP834" s="465"/>
      <c r="AQ834" s="465"/>
      <c r="AR834" s="465"/>
      <c r="AS834" s="465"/>
      <c r="AT834" s="465"/>
      <c r="AU834" s="465"/>
      <c r="AV834" s="465"/>
      <c r="AW834" s="465"/>
      <c r="AX834" s="465"/>
      <c r="AY834" s="465"/>
      <c r="AZ834" s="465"/>
      <c r="BA834" s="465"/>
      <c r="BB834" s="465"/>
      <c r="BC834" s="465"/>
    </row>
    <row r="835" spans="1:55">
      <c r="A835" s="465"/>
      <c r="B835" s="465"/>
      <c r="C835" s="465"/>
      <c r="D835" s="467"/>
      <c r="E835" s="465"/>
      <c r="F835" s="465"/>
      <c r="G835" s="465"/>
      <c r="H835" s="465"/>
      <c r="I835" s="465"/>
      <c r="J835" s="465"/>
      <c r="K835" s="465"/>
      <c r="L835" s="465"/>
      <c r="M835" s="465"/>
      <c r="N835" s="465"/>
      <c r="O835" s="465"/>
      <c r="P835" s="465"/>
      <c r="Q835" s="465"/>
      <c r="R835" s="465"/>
      <c r="S835" s="465"/>
      <c r="T835" s="465"/>
      <c r="U835" s="465"/>
      <c r="V835" s="465"/>
      <c r="W835" s="465"/>
      <c r="X835" s="465"/>
      <c r="Y835" s="465"/>
      <c r="Z835" s="465"/>
      <c r="AA835" s="465"/>
      <c r="AB835" s="465"/>
      <c r="AC835" s="465"/>
      <c r="AD835" s="465"/>
      <c r="AE835" s="465"/>
      <c r="AF835" s="465"/>
      <c r="AG835" s="465"/>
      <c r="AH835" s="465"/>
      <c r="AI835" s="465"/>
      <c r="AJ835" s="465"/>
      <c r="AK835" s="465"/>
      <c r="AL835" s="465"/>
      <c r="AM835" s="465"/>
      <c r="AN835" s="465"/>
      <c r="AO835" s="465"/>
      <c r="AP835" s="465"/>
      <c r="AQ835" s="465"/>
      <c r="AR835" s="465"/>
      <c r="AS835" s="465"/>
      <c r="AT835" s="465"/>
      <c r="AU835" s="465"/>
      <c r="AV835" s="465"/>
      <c r="AW835" s="465"/>
      <c r="AX835" s="465"/>
      <c r="AY835" s="465"/>
      <c r="AZ835" s="465"/>
      <c r="BA835" s="465"/>
      <c r="BB835" s="465"/>
      <c r="BC835" s="465"/>
    </row>
    <row r="836" spans="1:55">
      <c r="A836" s="465"/>
      <c r="B836" s="465"/>
      <c r="C836" s="465"/>
      <c r="D836" s="467"/>
      <c r="E836" s="465"/>
      <c r="F836" s="465"/>
      <c r="G836" s="465"/>
      <c r="H836" s="465"/>
      <c r="I836" s="465"/>
      <c r="J836" s="465"/>
      <c r="K836" s="465"/>
      <c r="L836" s="465"/>
      <c r="M836" s="465"/>
      <c r="N836" s="465"/>
      <c r="O836" s="465"/>
      <c r="P836" s="465"/>
      <c r="Q836" s="465"/>
      <c r="R836" s="465"/>
      <c r="S836" s="465"/>
      <c r="T836" s="465"/>
      <c r="U836" s="465"/>
      <c r="V836" s="465"/>
      <c r="W836" s="465"/>
      <c r="X836" s="465"/>
      <c r="Y836" s="465"/>
      <c r="Z836" s="465"/>
      <c r="AA836" s="465"/>
      <c r="AB836" s="465"/>
      <c r="AC836" s="465"/>
      <c r="AD836" s="465"/>
      <c r="AE836" s="465"/>
      <c r="AF836" s="465"/>
      <c r="AG836" s="465"/>
      <c r="AH836" s="465"/>
      <c r="AI836" s="465"/>
      <c r="AJ836" s="465"/>
      <c r="AK836" s="465"/>
      <c r="AL836" s="465"/>
      <c r="AM836" s="465"/>
      <c r="AN836" s="465"/>
      <c r="AO836" s="465"/>
      <c r="AP836" s="465"/>
      <c r="AQ836" s="465"/>
      <c r="AR836" s="465"/>
      <c r="AS836" s="465"/>
      <c r="AT836" s="465"/>
      <c r="AU836" s="465"/>
      <c r="AV836" s="465"/>
      <c r="AW836" s="465"/>
      <c r="AX836" s="465"/>
      <c r="AY836" s="465"/>
      <c r="AZ836" s="465"/>
      <c r="BA836" s="465"/>
      <c r="BB836" s="465"/>
      <c r="BC836" s="465"/>
    </row>
    <row r="837" spans="1:55">
      <c r="A837" s="465"/>
      <c r="B837" s="465"/>
      <c r="C837" s="465"/>
      <c r="D837" s="467"/>
      <c r="E837" s="465"/>
      <c r="F837" s="465"/>
      <c r="G837" s="465"/>
      <c r="H837" s="465"/>
      <c r="I837" s="465"/>
      <c r="J837" s="465"/>
      <c r="K837" s="465"/>
      <c r="L837" s="465"/>
      <c r="M837" s="465"/>
      <c r="N837" s="465"/>
      <c r="O837" s="465"/>
      <c r="P837" s="465"/>
      <c r="Q837" s="465"/>
      <c r="R837" s="465"/>
      <c r="S837" s="465"/>
      <c r="T837" s="465"/>
      <c r="U837" s="465"/>
      <c r="V837" s="465"/>
      <c r="W837" s="465"/>
      <c r="X837" s="465"/>
      <c r="Y837" s="465"/>
      <c r="Z837" s="465"/>
      <c r="AA837" s="465"/>
      <c r="AB837" s="465"/>
      <c r="AC837" s="465"/>
      <c r="AD837" s="465"/>
      <c r="AE837" s="465"/>
      <c r="AF837" s="465"/>
      <c r="AG837" s="465"/>
      <c r="AH837" s="465"/>
      <c r="AI837" s="465"/>
      <c r="AJ837" s="465"/>
      <c r="AK837" s="465"/>
      <c r="AL837" s="465"/>
      <c r="AM837" s="465"/>
      <c r="AN837" s="465"/>
      <c r="AO837" s="465"/>
      <c r="AP837" s="465"/>
      <c r="AQ837" s="465"/>
      <c r="AR837" s="465"/>
      <c r="AS837" s="465"/>
      <c r="AT837" s="465"/>
      <c r="AU837" s="465"/>
      <c r="AV837" s="465"/>
      <c r="AW837" s="465"/>
      <c r="AX837" s="465"/>
      <c r="AY837" s="465"/>
      <c r="AZ837" s="465"/>
      <c r="BA837" s="465"/>
      <c r="BB837" s="465"/>
      <c r="BC837" s="465"/>
    </row>
    <row r="838" spans="1:55">
      <c r="A838" s="465"/>
      <c r="B838" s="465"/>
      <c r="C838" s="465"/>
      <c r="D838" s="467"/>
      <c r="E838" s="465"/>
      <c r="F838" s="465"/>
      <c r="G838" s="465"/>
      <c r="H838" s="465"/>
      <c r="I838" s="465"/>
      <c r="J838" s="465"/>
      <c r="K838" s="465"/>
      <c r="L838" s="465"/>
      <c r="M838" s="465"/>
      <c r="N838" s="465"/>
      <c r="O838" s="465"/>
      <c r="P838" s="465"/>
      <c r="Q838" s="465"/>
      <c r="R838" s="465"/>
      <c r="S838" s="465"/>
      <c r="T838" s="465"/>
      <c r="U838" s="465"/>
      <c r="V838" s="465"/>
      <c r="W838" s="465"/>
      <c r="X838" s="465"/>
      <c r="Y838" s="465"/>
      <c r="Z838" s="465"/>
      <c r="AA838" s="465"/>
      <c r="AB838" s="465"/>
      <c r="AC838" s="465"/>
      <c r="AD838" s="465"/>
      <c r="AE838" s="465"/>
      <c r="AF838" s="465"/>
      <c r="AG838" s="465"/>
      <c r="AH838" s="465"/>
      <c r="AI838" s="465"/>
      <c r="AJ838" s="465"/>
      <c r="AK838" s="465"/>
      <c r="AL838" s="465"/>
      <c r="AM838" s="465"/>
      <c r="AN838" s="465"/>
      <c r="AO838" s="465"/>
      <c r="AP838" s="465"/>
      <c r="AQ838" s="465"/>
      <c r="AR838" s="465"/>
      <c r="AS838" s="465"/>
      <c r="AT838" s="465"/>
      <c r="AU838" s="465"/>
      <c r="AV838" s="465"/>
      <c r="AW838" s="465"/>
      <c r="AX838" s="465"/>
      <c r="AY838" s="465"/>
      <c r="AZ838" s="465"/>
      <c r="BA838" s="465"/>
      <c r="BB838" s="465"/>
      <c r="BC838" s="465"/>
    </row>
    <row r="839" spans="1:55">
      <c r="A839" s="465"/>
      <c r="B839" s="465"/>
      <c r="C839" s="465"/>
      <c r="D839" s="467"/>
      <c r="E839" s="465"/>
      <c r="F839" s="465"/>
      <c r="G839" s="465"/>
      <c r="H839" s="465"/>
      <c r="I839" s="465"/>
      <c r="J839" s="465"/>
      <c r="K839" s="465"/>
      <c r="L839" s="465"/>
      <c r="M839" s="465"/>
      <c r="N839" s="465"/>
      <c r="O839" s="465"/>
      <c r="P839" s="465"/>
      <c r="Q839" s="465"/>
      <c r="R839" s="465"/>
      <c r="S839" s="465"/>
      <c r="T839" s="465"/>
      <c r="U839" s="465"/>
      <c r="V839" s="465"/>
      <c r="W839" s="465"/>
      <c r="X839" s="465"/>
      <c r="Y839" s="465"/>
      <c r="Z839" s="465"/>
      <c r="AA839" s="465"/>
      <c r="AB839" s="465"/>
      <c r="AC839" s="465"/>
      <c r="AD839" s="465"/>
      <c r="AE839" s="465"/>
      <c r="AF839" s="465"/>
      <c r="AG839" s="465"/>
      <c r="AH839" s="465"/>
      <c r="AI839" s="465"/>
      <c r="AJ839" s="465"/>
      <c r="AK839" s="465"/>
      <c r="AL839" s="465"/>
      <c r="AM839" s="465"/>
      <c r="AN839" s="465"/>
      <c r="AO839" s="465"/>
      <c r="AP839" s="465"/>
      <c r="AQ839" s="465"/>
      <c r="AR839" s="465"/>
      <c r="AS839" s="465"/>
      <c r="AT839" s="465"/>
      <c r="AU839" s="465"/>
      <c r="AV839" s="465"/>
      <c r="AW839" s="465"/>
      <c r="AX839" s="465"/>
      <c r="AY839" s="465"/>
      <c r="AZ839" s="465"/>
      <c r="BA839" s="465"/>
      <c r="BB839" s="465"/>
      <c r="BC839" s="465"/>
    </row>
    <row r="840" spans="1:55">
      <c r="A840" s="465"/>
      <c r="B840" s="465"/>
      <c r="C840" s="465"/>
      <c r="D840" s="467"/>
      <c r="E840" s="465"/>
      <c r="F840" s="465"/>
      <c r="G840" s="465"/>
      <c r="H840" s="465"/>
      <c r="I840" s="465"/>
      <c r="J840" s="465"/>
      <c r="K840" s="465"/>
      <c r="L840" s="465"/>
      <c r="M840" s="465"/>
      <c r="N840" s="465"/>
      <c r="O840" s="465"/>
      <c r="P840" s="465"/>
      <c r="Q840" s="465"/>
      <c r="R840" s="465"/>
      <c r="S840" s="465"/>
      <c r="T840" s="465"/>
      <c r="U840" s="465"/>
      <c r="V840" s="465"/>
      <c r="W840" s="465"/>
      <c r="X840" s="465"/>
      <c r="Y840" s="465"/>
      <c r="Z840" s="465"/>
      <c r="AA840" s="465"/>
      <c r="AB840" s="465"/>
      <c r="AC840" s="465"/>
      <c r="AD840" s="465"/>
      <c r="AE840" s="465"/>
      <c r="AF840" s="465"/>
      <c r="AG840" s="465"/>
      <c r="AH840" s="465"/>
      <c r="AI840" s="465"/>
      <c r="AJ840" s="465"/>
      <c r="AK840" s="465"/>
      <c r="AL840" s="465"/>
      <c r="AM840" s="465"/>
      <c r="AN840" s="465"/>
      <c r="AO840" s="465"/>
      <c r="AP840" s="465"/>
      <c r="AQ840" s="465"/>
      <c r="AR840" s="465"/>
      <c r="AS840" s="465"/>
      <c r="AT840" s="465"/>
      <c r="AU840" s="465"/>
      <c r="AV840" s="465"/>
      <c r="AW840" s="465"/>
      <c r="AX840" s="465"/>
      <c r="AY840" s="465"/>
      <c r="AZ840" s="465"/>
      <c r="BA840" s="465"/>
      <c r="BB840" s="465"/>
      <c r="BC840" s="465"/>
    </row>
    <row r="841" spans="1:55">
      <c r="A841" s="465"/>
      <c r="B841" s="465"/>
      <c r="C841" s="465"/>
      <c r="D841" s="467"/>
      <c r="E841" s="465"/>
      <c r="F841" s="465"/>
      <c r="G841" s="465"/>
      <c r="H841" s="465"/>
      <c r="I841" s="465"/>
      <c r="J841" s="465"/>
      <c r="K841" s="465"/>
      <c r="L841" s="465"/>
      <c r="M841" s="465"/>
      <c r="N841" s="465"/>
      <c r="O841" s="465"/>
      <c r="P841" s="465"/>
      <c r="Q841" s="465"/>
      <c r="R841" s="465"/>
      <c r="S841" s="465"/>
      <c r="T841" s="465"/>
      <c r="U841" s="465"/>
      <c r="V841" s="465"/>
      <c r="W841" s="465"/>
      <c r="X841" s="465"/>
      <c r="Y841" s="465"/>
      <c r="Z841" s="465"/>
      <c r="AA841" s="465"/>
      <c r="AB841" s="465"/>
      <c r="AC841" s="465"/>
      <c r="AD841" s="465"/>
      <c r="AE841" s="465"/>
      <c r="AF841" s="465"/>
      <c r="AG841" s="465"/>
      <c r="AH841" s="465"/>
      <c r="AI841" s="465"/>
      <c r="AJ841" s="465"/>
      <c r="AK841" s="465"/>
      <c r="AL841" s="465"/>
      <c r="AM841" s="465"/>
      <c r="AN841" s="465"/>
      <c r="AO841" s="465"/>
      <c r="AP841" s="465"/>
      <c r="AQ841" s="465"/>
      <c r="AR841" s="465"/>
      <c r="AS841" s="465"/>
      <c r="AT841" s="465"/>
      <c r="AU841" s="465"/>
      <c r="AV841" s="465"/>
      <c r="AW841" s="465"/>
      <c r="AX841" s="465"/>
      <c r="AY841" s="465"/>
      <c r="AZ841" s="465"/>
      <c r="BA841" s="465"/>
      <c r="BB841" s="465"/>
      <c r="BC841" s="465"/>
    </row>
    <row r="842" spans="1:55">
      <c r="A842" s="465"/>
      <c r="B842" s="465"/>
      <c r="C842" s="465"/>
      <c r="D842" s="467"/>
      <c r="E842" s="465"/>
      <c r="F842" s="465"/>
      <c r="G842" s="465"/>
      <c r="H842" s="465"/>
      <c r="I842" s="465"/>
      <c r="J842" s="465"/>
      <c r="K842" s="465"/>
      <c r="L842" s="465"/>
      <c r="M842" s="465"/>
      <c r="N842" s="465"/>
      <c r="O842" s="465"/>
      <c r="P842" s="465"/>
      <c r="Q842" s="465"/>
      <c r="R842" s="465"/>
      <c r="S842" s="465"/>
      <c r="T842" s="465"/>
      <c r="U842" s="465"/>
      <c r="V842" s="465"/>
      <c r="W842" s="465"/>
      <c r="X842" s="465"/>
      <c r="Y842" s="465"/>
      <c r="Z842" s="465"/>
      <c r="AA842" s="465"/>
      <c r="AB842" s="465"/>
      <c r="AC842" s="465"/>
      <c r="AD842" s="465"/>
      <c r="AE842" s="465"/>
      <c r="AF842" s="465"/>
      <c r="AG842" s="465"/>
      <c r="AH842" s="465"/>
      <c r="AI842" s="465"/>
      <c r="AJ842" s="465"/>
      <c r="AK842" s="465"/>
      <c r="AL842" s="465"/>
      <c r="AM842" s="465"/>
      <c r="AN842" s="465"/>
      <c r="AO842" s="465"/>
      <c r="AP842" s="465"/>
      <c r="AQ842" s="465"/>
      <c r="AR842" s="465"/>
      <c r="AS842" s="465"/>
      <c r="AT842" s="465"/>
      <c r="AU842" s="465"/>
      <c r="AV842" s="465"/>
      <c r="AW842" s="465"/>
      <c r="AX842" s="465"/>
      <c r="AY842" s="465"/>
      <c r="AZ842" s="465"/>
      <c r="BA842" s="465"/>
      <c r="BB842" s="465"/>
      <c r="BC842" s="465"/>
    </row>
    <row r="843" spans="1:55">
      <c r="A843" s="465"/>
      <c r="B843" s="465"/>
      <c r="C843" s="465"/>
      <c r="D843" s="467"/>
      <c r="E843" s="465"/>
      <c r="F843" s="465"/>
      <c r="G843" s="465"/>
      <c r="H843" s="465"/>
      <c r="I843" s="465"/>
      <c r="J843" s="465"/>
      <c r="K843" s="465"/>
      <c r="L843" s="465"/>
      <c r="M843" s="465"/>
      <c r="N843" s="465"/>
      <c r="O843" s="465"/>
      <c r="P843" s="465"/>
      <c r="Q843" s="465"/>
      <c r="R843" s="465"/>
      <c r="S843" s="465"/>
      <c r="T843" s="465"/>
      <c r="U843" s="465"/>
      <c r="V843" s="465"/>
      <c r="W843" s="465"/>
      <c r="X843" s="465"/>
      <c r="Y843" s="465"/>
      <c r="Z843" s="465"/>
      <c r="AA843" s="465"/>
      <c r="AB843" s="465"/>
      <c r="AC843" s="465"/>
      <c r="AD843" s="465"/>
      <c r="AE843" s="465"/>
      <c r="AF843" s="465"/>
      <c r="AG843" s="465"/>
      <c r="AH843" s="465"/>
      <c r="AI843" s="465"/>
      <c r="AJ843" s="465"/>
      <c r="AK843" s="465"/>
      <c r="AL843" s="465"/>
      <c r="AM843" s="465"/>
      <c r="AN843" s="465"/>
      <c r="AO843" s="465"/>
      <c r="AP843" s="465"/>
      <c r="AQ843" s="465"/>
      <c r="AR843" s="465"/>
      <c r="AS843" s="465"/>
      <c r="AT843" s="465"/>
      <c r="AU843" s="465"/>
      <c r="AV843" s="465"/>
      <c r="AW843" s="465"/>
      <c r="AX843" s="465"/>
      <c r="AY843" s="465"/>
      <c r="AZ843" s="465"/>
      <c r="BA843" s="465"/>
      <c r="BB843" s="465"/>
      <c r="BC843" s="465"/>
    </row>
    <row r="844" spans="1:55">
      <c r="A844" s="465"/>
      <c r="B844" s="465"/>
      <c r="C844" s="465"/>
      <c r="D844" s="467"/>
      <c r="E844" s="465"/>
      <c r="F844" s="465"/>
      <c r="G844" s="465"/>
      <c r="H844" s="465"/>
      <c r="I844" s="465"/>
      <c r="J844" s="465"/>
      <c r="K844" s="465"/>
      <c r="L844" s="465"/>
      <c r="M844" s="465"/>
      <c r="N844" s="465"/>
      <c r="O844" s="465"/>
      <c r="P844" s="465"/>
      <c r="Q844" s="465"/>
      <c r="R844" s="465"/>
      <c r="S844" s="465"/>
      <c r="T844" s="465"/>
      <c r="U844" s="465"/>
      <c r="V844" s="465"/>
      <c r="W844" s="465"/>
      <c r="X844" s="465"/>
      <c r="Y844" s="465"/>
      <c r="Z844" s="465"/>
      <c r="AA844" s="465"/>
      <c r="AB844" s="465"/>
      <c r="AC844" s="465"/>
      <c r="AD844" s="465"/>
      <c r="AE844" s="465"/>
      <c r="AF844" s="465"/>
      <c r="AG844" s="465"/>
      <c r="AH844" s="465"/>
      <c r="AI844" s="465"/>
      <c r="AJ844" s="465"/>
      <c r="AK844" s="465"/>
      <c r="AL844" s="465"/>
      <c r="AM844" s="465"/>
      <c r="AN844" s="465"/>
      <c r="AO844" s="465"/>
      <c r="AP844" s="465"/>
      <c r="AQ844" s="465"/>
      <c r="AR844" s="465"/>
      <c r="AS844" s="465"/>
      <c r="AT844" s="465"/>
      <c r="AU844" s="465"/>
      <c r="AV844" s="465"/>
      <c r="AW844" s="465"/>
      <c r="AX844" s="465"/>
      <c r="AY844" s="465"/>
      <c r="AZ844" s="465"/>
      <c r="BA844" s="465"/>
      <c r="BB844" s="465"/>
      <c r="BC844" s="465"/>
    </row>
    <row r="845" spans="1:55">
      <c r="A845" s="465"/>
      <c r="B845" s="465"/>
      <c r="C845" s="465"/>
      <c r="D845" s="467"/>
      <c r="E845" s="465"/>
      <c r="F845" s="465"/>
      <c r="G845" s="465"/>
      <c r="H845" s="465"/>
      <c r="I845" s="465"/>
      <c r="J845" s="465"/>
      <c r="K845" s="465"/>
      <c r="L845" s="465"/>
      <c r="M845" s="465"/>
      <c r="N845" s="465"/>
      <c r="O845" s="465"/>
      <c r="P845" s="465"/>
      <c r="Q845" s="465"/>
      <c r="R845" s="465"/>
      <c r="S845" s="465"/>
      <c r="T845" s="465"/>
      <c r="U845" s="465"/>
      <c r="V845" s="465"/>
      <c r="W845" s="465"/>
      <c r="X845" s="465"/>
      <c r="Y845" s="465"/>
      <c r="Z845" s="465"/>
      <c r="AA845" s="465"/>
      <c r="AB845" s="465"/>
      <c r="AC845" s="465"/>
      <c r="AD845" s="465"/>
      <c r="AE845" s="465"/>
      <c r="AF845" s="465"/>
      <c r="AG845" s="465"/>
      <c r="AH845" s="465"/>
      <c r="AI845" s="465"/>
      <c r="AJ845" s="465"/>
      <c r="AK845" s="465"/>
      <c r="AL845" s="465"/>
      <c r="AM845" s="465"/>
      <c r="AN845" s="465"/>
      <c r="AO845" s="465"/>
      <c r="AP845" s="465"/>
      <c r="AQ845" s="465"/>
      <c r="AR845" s="465"/>
      <c r="AS845" s="465"/>
      <c r="AT845" s="465"/>
      <c r="AU845" s="465"/>
      <c r="AV845" s="465"/>
      <c r="AW845" s="465"/>
      <c r="AX845" s="465"/>
      <c r="AY845" s="465"/>
      <c r="AZ845" s="465"/>
      <c r="BA845" s="465"/>
      <c r="BB845" s="465"/>
      <c r="BC845" s="465"/>
    </row>
    <row r="846" spans="1:55">
      <c r="A846" s="465"/>
      <c r="B846" s="465"/>
      <c r="C846" s="465"/>
      <c r="D846" s="467"/>
      <c r="E846" s="465"/>
      <c r="F846" s="465"/>
      <c r="G846" s="465"/>
      <c r="H846" s="465"/>
      <c r="I846" s="465"/>
      <c r="J846" s="465"/>
      <c r="K846" s="465"/>
      <c r="L846" s="465"/>
      <c r="M846" s="465"/>
      <c r="N846" s="465"/>
      <c r="O846" s="465"/>
      <c r="P846" s="465"/>
      <c r="Q846" s="465"/>
      <c r="R846" s="465"/>
      <c r="S846" s="465"/>
      <c r="T846" s="465"/>
      <c r="U846" s="465"/>
      <c r="V846" s="465"/>
      <c r="W846" s="465"/>
      <c r="X846" s="465"/>
      <c r="Y846" s="465"/>
      <c r="Z846" s="465"/>
      <c r="AA846" s="465"/>
      <c r="AB846" s="465"/>
      <c r="AC846" s="465"/>
      <c r="AD846" s="465"/>
      <c r="AE846" s="465"/>
      <c r="AF846" s="465"/>
      <c r="AG846" s="465"/>
      <c r="AH846" s="465"/>
      <c r="AI846" s="465"/>
      <c r="AJ846" s="465"/>
      <c r="AK846" s="465"/>
      <c r="AL846" s="465"/>
      <c r="AM846" s="465"/>
      <c r="AN846" s="465"/>
      <c r="AO846" s="465"/>
      <c r="AP846" s="465"/>
      <c r="AQ846" s="465"/>
      <c r="AR846" s="465"/>
      <c r="AS846" s="465"/>
      <c r="AT846" s="465"/>
      <c r="AU846" s="465"/>
      <c r="AV846" s="465"/>
      <c r="AW846" s="465"/>
      <c r="AX846" s="465"/>
      <c r="AY846" s="465"/>
      <c r="AZ846" s="465"/>
      <c r="BA846" s="465"/>
      <c r="BB846" s="465"/>
      <c r="BC846" s="465"/>
    </row>
    <row r="847" spans="1:55">
      <c r="A847" s="465"/>
      <c r="B847" s="465"/>
      <c r="C847" s="465"/>
      <c r="D847" s="467"/>
      <c r="E847" s="465"/>
      <c r="F847" s="465"/>
      <c r="G847" s="465"/>
      <c r="H847" s="465"/>
      <c r="I847" s="465"/>
      <c r="J847" s="465"/>
      <c r="K847" s="465"/>
      <c r="L847" s="465"/>
      <c r="M847" s="465"/>
      <c r="N847" s="465"/>
      <c r="O847" s="465"/>
      <c r="P847" s="465"/>
      <c r="Q847" s="465"/>
      <c r="R847" s="465"/>
      <c r="S847" s="465"/>
      <c r="T847" s="465"/>
      <c r="U847" s="465"/>
      <c r="V847" s="465"/>
      <c r="W847" s="465"/>
      <c r="X847" s="465"/>
      <c r="Y847" s="465"/>
      <c r="Z847" s="465"/>
      <c r="AA847" s="465"/>
      <c r="AB847" s="465"/>
      <c r="AC847" s="465"/>
      <c r="AD847" s="465"/>
      <c r="AE847" s="465"/>
      <c r="AF847" s="465"/>
      <c r="AG847" s="465"/>
      <c r="AH847" s="465"/>
      <c r="AI847" s="465"/>
      <c r="AJ847" s="465"/>
      <c r="AK847" s="465"/>
      <c r="AL847" s="465"/>
      <c r="AM847" s="465"/>
      <c r="AN847" s="465"/>
      <c r="AO847" s="465"/>
      <c r="AP847" s="465"/>
      <c r="AQ847" s="465"/>
      <c r="AR847" s="465"/>
      <c r="AS847" s="465"/>
      <c r="AT847" s="465"/>
      <c r="AU847" s="465"/>
      <c r="AV847" s="465"/>
      <c r="AW847" s="465"/>
      <c r="AX847" s="465"/>
      <c r="AY847" s="465"/>
      <c r="AZ847" s="465"/>
      <c r="BA847" s="465"/>
      <c r="BB847" s="465"/>
      <c r="BC847" s="465"/>
    </row>
    <row r="848" spans="1:55">
      <c r="A848" s="465"/>
      <c r="B848" s="465"/>
      <c r="C848" s="465"/>
      <c r="D848" s="467"/>
      <c r="E848" s="465"/>
      <c r="F848" s="465"/>
      <c r="G848" s="465"/>
      <c r="H848" s="465"/>
      <c r="I848" s="465"/>
      <c r="J848" s="465"/>
      <c r="K848" s="465"/>
      <c r="L848" s="465"/>
      <c r="M848" s="465"/>
      <c r="N848" s="465"/>
      <c r="O848" s="465"/>
      <c r="P848" s="465"/>
      <c r="Q848" s="465"/>
      <c r="R848" s="465"/>
      <c r="S848" s="465"/>
      <c r="T848" s="465"/>
      <c r="U848" s="465"/>
      <c r="V848" s="465"/>
      <c r="W848" s="465"/>
      <c r="X848" s="465"/>
      <c r="Y848" s="465"/>
      <c r="Z848" s="465"/>
      <c r="AA848" s="465"/>
      <c r="AB848" s="465"/>
      <c r="AC848" s="465"/>
      <c r="AD848" s="465"/>
      <c r="AE848" s="465"/>
      <c r="AF848" s="465"/>
      <c r="AG848" s="465"/>
      <c r="AH848" s="465"/>
      <c r="AI848" s="465"/>
      <c r="AJ848" s="465"/>
      <c r="AK848" s="465"/>
      <c r="AL848" s="465"/>
      <c r="AM848" s="465"/>
      <c r="AN848" s="465"/>
      <c r="AO848" s="465"/>
      <c r="AP848" s="465"/>
      <c r="AQ848" s="465"/>
      <c r="AR848" s="465"/>
      <c r="AS848" s="465"/>
      <c r="AT848" s="465"/>
      <c r="AU848" s="465"/>
      <c r="AV848" s="465"/>
      <c r="AW848" s="465"/>
      <c r="AX848" s="465"/>
      <c r="AY848" s="465"/>
      <c r="AZ848" s="465"/>
      <c r="BA848" s="465"/>
      <c r="BB848" s="465"/>
      <c r="BC848" s="465"/>
    </row>
    <row r="849" spans="1:55">
      <c r="A849" s="465"/>
      <c r="B849" s="465"/>
      <c r="C849" s="465"/>
      <c r="D849" s="467"/>
      <c r="E849" s="465"/>
      <c r="F849" s="465"/>
      <c r="G849" s="465"/>
      <c r="H849" s="465"/>
      <c r="I849" s="465"/>
      <c r="J849" s="465"/>
      <c r="K849" s="465"/>
      <c r="L849" s="465"/>
      <c r="M849" s="465"/>
      <c r="N849" s="465"/>
      <c r="O849" s="465"/>
      <c r="P849" s="465"/>
      <c r="Q849" s="465"/>
      <c r="R849" s="465"/>
      <c r="S849" s="465"/>
      <c r="T849" s="465"/>
      <c r="U849" s="465"/>
      <c r="V849" s="465"/>
      <c r="W849" s="465"/>
      <c r="X849" s="465"/>
      <c r="Y849" s="465"/>
      <c r="Z849" s="465"/>
      <c r="AA849" s="465"/>
      <c r="AB849" s="465"/>
      <c r="AC849" s="465"/>
      <c r="AD849" s="465"/>
      <c r="AE849" s="465"/>
      <c r="AF849" s="465"/>
      <c r="AG849" s="465"/>
      <c r="AH849" s="465"/>
      <c r="AI849" s="465"/>
      <c r="AJ849" s="465"/>
      <c r="AK849" s="465"/>
      <c r="AL849" s="465"/>
      <c r="AM849" s="465"/>
      <c r="AN849" s="465"/>
      <c r="AO849" s="465"/>
      <c r="AP849" s="465"/>
      <c r="AQ849" s="465"/>
      <c r="AR849" s="465"/>
      <c r="AS849" s="465"/>
      <c r="AT849" s="465"/>
      <c r="AU849" s="465"/>
      <c r="AV849" s="465"/>
      <c r="AW849" s="465"/>
      <c r="AX849" s="465"/>
      <c r="AY849" s="465"/>
      <c r="AZ849" s="465"/>
      <c r="BA849" s="465"/>
      <c r="BB849" s="465"/>
      <c r="BC849" s="465"/>
    </row>
    <row r="850" spans="1:55">
      <c r="A850" s="465"/>
      <c r="B850" s="465"/>
      <c r="C850" s="465"/>
      <c r="D850" s="467"/>
      <c r="E850" s="465"/>
      <c r="F850" s="465"/>
      <c r="G850" s="465"/>
      <c r="H850" s="465"/>
      <c r="I850" s="465"/>
      <c r="J850" s="465"/>
      <c r="K850" s="465"/>
      <c r="L850" s="465"/>
      <c r="M850" s="465"/>
      <c r="N850" s="465"/>
      <c r="O850" s="465"/>
      <c r="P850" s="465"/>
      <c r="Q850" s="465"/>
      <c r="R850" s="465"/>
      <c r="S850" s="465"/>
      <c r="T850" s="465"/>
      <c r="U850" s="465"/>
      <c r="V850" s="465"/>
      <c r="W850" s="465"/>
      <c r="X850" s="465"/>
      <c r="Y850" s="465"/>
      <c r="Z850" s="465"/>
      <c r="AA850" s="465"/>
      <c r="AB850" s="465"/>
      <c r="AC850" s="465"/>
      <c r="AD850" s="465"/>
      <c r="AE850" s="465"/>
      <c r="AF850" s="465"/>
      <c r="AG850" s="465"/>
      <c r="AH850" s="465"/>
      <c r="AI850" s="465"/>
      <c r="AJ850" s="465"/>
      <c r="AK850" s="465"/>
      <c r="AL850" s="465"/>
      <c r="AM850" s="465"/>
      <c r="AN850" s="465"/>
      <c r="AO850" s="465"/>
      <c r="AP850" s="465"/>
      <c r="AQ850" s="465"/>
      <c r="AR850" s="465"/>
      <c r="AS850" s="465"/>
      <c r="AT850" s="465"/>
      <c r="AU850" s="465"/>
      <c r="AV850" s="465"/>
      <c r="AW850" s="465"/>
      <c r="AX850" s="465"/>
      <c r="AY850" s="465"/>
      <c r="AZ850" s="465"/>
      <c r="BA850" s="465"/>
      <c r="BB850" s="465"/>
      <c r="BC850" s="465"/>
    </row>
    <row r="851" spans="1:55">
      <c r="A851" s="465"/>
      <c r="B851" s="465"/>
      <c r="C851" s="465"/>
      <c r="D851" s="467"/>
      <c r="E851" s="465"/>
      <c r="F851" s="465"/>
      <c r="G851" s="465"/>
      <c r="H851" s="465"/>
      <c r="I851" s="465"/>
      <c r="J851" s="465"/>
      <c r="K851" s="465"/>
      <c r="L851" s="465"/>
      <c r="M851" s="465"/>
      <c r="N851" s="465"/>
      <c r="O851" s="465"/>
      <c r="P851" s="465"/>
      <c r="Q851" s="465"/>
      <c r="R851" s="465"/>
      <c r="S851" s="465"/>
      <c r="T851" s="465"/>
      <c r="U851" s="465"/>
      <c r="V851" s="465"/>
      <c r="W851" s="465"/>
      <c r="X851" s="465"/>
      <c r="Y851" s="465"/>
      <c r="Z851" s="465"/>
      <c r="AA851" s="465"/>
      <c r="AB851" s="465"/>
      <c r="AC851" s="465"/>
      <c r="AD851" s="465"/>
      <c r="AE851" s="465"/>
      <c r="AF851" s="465"/>
      <c r="AG851" s="465"/>
      <c r="AH851" s="465"/>
      <c r="AI851" s="465"/>
      <c r="AJ851" s="465"/>
      <c r="AK851" s="465"/>
      <c r="AL851" s="465"/>
      <c r="AM851" s="465"/>
      <c r="AN851" s="465"/>
      <c r="AO851" s="465"/>
      <c r="AP851" s="465"/>
      <c r="AQ851" s="465"/>
      <c r="AR851" s="465"/>
      <c r="AS851" s="465"/>
      <c r="AT851" s="465"/>
      <c r="AU851" s="465"/>
      <c r="AV851" s="465"/>
      <c r="AW851" s="465"/>
      <c r="AX851" s="465"/>
      <c r="AY851" s="465"/>
      <c r="AZ851" s="465"/>
      <c r="BA851" s="465"/>
      <c r="BB851" s="465"/>
      <c r="BC851" s="465"/>
    </row>
    <row r="852" spans="1:55">
      <c r="A852" s="465"/>
      <c r="B852" s="465"/>
      <c r="C852" s="465"/>
      <c r="D852" s="467"/>
      <c r="E852" s="465"/>
      <c r="F852" s="465"/>
      <c r="G852" s="465"/>
      <c r="H852" s="465"/>
      <c r="I852" s="465"/>
      <c r="J852" s="465"/>
      <c r="K852" s="465"/>
      <c r="L852" s="465"/>
      <c r="M852" s="465"/>
      <c r="N852" s="465"/>
      <c r="O852" s="465"/>
      <c r="P852" s="465"/>
      <c r="Q852" s="465"/>
      <c r="R852" s="465"/>
      <c r="S852" s="465"/>
      <c r="T852" s="465"/>
      <c r="U852" s="465"/>
      <c r="V852" s="465"/>
      <c r="W852" s="465"/>
      <c r="X852" s="465"/>
      <c r="Y852" s="465"/>
      <c r="Z852" s="465"/>
      <c r="AA852" s="465"/>
      <c r="AB852" s="465"/>
      <c r="AC852" s="465"/>
      <c r="AD852" s="465"/>
      <c r="AE852" s="465"/>
      <c r="AF852" s="465"/>
      <c r="AG852" s="465"/>
      <c r="AH852" s="465"/>
      <c r="AI852" s="465"/>
      <c r="AJ852" s="465"/>
      <c r="AK852" s="465"/>
      <c r="AL852" s="465"/>
      <c r="AM852" s="465"/>
      <c r="AN852" s="465"/>
      <c r="AO852" s="465"/>
      <c r="AP852" s="465"/>
      <c r="AQ852" s="465"/>
      <c r="AR852" s="465"/>
      <c r="AS852" s="465"/>
      <c r="AT852" s="465"/>
      <c r="AU852" s="465"/>
      <c r="AV852" s="465"/>
      <c r="AW852" s="465"/>
      <c r="AX852" s="465"/>
      <c r="AY852" s="465"/>
      <c r="AZ852" s="465"/>
      <c r="BA852" s="465"/>
      <c r="BB852" s="465"/>
      <c r="BC852" s="465"/>
    </row>
    <row r="853" spans="1:55">
      <c r="A853" s="465"/>
      <c r="B853" s="465"/>
      <c r="C853" s="465"/>
      <c r="D853" s="467"/>
      <c r="E853" s="465"/>
      <c r="F853" s="465"/>
      <c r="G853" s="465"/>
      <c r="H853" s="465"/>
      <c r="I853" s="465"/>
      <c r="J853" s="465"/>
      <c r="K853" s="465"/>
      <c r="L853" s="465"/>
      <c r="M853" s="465"/>
      <c r="N853" s="465"/>
      <c r="O853" s="465"/>
      <c r="P853" s="465"/>
      <c r="Q853" s="465"/>
      <c r="R853" s="465"/>
      <c r="S853" s="465"/>
      <c r="T853" s="465"/>
      <c r="U853" s="465"/>
      <c r="V853" s="465"/>
      <c r="W853" s="465"/>
      <c r="X853" s="465"/>
      <c r="Y853" s="465"/>
      <c r="Z853" s="465"/>
      <c r="AA853" s="465"/>
      <c r="AB853" s="465"/>
      <c r="AC853" s="465"/>
      <c r="AD853" s="465"/>
      <c r="AE853" s="465"/>
      <c r="AF853" s="465"/>
      <c r="AG853" s="465"/>
      <c r="AH853" s="465"/>
      <c r="AI853" s="465"/>
      <c r="AJ853" s="465"/>
      <c r="AK853" s="465"/>
      <c r="AL853" s="465"/>
      <c r="AM853" s="465"/>
      <c r="AN853" s="465"/>
      <c r="AO853" s="465"/>
      <c r="AP853" s="465"/>
      <c r="AQ853" s="465"/>
      <c r="AR853" s="465"/>
      <c r="AS853" s="465"/>
      <c r="AT853" s="465"/>
      <c r="AU853" s="465"/>
      <c r="AV853" s="465"/>
      <c r="AW853" s="465"/>
      <c r="AX853" s="465"/>
      <c r="AY853" s="465"/>
      <c r="AZ853" s="465"/>
      <c r="BA853" s="465"/>
      <c r="BB853" s="465"/>
      <c r="BC853" s="465"/>
    </row>
    <row r="854" spans="1:55">
      <c r="A854" s="465"/>
      <c r="B854" s="465"/>
      <c r="C854" s="465"/>
      <c r="D854" s="467"/>
      <c r="E854" s="465"/>
      <c r="F854" s="465"/>
      <c r="G854" s="465"/>
      <c r="H854" s="465"/>
      <c r="I854" s="465"/>
      <c r="J854" s="465"/>
      <c r="K854" s="465"/>
      <c r="L854" s="465"/>
      <c r="M854" s="465"/>
      <c r="N854" s="465"/>
      <c r="O854" s="465"/>
      <c r="P854" s="465"/>
      <c r="Q854" s="465"/>
      <c r="R854" s="465"/>
      <c r="S854" s="465"/>
      <c r="T854" s="465"/>
      <c r="U854" s="465"/>
      <c r="V854" s="465"/>
      <c r="W854" s="465"/>
      <c r="X854" s="465"/>
      <c r="Y854" s="465"/>
      <c r="Z854" s="465"/>
      <c r="AA854" s="465"/>
      <c r="AB854" s="465"/>
      <c r="AC854" s="465"/>
      <c r="AD854" s="465"/>
      <c r="AE854" s="465"/>
      <c r="AF854" s="465"/>
      <c r="AG854" s="465"/>
      <c r="AH854" s="465"/>
      <c r="AI854" s="465"/>
      <c r="AJ854" s="465"/>
      <c r="AK854" s="465"/>
      <c r="AL854" s="465"/>
      <c r="AM854" s="465"/>
      <c r="AN854" s="465"/>
      <c r="AO854" s="465"/>
      <c r="AP854" s="465"/>
      <c r="AQ854" s="465"/>
      <c r="AR854" s="465"/>
      <c r="AS854" s="465"/>
      <c r="AT854" s="465"/>
      <c r="AU854" s="465"/>
      <c r="AV854" s="465"/>
      <c r="AW854" s="465"/>
      <c r="AX854" s="465"/>
      <c r="AY854" s="465"/>
      <c r="AZ854" s="465"/>
      <c r="BA854" s="465"/>
      <c r="BB854" s="465"/>
      <c r="BC854" s="465"/>
    </row>
    <row r="855" spans="1:55">
      <c r="A855" s="465"/>
      <c r="B855" s="465"/>
      <c r="C855" s="465"/>
      <c r="D855" s="467"/>
      <c r="E855" s="465"/>
      <c r="F855" s="465"/>
      <c r="G855" s="465"/>
      <c r="H855" s="465"/>
      <c r="I855" s="465"/>
      <c r="J855" s="465"/>
      <c r="K855" s="465"/>
      <c r="L855" s="465"/>
      <c r="M855" s="465"/>
      <c r="N855" s="465"/>
      <c r="O855" s="465"/>
      <c r="P855" s="465"/>
      <c r="Q855" s="465"/>
      <c r="R855" s="465"/>
      <c r="S855" s="465"/>
      <c r="T855" s="465"/>
      <c r="U855" s="465"/>
      <c r="V855" s="465"/>
      <c r="W855" s="465"/>
      <c r="X855" s="465"/>
      <c r="Y855" s="465"/>
      <c r="Z855" s="465"/>
      <c r="AA855" s="465"/>
      <c r="AB855" s="465"/>
      <c r="AC855" s="465"/>
      <c r="AD855" s="465"/>
      <c r="AE855" s="465"/>
      <c r="AF855" s="465"/>
      <c r="AG855" s="465"/>
      <c r="AH855" s="465"/>
      <c r="AI855" s="465"/>
      <c r="AJ855" s="465"/>
      <c r="AK855" s="465"/>
      <c r="AL855" s="465"/>
      <c r="AM855" s="465"/>
      <c r="AN855" s="465"/>
      <c r="AO855" s="465"/>
      <c r="AP855" s="465"/>
      <c r="AQ855" s="465"/>
      <c r="AR855" s="465"/>
      <c r="AS855" s="465"/>
      <c r="AT855" s="465"/>
      <c r="AU855" s="465"/>
      <c r="AV855" s="465"/>
      <c r="AW855" s="465"/>
      <c r="AX855" s="465"/>
      <c r="AY855" s="465"/>
      <c r="AZ855" s="465"/>
      <c r="BA855" s="465"/>
      <c r="BB855" s="465"/>
      <c r="BC855" s="465"/>
    </row>
    <row r="856" spans="1:55">
      <c r="A856" s="465"/>
      <c r="B856" s="465"/>
      <c r="C856" s="465"/>
      <c r="D856" s="467"/>
      <c r="E856" s="465"/>
      <c r="F856" s="465"/>
      <c r="G856" s="465"/>
      <c r="H856" s="465"/>
      <c r="I856" s="465"/>
      <c r="J856" s="465"/>
      <c r="K856" s="465"/>
      <c r="L856" s="465"/>
      <c r="M856" s="465"/>
      <c r="N856" s="465"/>
      <c r="O856" s="465"/>
      <c r="P856" s="465"/>
      <c r="Q856" s="465"/>
      <c r="R856" s="465"/>
      <c r="S856" s="465"/>
      <c r="T856" s="465"/>
      <c r="U856" s="465"/>
      <c r="V856" s="465"/>
      <c r="W856" s="465"/>
      <c r="X856" s="465"/>
      <c r="Y856" s="465"/>
      <c r="Z856" s="465"/>
      <c r="AA856" s="465"/>
      <c r="AB856" s="465"/>
      <c r="AC856" s="465"/>
      <c r="AD856" s="465"/>
      <c r="AE856" s="465"/>
      <c r="AF856" s="465"/>
      <c r="AG856" s="465"/>
      <c r="AH856" s="465"/>
      <c r="AI856" s="465"/>
      <c r="AJ856" s="465"/>
      <c r="AK856" s="465"/>
      <c r="AL856" s="465"/>
      <c r="AM856" s="465"/>
      <c r="AN856" s="465"/>
      <c r="AO856" s="465"/>
      <c r="AP856" s="465"/>
      <c r="AQ856" s="465"/>
      <c r="AR856" s="465"/>
      <c r="AS856" s="465"/>
      <c r="AT856" s="465"/>
      <c r="AU856" s="465"/>
      <c r="AV856" s="465"/>
      <c r="AW856" s="465"/>
      <c r="AX856" s="465"/>
      <c r="AY856" s="465"/>
      <c r="AZ856" s="465"/>
      <c r="BA856" s="465"/>
      <c r="BB856" s="465"/>
      <c r="BC856" s="465"/>
    </row>
    <row r="857" spans="1:55">
      <c r="A857" s="465"/>
      <c r="B857" s="465"/>
      <c r="C857" s="465"/>
      <c r="D857" s="467"/>
      <c r="E857" s="465"/>
      <c r="F857" s="465"/>
      <c r="G857" s="465"/>
      <c r="H857" s="465"/>
      <c r="I857" s="465"/>
      <c r="J857" s="465"/>
      <c r="K857" s="465"/>
      <c r="L857" s="465"/>
      <c r="M857" s="465"/>
      <c r="N857" s="465"/>
      <c r="O857" s="465"/>
      <c r="P857" s="465"/>
      <c r="Q857" s="465"/>
      <c r="R857" s="465"/>
      <c r="S857" s="465"/>
      <c r="T857" s="465"/>
      <c r="U857" s="465"/>
      <c r="V857" s="465"/>
      <c r="W857" s="465"/>
      <c r="X857" s="465"/>
      <c r="Y857" s="465"/>
      <c r="Z857" s="465"/>
      <c r="AA857" s="465"/>
      <c r="AB857" s="465"/>
      <c r="AC857" s="465"/>
      <c r="AD857" s="465"/>
      <c r="AE857" s="465"/>
      <c r="AF857" s="465"/>
      <c r="AG857" s="465"/>
      <c r="AH857" s="465"/>
      <c r="AI857" s="465"/>
      <c r="AJ857" s="465"/>
      <c r="AK857" s="465"/>
      <c r="AL857" s="465"/>
      <c r="AM857" s="465"/>
      <c r="AN857" s="465"/>
      <c r="AO857" s="465"/>
      <c r="AP857" s="465"/>
      <c r="AQ857" s="465"/>
      <c r="AR857" s="465"/>
      <c r="AS857" s="465"/>
      <c r="AT857" s="465"/>
      <c r="AU857" s="465"/>
      <c r="AV857" s="465"/>
      <c r="AW857" s="465"/>
      <c r="AX857" s="465"/>
      <c r="AY857" s="465"/>
      <c r="AZ857" s="465"/>
      <c r="BA857" s="465"/>
      <c r="BB857" s="465"/>
      <c r="BC857" s="465"/>
    </row>
    <row r="858" spans="1:55">
      <c r="A858" s="465"/>
      <c r="B858" s="465"/>
      <c r="C858" s="465"/>
      <c r="D858" s="467"/>
      <c r="E858" s="465"/>
      <c r="F858" s="465"/>
      <c r="G858" s="465"/>
      <c r="H858" s="465"/>
      <c r="I858" s="465"/>
      <c r="J858" s="465"/>
      <c r="K858" s="465"/>
      <c r="L858" s="465"/>
      <c r="M858" s="465"/>
      <c r="N858" s="465"/>
      <c r="O858" s="465"/>
      <c r="P858" s="465"/>
      <c r="Q858" s="465"/>
      <c r="R858" s="465"/>
      <c r="S858" s="465"/>
      <c r="T858" s="465"/>
      <c r="U858" s="465"/>
      <c r="V858" s="465"/>
      <c r="W858" s="465"/>
      <c r="X858" s="465"/>
      <c r="Y858" s="465"/>
      <c r="Z858" s="465"/>
      <c r="AA858" s="465"/>
      <c r="AB858" s="465"/>
      <c r="AC858" s="465"/>
      <c r="AD858" s="465"/>
      <c r="AE858" s="465"/>
      <c r="AF858" s="465"/>
      <c r="AG858" s="465"/>
      <c r="AH858" s="465"/>
      <c r="AI858" s="465"/>
      <c r="AJ858" s="465"/>
      <c r="AK858" s="465"/>
      <c r="AL858" s="465"/>
      <c r="AM858" s="465"/>
      <c r="AN858" s="465"/>
      <c r="AO858" s="465"/>
      <c r="AP858" s="465"/>
      <c r="AQ858" s="465"/>
      <c r="AR858" s="465"/>
      <c r="AS858" s="465"/>
      <c r="AT858" s="465"/>
      <c r="AU858" s="465"/>
      <c r="AV858" s="465"/>
      <c r="AW858" s="465"/>
      <c r="AX858" s="465"/>
      <c r="AY858" s="465"/>
      <c r="AZ858" s="465"/>
      <c r="BA858" s="465"/>
      <c r="BB858" s="465"/>
      <c r="BC858" s="465"/>
    </row>
    <row r="859" spans="1:55">
      <c r="A859" s="465"/>
      <c r="B859" s="465"/>
      <c r="C859" s="465"/>
      <c r="D859" s="467"/>
      <c r="E859" s="465"/>
      <c r="F859" s="465"/>
      <c r="G859" s="465"/>
      <c r="H859" s="465"/>
      <c r="I859" s="465"/>
      <c r="J859" s="465"/>
      <c r="K859" s="465"/>
      <c r="L859" s="465"/>
      <c r="M859" s="465"/>
      <c r="N859" s="465"/>
      <c r="O859" s="465"/>
      <c r="P859" s="465"/>
      <c r="Q859" s="465"/>
      <c r="R859" s="465"/>
      <c r="S859" s="465"/>
      <c r="T859" s="465"/>
      <c r="U859" s="465"/>
      <c r="V859" s="465"/>
      <c r="W859" s="465"/>
      <c r="X859" s="465"/>
      <c r="Y859" s="465"/>
      <c r="Z859" s="465"/>
      <c r="AA859" s="465"/>
      <c r="AB859" s="465"/>
      <c r="AC859" s="465"/>
      <c r="AD859" s="465"/>
      <c r="AE859" s="465"/>
      <c r="AF859" s="465"/>
      <c r="AG859" s="465"/>
      <c r="AH859" s="465"/>
      <c r="AI859" s="465"/>
      <c r="AJ859" s="465"/>
      <c r="AK859" s="465"/>
      <c r="AL859" s="465"/>
      <c r="AM859" s="465"/>
      <c r="AN859" s="465"/>
      <c r="AO859" s="465"/>
      <c r="AP859" s="465"/>
      <c r="AQ859" s="465"/>
      <c r="AR859" s="465"/>
      <c r="AS859" s="465"/>
      <c r="AT859" s="465"/>
      <c r="AU859" s="465"/>
      <c r="AV859" s="465"/>
      <c r="AW859" s="465"/>
      <c r="AX859" s="465"/>
      <c r="AY859" s="465"/>
      <c r="AZ859" s="465"/>
      <c r="BA859" s="465"/>
      <c r="BB859" s="465"/>
      <c r="BC859" s="465"/>
    </row>
    <row r="860" spans="1:55">
      <c r="A860" s="465"/>
      <c r="B860" s="465"/>
      <c r="C860" s="465"/>
      <c r="D860" s="467"/>
      <c r="E860" s="465"/>
      <c r="F860" s="465"/>
      <c r="G860" s="465"/>
      <c r="H860" s="465"/>
      <c r="I860" s="465"/>
      <c r="J860" s="465"/>
      <c r="K860" s="465"/>
      <c r="L860" s="465"/>
      <c r="M860" s="465"/>
      <c r="N860" s="465"/>
      <c r="O860" s="465"/>
      <c r="P860" s="465"/>
      <c r="Q860" s="465"/>
      <c r="R860" s="465"/>
      <c r="S860" s="465"/>
      <c r="T860" s="465"/>
      <c r="U860" s="465"/>
      <c r="V860" s="465"/>
      <c r="W860" s="465"/>
      <c r="X860" s="465"/>
      <c r="Y860" s="465"/>
      <c r="Z860" s="465"/>
      <c r="AA860" s="465"/>
      <c r="AB860" s="465"/>
      <c r="AC860" s="465"/>
      <c r="AD860" s="465"/>
      <c r="AE860" s="465"/>
      <c r="AF860" s="465"/>
      <c r="AG860" s="465"/>
      <c r="AH860" s="465"/>
      <c r="AI860" s="465"/>
      <c r="AJ860" s="465"/>
      <c r="AK860" s="465"/>
      <c r="AL860" s="465"/>
      <c r="AM860" s="465"/>
      <c r="AN860" s="465"/>
      <c r="AO860" s="465"/>
      <c r="AP860" s="465"/>
      <c r="AQ860" s="465"/>
      <c r="AR860" s="465"/>
      <c r="AS860" s="465"/>
      <c r="AT860" s="465"/>
      <c r="AU860" s="465"/>
      <c r="AV860" s="465"/>
      <c r="AW860" s="465"/>
      <c r="AX860" s="465"/>
      <c r="AY860" s="465"/>
      <c r="AZ860" s="465"/>
      <c r="BA860" s="465"/>
      <c r="BB860" s="465"/>
      <c r="BC860" s="465"/>
    </row>
    <row r="861" spans="1:55">
      <c r="A861" s="465"/>
      <c r="B861" s="465"/>
      <c r="C861" s="465"/>
      <c r="D861" s="467"/>
      <c r="E861" s="465"/>
      <c r="F861" s="465"/>
      <c r="G861" s="465"/>
      <c r="H861" s="465"/>
      <c r="I861" s="465"/>
      <c r="J861" s="465"/>
      <c r="K861" s="465"/>
      <c r="L861" s="465"/>
      <c r="M861" s="465"/>
      <c r="N861" s="465"/>
      <c r="O861" s="465"/>
      <c r="P861" s="465"/>
      <c r="Q861" s="465"/>
      <c r="R861" s="465"/>
      <c r="S861" s="465"/>
      <c r="T861" s="465"/>
      <c r="U861" s="465"/>
      <c r="V861" s="465"/>
      <c r="W861" s="465"/>
      <c r="X861" s="465"/>
      <c r="Y861" s="465"/>
      <c r="Z861" s="465"/>
      <c r="AA861" s="465"/>
      <c r="AB861" s="465"/>
      <c r="AC861" s="465"/>
      <c r="AD861" s="465"/>
      <c r="AE861" s="465"/>
      <c r="AF861" s="465"/>
      <c r="AG861" s="465"/>
      <c r="AH861" s="465"/>
      <c r="AI861" s="465"/>
      <c r="AJ861" s="465"/>
      <c r="AK861" s="465"/>
      <c r="AL861" s="465"/>
      <c r="AM861" s="465"/>
      <c r="AN861" s="465"/>
      <c r="AO861" s="465"/>
      <c r="AP861" s="465"/>
      <c r="AQ861" s="465"/>
      <c r="AR861" s="465"/>
      <c r="AS861" s="465"/>
      <c r="AT861" s="465"/>
      <c r="AU861" s="465"/>
      <c r="AV861" s="465"/>
      <c r="AW861" s="465"/>
      <c r="AX861" s="465"/>
      <c r="AY861" s="465"/>
      <c r="AZ861" s="465"/>
      <c r="BA861" s="465"/>
      <c r="BB861" s="465"/>
      <c r="BC861" s="465"/>
    </row>
    <row r="862" spans="1:55">
      <c r="A862" s="465"/>
      <c r="B862" s="465"/>
      <c r="C862" s="465"/>
      <c r="D862" s="467"/>
      <c r="E862" s="465"/>
      <c r="F862" s="465"/>
      <c r="G862" s="465"/>
      <c r="H862" s="465"/>
      <c r="I862" s="465"/>
      <c r="J862" s="465"/>
      <c r="K862" s="465"/>
      <c r="L862" s="465"/>
      <c r="M862" s="465"/>
      <c r="N862" s="465"/>
      <c r="O862" s="465"/>
      <c r="P862" s="465"/>
      <c r="Q862" s="465"/>
      <c r="R862" s="465"/>
      <c r="S862" s="465"/>
      <c r="T862" s="465"/>
      <c r="U862" s="465"/>
      <c r="V862" s="465"/>
      <c r="W862" s="465"/>
      <c r="X862" s="465"/>
      <c r="Y862" s="465"/>
      <c r="Z862" s="465"/>
      <c r="AA862" s="465"/>
      <c r="AB862" s="465"/>
      <c r="AC862" s="465"/>
      <c r="AD862" s="465"/>
      <c r="AE862" s="465"/>
      <c r="AF862" s="465"/>
      <c r="AG862" s="465"/>
      <c r="AH862" s="465"/>
      <c r="AI862" s="465"/>
      <c r="AJ862" s="465"/>
      <c r="AK862" s="465"/>
      <c r="AL862" s="465"/>
      <c r="AM862" s="465"/>
      <c r="AN862" s="465"/>
      <c r="AO862" s="465"/>
      <c r="AP862" s="465"/>
      <c r="AQ862" s="465"/>
      <c r="AR862" s="465"/>
      <c r="AS862" s="465"/>
      <c r="AT862" s="465"/>
      <c r="AU862" s="465"/>
      <c r="AV862" s="465"/>
      <c r="AW862" s="465"/>
      <c r="AX862" s="465"/>
      <c r="AY862" s="465"/>
      <c r="AZ862" s="465"/>
      <c r="BA862" s="465"/>
      <c r="BB862" s="465"/>
      <c r="BC862" s="465"/>
    </row>
    <row r="863" spans="1:55">
      <c r="A863" s="465"/>
      <c r="B863" s="465"/>
      <c r="C863" s="465"/>
      <c r="D863" s="467"/>
      <c r="E863" s="465"/>
      <c r="F863" s="465"/>
      <c r="G863" s="465"/>
      <c r="H863" s="465"/>
      <c r="I863" s="465"/>
      <c r="J863" s="465"/>
      <c r="K863" s="465"/>
      <c r="L863" s="465"/>
      <c r="M863" s="465"/>
      <c r="N863" s="465"/>
      <c r="O863" s="465"/>
      <c r="P863" s="465"/>
      <c r="Q863" s="465"/>
      <c r="R863" s="465"/>
      <c r="S863" s="465"/>
      <c r="T863" s="465"/>
      <c r="U863" s="465"/>
      <c r="V863" s="465"/>
      <c r="W863" s="465"/>
      <c r="X863" s="465"/>
      <c r="Y863" s="465"/>
      <c r="Z863" s="465"/>
      <c r="AA863" s="465"/>
      <c r="AB863" s="465"/>
      <c r="AC863" s="465"/>
      <c r="AD863" s="465"/>
      <c r="AE863" s="465"/>
      <c r="AF863" s="465"/>
      <c r="AG863" s="465"/>
      <c r="AH863" s="465"/>
      <c r="AI863" s="465"/>
      <c r="AJ863" s="465"/>
      <c r="AK863" s="465"/>
      <c r="AL863" s="465"/>
      <c r="AM863" s="465"/>
      <c r="AN863" s="465"/>
      <c r="AO863" s="465"/>
      <c r="AP863" s="465"/>
      <c r="AQ863" s="465"/>
      <c r="AR863" s="465"/>
      <c r="AS863" s="465"/>
      <c r="AT863" s="465"/>
      <c r="AU863" s="465"/>
      <c r="AV863" s="465"/>
      <c r="AW863" s="465"/>
      <c r="AX863" s="465"/>
      <c r="AY863" s="465"/>
      <c r="AZ863" s="465"/>
      <c r="BA863" s="465"/>
      <c r="BB863" s="465"/>
      <c r="BC863" s="465"/>
    </row>
    <row r="864" spans="1:55">
      <c r="A864" s="465"/>
      <c r="B864" s="465"/>
      <c r="C864" s="465"/>
      <c r="D864" s="467"/>
      <c r="E864" s="465"/>
      <c r="F864" s="465"/>
      <c r="G864" s="465"/>
      <c r="H864" s="465"/>
      <c r="I864" s="465"/>
      <c r="J864" s="465"/>
      <c r="K864" s="465"/>
      <c r="L864" s="465"/>
      <c r="M864" s="465"/>
      <c r="N864" s="465"/>
      <c r="O864" s="465"/>
      <c r="P864" s="465"/>
      <c r="Q864" s="465"/>
      <c r="R864" s="465"/>
      <c r="S864" s="465"/>
      <c r="T864" s="465"/>
      <c r="U864" s="465"/>
      <c r="V864" s="465"/>
      <c r="W864" s="465"/>
      <c r="X864" s="465"/>
      <c r="Y864" s="465"/>
      <c r="Z864" s="465"/>
      <c r="AA864" s="465"/>
      <c r="AB864" s="465"/>
      <c r="AC864" s="465"/>
      <c r="AD864" s="465"/>
      <c r="AE864" s="465"/>
      <c r="AF864" s="465"/>
      <c r="AG864" s="465"/>
      <c r="AH864" s="465"/>
      <c r="AI864" s="465"/>
      <c r="AJ864" s="465"/>
      <c r="AK864" s="465"/>
      <c r="AL864" s="465"/>
      <c r="AM864" s="465"/>
      <c r="AN864" s="465"/>
      <c r="AO864" s="465"/>
      <c r="AP864" s="465"/>
      <c r="AQ864" s="465"/>
      <c r="AR864" s="465"/>
      <c r="AS864" s="465"/>
      <c r="AT864" s="465"/>
      <c r="AU864" s="465"/>
      <c r="AV864" s="465"/>
      <c r="AW864" s="465"/>
      <c r="AX864" s="465"/>
      <c r="AY864" s="465"/>
      <c r="AZ864" s="465"/>
      <c r="BA864" s="465"/>
      <c r="BB864" s="465"/>
      <c r="BC864" s="465"/>
    </row>
    <row r="865" spans="1:55">
      <c r="A865" s="465"/>
      <c r="B865" s="465"/>
      <c r="C865" s="465"/>
      <c r="D865" s="467"/>
      <c r="E865" s="465"/>
      <c r="F865" s="465"/>
      <c r="G865" s="465"/>
      <c r="H865" s="465"/>
      <c r="I865" s="465"/>
      <c r="J865" s="465"/>
      <c r="K865" s="465"/>
      <c r="L865" s="465"/>
      <c r="M865" s="465"/>
      <c r="N865" s="465"/>
      <c r="O865" s="465"/>
      <c r="P865" s="465"/>
      <c r="Q865" s="465"/>
      <c r="R865" s="465"/>
      <c r="S865" s="465"/>
      <c r="T865" s="465"/>
      <c r="U865" s="465"/>
      <c r="V865" s="465"/>
      <c r="W865" s="465"/>
      <c r="X865" s="465"/>
      <c r="Y865" s="465"/>
      <c r="Z865" s="465"/>
      <c r="AA865" s="465"/>
      <c r="AB865" s="465"/>
      <c r="AC865" s="465"/>
      <c r="AD865" s="465"/>
      <c r="AE865" s="465"/>
      <c r="AF865" s="465"/>
      <c r="AG865" s="465"/>
      <c r="AH865" s="465"/>
      <c r="AI865" s="465"/>
      <c r="AJ865" s="465"/>
      <c r="AK865" s="465"/>
      <c r="AL865" s="465"/>
      <c r="AM865" s="465"/>
      <c r="AN865" s="465"/>
      <c r="AO865" s="465"/>
      <c r="AP865" s="465"/>
      <c r="AQ865" s="465"/>
      <c r="AR865" s="465"/>
      <c r="AS865" s="465"/>
      <c r="AT865" s="465"/>
      <c r="AU865" s="465"/>
      <c r="AV865" s="465"/>
      <c r="AW865" s="465"/>
      <c r="AX865" s="465"/>
      <c r="AY865" s="465"/>
      <c r="AZ865" s="465"/>
      <c r="BA865" s="465"/>
      <c r="BB865" s="465"/>
      <c r="BC865" s="465"/>
    </row>
    <row r="866" spans="1:55">
      <c r="A866" s="465"/>
      <c r="B866" s="465"/>
      <c r="C866" s="465"/>
      <c r="D866" s="467"/>
      <c r="E866" s="465"/>
      <c r="F866" s="465"/>
      <c r="G866" s="465"/>
      <c r="H866" s="465"/>
      <c r="I866" s="465"/>
      <c r="J866" s="465"/>
      <c r="K866" s="465"/>
      <c r="L866" s="465"/>
      <c r="M866" s="465"/>
      <c r="N866" s="465"/>
      <c r="O866" s="465"/>
      <c r="P866" s="465"/>
      <c r="Q866" s="465"/>
      <c r="R866" s="465"/>
      <c r="S866" s="465"/>
      <c r="T866" s="465"/>
      <c r="U866" s="465"/>
      <c r="V866" s="465"/>
      <c r="W866" s="465"/>
      <c r="X866" s="465"/>
      <c r="Y866" s="465"/>
      <c r="Z866" s="465"/>
      <c r="AA866" s="465"/>
      <c r="AB866" s="465"/>
      <c r="AC866" s="465"/>
      <c r="AD866" s="465"/>
      <c r="AE866" s="465"/>
      <c r="AF866" s="465"/>
      <c r="AG866" s="465"/>
      <c r="AH866" s="465"/>
      <c r="AI866" s="465"/>
      <c r="AJ866" s="465"/>
      <c r="AK866" s="465"/>
      <c r="AL866" s="465"/>
      <c r="AM866" s="465"/>
      <c r="AN866" s="465"/>
      <c r="AO866" s="465"/>
      <c r="AP866" s="465"/>
      <c r="AQ866" s="465"/>
      <c r="AR866" s="465"/>
      <c r="AS866" s="465"/>
      <c r="AT866" s="465"/>
      <c r="AU866" s="465"/>
      <c r="AV866" s="465"/>
      <c r="AW866" s="465"/>
      <c r="AX866" s="465"/>
      <c r="AY866" s="465"/>
      <c r="AZ866" s="465"/>
      <c r="BA866" s="465"/>
      <c r="BB866" s="465"/>
      <c r="BC866" s="465"/>
    </row>
    <row r="867" spans="1:55">
      <c r="A867" s="465"/>
      <c r="B867" s="465"/>
      <c r="C867" s="465"/>
      <c r="D867" s="467"/>
      <c r="E867" s="465"/>
      <c r="F867" s="465"/>
      <c r="G867" s="465"/>
      <c r="H867" s="465"/>
      <c r="I867" s="465"/>
      <c r="J867" s="465"/>
      <c r="K867" s="465"/>
      <c r="L867" s="465"/>
      <c r="M867" s="465"/>
      <c r="N867" s="465"/>
      <c r="O867" s="465"/>
      <c r="P867" s="465"/>
      <c r="Q867" s="465"/>
      <c r="R867" s="465"/>
      <c r="S867" s="465"/>
      <c r="T867" s="465"/>
      <c r="U867" s="465"/>
      <c r="V867" s="465"/>
      <c r="W867" s="465"/>
      <c r="X867" s="465"/>
      <c r="Y867" s="465"/>
      <c r="Z867" s="465"/>
      <c r="AA867" s="465"/>
      <c r="AB867" s="465"/>
      <c r="AC867" s="465"/>
      <c r="AD867" s="465"/>
      <c r="AE867" s="465"/>
      <c r="AF867" s="465"/>
      <c r="AG867" s="465"/>
      <c r="AH867" s="465"/>
      <c r="AI867" s="465"/>
      <c r="AJ867" s="465"/>
      <c r="AK867" s="465"/>
      <c r="AL867" s="465"/>
      <c r="AM867" s="465"/>
      <c r="AN867" s="465"/>
      <c r="AO867" s="465"/>
      <c r="AP867" s="465"/>
      <c r="AQ867" s="465"/>
      <c r="AR867" s="465"/>
      <c r="AS867" s="465"/>
      <c r="AT867" s="465"/>
      <c r="AU867" s="465"/>
      <c r="AV867" s="465"/>
      <c r="AW867" s="465"/>
      <c r="AX867" s="465"/>
      <c r="AY867" s="465"/>
      <c r="AZ867" s="465"/>
      <c r="BA867" s="465"/>
      <c r="BB867" s="465"/>
      <c r="BC867" s="465"/>
    </row>
    <row r="868" spans="1:55">
      <c r="A868" s="465"/>
      <c r="B868" s="465"/>
      <c r="C868" s="465"/>
      <c r="D868" s="467"/>
      <c r="E868" s="465"/>
      <c r="F868" s="465"/>
      <c r="G868" s="465"/>
      <c r="H868" s="465"/>
      <c r="I868" s="465"/>
      <c r="J868" s="465"/>
      <c r="K868" s="465"/>
      <c r="L868" s="465"/>
      <c r="M868" s="465"/>
      <c r="N868" s="465"/>
      <c r="O868" s="465"/>
      <c r="P868" s="465"/>
      <c r="Q868" s="465"/>
      <c r="R868" s="465"/>
      <c r="S868" s="465"/>
      <c r="T868" s="465"/>
      <c r="U868" s="465"/>
      <c r="V868" s="465"/>
      <c r="W868" s="465"/>
      <c r="X868" s="465"/>
      <c r="Y868" s="465"/>
      <c r="Z868" s="465"/>
      <c r="AA868" s="465"/>
      <c r="AB868" s="465"/>
      <c r="AC868" s="465"/>
      <c r="AD868" s="465"/>
      <c r="AE868" s="465"/>
      <c r="AF868" s="465"/>
      <c r="AG868" s="465"/>
      <c r="AH868" s="465"/>
      <c r="AI868" s="465"/>
      <c r="AJ868" s="465"/>
      <c r="AK868" s="465"/>
      <c r="AL868" s="465"/>
      <c r="AM868" s="465"/>
      <c r="AN868" s="465"/>
      <c r="AO868" s="465"/>
      <c r="AP868" s="465"/>
      <c r="AQ868" s="465"/>
      <c r="AR868" s="465"/>
      <c r="AS868" s="465"/>
      <c r="AT868" s="465"/>
      <c r="AU868" s="465"/>
      <c r="AV868" s="465"/>
      <c r="AW868" s="465"/>
      <c r="AX868" s="465"/>
      <c r="AY868" s="465"/>
      <c r="AZ868" s="465"/>
      <c r="BA868" s="465"/>
      <c r="BB868" s="465"/>
      <c r="BC868" s="465"/>
    </row>
    <row r="869" spans="1:55">
      <c r="A869" s="465"/>
      <c r="B869" s="465"/>
      <c r="C869" s="465"/>
      <c r="D869" s="467"/>
      <c r="E869" s="465"/>
      <c r="F869" s="465"/>
      <c r="G869" s="465"/>
      <c r="H869" s="465"/>
      <c r="I869" s="465"/>
      <c r="J869" s="465"/>
      <c r="K869" s="465"/>
      <c r="L869" s="465"/>
      <c r="M869" s="465"/>
      <c r="N869" s="465"/>
      <c r="O869" s="465"/>
      <c r="P869" s="465"/>
      <c r="Q869" s="465"/>
      <c r="R869" s="465"/>
      <c r="S869" s="465"/>
      <c r="T869" s="465"/>
      <c r="U869" s="465"/>
      <c r="V869" s="465"/>
      <c r="W869" s="465"/>
      <c r="X869" s="465"/>
      <c r="Y869" s="465"/>
      <c r="Z869" s="465"/>
      <c r="AA869" s="465"/>
      <c r="AB869" s="465"/>
      <c r="AC869" s="465"/>
      <c r="AD869" s="465"/>
      <c r="AE869" s="465"/>
      <c r="AF869" s="465"/>
      <c r="AG869" s="465"/>
      <c r="AH869" s="465"/>
      <c r="AI869" s="465"/>
      <c r="AJ869" s="465"/>
      <c r="AK869" s="465"/>
      <c r="AL869" s="465"/>
      <c r="AM869" s="465"/>
      <c r="AN869" s="465"/>
      <c r="AO869" s="465"/>
      <c r="AP869" s="465"/>
      <c r="AQ869" s="465"/>
      <c r="AR869" s="465"/>
      <c r="AS869" s="465"/>
      <c r="AT869" s="465"/>
      <c r="AU869" s="465"/>
      <c r="AV869" s="465"/>
      <c r="AW869" s="465"/>
      <c r="AX869" s="465"/>
      <c r="AY869" s="465"/>
      <c r="AZ869" s="465"/>
      <c r="BA869" s="465"/>
      <c r="BB869" s="465"/>
      <c r="BC869" s="465"/>
    </row>
    <row r="870" spans="1:55">
      <c r="A870" s="465"/>
      <c r="B870" s="465"/>
      <c r="C870" s="465"/>
      <c r="D870" s="467"/>
      <c r="E870" s="465"/>
      <c r="F870" s="465"/>
      <c r="G870" s="465"/>
      <c r="H870" s="465"/>
      <c r="I870" s="465"/>
      <c r="J870" s="465"/>
      <c r="K870" s="465"/>
      <c r="L870" s="465"/>
      <c r="M870" s="465"/>
      <c r="N870" s="465"/>
      <c r="O870" s="465"/>
      <c r="P870" s="465"/>
      <c r="Q870" s="465"/>
      <c r="R870" s="465"/>
      <c r="S870" s="465"/>
      <c r="T870" s="465"/>
      <c r="U870" s="465"/>
      <c r="V870" s="465"/>
      <c r="W870" s="465"/>
      <c r="X870" s="465"/>
      <c r="Y870" s="465"/>
      <c r="Z870" s="465"/>
      <c r="AA870" s="465"/>
      <c r="AB870" s="465"/>
      <c r="AC870" s="465"/>
      <c r="AD870" s="465"/>
      <c r="AE870" s="465"/>
      <c r="AF870" s="465"/>
      <c r="AG870" s="465"/>
      <c r="AH870" s="465"/>
      <c r="AI870" s="465"/>
      <c r="AJ870" s="465"/>
      <c r="AK870" s="465"/>
      <c r="AL870" s="465"/>
      <c r="AM870" s="465"/>
      <c r="AN870" s="465"/>
      <c r="AO870" s="465"/>
      <c r="AP870" s="465"/>
      <c r="AQ870" s="465"/>
      <c r="AR870" s="465"/>
      <c r="AS870" s="465"/>
      <c r="AT870" s="465"/>
      <c r="AU870" s="465"/>
      <c r="AV870" s="465"/>
      <c r="AW870" s="465"/>
      <c r="AX870" s="465"/>
      <c r="AY870" s="465"/>
      <c r="AZ870" s="465"/>
      <c r="BA870" s="465"/>
      <c r="BB870" s="465"/>
      <c r="BC870" s="465"/>
    </row>
    <row r="871" spans="1:55">
      <c r="A871" s="465"/>
      <c r="B871" s="465"/>
      <c r="C871" s="465"/>
      <c r="D871" s="467"/>
      <c r="E871" s="465"/>
      <c r="F871" s="465"/>
      <c r="G871" s="465"/>
      <c r="H871" s="465"/>
      <c r="I871" s="465"/>
      <c r="J871" s="465"/>
      <c r="K871" s="465"/>
      <c r="L871" s="465"/>
      <c r="M871" s="465"/>
      <c r="N871" s="465"/>
      <c r="O871" s="465"/>
      <c r="P871" s="465"/>
      <c r="Q871" s="465"/>
      <c r="R871" s="465"/>
      <c r="S871" s="465"/>
      <c r="T871" s="465"/>
      <c r="U871" s="465"/>
      <c r="V871" s="465"/>
      <c r="W871" s="465"/>
      <c r="X871" s="465"/>
      <c r="Y871" s="465"/>
      <c r="Z871" s="465"/>
      <c r="AA871" s="465"/>
      <c r="AB871" s="465"/>
      <c r="AC871" s="465"/>
      <c r="AD871" s="465"/>
      <c r="AE871" s="465"/>
      <c r="AF871" s="465"/>
      <c r="AG871" s="465"/>
      <c r="AH871" s="465"/>
      <c r="AI871" s="465"/>
      <c r="AJ871" s="465"/>
      <c r="AK871" s="465"/>
      <c r="AL871" s="465"/>
      <c r="AM871" s="465"/>
      <c r="AN871" s="465"/>
      <c r="AO871" s="465"/>
      <c r="AP871" s="465"/>
      <c r="AQ871" s="465"/>
      <c r="AR871" s="465"/>
      <c r="AS871" s="465"/>
      <c r="AT871" s="465"/>
      <c r="AU871" s="465"/>
      <c r="AV871" s="465"/>
      <c r="AW871" s="465"/>
      <c r="AX871" s="465"/>
      <c r="AY871" s="465"/>
      <c r="AZ871" s="465"/>
      <c r="BA871" s="465"/>
      <c r="BB871" s="465"/>
      <c r="BC871" s="465"/>
    </row>
    <row r="872" spans="1:55">
      <c r="A872" s="465"/>
      <c r="B872" s="465"/>
      <c r="C872" s="465"/>
      <c r="D872" s="467"/>
      <c r="E872" s="465"/>
      <c r="F872" s="465"/>
      <c r="G872" s="465"/>
      <c r="H872" s="465"/>
      <c r="I872" s="465"/>
      <c r="J872" s="465"/>
      <c r="K872" s="465"/>
      <c r="L872" s="465"/>
      <c r="M872" s="465"/>
      <c r="N872" s="465"/>
      <c r="O872" s="465"/>
      <c r="P872" s="465"/>
      <c r="Q872" s="465"/>
      <c r="R872" s="465"/>
      <c r="S872" s="465"/>
      <c r="T872" s="465"/>
      <c r="U872" s="465"/>
      <c r="V872" s="465"/>
      <c r="W872" s="465"/>
      <c r="X872" s="465"/>
      <c r="Y872" s="465"/>
      <c r="Z872" s="465"/>
      <c r="AA872" s="465"/>
      <c r="AB872" s="465"/>
      <c r="AC872" s="465"/>
      <c r="AD872" s="465"/>
      <c r="AE872" s="465"/>
      <c r="AF872" s="465"/>
      <c r="AG872" s="465"/>
      <c r="AH872" s="465"/>
      <c r="AI872" s="465"/>
      <c r="AJ872" s="465"/>
      <c r="AK872" s="465"/>
      <c r="AL872" s="465"/>
      <c r="AM872" s="465"/>
      <c r="AN872" s="465"/>
      <c r="AO872" s="465"/>
      <c r="AP872" s="465"/>
      <c r="AQ872" s="465"/>
      <c r="AR872" s="465"/>
      <c r="AS872" s="465"/>
      <c r="AT872" s="465"/>
      <c r="AU872" s="465"/>
      <c r="AV872" s="465"/>
      <c r="AW872" s="465"/>
      <c r="AX872" s="465"/>
      <c r="AY872" s="465"/>
      <c r="AZ872" s="465"/>
      <c r="BA872" s="465"/>
      <c r="BB872" s="465"/>
      <c r="BC872" s="465"/>
    </row>
    <row r="873" spans="1:55">
      <c r="A873" s="465"/>
      <c r="B873" s="465"/>
      <c r="C873" s="465"/>
      <c r="D873" s="467"/>
      <c r="E873" s="465"/>
      <c r="F873" s="465"/>
      <c r="G873" s="465"/>
      <c r="H873" s="465"/>
      <c r="I873" s="465"/>
      <c r="J873" s="465"/>
      <c r="K873" s="465"/>
      <c r="L873" s="465"/>
      <c r="M873" s="465"/>
      <c r="N873" s="465"/>
      <c r="O873" s="465"/>
      <c r="P873" s="465"/>
      <c r="Q873" s="465"/>
      <c r="R873" s="465"/>
      <c r="S873" s="465"/>
      <c r="T873" s="465"/>
      <c r="U873" s="465"/>
      <c r="V873" s="465"/>
      <c r="W873" s="465"/>
      <c r="X873" s="465"/>
      <c r="Y873" s="465"/>
      <c r="Z873" s="465"/>
      <c r="AA873" s="465"/>
      <c r="AB873" s="465"/>
      <c r="AC873" s="465"/>
      <c r="AD873" s="465"/>
      <c r="AE873" s="465"/>
      <c r="AF873" s="465"/>
      <c r="AG873" s="465"/>
      <c r="AH873" s="465"/>
      <c r="AI873" s="465"/>
      <c r="AJ873" s="465"/>
      <c r="AK873" s="465"/>
      <c r="AL873" s="465"/>
      <c r="AM873" s="465"/>
      <c r="AN873" s="465"/>
      <c r="AO873" s="465"/>
      <c r="AP873" s="465"/>
      <c r="AQ873" s="465"/>
      <c r="AR873" s="465"/>
      <c r="AS873" s="465"/>
      <c r="AT873" s="465"/>
      <c r="AU873" s="465"/>
      <c r="AV873" s="465"/>
      <c r="AW873" s="465"/>
      <c r="AX873" s="465"/>
      <c r="AY873" s="465"/>
      <c r="AZ873" s="465"/>
      <c r="BA873" s="465"/>
      <c r="BB873" s="465"/>
      <c r="BC873" s="465"/>
    </row>
    <row r="874" spans="1:55">
      <c r="A874" s="465"/>
      <c r="B874" s="465"/>
      <c r="C874" s="465"/>
      <c r="D874" s="467"/>
      <c r="E874" s="465"/>
      <c r="F874" s="465"/>
      <c r="G874" s="465"/>
      <c r="H874" s="465"/>
      <c r="I874" s="465"/>
      <c r="J874" s="465"/>
      <c r="K874" s="465"/>
      <c r="L874" s="465"/>
      <c r="M874" s="465"/>
      <c r="N874" s="465"/>
      <c r="O874" s="465"/>
      <c r="P874" s="465"/>
      <c r="Q874" s="465"/>
      <c r="R874" s="465"/>
      <c r="S874" s="465"/>
      <c r="T874" s="465"/>
      <c r="U874" s="465"/>
      <c r="V874" s="465"/>
      <c r="W874" s="465"/>
      <c r="X874" s="465"/>
      <c r="Y874" s="465"/>
      <c r="Z874" s="465"/>
      <c r="AA874" s="465"/>
      <c r="AB874" s="465"/>
      <c r="AC874" s="465"/>
      <c r="AD874" s="465"/>
      <c r="AE874" s="465"/>
      <c r="AF874" s="465"/>
      <c r="AG874" s="465"/>
      <c r="AH874" s="465"/>
      <c r="AI874" s="465"/>
      <c r="AJ874" s="465"/>
      <c r="AK874" s="465"/>
      <c r="AL874" s="465"/>
      <c r="AM874" s="465"/>
      <c r="AN874" s="465"/>
      <c r="AO874" s="465"/>
      <c r="AP874" s="465"/>
      <c r="AQ874" s="465"/>
      <c r="AR874" s="465"/>
      <c r="AS874" s="465"/>
      <c r="AT874" s="465"/>
      <c r="AU874" s="465"/>
      <c r="AV874" s="465"/>
      <c r="AW874" s="465"/>
      <c r="AX874" s="465"/>
      <c r="AY874" s="465"/>
      <c r="AZ874" s="465"/>
      <c r="BA874" s="465"/>
      <c r="BB874" s="465"/>
      <c r="BC874" s="465"/>
    </row>
    <row r="875" spans="1:55">
      <c r="A875" s="465"/>
      <c r="B875" s="465"/>
      <c r="C875" s="465"/>
      <c r="D875" s="467"/>
      <c r="E875" s="465"/>
      <c r="F875" s="465"/>
      <c r="G875" s="465"/>
      <c r="H875" s="465"/>
      <c r="I875" s="465"/>
      <c r="J875" s="465"/>
      <c r="K875" s="465"/>
      <c r="L875" s="465"/>
      <c r="M875" s="465"/>
      <c r="N875" s="465"/>
      <c r="O875" s="465"/>
      <c r="P875" s="465"/>
      <c r="Q875" s="465"/>
      <c r="R875" s="465"/>
      <c r="S875" s="465"/>
      <c r="T875" s="465"/>
      <c r="U875" s="465"/>
      <c r="V875" s="465"/>
      <c r="W875" s="465"/>
      <c r="X875" s="465"/>
      <c r="Y875" s="465"/>
      <c r="Z875" s="465"/>
      <c r="AA875" s="465"/>
      <c r="AB875" s="465"/>
      <c r="AC875" s="465"/>
      <c r="AD875" s="465"/>
      <c r="AE875" s="465"/>
      <c r="AF875" s="465"/>
      <c r="AG875" s="465"/>
      <c r="AH875" s="465"/>
      <c r="AI875" s="465"/>
      <c r="AJ875" s="465"/>
      <c r="AK875" s="465"/>
      <c r="AL875" s="465"/>
      <c r="AM875" s="465"/>
      <c r="AN875" s="465"/>
      <c r="AO875" s="465"/>
      <c r="AP875" s="465"/>
      <c r="AQ875" s="465"/>
      <c r="AR875" s="465"/>
      <c r="AS875" s="465"/>
      <c r="AT875" s="465"/>
      <c r="AU875" s="465"/>
      <c r="AV875" s="465"/>
      <c r="AW875" s="465"/>
      <c r="AX875" s="465"/>
      <c r="AY875" s="465"/>
      <c r="AZ875" s="465"/>
      <c r="BA875" s="465"/>
      <c r="BB875" s="465"/>
      <c r="BC875" s="465"/>
    </row>
    <row r="876" spans="1:55">
      <c r="A876" s="465"/>
      <c r="B876" s="465"/>
      <c r="C876" s="465"/>
      <c r="D876" s="467"/>
      <c r="E876" s="465"/>
      <c r="F876" s="465"/>
      <c r="G876" s="465"/>
      <c r="H876" s="465"/>
      <c r="I876" s="465"/>
      <c r="J876" s="465"/>
      <c r="K876" s="465"/>
      <c r="L876" s="465"/>
      <c r="M876" s="465"/>
      <c r="N876" s="465"/>
      <c r="O876" s="465"/>
      <c r="P876" s="465"/>
      <c r="Q876" s="465"/>
      <c r="R876" s="465"/>
      <c r="S876" s="465"/>
      <c r="T876" s="465"/>
      <c r="U876" s="465"/>
      <c r="V876" s="465"/>
      <c r="W876" s="465"/>
      <c r="X876" s="465"/>
      <c r="Y876" s="465"/>
      <c r="Z876" s="465"/>
      <c r="AA876" s="465"/>
      <c r="AB876" s="465"/>
      <c r="AC876" s="465"/>
      <c r="AD876" s="465"/>
      <c r="AE876" s="465"/>
      <c r="AF876" s="465"/>
      <c r="AG876" s="465"/>
      <c r="AH876" s="465"/>
      <c r="AI876" s="465"/>
      <c r="AJ876" s="465"/>
      <c r="AK876" s="465"/>
      <c r="AL876" s="465"/>
      <c r="AM876" s="465"/>
      <c r="AN876" s="465"/>
      <c r="AO876" s="465"/>
      <c r="AP876" s="465"/>
      <c r="AQ876" s="465"/>
      <c r="AR876" s="465"/>
      <c r="AS876" s="465"/>
      <c r="AT876" s="465"/>
      <c r="AU876" s="465"/>
      <c r="AV876" s="465"/>
      <c r="AW876" s="465"/>
      <c r="AX876" s="465"/>
      <c r="AY876" s="465"/>
      <c r="AZ876" s="465"/>
      <c r="BA876" s="465"/>
      <c r="BB876" s="465"/>
      <c r="BC876" s="465"/>
    </row>
    <row r="877" spans="1:55">
      <c r="A877" s="465"/>
      <c r="B877" s="465"/>
      <c r="C877" s="465"/>
      <c r="D877" s="467"/>
      <c r="E877" s="465"/>
      <c r="F877" s="465"/>
      <c r="G877" s="465"/>
      <c r="H877" s="465"/>
      <c r="I877" s="465"/>
      <c r="J877" s="465"/>
      <c r="K877" s="465"/>
      <c r="L877" s="465"/>
      <c r="M877" s="465"/>
      <c r="N877" s="465"/>
      <c r="O877" s="465"/>
      <c r="P877" s="465"/>
      <c r="Q877" s="465"/>
      <c r="R877" s="465"/>
      <c r="S877" s="465"/>
      <c r="T877" s="465"/>
      <c r="U877" s="465"/>
      <c r="V877" s="465"/>
      <c r="W877" s="465"/>
      <c r="X877" s="465"/>
      <c r="Y877" s="465"/>
      <c r="Z877" s="465"/>
      <c r="AA877" s="465"/>
      <c r="AB877" s="465"/>
      <c r="AC877" s="465"/>
      <c r="AD877" s="465"/>
      <c r="AE877" s="465"/>
      <c r="AF877" s="465"/>
      <c r="AG877" s="465"/>
      <c r="AH877" s="465"/>
      <c r="AI877" s="465"/>
      <c r="AJ877" s="465"/>
      <c r="AK877" s="465"/>
      <c r="AL877" s="465"/>
      <c r="AM877" s="465"/>
      <c r="AN877" s="465"/>
      <c r="AO877" s="465"/>
      <c r="AP877" s="465"/>
      <c r="AQ877" s="465"/>
      <c r="AR877" s="465"/>
      <c r="AS877" s="465"/>
      <c r="AT877" s="465"/>
      <c r="AU877" s="465"/>
      <c r="AV877" s="465"/>
      <c r="AW877" s="465"/>
      <c r="AX877" s="465"/>
      <c r="AY877" s="465"/>
      <c r="AZ877" s="465"/>
      <c r="BA877" s="465"/>
      <c r="BB877" s="465"/>
      <c r="BC877" s="465"/>
    </row>
    <row r="878" spans="1:55">
      <c r="A878" s="465"/>
      <c r="B878" s="465"/>
      <c r="C878" s="465"/>
      <c r="D878" s="467"/>
      <c r="E878" s="465"/>
      <c r="F878" s="465"/>
      <c r="G878" s="465"/>
      <c r="H878" s="465"/>
      <c r="I878" s="465"/>
      <c r="J878" s="465"/>
      <c r="K878" s="465"/>
      <c r="L878" s="465"/>
      <c r="M878" s="465"/>
      <c r="N878" s="465"/>
      <c r="O878" s="465"/>
      <c r="P878" s="465"/>
      <c r="Q878" s="465"/>
      <c r="R878" s="465"/>
      <c r="S878" s="465"/>
      <c r="T878" s="465"/>
      <c r="U878" s="465"/>
      <c r="V878" s="465"/>
      <c r="W878" s="465"/>
      <c r="X878" s="465"/>
      <c r="Y878" s="465"/>
      <c r="Z878" s="465"/>
      <c r="AA878" s="465"/>
      <c r="AB878" s="465"/>
      <c r="AC878" s="465"/>
      <c r="AD878" s="465"/>
      <c r="AE878" s="465"/>
      <c r="AF878" s="465"/>
      <c r="AG878" s="465"/>
      <c r="AH878" s="465"/>
      <c r="AI878" s="465"/>
      <c r="AJ878" s="465"/>
      <c r="AK878" s="465"/>
      <c r="AL878" s="465"/>
      <c r="AM878" s="465"/>
      <c r="AN878" s="465"/>
      <c r="AO878" s="465"/>
      <c r="AP878" s="465"/>
      <c r="AQ878" s="465"/>
      <c r="AR878" s="465"/>
      <c r="AS878" s="465"/>
      <c r="AT878" s="465"/>
      <c r="AU878" s="465"/>
      <c r="AV878" s="465"/>
      <c r="AW878" s="465"/>
      <c r="AX878" s="465"/>
      <c r="AY878" s="465"/>
      <c r="AZ878" s="465"/>
      <c r="BA878" s="465"/>
      <c r="BB878" s="465"/>
      <c r="BC878" s="465"/>
    </row>
    <row r="879" spans="1:55">
      <c r="A879" s="465"/>
      <c r="B879" s="465"/>
      <c r="C879" s="465"/>
      <c r="D879" s="467"/>
      <c r="E879" s="465"/>
      <c r="F879" s="465"/>
      <c r="G879" s="465"/>
      <c r="H879" s="465"/>
      <c r="I879" s="465"/>
      <c r="J879" s="465"/>
      <c r="K879" s="465"/>
      <c r="L879" s="465"/>
      <c r="M879" s="465"/>
      <c r="N879" s="465"/>
      <c r="O879" s="465"/>
      <c r="P879" s="465"/>
      <c r="Q879" s="465"/>
      <c r="R879" s="465"/>
      <c r="S879" s="465"/>
      <c r="T879" s="465"/>
      <c r="U879" s="465"/>
      <c r="V879" s="465"/>
      <c r="W879" s="465"/>
      <c r="X879" s="465"/>
      <c r="Y879" s="465"/>
      <c r="Z879" s="465"/>
      <c r="AA879" s="465"/>
      <c r="AB879" s="465"/>
      <c r="AC879" s="465"/>
      <c r="AD879" s="465"/>
      <c r="AE879" s="465"/>
      <c r="AF879" s="465"/>
      <c r="AG879" s="465"/>
      <c r="AH879" s="465"/>
      <c r="AI879" s="465"/>
      <c r="AJ879" s="465"/>
      <c r="AK879" s="465"/>
      <c r="AL879" s="465"/>
      <c r="AM879" s="465"/>
      <c r="AN879" s="465"/>
      <c r="AO879" s="465"/>
      <c r="AP879" s="465"/>
      <c r="AQ879" s="465"/>
      <c r="AR879" s="465"/>
      <c r="AS879" s="465"/>
      <c r="AT879" s="465"/>
      <c r="AU879" s="465"/>
      <c r="AV879" s="465"/>
      <c r="AW879" s="465"/>
      <c r="AX879" s="465"/>
      <c r="AY879" s="465"/>
      <c r="AZ879" s="465"/>
      <c r="BA879" s="465"/>
      <c r="BB879" s="465"/>
      <c r="BC879" s="465"/>
    </row>
    <row r="880" spans="1:55">
      <c r="A880" s="465"/>
      <c r="B880" s="465"/>
      <c r="C880" s="465"/>
      <c r="D880" s="467"/>
      <c r="E880" s="465"/>
      <c r="F880" s="465"/>
      <c r="G880" s="465"/>
      <c r="H880" s="465"/>
      <c r="I880" s="465"/>
      <c r="J880" s="465"/>
      <c r="K880" s="465"/>
      <c r="L880" s="465"/>
      <c r="M880" s="465"/>
      <c r="N880" s="465"/>
      <c r="O880" s="465"/>
      <c r="P880" s="465"/>
      <c r="Q880" s="465"/>
      <c r="R880" s="465"/>
      <c r="S880" s="465"/>
      <c r="T880" s="465"/>
      <c r="U880" s="465"/>
      <c r="V880" s="465"/>
      <c r="W880" s="465"/>
      <c r="X880" s="465"/>
      <c r="Y880" s="465"/>
      <c r="Z880" s="465"/>
      <c r="AA880" s="465"/>
      <c r="AB880" s="465"/>
      <c r="AC880" s="465"/>
      <c r="AD880" s="465"/>
      <c r="AE880" s="465"/>
      <c r="AF880" s="465"/>
      <c r="AG880" s="465"/>
      <c r="AH880" s="465"/>
      <c r="AI880" s="465"/>
      <c r="AJ880" s="465"/>
      <c r="AK880" s="465"/>
      <c r="AL880" s="465"/>
      <c r="AM880" s="465"/>
      <c r="AN880" s="465"/>
      <c r="AO880" s="465"/>
      <c r="AP880" s="465"/>
      <c r="AQ880" s="465"/>
      <c r="AR880" s="465"/>
      <c r="AS880" s="465"/>
      <c r="AT880" s="465"/>
      <c r="AU880" s="465"/>
      <c r="AV880" s="465"/>
      <c r="AW880" s="465"/>
      <c r="AX880" s="465"/>
      <c r="AY880" s="465"/>
      <c r="AZ880" s="465"/>
      <c r="BA880" s="465"/>
      <c r="BB880" s="465"/>
      <c r="BC880" s="465"/>
    </row>
    <row r="881" spans="1:55">
      <c r="A881" s="465"/>
      <c r="B881" s="465"/>
      <c r="C881" s="465"/>
      <c r="D881" s="467"/>
      <c r="E881" s="465"/>
      <c r="F881" s="465"/>
      <c r="G881" s="465"/>
      <c r="H881" s="465"/>
      <c r="I881" s="465"/>
      <c r="J881" s="465"/>
      <c r="K881" s="465"/>
      <c r="L881" s="465"/>
      <c r="M881" s="465"/>
      <c r="N881" s="465"/>
      <c r="O881" s="465"/>
      <c r="P881" s="465"/>
      <c r="Q881" s="465"/>
      <c r="R881" s="465"/>
      <c r="S881" s="465"/>
      <c r="T881" s="465"/>
      <c r="U881" s="465"/>
      <c r="V881" s="465"/>
      <c r="W881" s="465"/>
      <c r="X881" s="465"/>
      <c r="Y881" s="465"/>
      <c r="Z881" s="465"/>
      <c r="AA881" s="465"/>
      <c r="AB881" s="465"/>
      <c r="AC881" s="465"/>
      <c r="AD881" s="465"/>
      <c r="AE881" s="465"/>
      <c r="AF881" s="465"/>
      <c r="AG881" s="465"/>
      <c r="AH881" s="465"/>
      <c r="AI881" s="465"/>
      <c r="AJ881" s="465"/>
      <c r="AK881" s="465"/>
      <c r="AL881" s="465"/>
      <c r="AM881" s="465"/>
      <c r="AN881" s="465"/>
      <c r="AO881" s="465"/>
      <c r="AP881" s="465"/>
      <c r="AQ881" s="465"/>
      <c r="AR881" s="465"/>
      <c r="AS881" s="465"/>
      <c r="AT881" s="465"/>
      <c r="AU881" s="465"/>
      <c r="AV881" s="465"/>
      <c r="AW881" s="465"/>
      <c r="AX881" s="465"/>
      <c r="AY881" s="465"/>
      <c r="AZ881" s="465"/>
      <c r="BA881" s="465"/>
      <c r="BB881" s="465"/>
      <c r="BC881" s="465"/>
    </row>
    <row r="882" spans="1:55">
      <c r="A882" s="465"/>
      <c r="B882" s="465"/>
      <c r="C882" s="465"/>
      <c r="D882" s="467"/>
      <c r="E882" s="465"/>
      <c r="F882" s="465"/>
      <c r="G882" s="465"/>
      <c r="H882" s="465"/>
      <c r="I882" s="465"/>
      <c r="J882" s="465"/>
      <c r="K882" s="465"/>
      <c r="L882" s="465"/>
      <c r="M882" s="465"/>
      <c r="N882" s="465"/>
      <c r="O882" s="465"/>
      <c r="P882" s="465"/>
      <c r="Q882" s="465"/>
      <c r="R882" s="465"/>
      <c r="S882" s="465"/>
      <c r="T882" s="465"/>
      <c r="U882" s="465"/>
      <c r="V882" s="465"/>
      <c r="W882" s="465"/>
      <c r="X882" s="465"/>
      <c r="Y882" s="465"/>
      <c r="Z882" s="465"/>
      <c r="AA882" s="465"/>
      <c r="AB882" s="465"/>
      <c r="AC882" s="465"/>
      <c r="AD882" s="465"/>
      <c r="AE882" s="465"/>
      <c r="AF882" s="465"/>
      <c r="AG882" s="465"/>
      <c r="AH882" s="465"/>
      <c r="AI882" s="465"/>
      <c r="AJ882" s="465"/>
      <c r="AK882" s="465"/>
      <c r="AL882" s="465"/>
      <c r="AM882" s="465"/>
      <c r="AN882" s="465"/>
      <c r="AO882" s="465"/>
      <c r="AP882" s="465"/>
      <c r="AQ882" s="465"/>
      <c r="AR882" s="465"/>
      <c r="AS882" s="465"/>
      <c r="AT882" s="465"/>
      <c r="AU882" s="465"/>
      <c r="AV882" s="465"/>
      <c r="AW882" s="465"/>
      <c r="AX882" s="465"/>
      <c r="AY882" s="465"/>
      <c r="AZ882" s="465"/>
      <c r="BA882" s="465"/>
      <c r="BB882" s="465"/>
      <c r="BC882" s="465"/>
    </row>
    <row r="883" spans="1:55">
      <c r="A883" s="465"/>
      <c r="B883" s="465"/>
      <c r="C883" s="465"/>
      <c r="D883" s="467"/>
      <c r="E883" s="465"/>
      <c r="F883" s="465"/>
      <c r="G883" s="465"/>
      <c r="H883" s="465"/>
      <c r="I883" s="465"/>
      <c r="J883" s="465"/>
      <c r="K883" s="465"/>
      <c r="L883" s="465"/>
      <c r="M883" s="465"/>
      <c r="N883" s="465"/>
      <c r="O883" s="465"/>
      <c r="P883" s="465"/>
      <c r="Q883" s="465"/>
      <c r="R883" s="465"/>
      <c r="S883" s="465"/>
      <c r="T883" s="465"/>
      <c r="U883" s="465"/>
      <c r="V883" s="465"/>
      <c r="W883" s="465"/>
      <c r="X883" s="465"/>
      <c r="Y883" s="465"/>
      <c r="Z883" s="465"/>
      <c r="AA883" s="465"/>
      <c r="AB883" s="465"/>
      <c r="AC883" s="465"/>
      <c r="AD883" s="465"/>
      <c r="AE883" s="465"/>
      <c r="AF883" s="465"/>
      <c r="AG883" s="465"/>
      <c r="AH883" s="465"/>
      <c r="AI883" s="465"/>
      <c r="AJ883" s="465"/>
      <c r="AK883" s="465"/>
      <c r="AL883" s="465"/>
      <c r="AM883" s="465"/>
      <c r="AN883" s="465"/>
      <c r="AO883" s="465"/>
      <c r="AP883" s="465"/>
      <c r="AQ883" s="465"/>
      <c r="AR883" s="465"/>
      <c r="AS883" s="465"/>
      <c r="AT883" s="465"/>
      <c r="AU883" s="465"/>
      <c r="AV883" s="465"/>
      <c r="AW883" s="465"/>
      <c r="AX883" s="465"/>
      <c r="AY883" s="465"/>
      <c r="AZ883" s="465"/>
      <c r="BA883" s="465"/>
      <c r="BB883" s="465"/>
      <c r="BC883" s="465"/>
    </row>
    <row r="884" spans="1:55">
      <c r="A884" s="465"/>
      <c r="B884" s="465"/>
      <c r="C884" s="465"/>
      <c r="D884" s="467"/>
      <c r="E884" s="465"/>
      <c r="F884" s="465"/>
      <c r="G884" s="465"/>
      <c r="H884" s="465"/>
      <c r="I884" s="465"/>
      <c r="J884" s="465"/>
      <c r="K884" s="465"/>
      <c r="L884" s="465"/>
      <c r="M884" s="465"/>
      <c r="N884" s="465"/>
      <c r="O884" s="465"/>
      <c r="P884" s="465"/>
      <c r="Q884" s="465"/>
      <c r="R884" s="465"/>
      <c r="S884" s="465"/>
      <c r="T884" s="465"/>
      <c r="U884" s="465"/>
      <c r="V884" s="465"/>
      <c r="W884" s="465"/>
      <c r="X884" s="465"/>
      <c r="Y884" s="465"/>
      <c r="Z884" s="465"/>
      <c r="AA884" s="465"/>
      <c r="AB884" s="465"/>
      <c r="AC884" s="465"/>
      <c r="AD884" s="465"/>
      <c r="AE884" s="465"/>
      <c r="AF884" s="465"/>
      <c r="AG884" s="465"/>
      <c r="AH884" s="465"/>
      <c r="AI884" s="465"/>
      <c r="AJ884" s="465"/>
      <c r="AK884" s="465"/>
      <c r="AL884" s="465"/>
      <c r="AM884" s="465"/>
      <c r="AN884" s="465"/>
      <c r="AO884" s="465"/>
      <c r="AP884" s="465"/>
      <c r="AQ884" s="465"/>
      <c r="AR884" s="465"/>
      <c r="AS884" s="465"/>
      <c r="AT884" s="465"/>
      <c r="AU884" s="465"/>
      <c r="AV884" s="465"/>
      <c r="AW884" s="465"/>
      <c r="AX884" s="465"/>
      <c r="AY884" s="465"/>
      <c r="AZ884" s="465"/>
      <c r="BA884" s="465"/>
      <c r="BB884" s="465"/>
      <c r="BC884" s="465"/>
    </row>
    <row r="885" spans="1:55">
      <c r="A885" s="465"/>
      <c r="B885" s="465"/>
      <c r="C885" s="465"/>
      <c r="D885" s="467"/>
      <c r="E885" s="465"/>
      <c r="F885" s="465"/>
      <c r="G885" s="465"/>
      <c r="H885" s="465"/>
      <c r="I885" s="465"/>
      <c r="J885" s="465"/>
      <c r="K885" s="465"/>
      <c r="L885" s="465"/>
      <c r="M885" s="465"/>
      <c r="N885" s="465"/>
      <c r="O885" s="465"/>
      <c r="P885" s="465"/>
      <c r="Q885" s="465"/>
      <c r="R885" s="465"/>
      <c r="S885" s="465"/>
      <c r="T885" s="465"/>
      <c r="U885" s="465"/>
      <c r="V885" s="465"/>
      <c r="W885" s="465"/>
      <c r="X885" s="465"/>
      <c r="Y885" s="465"/>
      <c r="Z885" s="465"/>
      <c r="AA885" s="465"/>
      <c r="AB885" s="465"/>
      <c r="AC885" s="465"/>
      <c r="AD885" s="465"/>
      <c r="AE885" s="465"/>
      <c r="AF885" s="465"/>
      <c r="AG885" s="465"/>
      <c r="AH885" s="465"/>
      <c r="AI885" s="465"/>
      <c r="AJ885" s="465"/>
      <c r="AK885" s="465"/>
      <c r="AL885" s="465"/>
      <c r="AM885" s="465"/>
      <c r="AN885" s="465"/>
      <c r="AO885" s="465"/>
      <c r="AP885" s="465"/>
      <c r="AQ885" s="465"/>
      <c r="AR885" s="465"/>
      <c r="AS885" s="465"/>
      <c r="AT885" s="465"/>
      <c r="AU885" s="465"/>
      <c r="AV885" s="465"/>
      <c r="AW885" s="465"/>
      <c r="AX885" s="465"/>
      <c r="AY885" s="465"/>
      <c r="AZ885" s="465"/>
      <c r="BA885" s="465"/>
      <c r="BB885" s="465"/>
      <c r="BC885" s="465"/>
    </row>
    <row r="886" spans="1:55">
      <c r="A886" s="465"/>
      <c r="B886" s="465"/>
      <c r="C886" s="465"/>
      <c r="D886" s="467"/>
      <c r="E886" s="465"/>
      <c r="F886" s="465"/>
      <c r="G886" s="465"/>
      <c r="H886" s="465"/>
      <c r="I886" s="465"/>
      <c r="J886" s="465"/>
      <c r="K886" s="465"/>
      <c r="L886" s="465"/>
      <c r="M886" s="465"/>
      <c r="N886" s="465"/>
      <c r="O886" s="465"/>
      <c r="P886" s="465"/>
      <c r="Q886" s="465"/>
      <c r="R886" s="465"/>
      <c r="S886" s="465"/>
      <c r="T886" s="465"/>
      <c r="U886" s="465"/>
      <c r="V886" s="465"/>
      <c r="W886" s="465"/>
      <c r="X886" s="465"/>
      <c r="Y886" s="465"/>
      <c r="Z886" s="465"/>
      <c r="AA886" s="465"/>
      <c r="AB886" s="465"/>
      <c r="AC886" s="465"/>
      <c r="AD886" s="465"/>
      <c r="AE886" s="465"/>
      <c r="AF886" s="465"/>
      <c r="AG886" s="465"/>
      <c r="AH886" s="465"/>
      <c r="AI886" s="465"/>
      <c r="AJ886" s="465"/>
      <c r="AK886" s="465"/>
      <c r="AL886" s="465"/>
      <c r="AM886" s="465"/>
      <c r="AN886" s="465"/>
      <c r="AO886" s="465"/>
      <c r="AP886" s="465"/>
      <c r="AQ886" s="465"/>
      <c r="AR886" s="465"/>
      <c r="AS886" s="465"/>
      <c r="AT886" s="465"/>
      <c r="AU886" s="465"/>
      <c r="AV886" s="465"/>
      <c r="AW886" s="465"/>
      <c r="AX886" s="465"/>
      <c r="AY886" s="465"/>
      <c r="AZ886" s="465"/>
      <c r="BA886" s="465"/>
      <c r="BB886" s="465"/>
      <c r="BC886" s="465"/>
    </row>
    <row r="887" spans="1:55">
      <c r="A887" s="465"/>
      <c r="B887" s="465"/>
      <c r="C887" s="465"/>
      <c r="D887" s="467"/>
      <c r="E887" s="465"/>
      <c r="F887" s="465"/>
      <c r="G887" s="465"/>
      <c r="H887" s="465"/>
      <c r="I887" s="465"/>
      <c r="J887" s="465"/>
      <c r="K887" s="465"/>
      <c r="L887" s="465"/>
      <c r="M887" s="465"/>
      <c r="N887" s="465"/>
      <c r="O887" s="465"/>
      <c r="P887" s="465"/>
      <c r="Q887" s="465"/>
      <c r="R887" s="465"/>
      <c r="S887" s="465"/>
      <c r="T887" s="465"/>
      <c r="U887" s="465"/>
      <c r="V887" s="465"/>
      <c r="W887" s="465"/>
      <c r="X887" s="465"/>
      <c r="Y887" s="465"/>
      <c r="Z887" s="465"/>
      <c r="AA887" s="465"/>
      <c r="AB887" s="465"/>
      <c r="AC887" s="465"/>
      <c r="AD887" s="465"/>
      <c r="AE887" s="465"/>
      <c r="AF887" s="465"/>
      <c r="AG887" s="465"/>
      <c r="AH887" s="465"/>
      <c r="AI887" s="465"/>
      <c r="AJ887" s="465"/>
      <c r="AK887" s="465"/>
      <c r="AL887" s="465"/>
      <c r="AM887" s="465"/>
      <c r="AN887" s="465"/>
      <c r="AO887" s="465"/>
      <c r="AP887" s="465"/>
      <c r="AQ887" s="465"/>
      <c r="AR887" s="465"/>
      <c r="AS887" s="465"/>
      <c r="AT887" s="465"/>
      <c r="AU887" s="465"/>
      <c r="AV887" s="465"/>
      <c r="AW887" s="465"/>
      <c r="AX887" s="465"/>
      <c r="AY887" s="465"/>
      <c r="AZ887" s="465"/>
      <c r="BA887" s="465"/>
      <c r="BB887" s="465"/>
      <c r="BC887" s="465"/>
    </row>
    <row r="888" spans="1:55">
      <c r="A888" s="465"/>
      <c r="B888" s="465"/>
      <c r="C888" s="465"/>
      <c r="D888" s="467"/>
      <c r="E888" s="465"/>
      <c r="F888" s="465"/>
      <c r="G888" s="465"/>
      <c r="H888" s="465"/>
      <c r="I888" s="465"/>
      <c r="J888" s="465"/>
      <c r="K888" s="465"/>
      <c r="L888" s="465"/>
      <c r="M888" s="465"/>
      <c r="N888" s="465"/>
      <c r="O888" s="465"/>
      <c r="P888" s="465"/>
      <c r="Q888" s="465"/>
      <c r="R888" s="465"/>
      <c r="S888" s="465"/>
      <c r="T888" s="465"/>
      <c r="U888" s="465"/>
      <c r="V888" s="465"/>
      <c r="W888" s="465"/>
      <c r="X888" s="465"/>
      <c r="Y888" s="465"/>
      <c r="Z888" s="465"/>
      <c r="AA888" s="465"/>
      <c r="AB888" s="465"/>
      <c r="AC888" s="465"/>
      <c r="AD888" s="465"/>
      <c r="AE888" s="465"/>
      <c r="AF888" s="465"/>
      <c r="AG888" s="465"/>
      <c r="AH888" s="465"/>
      <c r="AI888" s="465"/>
      <c r="AJ888" s="465"/>
      <c r="AK888" s="465"/>
      <c r="AL888" s="465"/>
      <c r="AM888" s="465"/>
      <c r="AN888" s="465"/>
      <c r="AO888" s="465"/>
      <c r="AP888" s="465"/>
      <c r="AQ888" s="465"/>
      <c r="AR888" s="465"/>
      <c r="AS888" s="465"/>
      <c r="AT888" s="465"/>
      <c r="AU888" s="465"/>
      <c r="AV888" s="465"/>
      <c r="AW888" s="465"/>
      <c r="AX888" s="465"/>
      <c r="AY888" s="465"/>
      <c r="AZ888" s="465"/>
      <c r="BA888" s="465"/>
      <c r="BB888" s="465"/>
      <c r="BC888" s="465"/>
    </row>
    <row r="889" spans="1:55">
      <c r="A889" s="465"/>
      <c r="B889" s="465"/>
      <c r="C889" s="465"/>
      <c r="D889" s="467"/>
      <c r="E889" s="465"/>
      <c r="F889" s="465"/>
      <c r="G889" s="465"/>
      <c r="H889" s="465"/>
      <c r="I889" s="465"/>
      <c r="J889" s="465"/>
      <c r="K889" s="465"/>
      <c r="L889" s="465"/>
      <c r="M889" s="465"/>
      <c r="N889" s="465"/>
      <c r="O889" s="465"/>
      <c r="P889" s="465"/>
      <c r="Q889" s="465"/>
      <c r="R889" s="465"/>
      <c r="S889" s="465"/>
      <c r="T889" s="465"/>
      <c r="U889" s="465"/>
      <c r="V889" s="465"/>
      <c r="W889" s="465"/>
      <c r="X889" s="465"/>
      <c r="Y889" s="465"/>
      <c r="Z889" s="465"/>
      <c r="AA889" s="465"/>
      <c r="AB889" s="465"/>
      <c r="AC889" s="465"/>
      <c r="AD889" s="465"/>
      <c r="AE889" s="465"/>
      <c r="AF889" s="465"/>
      <c r="AG889" s="465"/>
      <c r="AH889" s="465"/>
      <c r="AI889" s="465"/>
      <c r="AJ889" s="465"/>
      <c r="AK889" s="465"/>
      <c r="AL889" s="465"/>
      <c r="AM889" s="465"/>
      <c r="AN889" s="465"/>
      <c r="AO889" s="465"/>
      <c r="AP889" s="465"/>
      <c r="AQ889" s="465"/>
      <c r="AR889" s="465"/>
      <c r="AS889" s="465"/>
      <c r="AT889" s="465"/>
      <c r="AU889" s="465"/>
      <c r="AV889" s="465"/>
      <c r="AW889" s="465"/>
      <c r="AX889" s="465"/>
      <c r="AY889" s="465"/>
      <c r="AZ889" s="465"/>
      <c r="BA889" s="465"/>
      <c r="BB889" s="465"/>
      <c r="BC889" s="465"/>
    </row>
    <row r="890" spans="1:55">
      <c r="A890" s="465"/>
      <c r="B890" s="465"/>
      <c r="C890" s="465"/>
      <c r="D890" s="467"/>
      <c r="E890" s="465"/>
      <c r="F890" s="465"/>
      <c r="G890" s="465"/>
      <c r="H890" s="465"/>
      <c r="I890" s="465"/>
      <c r="J890" s="465"/>
      <c r="K890" s="465"/>
      <c r="L890" s="465"/>
      <c r="M890" s="465"/>
      <c r="N890" s="465"/>
      <c r="O890" s="465"/>
      <c r="P890" s="465"/>
      <c r="Q890" s="465"/>
      <c r="R890" s="465"/>
      <c r="S890" s="465"/>
      <c r="T890" s="465"/>
      <c r="U890" s="465"/>
      <c r="V890" s="465"/>
      <c r="W890" s="465"/>
      <c r="X890" s="465"/>
      <c r="Y890" s="465"/>
      <c r="Z890" s="465"/>
      <c r="AA890" s="465"/>
      <c r="AB890" s="465"/>
      <c r="AC890" s="465"/>
      <c r="AD890" s="465"/>
      <c r="AE890" s="465"/>
      <c r="AF890" s="465"/>
      <c r="AG890" s="465"/>
      <c r="AH890" s="465"/>
      <c r="AI890" s="465"/>
      <c r="AJ890" s="465"/>
      <c r="AK890" s="465"/>
      <c r="AL890" s="465"/>
      <c r="AM890" s="465"/>
      <c r="AN890" s="465"/>
      <c r="AO890" s="465"/>
      <c r="AP890" s="465"/>
      <c r="AQ890" s="465"/>
      <c r="AR890" s="465"/>
      <c r="AS890" s="465"/>
      <c r="AT890" s="465"/>
      <c r="AU890" s="465"/>
      <c r="AV890" s="465"/>
      <c r="AW890" s="465"/>
      <c r="AX890" s="465"/>
      <c r="AY890" s="465"/>
      <c r="AZ890" s="465"/>
      <c r="BA890" s="465"/>
      <c r="BB890" s="465"/>
      <c r="BC890" s="465"/>
    </row>
    <row r="891" spans="1:55">
      <c r="A891" s="465"/>
      <c r="B891" s="465"/>
      <c r="C891" s="465"/>
      <c r="D891" s="467"/>
      <c r="E891" s="465"/>
      <c r="F891" s="465"/>
      <c r="G891" s="465"/>
      <c r="H891" s="465"/>
      <c r="I891" s="465"/>
      <c r="J891" s="465"/>
      <c r="K891" s="465"/>
      <c r="L891" s="465"/>
      <c r="M891" s="465"/>
      <c r="N891" s="465"/>
      <c r="O891" s="465"/>
      <c r="P891" s="465"/>
      <c r="Q891" s="465"/>
      <c r="R891" s="465"/>
      <c r="S891" s="465"/>
      <c r="T891" s="465"/>
      <c r="U891" s="465"/>
      <c r="V891" s="465"/>
      <c r="W891" s="465"/>
      <c r="X891" s="465"/>
      <c r="Y891" s="465"/>
      <c r="Z891" s="465"/>
      <c r="AA891" s="465"/>
      <c r="AB891" s="465"/>
      <c r="AC891" s="465"/>
      <c r="AD891" s="465"/>
      <c r="AE891" s="465"/>
      <c r="AF891" s="465"/>
      <c r="AG891" s="465"/>
      <c r="AH891" s="465"/>
      <c r="AI891" s="465"/>
      <c r="AJ891" s="465"/>
      <c r="AK891" s="465"/>
      <c r="AL891" s="465"/>
      <c r="AM891" s="465"/>
      <c r="AN891" s="465"/>
      <c r="AO891" s="465"/>
      <c r="AP891" s="465"/>
      <c r="AQ891" s="465"/>
      <c r="AR891" s="465"/>
      <c r="AS891" s="465"/>
      <c r="AT891" s="465"/>
      <c r="AU891" s="465"/>
      <c r="AV891" s="465"/>
      <c r="AW891" s="465"/>
      <c r="AX891" s="465"/>
      <c r="AY891" s="465"/>
      <c r="AZ891" s="465"/>
      <c r="BA891" s="465"/>
      <c r="BB891" s="465"/>
      <c r="BC891" s="465"/>
    </row>
    <row r="892" spans="1:55">
      <c r="A892" s="465"/>
      <c r="B892" s="465"/>
      <c r="C892" s="465"/>
      <c r="D892" s="467"/>
      <c r="E892" s="465"/>
      <c r="F892" s="465"/>
      <c r="G892" s="465"/>
      <c r="H892" s="465"/>
      <c r="I892" s="465"/>
      <c r="J892" s="465"/>
      <c r="K892" s="465"/>
      <c r="L892" s="465"/>
      <c r="M892" s="465"/>
      <c r="N892" s="465"/>
      <c r="O892" s="465"/>
      <c r="P892" s="465"/>
      <c r="Q892" s="465"/>
      <c r="R892" s="465"/>
      <c r="S892" s="465"/>
      <c r="T892" s="465"/>
      <c r="U892" s="465"/>
      <c r="V892" s="465"/>
      <c r="W892" s="465"/>
      <c r="X892" s="465"/>
      <c r="Y892" s="465"/>
      <c r="Z892" s="465"/>
      <c r="AA892" s="465"/>
      <c r="AB892" s="465"/>
      <c r="AC892" s="465"/>
      <c r="AD892" s="465"/>
      <c r="AE892" s="465"/>
      <c r="AF892" s="465"/>
      <c r="AG892" s="465"/>
      <c r="AH892" s="465"/>
      <c r="AI892" s="465"/>
      <c r="AJ892" s="465"/>
      <c r="AK892" s="465"/>
      <c r="AL892" s="465"/>
      <c r="AM892" s="465"/>
      <c r="AN892" s="465"/>
      <c r="AO892" s="465"/>
      <c r="AP892" s="465"/>
      <c r="AQ892" s="465"/>
      <c r="AR892" s="465"/>
      <c r="AS892" s="465"/>
      <c r="AT892" s="465"/>
      <c r="AU892" s="465"/>
      <c r="AV892" s="465"/>
      <c r="AW892" s="465"/>
      <c r="AX892" s="465"/>
      <c r="AY892" s="465"/>
      <c r="AZ892" s="465"/>
      <c r="BA892" s="465"/>
      <c r="BB892" s="465"/>
      <c r="BC892" s="465"/>
    </row>
    <row r="893" spans="1:55">
      <c r="A893" s="465"/>
      <c r="B893" s="465"/>
      <c r="C893" s="465"/>
      <c r="D893" s="467"/>
      <c r="E893" s="465"/>
      <c r="F893" s="465"/>
      <c r="G893" s="465"/>
      <c r="H893" s="465"/>
      <c r="I893" s="465"/>
      <c r="J893" s="465"/>
      <c r="K893" s="465"/>
      <c r="L893" s="465"/>
      <c r="M893" s="465"/>
      <c r="N893" s="465"/>
      <c r="O893" s="465"/>
      <c r="P893" s="465"/>
      <c r="Q893" s="465"/>
      <c r="R893" s="465"/>
      <c r="S893" s="465"/>
      <c r="T893" s="465"/>
      <c r="U893" s="465"/>
      <c r="V893" s="465"/>
      <c r="W893" s="465"/>
      <c r="X893" s="465"/>
      <c r="Y893" s="465"/>
      <c r="Z893" s="465"/>
      <c r="AA893" s="465"/>
      <c r="AB893" s="465"/>
      <c r="AC893" s="465"/>
      <c r="AD893" s="465"/>
      <c r="AE893" s="465"/>
      <c r="AF893" s="465"/>
      <c r="AG893" s="465"/>
      <c r="AH893" s="465"/>
      <c r="AI893" s="465"/>
      <c r="AJ893" s="465"/>
      <c r="AK893" s="465"/>
      <c r="AL893" s="465"/>
      <c r="AM893" s="465"/>
      <c r="AN893" s="465"/>
      <c r="AO893" s="465"/>
      <c r="AP893" s="465"/>
      <c r="AQ893" s="465"/>
      <c r="AR893" s="465"/>
      <c r="AS893" s="465"/>
      <c r="AT893" s="465"/>
      <c r="AU893" s="465"/>
      <c r="AV893" s="465"/>
      <c r="AW893" s="465"/>
      <c r="AX893" s="465"/>
      <c r="AY893" s="465"/>
      <c r="AZ893" s="465"/>
      <c r="BA893" s="465"/>
      <c r="BB893" s="465"/>
      <c r="BC893" s="465"/>
    </row>
    <row r="894" spans="1:55">
      <c r="A894" s="465"/>
      <c r="B894" s="465"/>
      <c r="C894" s="465"/>
      <c r="D894" s="467"/>
      <c r="E894" s="465"/>
      <c r="F894" s="465"/>
      <c r="G894" s="465"/>
      <c r="H894" s="465"/>
      <c r="I894" s="465"/>
      <c r="J894" s="465"/>
      <c r="K894" s="465"/>
      <c r="L894" s="465"/>
      <c r="M894" s="465"/>
      <c r="N894" s="465"/>
      <c r="O894" s="465"/>
      <c r="P894" s="465"/>
      <c r="Q894" s="465"/>
      <c r="R894" s="465"/>
      <c r="S894" s="465"/>
      <c r="T894" s="465"/>
      <c r="U894" s="465"/>
      <c r="V894" s="465"/>
      <c r="W894" s="465"/>
      <c r="X894" s="465"/>
      <c r="Y894" s="465"/>
      <c r="Z894" s="465"/>
      <c r="AA894" s="465"/>
      <c r="AB894" s="465"/>
      <c r="AC894" s="465"/>
      <c r="AD894" s="465"/>
      <c r="AE894" s="465"/>
      <c r="AF894" s="465"/>
      <c r="AG894" s="465"/>
      <c r="AH894" s="465"/>
      <c r="AI894" s="465"/>
      <c r="AJ894" s="465"/>
      <c r="AK894" s="465"/>
      <c r="AL894" s="465"/>
      <c r="AM894" s="465"/>
      <c r="AN894" s="465"/>
      <c r="AO894" s="465"/>
      <c r="AP894" s="465"/>
      <c r="AQ894" s="465"/>
      <c r="AR894" s="465"/>
      <c r="AS894" s="465"/>
      <c r="AT894" s="465"/>
      <c r="AU894" s="465"/>
      <c r="AV894" s="465"/>
      <c r="AW894" s="465"/>
      <c r="AX894" s="465"/>
      <c r="AY894" s="465"/>
      <c r="AZ894" s="465"/>
      <c r="BA894" s="465"/>
      <c r="BB894" s="465"/>
      <c r="BC894" s="465"/>
    </row>
    <row r="895" spans="1:55">
      <c r="A895" s="465"/>
      <c r="B895" s="465"/>
      <c r="C895" s="465"/>
      <c r="D895" s="467"/>
      <c r="E895" s="465"/>
      <c r="F895" s="465"/>
      <c r="G895" s="465"/>
      <c r="H895" s="465"/>
      <c r="I895" s="465"/>
      <c r="J895" s="465"/>
      <c r="K895" s="465"/>
      <c r="L895" s="465"/>
      <c r="M895" s="465"/>
      <c r="N895" s="465"/>
      <c r="O895" s="465"/>
      <c r="P895" s="465"/>
      <c r="Q895" s="465"/>
      <c r="R895" s="465"/>
      <c r="S895" s="465"/>
      <c r="T895" s="465"/>
      <c r="U895" s="465"/>
      <c r="V895" s="465"/>
      <c r="W895" s="465"/>
      <c r="X895" s="465"/>
      <c r="Y895" s="465"/>
      <c r="Z895" s="465"/>
      <c r="AA895" s="465"/>
      <c r="AB895" s="465"/>
      <c r="AC895" s="465"/>
      <c r="AD895" s="465"/>
      <c r="AE895" s="465"/>
      <c r="AF895" s="465"/>
      <c r="AG895" s="465"/>
      <c r="AH895" s="465"/>
      <c r="AI895" s="465"/>
      <c r="AJ895" s="465"/>
      <c r="AK895" s="465"/>
      <c r="AL895" s="465"/>
      <c r="AM895" s="465"/>
      <c r="AN895" s="465"/>
      <c r="AO895" s="465"/>
      <c r="AP895" s="465"/>
      <c r="AQ895" s="465"/>
      <c r="AR895" s="465"/>
      <c r="AS895" s="465"/>
      <c r="AT895" s="465"/>
      <c r="AU895" s="465"/>
      <c r="AV895" s="465"/>
      <c r="AW895" s="465"/>
      <c r="AX895" s="465"/>
      <c r="AY895" s="465"/>
      <c r="AZ895" s="465"/>
      <c r="BA895" s="465"/>
      <c r="BB895" s="465"/>
      <c r="BC895" s="465"/>
    </row>
    <row r="896" spans="1:55">
      <c r="A896" s="465"/>
      <c r="B896" s="465"/>
      <c r="C896" s="465"/>
      <c r="D896" s="467"/>
      <c r="E896" s="465"/>
      <c r="F896" s="465"/>
      <c r="G896" s="465"/>
      <c r="H896" s="465"/>
      <c r="I896" s="465"/>
      <c r="J896" s="465"/>
      <c r="K896" s="465"/>
      <c r="L896" s="465"/>
      <c r="M896" s="465"/>
      <c r="N896" s="465"/>
      <c r="O896" s="465"/>
      <c r="P896" s="465"/>
      <c r="Q896" s="465"/>
      <c r="R896" s="465"/>
      <c r="S896" s="465"/>
      <c r="T896" s="465"/>
      <c r="U896" s="465"/>
      <c r="V896" s="465"/>
      <c r="W896" s="465"/>
      <c r="X896" s="465"/>
      <c r="Y896" s="465"/>
      <c r="Z896" s="465"/>
      <c r="AA896" s="465"/>
      <c r="AB896" s="465"/>
      <c r="AC896" s="465"/>
      <c r="AD896" s="465"/>
      <c r="AE896" s="465"/>
      <c r="AF896" s="465"/>
      <c r="AG896" s="465"/>
      <c r="AH896" s="465"/>
      <c r="AI896" s="465"/>
      <c r="AJ896" s="465"/>
      <c r="AK896" s="465"/>
      <c r="AL896" s="465"/>
      <c r="AM896" s="465"/>
      <c r="AN896" s="465"/>
      <c r="AO896" s="465"/>
      <c r="AP896" s="465"/>
      <c r="AQ896" s="465"/>
      <c r="AR896" s="465"/>
      <c r="AS896" s="465"/>
      <c r="AT896" s="465"/>
      <c r="AU896" s="465"/>
      <c r="AV896" s="465"/>
      <c r="AW896" s="465"/>
      <c r="AX896" s="465"/>
      <c r="AY896" s="465"/>
      <c r="AZ896" s="465"/>
      <c r="BA896" s="465"/>
      <c r="BB896" s="465"/>
      <c r="BC896" s="465"/>
    </row>
    <row r="897" spans="1:55">
      <c r="A897" s="465"/>
      <c r="B897" s="465"/>
      <c r="C897" s="465"/>
      <c r="D897" s="467"/>
      <c r="E897" s="465"/>
      <c r="F897" s="465"/>
      <c r="G897" s="465"/>
      <c r="H897" s="465"/>
      <c r="I897" s="465"/>
      <c r="J897" s="465"/>
      <c r="K897" s="465"/>
      <c r="L897" s="465"/>
      <c r="M897" s="465"/>
      <c r="N897" s="465"/>
      <c r="O897" s="465"/>
      <c r="P897" s="465"/>
      <c r="Q897" s="465"/>
      <c r="R897" s="465"/>
      <c r="S897" s="465"/>
      <c r="T897" s="465"/>
      <c r="U897" s="465"/>
      <c r="V897" s="465"/>
      <c r="W897" s="465"/>
      <c r="X897" s="465"/>
      <c r="Y897" s="465"/>
      <c r="Z897" s="465"/>
      <c r="AA897" s="465"/>
      <c r="AB897" s="465"/>
      <c r="AC897" s="465"/>
      <c r="AD897" s="465"/>
      <c r="AE897" s="465"/>
      <c r="AF897" s="465"/>
      <c r="AG897" s="465"/>
      <c r="AH897" s="465"/>
      <c r="AI897" s="465"/>
      <c r="AJ897" s="465"/>
      <c r="AK897" s="465"/>
      <c r="AL897" s="465"/>
      <c r="AM897" s="465"/>
      <c r="AN897" s="465"/>
      <c r="AO897" s="465"/>
      <c r="AP897" s="465"/>
      <c r="AQ897" s="465"/>
      <c r="AR897" s="465"/>
      <c r="AS897" s="465"/>
      <c r="AT897" s="465"/>
      <c r="AU897" s="465"/>
      <c r="AV897" s="465"/>
      <c r="AW897" s="465"/>
      <c r="AX897" s="465"/>
      <c r="AY897" s="465"/>
      <c r="AZ897" s="465"/>
      <c r="BA897" s="465"/>
      <c r="BB897" s="465"/>
      <c r="BC897" s="465"/>
    </row>
    <row r="898" spans="1:55">
      <c r="A898" s="465"/>
      <c r="B898" s="465"/>
      <c r="C898" s="465"/>
      <c r="D898" s="467"/>
      <c r="E898" s="465"/>
      <c r="F898" s="465"/>
      <c r="G898" s="465"/>
      <c r="H898" s="465"/>
      <c r="I898" s="465"/>
      <c r="J898" s="465"/>
      <c r="K898" s="465"/>
      <c r="L898" s="465"/>
      <c r="M898" s="465"/>
      <c r="N898" s="465"/>
      <c r="O898" s="465"/>
      <c r="P898" s="465"/>
      <c r="Q898" s="465"/>
      <c r="R898" s="465"/>
      <c r="S898" s="465"/>
      <c r="T898" s="465"/>
      <c r="U898" s="465"/>
      <c r="V898" s="465"/>
      <c r="W898" s="465"/>
      <c r="X898" s="465"/>
      <c r="Y898" s="465"/>
      <c r="Z898" s="465"/>
      <c r="AA898" s="465"/>
      <c r="AB898" s="465"/>
      <c r="AC898" s="465"/>
      <c r="AD898" s="465"/>
      <c r="AE898" s="465"/>
      <c r="AF898" s="465"/>
      <c r="AG898" s="465"/>
      <c r="AH898" s="465"/>
      <c r="AI898" s="465"/>
      <c r="AJ898" s="465"/>
      <c r="AK898" s="465"/>
      <c r="AL898" s="465"/>
      <c r="AM898" s="465"/>
      <c r="AN898" s="465"/>
      <c r="AO898" s="465"/>
      <c r="AP898" s="465"/>
      <c r="AQ898" s="465"/>
      <c r="AR898" s="465"/>
      <c r="AS898" s="465"/>
      <c r="AT898" s="465"/>
      <c r="AU898" s="465"/>
      <c r="AV898" s="465"/>
      <c r="AW898" s="465"/>
      <c r="AX898" s="465"/>
      <c r="AY898" s="465"/>
      <c r="AZ898" s="465"/>
      <c r="BA898" s="465"/>
      <c r="BB898" s="465"/>
      <c r="BC898" s="465"/>
    </row>
    <row r="899" spans="1:55">
      <c r="A899" s="465"/>
      <c r="B899" s="465"/>
      <c r="C899" s="465"/>
      <c r="D899" s="467"/>
      <c r="E899" s="465"/>
      <c r="F899" s="465"/>
      <c r="G899" s="465"/>
      <c r="H899" s="465"/>
      <c r="I899" s="465"/>
      <c r="J899" s="465"/>
      <c r="K899" s="465"/>
      <c r="L899" s="465"/>
      <c r="M899" s="465"/>
      <c r="N899" s="465"/>
      <c r="O899" s="465"/>
      <c r="P899" s="465"/>
      <c r="Q899" s="465"/>
      <c r="R899" s="465"/>
      <c r="S899" s="465"/>
      <c r="T899" s="465"/>
      <c r="U899" s="465"/>
      <c r="V899" s="465"/>
      <c r="W899" s="465"/>
      <c r="X899" s="465"/>
      <c r="Y899" s="465"/>
      <c r="Z899" s="465"/>
      <c r="AA899" s="465"/>
      <c r="AB899" s="465"/>
      <c r="AC899" s="465"/>
      <c r="AD899" s="465"/>
      <c r="AE899" s="465"/>
      <c r="AF899" s="465"/>
      <c r="AG899" s="465"/>
      <c r="AH899" s="465"/>
      <c r="AI899" s="465"/>
      <c r="AJ899" s="465"/>
      <c r="AK899" s="465"/>
      <c r="AL899" s="465"/>
      <c r="AM899" s="465"/>
      <c r="AN899" s="465"/>
      <c r="AO899" s="465"/>
      <c r="AP899" s="465"/>
      <c r="AQ899" s="465"/>
      <c r="AR899" s="465"/>
      <c r="AS899" s="465"/>
      <c r="AT899" s="465"/>
      <c r="AU899" s="465"/>
      <c r="AV899" s="465"/>
      <c r="AW899" s="465"/>
      <c r="AX899" s="465"/>
      <c r="AY899" s="465"/>
      <c r="AZ899" s="465"/>
      <c r="BA899" s="465"/>
      <c r="BB899" s="465"/>
      <c r="BC899" s="465"/>
    </row>
    <row r="900" spans="1:55">
      <c r="A900" s="465"/>
      <c r="B900" s="465"/>
      <c r="C900" s="465"/>
      <c r="D900" s="467"/>
      <c r="E900" s="465"/>
      <c r="F900" s="465"/>
      <c r="G900" s="465"/>
      <c r="H900" s="465"/>
      <c r="I900" s="465"/>
      <c r="J900" s="465"/>
      <c r="K900" s="465"/>
      <c r="L900" s="465"/>
      <c r="M900" s="465"/>
      <c r="N900" s="465"/>
      <c r="O900" s="465"/>
      <c r="P900" s="465"/>
      <c r="Q900" s="465"/>
      <c r="R900" s="465"/>
      <c r="S900" s="465"/>
      <c r="T900" s="465"/>
      <c r="U900" s="465"/>
      <c r="V900" s="465"/>
      <c r="W900" s="465"/>
      <c r="X900" s="465"/>
      <c r="Y900" s="465"/>
      <c r="Z900" s="465"/>
      <c r="AA900" s="465"/>
      <c r="AB900" s="465"/>
      <c r="AC900" s="465"/>
      <c r="AD900" s="465"/>
      <c r="AE900" s="465"/>
      <c r="AF900" s="465"/>
      <c r="AG900" s="465"/>
      <c r="AH900" s="465"/>
      <c r="AI900" s="465"/>
      <c r="AJ900" s="465"/>
      <c r="AK900" s="465"/>
      <c r="AL900" s="465"/>
      <c r="AM900" s="465"/>
      <c r="AN900" s="465"/>
      <c r="AO900" s="465"/>
      <c r="AP900" s="465"/>
      <c r="AQ900" s="465"/>
      <c r="AR900" s="465"/>
      <c r="AS900" s="465"/>
      <c r="AT900" s="465"/>
      <c r="AU900" s="465"/>
      <c r="AV900" s="465"/>
      <c r="AW900" s="465"/>
      <c r="AX900" s="465"/>
      <c r="AY900" s="465"/>
      <c r="AZ900" s="465"/>
      <c r="BA900" s="465"/>
      <c r="BB900" s="465"/>
      <c r="BC900" s="465"/>
    </row>
    <row r="901" spans="1:55">
      <c r="A901" s="465"/>
      <c r="B901" s="465"/>
      <c r="C901" s="465"/>
      <c r="D901" s="467"/>
      <c r="E901" s="465"/>
      <c r="F901" s="465"/>
      <c r="G901" s="465"/>
      <c r="H901" s="465"/>
      <c r="I901" s="465"/>
      <c r="J901" s="465"/>
      <c r="K901" s="465"/>
      <c r="L901" s="465"/>
      <c r="M901" s="465"/>
      <c r="N901" s="465"/>
      <c r="O901" s="465"/>
      <c r="P901" s="465"/>
      <c r="Q901" s="465"/>
      <c r="R901" s="465"/>
      <c r="S901" s="465"/>
      <c r="T901" s="465"/>
      <c r="U901" s="465"/>
      <c r="V901" s="465"/>
      <c r="W901" s="465"/>
      <c r="X901" s="465"/>
      <c r="Y901" s="465"/>
      <c r="Z901" s="465"/>
      <c r="AA901" s="465"/>
      <c r="AB901" s="465"/>
      <c r="AC901" s="465"/>
      <c r="AD901" s="465"/>
      <c r="AE901" s="465"/>
      <c r="AF901" s="465"/>
      <c r="AG901" s="465"/>
      <c r="AH901" s="465"/>
      <c r="AI901" s="465"/>
      <c r="AJ901" s="465"/>
      <c r="AK901" s="465"/>
      <c r="AL901" s="465"/>
      <c r="AM901" s="465"/>
      <c r="AN901" s="465"/>
      <c r="AO901" s="465"/>
      <c r="AP901" s="465"/>
      <c r="AQ901" s="465"/>
      <c r="AR901" s="465"/>
      <c r="AS901" s="465"/>
      <c r="AT901" s="465"/>
      <c r="AU901" s="465"/>
      <c r="AV901" s="465"/>
      <c r="AW901" s="465"/>
      <c r="AX901" s="465"/>
      <c r="AY901" s="465"/>
      <c r="AZ901" s="465"/>
      <c r="BA901" s="465"/>
      <c r="BB901" s="465"/>
      <c r="BC901" s="465"/>
    </row>
    <row r="902" spans="1:55">
      <c r="A902" s="465"/>
      <c r="B902" s="465"/>
      <c r="C902" s="465"/>
      <c r="D902" s="467"/>
      <c r="E902" s="465"/>
      <c r="F902" s="465"/>
      <c r="G902" s="465"/>
      <c r="H902" s="465"/>
      <c r="I902" s="465"/>
      <c r="J902" s="465"/>
      <c r="K902" s="465"/>
      <c r="L902" s="465"/>
      <c r="M902" s="465"/>
      <c r="N902" s="465"/>
      <c r="O902" s="465"/>
      <c r="P902" s="465"/>
      <c r="Q902" s="465"/>
      <c r="R902" s="465"/>
      <c r="S902" s="465"/>
      <c r="T902" s="465"/>
      <c r="U902" s="465"/>
      <c r="V902" s="465"/>
      <c r="W902" s="465"/>
      <c r="X902" s="465"/>
      <c r="Y902" s="465"/>
      <c r="Z902" s="465"/>
      <c r="AA902" s="465"/>
      <c r="AB902" s="465"/>
      <c r="AC902" s="465"/>
      <c r="AD902" s="465"/>
      <c r="AE902" s="465"/>
      <c r="AF902" s="465"/>
      <c r="AG902" s="465"/>
      <c r="AH902" s="465"/>
      <c r="AI902" s="465"/>
      <c r="AJ902" s="465"/>
      <c r="AK902" s="465"/>
      <c r="AL902" s="465"/>
      <c r="AM902" s="465"/>
      <c r="AN902" s="465"/>
      <c r="AO902" s="465"/>
      <c r="AP902" s="465"/>
      <c r="AQ902" s="465"/>
      <c r="AR902" s="465"/>
      <c r="AS902" s="465"/>
      <c r="AT902" s="465"/>
      <c r="AU902" s="465"/>
      <c r="AV902" s="465"/>
      <c r="AW902" s="465"/>
      <c r="AX902" s="465"/>
      <c r="AY902" s="465"/>
      <c r="AZ902" s="465"/>
      <c r="BA902" s="465"/>
      <c r="BB902" s="465"/>
      <c r="BC902" s="465"/>
    </row>
    <row r="903" spans="1:55">
      <c r="A903" s="465"/>
      <c r="B903" s="465"/>
      <c r="C903" s="465"/>
      <c r="D903" s="467"/>
      <c r="E903" s="465"/>
      <c r="F903" s="465"/>
      <c r="G903" s="465"/>
      <c r="H903" s="465"/>
      <c r="I903" s="465"/>
      <c r="J903" s="465"/>
      <c r="K903" s="465"/>
      <c r="L903" s="465"/>
      <c r="M903" s="465"/>
      <c r="N903" s="465"/>
      <c r="O903" s="465"/>
      <c r="P903" s="465"/>
      <c r="Q903" s="465"/>
      <c r="R903" s="465"/>
      <c r="S903" s="465"/>
      <c r="T903" s="465"/>
      <c r="U903" s="465"/>
      <c r="V903" s="465"/>
      <c r="W903" s="465"/>
      <c r="X903" s="465"/>
      <c r="Y903" s="465"/>
      <c r="Z903" s="465"/>
      <c r="AA903" s="465"/>
      <c r="AB903" s="465"/>
      <c r="AC903" s="465"/>
      <c r="AD903" s="465"/>
      <c r="AE903" s="465"/>
      <c r="AF903" s="465"/>
      <c r="AG903" s="465"/>
      <c r="AH903" s="465"/>
      <c r="AI903" s="465"/>
      <c r="AJ903" s="465"/>
      <c r="AK903" s="465"/>
      <c r="AL903" s="465"/>
      <c r="AM903" s="465"/>
      <c r="AN903" s="465"/>
      <c r="AO903" s="465"/>
      <c r="AP903" s="465"/>
      <c r="AQ903" s="465"/>
      <c r="AR903" s="465"/>
      <c r="AS903" s="465"/>
      <c r="AT903" s="465"/>
      <c r="AU903" s="465"/>
      <c r="AV903" s="465"/>
      <c r="AW903" s="465"/>
      <c r="AX903" s="465"/>
      <c r="AY903" s="465"/>
      <c r="AZ903" s="465"/>
      <c r="BA903" s="465"/>
      <c r="BB903" s="465"/>
      <c r="BC903" s="465"/>
    </row>
    <row r="904" spans="1:55">
      <c r="A904" s="465"/>
      <c r="B904" s="465"/>
      <c r="C904" s="465"/>
      <c r="D904" s="467"/>
      <c r="E904" s="465"/>
      <c r="F904" s="465"/>
      <c r="G904" s="465"/>
      <c r="H904" s="465"/>
      <c r="I904" s="465"/>
      <c r="J904" s="465"/>
      <c r="K904" s="465"/>
      <c r="L904" s="465"/>
      <c r="M904" s="465"/>
      <c r="N904" s="465"/>
      <c r="O904" s="465"/>
      <c r="P904" s="465"/>
      <c r="Q904" s="465"/>
      <c r="R904" s="465"/>
      <c r="S904" s="465"/>
      <c r="T904" s="465"/>
      <c r="U904" s="465"/>
      <c r="V904" s="465"/>
      <c r="W904" s="465"/>
      <c r="X904" s="465"/>
      <c r="Y904" s="465"/>
      <c r="Z904" s="465"/>
      <c r="AA904" s="465"/>
      <c r="AB904" s="465"/>
      <c r="AC904" s="465"/>
      <c r="AD904" s="465"/>
      <c r="AE904" s="465"/>
      <c r="AF904" s="465"/>
      <c r="AG904" s="465"/>
      <c r="AH904" s="465"/>
      <c r="AI904" s="465"/>
      <c r="AJ904" s="465"/>
      <c r="AK904" s="465"/>
      <c r="AL904" s="465"/>
      <c r="AM904" s="465"/>
      <c r="AN904" s="465"/>
      <c r="AO904" s="465"/>
      <c r="AP904" s="465"/>
      <c r="AQ904" s="465"/>
      <c r="AR904" s="465"/>
      <c r="AS904" s="465"/>
      <c r="AT904" s="465"/>
      <c r="AU904" s="465"/>
      <c r="AV904" s="465"/>
      <c r="AW904" s="465"/>
      <c r="AX904" s="465"/>
      <c r="AY904" s="465"/>
      <c r="AZ904" s="465"/>
      <c r="BA904" s="465"/>
      <c r="BB904" s="465"/>
      <c r="BC904" s="465"/>
    </row>
    <row r="905" spans="1:55">
      <c r="A905" s="465"/>
      <c r="B905" s="465"/>
      <c r="C905" s="465"/>
      <c r="D905" s="467"/>
      <c r="E905" s="465"/>
      <c r="F905" s="465"/>
      <c r="G905" s="465"/>
      <c r="H905" s="465"/>
      <c r="I905" s="465"/>
      <c r="J905" s="465"/>
      <c r="K905" s="465"/>
      <c r="L905" s="465"/>
      <c r="M905" s="465"/>
      <c r="N905" s="465"/>
      <c r="O905" s="465"/>
      <c r="P905" s="465"/>
      <c r="Q905" s="465"/>
      <c r="R905" s="465"/>
      <c r="S905" s="465"/>
      <c r="T905" s="465"/>
      <c r="U905" s="465"/>
      <c r="V905" s="465"/>
      <c r="W905" s="465"/>
      <c r="X905" s="465"/>
      <c r="Y905" s="465"/>
      <c r="Z905" s="465"/>
      <c r="AA905" s="465"/>
      <c r="AB905" s="465"/>
      <c r="AC905" s="465"/>
      <c r="AD905" s="465"/>
      <c r="AE905" s="465"/>
      <c r="AF905" s="465"/>
      <c r="AG905" s="465"/>
      <c r="AH905" s="465"/>
      <c r="AI905" s="465"/>
      <c r="AJ905" s="465"/>
      <c r="AK905" s="465"/>
      <c r="AL905" s="465"/>
      <c r="AM905" s="465"/>
      <c r="AN905" s="465"/>
      <c r="AO905" s="465"/>
      <c r="AP905" s="465"/>
      <c r="AQ905" s="465"/>
      <c r="AR905" s="465"/>
      <c r="AS905" s="465"/>
      <c r="AT905" s="465"/>
      <c r="AU905" s="465"/>
      <c r="AV905" s="465"/>
      <c r="AW905" s="465"/>
      <c r="AX905" s="465"/>
      <c r="AY905" s="465"/>
      <c r="AZ905" s="465"/>
      <c r="BA905" s="465"/>
      <c r="BB905" s="465"/>
      <c r="BC905" s="465"/>
    </row>
    <row r="906" spans="1:55">
      <c r="A906" s="465"/>
      <c r="B906" s="465"/>
      <c r="C906" s="465"/>
      <c r="D906" s="467"/>
      <c r="E906" s="465"/>
      <c r="F906" s="465"/>
      <c r="G906" s="465"/>
      <c r="H906" s="465"/>
      <c r="I906" s="465"/>
      <c r="J906" s="465"/>
      <c r="K906" s="465"/>
      <c r="L906" s="465"/>
      <c r="M906" s="465"/>
      <c r="N906" s="465"/>
      <c r="O906" s="465"/>
      <c r="P906" s="465"/>
      <c r="Q906" s="465"/>
      <c r="R906" s="465"/>
      <c r="S906" s="465"/>
      <c r="T906" s="465"/>
      <c r="U906" s="465"/>
      <c r="V906" s="465"/>
      <c r="W906" s="465"/>
      <c r="X906" s="465"/>
      <c r="Y906" s="465"/>
      <c r="Z906" s="465"/>
      <c r="AA906" s="465"/>
      <c r="AB906" s="465"/>
      <c r="AC906" s="465"/>
      <c r="AD906" s="465"/>
      <c r="AE906" s="465"/>
      <c r="AF906" s="465"/>
      <c r="AG906" s="465"/>
      <c r="AH906" s="465"/>
      <c r="AI906" s="465"/>
      <c r="AJ906" s="465"/>
      <c r="AK906" s="465"/>
      <c r="AL906" s="465"/>
      <c r="AM906" s="465"/>
      <c r="AN906" s="465"/>
      <c r="AO906" s="465"/>
      <c r="AP906" s="465"/>
      <c r="AQ906" s="465"/>
      <c r="AR906" s="465"/>
      <c r="AS906" s="465"/>
      <c r="AT906" s="465"/>
      <c r="AU906" s="465"/>
      <c r="AV906" s="465"/>
      <c r="AW906" s="465"/>
      <c r="AX906" s="465"/>
      <c r="AY906" s="465"/>
      <c r="AZ906" s="465"/>
      <c r="BA906" s="465"/>
      <c r="BB906" s="465"/>
      <c r="BC906" s="465"/>
    </row>
    <row r="907" spans="1:55">
      <c r="A907" s="465"/>
      <c r="B907" s="465"/>
      <c r="C907" s="465"/>
      <c r="D907" s="467"/>
      <c r="E907" s="465"/>
      <c r="F907" s="465"/>
      <c r="G907" s="465"/>
      <c r="H907" s="465"/>
      <c r="I907" s="465"/>
      <c r="J907" s="465"/>
      <c r="K907" s="465"/>
      <c r="L907" s="465"/>
      <c r="M907" s="465"/>
      <c r="N907" s="465"/>
      <c r="O907" s="465"/>
      <c r="P907" s="465"/>
      <c r="Q907" s="465"/>
      <c r="R907" s="465"/>
      <c r="S907" s="465"/>
      <c r="T907" s="465"/>
      <c r="U907" s="465"/>
      <c r="V907" s="465"/>
      <c r="W907" s="465"/>
      <c r="X907" s="465"/>
      <c r="Y907" s="465"/>
      <c r="Z907" s="465"/>
      <c r="AA907" s="465"/>
      <c r="AB907" s="465"/>
      <c r="AC907" s="465"/>
      <c r="AD907" s="465"/>
      <c r="AE907" s="465"/>
      <c r="AF907" s="465"/>
      <c r="AG907" s="465"/>
      <c r="AH907" s="465"/>
      <c r="AI907" s="465"/>
      <c r="AJ907" s="465"/>
      <c r="AK907" s="465"/>
      <c r="AL907" s="465"/>
      <c r="AM907" s="465"/>
      <c r="AN907" s="465"/>
      <c r="AO907" s="465"/>
      <c r="AP907" s="465"/>
      <c r="AQ907" s="465"/>
      <c r="AR907" s="465"/>
      <c r="AS907" s="465"/>
      <c r="AT907" s="465"/>
      <c r="AU907" s="465"/>
      <c r="AV907" s="465"/>
      <c r="AW907" s="465"/>
      <c r="AX907" s="465"/>
      <c r="AY907" s="465"/>
      <c r="AZ907" s="465"/>
      <c r="BA907" s="465"/>
      <c r="BB907" s="465"/>
      <c r="BC907" s="465"/>
    </row>
    <row r="908" spans="1:55">
      <c r="A908" s="465"/>
      <c r="B908" s="465"/>
      <c r="C908" s="465"/>
      <c r="D908" s="467"/>
      <c r="E908" s="465"/>
      <c r="F908" s="465"/>
      <c r="G908" s="465"/>
      <c r="H908" s="465"/>
      <c r="I908" s="465"/>
      <c r="J908" s="465"/>
      <c r="K908" s="465"/>
      <c r="L908" s="465"/>
      <c r="M908" s="465"/>
      <c r="N908" s="465"/>
      <c r="O908" s="465"/>
      <c r="P908" s="465"/>
      <c r="Q908" s="465"/>
      <c r="R908" s="465"/>
      <c r="S908" s="465"/>
      <c r="T908" s="465"/>
      <c r="U908" s="465"/>
      <c r="V908" s="465"/>
      <c r="W908" s="465"/>
      <c r="X908" s="465"/>
      <c r="Y908" s="465"/>
      <c r="Z908" s="465"/>
      <c r="AA908" s="465"/>
      <c r="AB908" s="465"/>
      <c r="AC908" s="465"/>
      <c r="AD908" s="465"/>
      <c r="AE908" s="465"/>
      <c r="AF908" s="465"/>
      <c r="AG908" s="465"/>
      <c r="AH908" s="465"/>
      <c r="AI908" s="465"/>
      <c r="AJ908" s="465"/>
      <c r="AK908" s="465"/>
      <c r="AL908" s="465"/>
      <c r="AM908" s="465"/>
      <c r="AN908" s="465"/>
      <c r="AO908" s="465"/>
      <c r="AP908" s="465"/>
      <c r="AQ908" s="465"/>
      <c r="AR908" s="465"/>
      <c r="AS908" s="465"/>
      <c r="AT908" s="465"/>
      <c r="AU908" s="465"/>
      <c r="AV908" s="465"/>
      <c r="AW908" s="465"/>
      <c r="AX908" s="465"/>
      <c r="AY908" s="465"/>
      <c r="AZ908" s="465"/>
      <c r="BA908" s="465"/>
      <c r="BB908" s="465"/>
      <c r="BC908" s="465"/>
    </row>
    <row r="909" spans="1:55">
      <c r="A909" s="465"/>
      <c r="B909" s="465"/>
      <c r="C909" s="465"/>
      <c r="D909" s="467"/>
      <c r="E909" s="465"/>
      <c r="F909" s="465"/>
      <c r="G909" s="465"/>
      <c r="H909" s="465"/>
      <c r="I909" s="465"/>
      <c r="J909" s="465"/>
      <c r="K909" s="465"/>
      <c r="L909" s="465"/>
      <c r="M909" s="465"/>
      <c r="N909" s="465"/>
      <c r="O909" s="465"/>
      <c r="P909" s="465"/>
      <c r="Q909" s="465"/>
      <c r="R909" s="465"/>
      <c r="S909" s="465"/>
      <c r="T909" s="465"/>
      <c r="U909" s="465"/>
      <c r="V909" s="465"/>
      <c r="W909" s="465"/>
      <c r="X909" s="465"/>
      <c r="Y909" s="465"/>
      <c r="Z909" s="465"/>
      <c r="AA909" s="465"/>
      <c r="AB909" s="465"/>
      <c r="AC909" s="465"/>
      <c r="AD909" s="465"/>
      <c r="AE909" s="465"/>
      <c r="AF909" s="465"/>
      <c r="AG909" s="465"/>
      <c r="AH909" s="465"/>
      <c r="AI909" s="465"/>
      <c r="AJ909" s="465"/>
      <c r="AK909" s="465"/>
      <c r="AL909" s="465"/>
      <c r="AM909" s="465"/>
      <c r="AN909" s="465"/>
      <c r="AO909" s="465"/>
      <c r="AP909" s="465"/>
      <c r="AQ909" s="465"/>
      <c r="AR909" s="465"/>
      <c r="AS909" s="465"/>
      <c r="AT909" s="465"/>
      <c r="AU909" s="465"/>
      <c r="AV909" s="465"/>
      <c r="AW909" s="465"/>
      <c r="AX909" s="465"/>
      <c r="AY909" s="465"/>
      <c r="AZ909" s="465"/>
      <c r="BA909" s="465"/>
      <c r="BB909" s="465"/>
      <c r="BC909" s="465"/>
    </row>
    <row r="910" spans="1:55">
      <c r="A910" s="465"/>
      <c r="B910" s="465"/>
      <c r="C910" s="465"/>
      <c r="D910" s="467"/>
      <c r="E910" s="465"/>
      <c r="F910" s="465"/>
      <c r="G910" s="465"/>
      <c r="H910" s="465"/>
      <c r="I910" s="465"/>
      <c r="J910" s="465"/>
      <c r="K910" s="465"/>
      <c r="L910" s="465"/>
      <c r="M910" s="465"/>
      <c r="N910" s="465"/>
      <c r="O910" s="465"/>
      <c r="P910" s="465"/>
      <c r="Q910" s="465"/>
      <c r="R910" s="465"/>
      <c r="S910" s="465"/>
      <c r="T910" s="465"/>
      <c r="U910" s="465"/>
      <c r="V910" s="465"/>
      <c r="W910" s="465"/>
      <c r="X910" s="465"/>
      <c r="Y910" s="465"/>
      <c r="Z910" s="465"/>
      <c r="AA910" s="465"/>
      <c r="AB910" s="465"/>
      <c r="AC910" s="465"/>
      <c r="AD910" s="465"/>
      <c r="AE910" s="465"/>
      <c r="AF910" s="465"/>
      <c r="AG910" s="465"/>
      <c r="AH910" s="465"/>
      <c r="AI910" s="465"/>
      <c r="AJ910" s="465"/>
      <c r="AK910" s="465"/>
      <c r="AL910" s="465"/>
      <c r="AM910" s="465"/>
      <c r="AN910" s="465"/>
      <c r="AO910" s="465"/>
      <c r="AP910" s="465"/>
      <c r="AQ910" s="465"/>
      <c r="AR910" s="465"/>
      <c r="AS910" s="465"/>
      <c r="AT910" s="465"/>
      <c r="AU910" s="465"/>
      <c r="AV910" s="465"/>
      <c r="AW910" s="465"/>
      <c r="AX910" s="465"/>
      <c r="AY910" s="465"/>
      <c r="AZ910" s="465"/>
      <c r="BA910" s="465"/>
      <c r="BB910" s="465"/>
      <c r="BC910" s="465"/>
    </row>
    <row r="911" spans="1:55">
      <c r="A911" s="465"/>
      <c r="B911" s="465"/>
      <c r="C911" s="465"/>
      <c r="D911" s="467"/>
      <c r="E911" s="465"/>
      <c r="F911" s="465"/>
      <c r="G911" s="465"/>
      <c r="H911" s="465"/>
      <c r="I911" s="465"/>
      <c r="J911" s="465"/>
      <c r="K911" s="465"/>
      <c r="L911" s="465"/>
      <c r="M911" s="465"/>
      <c r="N911" s="465"/>
      <c r="O911" s="465"/>
      <c r="P911" s="465"/>
      <c r="Q911" s="465"/>
      <c r="R911" s="465"/>
      <c r="S911" s="465"/>
      <c r="T911" s="465"/>
      <c r="U911" s="465"/>
      <c r="V911" s="465"/>
      <c r="W911" s="465"/>
      <c r="X911" s="465"/>
      <c r="Y911" s="465"/>
      <c r="Z911" s="465"/>
      <c r="AA911" s="465"/>
      <c r="AB911" s="465"/>
      <c r="AC911" s="465"/>
      <c r="AD911" s="465"/>
      <c r="AE911" s="465"/>
      <c r="AF911" s="465"/>
      <c r="AG911" s="465"/>
      <c r="AH911" s="465"/>
      <c r="AI911" s="465"/>
      <c r="AJ911" s="465"/>
      <c r="AK911" s="465"/>
      <c r="AL911" s="465"/>
      <c r="AM911" s="465"/>
      <c r="AN911" s="465"/>
      <c r="AO911" s="465"/>
      <c r="AP911" s="465"/>
      <c r="AQ911" s="465"/>
      <c r="AR911" s="465"/>
      <c r="AS911" s="465"/>
      <c r="AT911" s="465"/>
      <c r="AU911" s="465"/>
      <c r="AV911" s="465"/>
      <c r="AW911" s="465"/>
      <c r="AX911" s="465"/>
      <c r="AY911" s="465"/>
      <c r="AZ911" s="465"/>
      <c r="BA911" s="465"/>
      <c r="BB911" s="465"/>
      <c r="BC911" s="465"/>
    </row>
    <row r="912" spans="1:55">
      <c r="A912" s="465"/>
      <c r="B912" s="465"/>
      <c r="C912" s="465"/>
      <c r="D912" s="467"/>
      <c r="E912" s="465"/>
      <c r="F912" s="465"/>
      <c r="G912" s="465"/>
      <c r="H912" s="465"/>
      <c r="I912" s="465"/>
      <c r="J912" s="465"/>
      <c r="K912" s="465"/>
      <c r="L912" s="465"/>
      <c r="M912" s="465"/>
      <c r="N912" s="465"/>
      <c r="O912" s="465"/>
      <c r="P912" s="465"/>
      <c r="Q912" s="465"/>
      <c r="R912" s="465"/>
      <c r="S912" s="465"/>
      <c r="T912" s="465"/>
      <c r="U912" s="465"/>
      <c r="V912" s="465"/>
      <c r="W912" s="465"/>
      <c r="X912" s="465"/>
      <c r="Y912" s="465"/>
      <c r="Z912" s="465"/>
      <c r="AA912" s="465"/>
      <c r="AB912" s="465"/>
      <c r="AC912" s="465"/>
      <c r="AD912" s="465"/>
      <c r="AE912" s="465"/>
      <c r="AF912" s="465"/>
      <c r="AG912" s="465"/>
      <c r="AH912" s="465"/>
      <c r="AI912" s="465"/>
      <c r="AJ912" s="465"/>
      <c r="AK912" s="465"/>
      <c r="AL912" s="465"/>
      <c r="AM912" s="465"/>
      <c r="AN912" s="465"/>
      <c r="AO912" s="465"/>
      <c r="AP912" s="465"/>
      <c r="AQ912" s="465"/>
      <c r="AR912" s="465"/>
      <c r="AS912" s="465"/>
      <c r="AT912" s="465"/>
      <c r="AU912" s="465"/>
      <c r="AV912" s="465"/>
      <c r="AW912" s="465"/>
      <c r="AX912" s="465"/>
      <c r="AY912" s="465"/>
      <c r="AZ912" s="465"/>
      <c r="BA912" s="465"/>
      <c r="BB912" s="465"/>
      <c r="BC912" s="465"/>
    </row>
    <row r="913" spans="1:55">
      <c r="A913" s="465"/>
      <c r="B913" s="465"/>
      <c r="C913" s="465"/>
      <c r="D913" s="467"/>
      <c r="E913" s="465"/>
      <c r="F913" s="465"/>
      <c r="G913" s="465"/>
      <c r="H913" s="465"/>
      <c r="I913" s="465"/>
      <c r="J913" s="465"/>
      <c r="K913" s="465"/>
      <c r="L913" s="465"/>
      <c r="M913" s="465"/>
      <c r="N913" s="465"/>
      <c r="O913" s="465"/>
      <c r="P913" s="465"/>
      <c r="Q913" s="465"/>
      <c r="R913" s="465"/>
      <c r="S913" s="465"/>
      <c r="T913" s="465"/>
      <c r="U913" s="465"/>
      <c r="V913" s="465"/>
      <c r="W913" s="465"/>
      <c r="X913" s="465"/>
      <c r="Y913" s="465"/>
      <c r="Z913" s="465"/>
      <c r="AA913" s="465"/>
      <c r="AB913" s="465"/>
      <c r="AC913" s="465"/>
      <c r="AD913" s="465"/>
      <c r="AE913" s="465"/>
      <c r="AF913" s="465"/>
      <c r="AG913" s="465"/>
      <c r="AH913" s="465"/>
      <c r="AI913" s="465"/>
      <c r="AJ913" s="465"/>
      <c r="AK913" s="465"/>
      <c r="AL913" s="465"/>
      <c r="AM913" s="465"/>
      <c r="AN913" s="465"/>
      <c r="AO913" s="465"/>
      <c r="AP913" s="465"/>
      <c r="AQ913" s="465"/>
      <c r="AR913" s="465"/>
      <c r="AS913" s="465"/>
      <c r="AT913" s="465"/>
      <c r="AU913" s="465"/>
      <c r="AV913" s="465"/>
      <c r="AW913" s="465"/>
      <c r="AX913" s="465"/>
      <c r="AY913" s="465"/>
      <c r="AZ913" s="465"/>
      <c r="BA913" s="465"/>
      <c r="BB913" s="465"/>
      <c r="BC913" s="465"/>
    </row>
    <row r="914" spans="1:55">
      <c r="A914" s="465"/>
      <c r="B914" s="465"/>
      <c r="C914" s="465"/>
      <c r="D914" s="467"/>
      <c r="E914" s="465"/>
      <c r="F914" s="465"/>
      <c r="G914" s="465"/>
      <c r="H914" s="465"/>
      <c r="I914" s="465"/>
      <c r="J914" s="465"/>
      <c r="K914" s="465"/>
      <c r="L914" s="465"/>
      <c r="M914" s="465"/>
      <c r="N914" s="465"/>
      <c r="O914" s="465"/>
      <c r="P914" s="465"/>
      <c r="Q914" s="465"/>
      <c r="R914" s="465"/>
      <c r="S914" s="465"/>
      <c r="T914" s="465"/>
      <c r="U914" s="465"/>
      <c r="V914" s="465"/>
      <c r="W914" s="465"/>
      <c r="X914" s="465"/>
      <c r="Y914" s="465"/>
      <c r="Z914" s="465"/>
      <c r="AA914" s="465"/>
      <c r="AB914" s="465"/>
      <c r="AC914" s="465"/>
      <c r="AD914" s="465"/>
      <c r="AE914" s="465"/>
      <c r="AF914" s="465"/>
      <c r="AG914" s="465"/>
      <c r="AH914" s="465"/>
      <c r="AI914" s="465"/>
      <c r="AJ914" s="465"/>
      <c r="AK914" s="465"/>
      <c r="AL914" s="465"/>
      <c r="AM914" s="465"/>
      <c r="AN914" s="465"/>
      <c r="AO914" s="465"/>
      <c r="AP914" s="465"/>
      <c r="AQ914" s="465"/>
      <c r="AR914" s="465"/>
      <c r="AS914" s="465"/>
      <c r="AT914" s="465"/>
      <c r="AU914" s="465"/>
      <c r="AV914" s="465"/>
      <c r="AW914" s="465"/>
      <c r="AX914" s="465"/>
      <c r="AY914" s="465"/>
      <c r="AZ914" s="465"/>
      <c r="BA914" s="465"/>
      <c r="BB914" s="465"/>
      <c r="BC914" s="465"/>
    </row>
    <row r="915" spans="1:55">
      <c r="A915" s="465"/>
      <c r="B915" s="465"/>
      <c r="C915" s="465"/>
      <c r="D915" s="467"/>
      <c r="E915" s="465"/>
      <c r="F915" s="465"/>
      <c r="G915" s="465"/>
      <c r="H915" s="465"/>
      <c r="I915" s="465"/>
      <c r="J915" s="465"/>
      <c r="K915" s="465"/>
      <c r="L915" s="465"/>
      <c r="M915" s="465"/>
      <c r="N915" s="465"/>
      <c r="O915" s="465"/>
      <c r="P915" s="465"/>
      <c r="Q915" s="465"/>
      <c r="R915" s="465"/>
      <c r="S915" s="465"/>
      <c r="T915" s="465"/>
      <c r="U915" s="465"/>
      <c r="V915" s="465"/>
      <c r="W915" s="465"/>
      <c r="X915" s="465"/>
      <c r="Y915" s="465"/>
      <c r="Z915" s="465"/>
      <c r="AA915" s="465"/>
      <c r="AB915" s="465"/>
      <c r="AC915" s="465"/>
      <c r="AD915" s="465"/>
      <c r="AE915" s="465"/>
      <c r="AF915" s="465"/>
      <c r="AG915" s="465"/>
      <c r="AH915" s="465"/>
      <c r="AI915" s="465"/>
      <c r="AJ915" s="465"/>
      <c r="AK915" s="465"/>
      <c r="AL915" s="465"/>
      <c r="AM915" s="465"/>
      <c r="AN915" s="465"/>
      <c r="AO915" s="465"/>
      <c r="AP915" s="465"/>
      <c r="AQ915" s="465"/>
      <c r="AR915" s="465"/>
      <c r="AS915" s="465"/>
      <c r="AT915" s="465"/>
      <c r="AU915" s="465"/>
      <c r="AV915" s="465"/>
      <c r="AW915" s="465"/>
      <c r="AX915" s="465"/>
      <c r="AY915" s="465"/>
      <c r="AZ915" s="465"/>
      <c r="BA915" s="465"/>
      <c r="BB915" s="465"/>
      <c r="BC915" s="465"/>
    </row>
    <row r="916" spans="1:55">
      <c r="A916" s="465"/>
      <c r="B916" s="465"/>
      <c r="C916" s="465"/>
      <c r="D916" s="467"/>
      <c r="E916" s="465"/>
      <c r="F916" s="465"/>
      <c r="G916" s="465"/>
      <c r="H916" s="465"/>
      <c r="I916" s="465"/>
      <c r="J916" s="465"/>
      <c r="K916" s="465"/>
      <c r="L916" s="465"/>
      <c r="M916" s="465"/>
      <c r="N916" s="465"/>
      <c r="O916" s="465"/>
      <c r="P916" s="465"/>
      <c r="Q916" s="465"/>
      <c r="R916" s="465"/>
      <c r="S916" s="465"/>
      <c r="T916" s="465"/>
      <c r="U916" s="465"/>
      <c r="V916" s="465"/>
      <c r="W916" s="465"/>
      <c r="X916" s="465"/>
      <c r="Y916" s="465"/>
      <c r="Z916" s="465"/>
      <c r="AA916" s="465"/>
      <c r="AB916" s="465"/>
      <c r="AC916" s="465"/>
      <c r="AD916" s="465"/>
      <c r="AE916" s="465"/>
      <c r="AF916" s="465"/>
      <c r="AG916" s="465"/>
      <c r="AH916" s="465"/>
      <c r="AI916" s="465"/>
      <c r="AJ916" s="465"/>
      <c r="AK916" s="465"/>
      <c r="AL916" s="465"/>
      <c r="AM916" s="465"/>
      <c r="AN916" s="465"/>
      <c r="AO916" s="465"/>
      <c r="AP916" s="465"/>
      <c r="AQ916" s="465"/>
      <c r="AR916" s="465"/>
      <c r="AS916" s="465"/>
      <c r="AT916" s="465"/>
      <c r="AU916" s="465"/>
      <c r="AV916" s="465"/>
      <c r="AW916" s="465"/>
      <c r="AX916" s="465"/>
      <c r="AY916" s="465"/>
      <c r="AZ916" s="465"/>
      <c r="BA916" s="465"/>
      <c r="BB916" s="465"/>
      <c r="BC916" s="465"/>
    </row>
    <row r="917" spans="1:55">
      <c r="A917" s="465"/>
      <c r="B917" s="465"/>
      <c r="C917" s="465"/>
      <c r="D917" s="467"/>
      <c r="E917" s="465"/>
      <c r="F917" s="465"/>
      <c r="G917" s="465"/>
      <c r="H917" s="465"/>
      <c r="I917" s="465"/>
      <c r="J917" s="465"/>
      <c r="K917" s="465"/>
      <c r="L917" s="465"/>
      <c r="M917" s="465"/>
      <c r="N917" s="465"/>
      <c r="O917" s="465"/>
      <c r="P917" s="465"/>
      <c r="Q917" s="465"/>
      <c r="R917" s="465"/>
      <c r="S917" s="465"/>
      <c r="T917" s="465"/>
      <c r="U917" s="465"/>
      <c r="V917" s="465"/>
      <c r="W917" s="465"/>
      <c r="X917" s="465"/>
      <c r="Y917" s="465"/>
      <c r="Z917" s="465"/>
      <c r="AA917" s="465"/>
      <c r="AB917" s="465"/>
      <c r="AC917" s="465"/>
      <c r="AD917" s="465"/>
      <c r="AE917" s="465"/>
      <c r="AF917" s="465"/>
      <c r="AG917" s="465"/>
      <c r="AH917" s="465"/>
      <c r="AI917" s="465"/>
      <c r="AJ917" s="465"/>
      <c r="AK917" s="465"/>
      <c r="AL917" s="465"/>
      <c r="AM917" s="465"/>
      <c r="AN917" s="465"/>
      <c r="AO917" s="465"/>
      <c r="AP917" s="465"/>
      <c r="AQ917" s="465"/>
      <c r="AR917" s="465"/>
      <c r="AS917" s="465"/>
      <c r="AT917" s="465"/>
      <c r="AU917" s="465"/>
      <c r="AV917" s="465"/>
      <c r="AW917" s="465"/>
      <c r="AX917" s="465"/>
      <c r="AY917" s="465"/>
      <c r="AZ917" s="465"/>
      <c r="BA917" s="465"/>
      <c r="BB917" s="465"/>
      <c r="BC917" s="465"/>
    </row>
    <row r="918" spans="1:55">
      <c r="A918" s="465"/>
      <c r="B918" s="465"/>
      <c r="C918" s="465"/>
      <c r="D918" s="467"/>
      <c r="E918" s="465"/>
      <c r="F918" s="465"/>
      <c r="G918" s="465"/>
      <c r="H918" s="465"/>
      <c r="I918" s="465"/>
      <c r="J918" s="465"/>
      <c r="K918" s="465"/>
      <c r="L918" s="465"/>
      <c r="M918" s="465"/>
      <c r="N918" s="465"/>
      <c r="O918" s="465"/>
      <c r="P918" s="465"/>
      <c r="Q918" s="465"/>
      <c r="R918" s="465"/>
      <c r="S918" s="465"/>
      <c r="T918" s="465"/>
      <c r="U918" s="465"/>
      <c r="V918" s="465"/>
      <c r="W918" s="465"/>
      <c r="X918" s="465"/>
      <c r="Y918" s="465"/>
      <c r="Z918" s="465"/>
      <c r="AA918" s="465"/>
      <c r="AB918" s="465"/>
      <c r="AC918" s="465"/>
      <c r="AD918" s="465"/>
      <c r="AE918" s="465"/>
      <c r="AF918" s="465"/>
      <c r="AG918" s="465"/>
      <c r="AH918" s="465"/>
      <c r="AI918" s="465"/>
      <c r="AJ918" s="465"/>
      <c r="AK918" s="465"/>
      <c r="AL918" s="465"/>
      <c r="AM918" s="465"/>
      <c r="AN918" s="465"/>
      <c r="AO918" s="465"/>
      <c r="AP918" s="465"/>
      <c r="AQ918" s="465"/>
      <c r="AR918" s="465"/>
      <c r="AS918" s="465"/>
      <c r="AT918" s="465"/>
      <c r="AU918" s="465"/>
      <c r="AV918" s="465"/>
      <c r="AW918" s="465"/>
      <c r="AX918" s="465"/>
      <c r="AY918" s="465"/>
      <c r="AZ918" s="465"/>
      <c r="BA918" s="465"/>
      <c r="BB918" s="465"/>
      <c r="BC918" s="465"/>
    </row>
    <row r="919" spans="1:55">
      <c r="A919" s="465"/>
      <c r="B919" s="465"/>
      <c r="C919" s="465"/>
      <c r="D919" s="467"/>
      <c r="E919" s="465"/>
      <c r="F919" s="465"/>
      <c r="G919" s="465"/>
      <c r="H919" s="465"/>
      <c r="I919" s="465"/>
      <c r="J919" s="465"/>
      <c r="K919" s="465"/>
      <c r="L919" s="465"/>
      <c r="M919" s="465"/>
      <c r="N919" s="465"/>
      <c r="O919" s="465"/>
      <c r="P919" s="465"/>
      <c r="Q919" s="465"/>
      <c r="R919" s="465"/>
      <c r="S919" s="465"/>
      <c r="T919" s="465"/>
      <c r="U919" s="465"/>
      <c r="V919" s="465"/>
      <c r="W919" s="465"/>
      <c r="X919" s="465"/>
      <c r="Y919" s="465"/>
      <c r="Z919" s="465"/>
      <c r="AA919" s="465"/>
      <c r="AB919" s="465"/>
      <c r="AC919" s="465"/>
      <c r="AD919" s="465"/>
      <c r="AE919" s="465"/>
      <c r="AF919" s="465"/>
      <c r="AG919" s="465"/>
      <c r="AH919" s="465"/>
      <c r="AI919" s="465"/>
      <c r="AJ919" s="465"/>
      <c r="AK919" s="465"/>
      <c r="AL919" s="465"/>
      <c r="AM919" s="465"/>
      <c r="AN919" s="465"/>
      <c r="AO919" s="465"/>
      <c r="AP919" s="465"/>
      <c r="AQ919" s="465"/>
      <c r="AR919" s="465"/>
      <c r="AS919" s="465"/>
      <c r="AT919" s="465"/>
      <c r="AU919" s="465"/>
      <c r="AV919" s="465"/>
      <c r="AW919" s="465"/>
      <c r="AX919" s="465"/>
      <c r="AY919" s="465"/>
      <c r="AZ919" s="465"/>
      <c r="BA919" s="465"/>
      <c r="BB919" s="465"/>
      <c r="BC919" s="465"/>
    </row>
    <row r="920" spans="1:55">
      <c r="A920" s="465"/>
      <c r="B920" s="465"/>
      <c r="C920" s="465"/>
      <c r="D920" s="467"/>
      <c r="E920" s="465"/>
      <c r="F920" s="465"/>
      <c r="G920" s="465"/>
      <c r="H920" s="465"/>
      <c r="I920" s="465"/>
      <c r="J920" s="465"/>
      <c r="K920" s="465"/>
      <c r="L920" s="465"/>
      <c r="M920" s="465"/>
      <c r="N920" s="465"/>
      <c r="O920" s="465"/>
      <c r="P920" s="465"/>
      <c r="Q920" s="465"/>
      <c r="R920" s="465"/>
      <c r="S920" s="465"/>
      <c r="T920" s="465"/>
      <c r="U920" s="465"/>
      <c r="V920" s="465"/>
      <c r="W920" s="465"/>
      <c r="X920" s="465"/>
      <c r="Y920" s="465"/>
      <c r="Z920" s="465"/>
      <c r="AA920" s="465"/>
      <c r="AB920" s="465"/>
      <c r="AC920" s="465"/>
      <c r="AD920" s="465"/>
      <c r="AE920" s="465"/>
      <c r="AF920" s="465"/>
      <c r="AG920" s="465"/>
      <c r="AH920" s="465"/>
      <c r="AI920" s="465"/>
      <c r="AJ920" s="465"/>
      <c r="AK920" s="465"/>
      <c r="AL920" s="465"/>
      <c r="AM920" s="465"/>
      <c r="AN920" s="465"/>
      <c r="AO920" s="465"/>
      <c r="AP920" s="465"/>
      <c r="AQ920" s="465"/>
      <c r="AR920" s="465"/>
      <c r="AS920" s="465"/>
      <c r="AT920" s="465"/>
      <c r="AU920" s="465"/>
      <c r="AV920" s="465"/>
      <c r="AW920" s="465"/>
      <c r="AX920" s="465"/>
      <c r="AY920" s="465"/>
      <c r="AZ920" s="465"/>
      <c r="BA920" s="465"/>
      <c r="BB920" s="465"/>
      <c r="BC920" s="465"/>
    </row>
    <row r="921" spans="1:55">
      <c r="A921" s="465"/>
      <c r="B921" s="465"/>
      <c r="C921" s="465"/>
      <c r="D921" s="467"/>
      <c r="E921" s="465"/>
      <c r="F921" s="465"/>
      <c r="G921" s="465"/>
      <c r="H921" s="465"/>
      <c r="I921" s="465"/>
      <c r="J921" s="465"/>
      <c r="K921" s="465"/>
      <c r="L921" s="465"/>
      <c r="M921" s="465"/>
      <c r="N921" s="465"/>
      <c r="O921" s="465"/>
      <c r="P921" s="465"/>
      <c r="Q921" s="465"/>
      <c r="R921" s="465"/>
      <c r="S921" s="465"/>
      <c r="T921" s="465"/>
      <c r="U921" s="465"/>
      <c r="V921" s="465"/>
      <c r="W921" s="465"/>
      <c r="X921" s="465"/>
      <c r="Y921" s="465"/>
      <c r="Z921" s="465"/>
      <c r="AA921" s="465"/>
      <c r="AB921" s="465"/>
      <c r="AC921" s="465"/>
      <c r="AD921" s="465"/>
      <c r="AE921" s="465"/>
      <c r="AF921" s="465"/>
      <c r="AG921" s="465"/>
      <c r="AH921" s="465"/>
      <c r="AI921" s="465"/>
      <c r="AJ921" s="465"/>
      <c r="AK921" s="465"/>
      <c r="AL921" s="465"/>
      <c r="AM921" s="465"/>
      <c r="AN921" s="465"/>
      <c r="AO921" s="465"/>
      <c r="AP921" s="465"/>
      <c r="AQ921" s="465"/>
      <c r="AR921" s="465"/>
      <c r="AS921" s="465"/>
      <c r="AT921" s="465"/>
      <c r="AU921" s="465"/>
      <c r="AV921" s="465"/>
      <c r="AW921" s="465"/>
      <c r="AX921" s="465"/>
      <c r="AY921" s="465"/>
      <c r="AZ921" s="465"/>
      <c r="BA921" s="465"/>
      <c r="BB921" s="465"/>
      <c r="BC921" s="465"/>
    </row>
    <row r="922" spans="1:55">
      <c r="A922" s="465"/>
      <c r="B922" s="465"/>
      <c r="C922" s="465"/>
      <c r="D922" s="467"/>
      <c r="E922" s="465"/>
      <c r="F922" s="465"/>
      <c r="G922" s="465"/>
      <c r="H922" s="465"/>
      <c r="I922" s="465"/>
      <c r="J922" s="465"/>
      <c r="K922" s="465"/>
      <c r="L922" s="465"/>
      <c r="M922" s="465"/>
      <c r="N922" s="465"/>
      <c r="O922" s="465"/>
      <c r="P922" s="465"/>
      <c r="Q922" s="465"/>
      <c r="R922" s="465"/>
      <c r="S922" s="465"/>
      <c r="T922" s="465"/>
      <c r="U922" s="465"/>
      <c r="V922" s="465"/>
      <c r="W922" s="465"/>
      <c r="X922" s="465"/>
      <c r="Y922" s="465"/>
      <c r="Z922" s="465"/>
      <c r="AA922" s="465"/>
      <c r="AB922" s="465"/>
      <c r="AC922" s="465"/>
      <c r="AD922" s="465"/>
      <c r="AE922" s="465"/>
      <c r="AF922" s="465"/>
      <c r="AG922" s="465"/>
      <c r="AH922" s="465"/>
      <c r="AI922" s="465"/>
      <c r="AJ922" s="465"/>
      <c r="AK922" s="465"/>
      <c r="AL922" s="465"/>
      <c r="AM922" s="465"/>
      <c r="AN922" s="465"/>
      <c r="AO922" s="465"/>
      <c r="AP922" s="465"/>
      <c r="AQ922" s="465"/>
      <c r="AR922" s="465"/>
      <c r="AS922" s="465"/>
      <c r="AT922" s="465"/>
      <c r="AU922" s="465"/>
      <c r="AV922" s="465"/>
      <c r="AW922" s="465"/>
      <c r="AX922" s="465"/>
      <c r="AY922" s="465"/>
      <c r="AZ922" s="465"/>
      <c r="BA922" s="465"/>
      <c r="BB922" s="465"/>
      <c r="BC922" s="465"/>
    </row>
    <row r="923" spans="1:55">
      <c r="A923" s="465"/>
      <c r="B923" s="465"/>
      <c r="C923" s="465"/>
      <c r="D923" s="467"/>
      <c r="E923" s="465"/>
      <c r="F923" s="465"/>
      <c r="G923" s="465"/>
      <c r="H923" s="465"/>
      <c r="I923" s="465"/>
      <c r="J923" s="465"/>
      <c r="K923" s="465"/>
      <c r="L923" s="465"/>
      <c r="M923" s="465"/>
      <c r="N923" s="465"/>
      <c r="O923" s="465"/>
      <c r="P923" s="465"/>
      <c r="Q923" s="465"/>
      <c r="R923" s="465"/>
      <c r="S923" s="465"/>
      <c r="T923" s="465"/>
      <c r="U923" s="465"/>
      <c r="V923" s="465"/>
      <c r="W923" s="465"/>
      <c r="X923" s="465"/>
      <c r="Y923" s="465"/>
      <c r="Z923" s="465"/>
      <c r="AA923" s="465"/>
      <c r="AB923" s="465"/>
      <c r="AC923" s="465"/>
      <c r="AD923" s="465"/>
      <c r="AE923" s="465"/>
      <c r="AF923" s="465"/>
      <c r="AG923" s="465"/>
      <c r="AH923" s="465"/>
      <c r="AI923" s="465"/>
      <c r="AJ923" s="465"/>
      <c r="AK923" s="465"/>
      <c r="AL923" s="465"/>
      <c r="AM923" s="465"/>
      <c r="AN923" s="465"/>
      <c r="AO923" s="465"/>
      <c r="AP923" s="465"/>
      <c r="AQ923" s="465"/>
      <c r="AR923" s="465"/>
      <c r="AS923" s="465"/>
      <c r="AT923" s="465"/>
      <c r="AU923" s="465"/>
      <c r="AV923" s="465"/>
      <c r="AW923" s="465"/>
      <c r="AX923" s="465"/>
      <c r="AY923" s="465"/>
      <c r="AZ923" s="465"/>
      <c r="BA923" s="465"/>
      <c r="BB923" s="465"/>
      <c r="BC923" s="465"/>
    </row>
    <row r="924" spans="1:55">
      <c r="A924" s="465"/>
      <c r="B924" s="465"/>
      <c r="C924" s="465"/>
      <c r="D924" s="467"/>
      <c r="E924" s="465"/>
      <c r="F924" s="465"/>
      <c r="G924" s="465"/>
      <c r="H924" s="465"/>
      <c r="I924" s="465"/>
      <c r="J924" s="465"/>
      <c r="K924" s="465"/>
      <c r="L924" s="465"/>
      <c r="M924" s="465"/>
      <c r="N924" s="465"/>
      <c r="O924" s="465"/>
      <c r="P924" s="465"/>
      <c r="Q924" s="465"/>
      <c r="R924" s="465"/>
      <c r="S924" s="465"/>
      <c r="T924" s="465"/>
      <c r="U924" s="465"/>
      <c r="V924" s="465"/>
      <c r="W924" s="465"/>
      <c r="X924" s="465"/>
      <c r="Y924" s="465"/>
      <c r="Z924" s="465"/>
      <c r="AA924" s="465"/>
      <c r="AB924" s="465"/>
      <c r="AC924" s="465"/>
      <c r="AD924" s="465"/>
      <c r="AE924" s="465"/>
      <c r="AF924" s="465"/>
      <c r="AG924" s="465"/>
      <c r="AH924" s="465"/>
      <c r="AI924" s="465"/>
      <c r="AJ924" s="465"/>
      <c r="AK924" s="465"/>
      <c r="AL924" s="465"/>
      <c r="AM924" s="465"/>
      <c r="AN924" s="465"/>
      <c r="AO924" s="465"/>
      <c r="AP924" s="465"/>
      <c r="AQ924" s="465"/>
      <c r="AR924" s="465"/>
      <c r="AS924" s="465"/>
      <c r="AT924" s="465"/>
      <c r="AU924" s="465"/>
      <c r="AV924" s="465"/>
      <c r="AW924" s="465"/>
      <c r="AX924" s="465"/>
      <c r="AY924" s="465"/>
      <c r="AZ924" s="465"/>
      <c r="BA924" s="465"/>
      <c r="BB924" s="465"/>
      <c r="BC924" s="465"/>
    </row>
    <row r="925" spans="1:55">
      <c r="A925" s="465"/>
      <c r="B925" s="465"/>
      <c r="C925" s="465"/>
      <c r="D925" s="467"/>
      <c r="E925" s="465"/>
      <c r="F925" s="465"/>
      <c r="G925" s="465"/>
      <c r="H925" s="465"/>
      <c r="I925" s="465"/>
      <c r="J925" s="465"/>
      <c r="K925" s="465"/>
      <c r="L925" s="465"/>
      <c r="M925" s="465"/>
      <c r="N925" s="465"/>
      <c r="O925" s="465"/>
      <c r="P925" s="465"/>
      <c r="Q925" s="465"/>
      <c r="R925" s="465"/>
      <c r="S925" s="465"/>
      <c r="T925" s="465"/>
      <c r="U925" s="465"/>
      <c r="V925" s="465"/>
      <c r="W925" s="465"/>
      <c r="X925" s="465"/>
      <c r="Y925" s="465"/>
      <c r="Z925" s="465"/>
      <c r="AA925" s="465"/>
      <c r="AB925" s="465"/>
      <c r="AC925" s="465"/>
      <c r="AD925" s="465"/>
      <c r="AE925" s="465"/>
      <c r="AF925" s="465"/>
      <c r="AG925" s="465"/>
      <c r="AH925" s="465"/>
      <c r="AI925" s="465"/>
      <c r="AJ925" s="465"/>
      <c r="AK925" s="465"/>
      <c r="AL925" s="465"/>
      <c r="AM925" s="465"/>
      <c r="AN925" s="465"/>
      <c r="AO925" s="465"/>
      <c r="AP925" s="465"/>
      <c r="AQ925" s="465"/>
      <c r="AR925" s="465"/>
      <c r="AS925" s="465"/>
      <c r="AT925" s="465"/>
      <c r="AU925" s="465"/>
      <c r="AV925" s="465"/>
      <c r="AW925" s="465"/>
      <c r="AX925" s="465"/>
      <c r="AY925" s="465"/>
      <c r="AZ925" s="465"/>
      <c r="BA925" s="465"/>
      <c r="BB925" s="465"/>
      <c r="BC925" s="465"/>
    </row>
    <row r="926" spans="1:55">
      <c r="A926" s="465"/>
      <c r="B926" s="465"/>
      <c r="C926" s="465"/>
      <c r="D926" s="467"/>
      <c r="E926" s="465"/>
      <c r="F926" s="465"/>
      <c r="G926" s="465"/>
      <c r="H926" s="465"/>
      <c r="I926" s="465"/>
      <c r="J926" s="465"/>
      <c r="K926" s="465"/>
      <c r="L926" s="465"/>
      <c r="M926" s="465"/>
      <c r="N926" s="465"/>
      <c r="O926" s="465"/>
      <c r="P926" s="465"/>
      <c r="Q926" s="465"/>
      <c r="R926" s="465"/>
      <c r="S926" s="465"/>
      <c r="T926" s="465"/>
      <c r="U926" s="465"/>
      <c r="V926" s="465"/>
      <c r="W926" s="465"/>
      <c r="X926" s="465"/>
      <c r="Y926" s="465"/>
      <c r="Z926" s="465"/>
      <c r="AA926" s="465"/>
      <c r="AB926" s="465"/>
      <c r="AC926" s="465"/>
      <c r="AD926" s="465"/>
      <c r="AE926" s="465"/>
      <c r="AF926" s="465"/>
      <c r="AG926" s="465"/>
      <c r="AH926" s="465"/>
      <c r="AI926" s="465"/>
      <c r="AJ926" s="465"/>
      <c r="AK926" s="465"/>
      <c r="AL926" s="465"/>
      <c r="AM926" s="465"/>
      <c r="AN926" s="465"/>
      <c r="AO926" s="465"/>
      <c r="AP926" s="465"/>
      <c r="AQ926" s="465"/>
      <c r="AR926" s="465"/>
      <c r="AS926" s="465"/>
      <c r="AT926" s="465"/>
      <c r="AU926" s="465"/>
      <c r="AV926" s="465"/>
      <c r="AW926" s="465"/>
      <c r="AX926" s="465"/>
      <c r="AY926" s="465"/>
      <c r="AZ926" s="465"/>
      <c r="BA926" s="465"/>
      <c r="BB926" s="465"/>
      <c r="BC926" s="465"/>
    </row>
    <row r="927" spans="1:55">
      <c r="A927" s="465"/>
      <c r="B927" s="465"/>
      <c r="C927" s="465"/>
      <c r="D927" s="467"/>
      <c r="E927" s="465"/>
      <c r="F927" s="465"/>
      <c r="G927" s="465"/>
      <c r="H927" s="465"/>
      <c r="I927" s="465"/>
      <c r="J927" s="465"/>
      <c r="K927" s="465"/>
      <c r="L927" s="465"/>
      <c r="M927" s="465"/>
      <c r="N927" s="465"/>
      <c r="O927" s="465"/>
      <c r="P927" s="465"/>
      <c r="Q927" s="465"/>
      <c r="R927" s="465"/>
      <c r="S927" s="465"/>
      <c r="T927" s="465"/>
      <c r="U927" s="465"/>
      <c r="V927" s="465"/>
      <c r="W927" s="465"/>
      <c r="X927" s="465"/>
      <c r="Y927" s="465"/>
      <c r="Z927" s="465"/>
      <c r="AA927" s="465"/>
      <c r="AB927" s="465"/>
      <c r="AC927" s="465"/>
      <c r="AD927" s="465"/>
      <c r="AE927" s="465"/>
      <c r="AF927" s="465"/>
      <c r="AG927" s="465"/>
      <c r="AH927" s="465"/>
      <c r="AI927" s="465"/>
      <c r="AJ927" s="465"/>
      <c r="AK927" s="465"/>
      <c r="AL927" s="465"/>
      <c r="AM927" s="465"/>
      <c r="AN927" s="465"/>
      <c r="AO927" s="465"/>
      <c r="AP927" s="465"/>
      <c r="AQ927" s="465"/>
      <c r="AR927" s="465"/>
      <c r="AS927" s="465"/>
      <c r="AT927" s="465"/>
      <c r="AU927" s="465"/>
      <c r="AV927" s="465"/>
      <c r="AW927" s="465"/>
      <c r="AX927" s="465"/>
      <c r="AY927" s="465"/>
      <c r="AZ927" s="465"/>
      <c r="BA927" s="465"/>
      <c r="BB927" s="465"/>
      <c r="BC927" s="465"/>
    </row>
    <row r="928" spans="1:55">
      <c r="A928" s="465"/>
      <c r="B928" s="465"/>
      <c r="C928" s="465"/>
      <c r="D928" s="467"/>
      <c r="E928" s="465"/>
      <c r="F928" s="465"/>
      <c r="G928" s="465"/>
      <c r="H928" s="465"/>
      <c r="I928" s="465"/>
      <c r="J928" s="465"/>
      <c r="K928" s="465"/>
      <c r="L928" s="465"/>
      <c r="M928" s="465"/>
      <c r="N928" s="465"/>
      <c r="O928" s="465"/>
      <c r="P928" s="465"/>
      <c r="Q928" s="465"/>
      <c r="R928" s="465"/>
      <c r="S928" s="465"/>
      <c r="T928" s="465"/>
      <c r="U928" s="465"/>
      <c r="V928" s="465"/>
      <c r="W928" s="465"/>
      <c r="X928" s="465"/>
      <c r="Y928" s="465"/>
      <c r="Z928" s="465"/>
      <c r="AA928" s="465"/>
      <c r="AB928" s="465"/>
      <c r="AC928" s="465"/>
      <c r="AD928" s="465"/>
      <c r="AE928" s="465"/>
      <c r="AF928" s="465"/>
      <c r="AG928" s="465"/>
      <c r="AH928" s="465"/>
      <c r="AI928" s="465"/>
      <c r="AJ928" s="465"/>
      <c r="AK928" s="465"/>
      <c r="AL928" s="465"/>
      <c r="AM928" s="465"/>
      <c r="AN928" s="465"/>
      <c r="AO928" s="465"/>
      <c r="AP928" s="465"/>
      <c r="AQ928" s="465"/>
      <c r="AR928" s="465"/>
      <c r="AS928" s="465"/>
      <c r="AT928" s="465"/>
      <c r="AU928" s="465"/>
      <c r="AV928" s="465"/>
      <c r="AW928" s="465"/>
      <c r="AX928" s="465"/>
      <c r="AY928" s="465"/>
      <c r="AZ928" s="465"/>
      <c r="BA928" s="465"/>
      <c r="BB928" s="465"/>
      <c r="BC928" s="465"/>
    </row>
    <row r="929" spans="1:55">
      <c r="A929" s="465"/>
      <c r="B929" s="465"/>
      <c r="C929" s="465"/>
      <c r="D929" s="467"/>
      <c r="E929" s="465"/>
      <c r="F929" s="465"/>
      <c r="G929" s="465"/>
      <c r="H929" s="465"/>
      <c r="I929" s="465"/>
      <c r="J929" s="465"/>
      <c r="K929" s="465"/>
      <c r="L929" s="465"/>
      <c r="M929" s="465"/>
      <c r="N929" s="465"/>
      <c r="O929" s="465"/>
      <c r="P929" s="465"/>
      <c r="Q929" s="465"/>
      <c r="R929" s="465"/>
      <c r="S929" s="465"/>
      <c r="T929" s="465"/>
      <c r="U929" s="465"/>
      <c r="V929" s="465"/>
      <c r="W929" s="465"/>
      <c r="X929" s="465"/>
      <c r="Y929" s="465"/>
      <c r="Z929" s="465"/>
      <c r="AA929" s="465"/>
      <c r="AB929" s="465"/>
      <c r="AC929" s="465"/>
      <c r="AD929" s="465"/>
      <c r="AE929" s="465"/>
      <c r="AF929" s="465"/>
      <c r="AG929" s="465"/>
      <c r="AH929" s="465"/>
      <c r="AI929" s="465"/>
      <c r="AJ929" s="465"/>
      <c r="AK929" s="465"/>
      <c r="AL929" s="465"/>
      <c r="AM929" s="465"/>
      <c r="AN929" s="465"/>
      <c r="AO929" s="465"/>
      <c r="AP929" s="465"/>
      <c r="AQ929" s="465"/>
      <c r="AR929" s="465"/>
      <c r="AS929" s="465"/>
      <c r="AT929" s="465"/>
      <c r="AU929" s="465"/>
      <c r="AV929" s="465"/>
      <c r="AW929" s="465"/>
      <c r="AX929" s="465"/>
      <c r="AY929" s="465"/>
      <c r="AZ929" s="465"/>
      <c r="BA929" s="465"/>
      <c r="BB929" s="465"/>
      <c r="BC929" s="465"/>
    </row>
    <row r="930" spans="1:55">
      <c r="A930" s="465"/>
      <c r="B930" s="465"/>
      <c r="C930" s="465"/>
      <c r="D930" s="467"/>
      <c r="E930" s="465"/>
      <c r="F930" s="465"/>
      <c r="G930" s="465"/>
      <c r="H930" s="465"/>
      <c r="I930" s="465"/>
      <c r="J930" s="465"/>
      <c r="K930" s="465"/>
      <c r="L930" s="465"/>
      <c r="M930" s="465"/>
      <c r="N930" s="465"/>
      <c r="O930" s="465"/>
      <c r="P930" s="465"/>
      <c r="Q930" s="465"/>
      <c r="R930" s="465"/>
      <c r="S930" s="465"/>
      <c r="T930" s="465"/>
      <c r="U930" s="465"/>
      <c r="V930" s="465"/>
      <c r="W930" s="465"/>
      <c r="X930" s="465"/>
      <c r="Y930" s="465"/>
      <c r="Z930" s="465"/>
      <c r="AA930" s="465"/>
      <c r="AB930" s="465"/>
      <c r="AC930" s="465"/>
      <c r="AD930" s="465"/>
      <c r="AE930" s="465"/>
      <c r="AF930" s="465"/>
      <c r="AG930" s="465"/>
      <c r="AH930" s="465"/>
      <c r="AI930" s="465"/>
      <c r="AJ930" s="465"/>
      <c r="AK930" s="465"/>
      <c r="AL930" s="465"/>
      <c r="AM930" s="465"/>
      <c r="AN930" s="465"/>
      <c r="AO930" s="465"/>
      <c r="AP930" s="465"/>
      <c r="AQ930" s="465"/>
      <c r="AR930" s="465"/>
      <c r="AS930" s="465"/>
      <c r="AT930" s="465"/>
      <c r="AU930" s="465"/>
      <c r="AV930" s="465"/>
      <c r="AW930" s="465"/>
      <c r="AX930" s="465"/>
      <c r="AY930" s="465"/>
      <c r="AZ930" s="465"/>
      <c r="BA930" s="465"/>
      <c r="BB930" s="465"/>
      <c r="BC930" s="465"/>
    </row>
    <row r="931" spans="1:55">
      <c r="A931" s="465"/>
      <c r="B931" s="465"/>
      <c r="C931" s="465"/>
      <c r="D931" s="467"/>
      <c r="E931" s="465"/>
      <c r="F931" s="465"/>
      <c r="G931" s="465"/>
      <c r="H931" s="465"/>
      <c r="I931" s="465"/>
      <c r="J931" s="465"/>
      <c r="K931" s="465"/>
      <c r="L931" s="465"/>
      <c r="M931" s="465"/>
      <c r="N931" s="465"/>
      <c r="O931" s="465"/>
      <c r="P931" s="465"/>
      <c r="Q931" s="465"/>
      <c r="R931" s="465"/>
      <c r="S931" s="465"/>
      <c r="T931" s="465"/>
      <c r="U931" s="465"/>
      <c r="V931" s="465"/>
      <c r="W931" s="465"/>
      <c r="X931" s="465"/>
      <c r="Y931" s="465"/>
      <c r="Z931" s="465"/>
      <c r="AA931" s="465"/>
      <c r="AB931" s="465"/>
      <c r="AC931" s="465"/>
      <c r="AD931" s="465"/>
      <c r="AE931" s="465"/>
      <c r="AF931" s="465"/>
      <c r="AG931" s="465"/>
      <c r="AH931" s="465"/>
      <c r="AI931" s="465"/>
      <c r="AJ931" s="465"/>
      <c r="AK931" s="465"/>
      <c r="AL931" s="465"/>
      <c r="AM931" s="465"/>
      <c r="AN931" s="465"/>
      <c r="AO931" s="465"/>
      <c r="AP931" s="465"/>
      <c r="AQ931" s="465"/>
      <c r="AR931" s="465"/>
      <c r="AS931" s="465"/>
      <c r="AT931" s="465"/>
      <c r="AU931" s="465"/>
      <c r="AV931" s="465"/>
      <c r="AW931" s="465"/>
      <c r="AX931" s="465"/>
      <c r="AY931" s="465"/>
      <c r="AZ931" s="465"/>
      <c r="BA931" s="465"/>
      <c r="BB931" s="465"/>
      <c r="BC931" s="465"/>
    </row>
    <row r="932" spans="1:55">
      <c r="A932" s="465"/>
      <c r="B932" s="465"/>
      <c r="C932" s="465"/>
      <c r="D932" s="467"/>
      <c r="E932" s="465"/>
      <c r="F932" s="465"/>
      <c r="G932" s="465"/>
      <c r="H932" s="465"/>
      <c r="I932" s="465"/>
      <c r="J932" s="465"/>
      <c r="K932" s="465"/>
      <c r="L932" s="465"/>
      <c r="M932" s="465"/>
      <c r="N932" s="465"/>
      <c r="O932" s="465"/>
      <c r="P932" s="465"/>
      <c r="Q932" s="465"/>
      <c r="R932" s="465"/>
      <c r="S932" s="465"/>
      <c r="T932" s="465"/>
      <c r="U932" s="465"/>
      <c r="V932" s="465"/>
      <c r="W932" s="465"/>
      <c r="X932" s="465"/>
      <c r="Y932" s="465"/>
      <c r="Z932" s="465"/>
      <c r="AA932" s="465"/>
      <c r="AB932" s="465"/>
      <c r="AC932" s="465"/>
      <c r="AD932" s="465"/>
      <c r="AE932" s="465"/>
      <c r="AF932" s="465"/>
      <c r="AG932" s="465"/>
      <c r="AH932" s="465"/>
      <c r="AI932" s="465"/>
      <c r="AJ932" s="465"/>
      <c r="AK932" s="465"/>
      <c r="AL932" s="465"/>
      <c r="AM932" s="465"/>
      <c r="AN932" s="465"/>
      <c r="AO932" s="465"/>
      <c r="AP932" s="465"/>
      <c r="AQ932" s="465"/>
      <c r="AR932" s="465"/>
      <c r="AS932" s="465"/>
      <c r="AT932" s="465"/>
      <c r="AU932" s="465"/>
      <c r="AV932" s="465"/>
      <c r="AW932" s="465"/>
      <c r="AX932" s="465"/>
      <c r="AY932" s="465"/>
      <c r="AZ932" s="465"/>
      <c r="BA932" s="465"/>
      <c r="BB932" s="465"/>
      <c r="BC932" s="465"/>
    </row>
    <row r="933" spans="1:55">
      <c r="A933" s="465"/>
      <c r="B933" s="465"/>
      <c r="C933" s="465"/>
      <c r="D933" s="467"/>
      <c r="E933" s="465"/>
      <c r="F933" s="465"/>
      <c r="G933" s="465"/>
      <c r="H933" s="465"/>
      <c r="I933" s="465"/>
      <c r="J933" s="465"/>
      <c r="K933" s="465"/>
      <c r="L933" s="465"/>
      <c r="M933" s="465"/>
      <c r="N933" s="465"/>
      <c r="O933" s="465"/>
      <c r="P933" s="465"/>
      <c r="Q933" s="465"/>
      <c r="R933" s="465"/>
      <c r="S933" s="465"/>
      <c r="T933" s="465"/>
      <c r="U933" s="465"/>
      <c r="V933" s="465"/>
      <c r="W933" s="465"/>
      <c r="X933" s="465"/>
      <c r="Y933" s="465"/>
      <c r="Z933" s="465"/>
      <c r="AA933" s="465"/>
      <c r="AB933" s="465"/>
      <c r="AC933" s="465"/>
      <c r="AD933" s="465"/>
      <c r="AE933" s="465"/>
      <c r="AF933" s="465"/>
      <c r="AG933" s="465"/>
      <c r="AH933" s="465"/>
      <c r="AI933" s="465"/>
      <c r="AJ933" s="465"/>
      <c r="AK933" s="465"/>
      <c r="AL933" s="465"/>
      <c r="AM933" s="465"/>
      <c r="AN933" s="465"/>
      <c r="AO933" s="465"/>
      <c r="AP933" s="465"/>
      <c r="AQ933" s="465"/>
      <c r="AR933" s="465"/>
      <c r="AS933" s="465"/>
      <c r="AT933" s="465"/>
      <c r="AU933" s="465"/>
      <c r="AV933" s="465"/>
      <c r="AW933" s="465"/>
      <c r="AX933" s="465"/>
      <c r="AY933" s="465"/>
      <c r="AZ933" s="465"/>
      <c r="BA933" s="465"/>
      <c r="BB933" s="465"/>
      <c r="BC933" s="465"/>
    </row>
    <row r="934" spans="1:55">
      <c r="A934" s="465"/>
      <c r="B934" s="465"/>
      <c r="C934" s="465"/>
      <c r="D934" s="467"/>
      <c r="E934" s="465"/>
      <c r="F934" s="465"/>
      <c r="G934" s="465"/>
      <c r="H934" s="465"/>
      <c r="I934" s="465"/>
      <c r="J934" s="465"/>
      <c r="K934" s="465"/>
      <c r="L934" s="465"/>
      <c r="M934" s="465"/>
      <c r="N934" s="465"/>
      <c r="O934" s="465"/>
      <c r="P934" s="465"/>
      <c r="Q934" s="465"/>
      <c r="R934" s="465"/>
      <c r="S934" s="465"/>
      <c r="T934" s="465"/>
      <c r="U934" s="465"/>
      <c r="V934" s="465"/>
      <c r="W934" s="465"/>
      <c r="X934" s="465"/>
      <c r="Y934" s="465"/>
      <c r="Z934" s="465"/>
      <c r="AA934" s="465"/>
      <c r="AB934" s="465"/>
      <c r="AC934" s="465"/>
      <c r="AD934" s="465"/>
      <c r="AE934" s="465"/>
      <c r="AF934" s="465"/>
      <c r="AG934" s="465"/>
      <c r="AH934" s="465"/>
      <c r="AI934" s="465"/>
      <c r="AJ934" s="465"/>
      <c r="AK934" s="465"/>
      <c r="AL934" s="465"/>
      <c r="AM934" s="465"/>
      <c r="AN934" s="465"/>
      <c r="AO934" s="465"/>
      <c r="AP934" s="465"/>
      <c r="AQ934" s="465"/>
      <c r="AR934" s="465"/>
      <c r="AS934" s="465"/>
      <c r="AT934" s="465"/>
      <c r="AU934" s="465"/>
      <c r="AV934" s="465"/>
      <c r="AW934" s="465"/>
      <c r="AX934" s="465"/>
      <c r="AY934" s="465"/>
      <c r="AZ934" s="465"/>
      <c r="BA934" s="465"/>
      <c r="BB934" s="465"/>
      <c r="BC934" s="465"/>
    </row>
    <row r="935" spans="1:55">
      <c r="A935" s="465"/>
      <c r="B935" s="465"/>
      <c r="C935" s="465"/>
      <c r="D935" s="467"/>
      <c r="E935" s="465"/>
      <c r="F935" s="465"/>
      <c r="G935" s="465"/>
      <c r="H935" s="465"/>
      <c r="I935" s="465"/>
      <c r="J935" s="465"/>
      <c r="K935" s="465"/>
      <c r="L935" s="465"/>
      <c r="M935" s="465"/>
      <c r="N935" s="465"/>
      <c r="O935" s="465"/>
      <c r="P935" s="465"/>
      <c r="Q935" s="465"/>
      <c r="R935" s="465"/>
      <c r="S935" s="465"/>
      <c r="T935" s="465"/>
      <c r="U935" s="465"/>
      <c r="V935" s="465"/>
      <c r="W935" s="465"/>
      <c r="X935" s="465"/>
      <c r="Y935" s="465"/>
      <c r="Z935" s="465"/>
      <c r="AA935" s="465"/>
      <c r="AB935" s="465"/>
      <c r="AC935" s="465"/>
      <c r="AD935" s="465"/>
      <c r="AE935" s="465"/>
      <c r="AF935" s="465"/>
      <c r="AG935" s="465"/>
      <c r="AH935" s="465"/>
      <c r="AI935" s="465"/>
      <c r="AJ935" s="465"/>
      <c r="AK935" s="465"/>
      <c r="AL935" s="465"/>
      <c r="AM935" s="465"/>
      <c r="AN935" s="465"/>
      <c r="AO935" s="465"/>
      <c r="AP935" s="465"/>
      <c r="AQ935" s="465"/>
      <c r="AR935" s="465"/>
      <c r="AS935" s="465"/>
      <c r="AT935" s="465"/>
      <c r="AU935" s="465"/>
      <c r="AV935" s="465"/>
      <c r="AW935" s="465"/>
      <c r="AX935" s="465"/>
      <c r="AY935" s="465"/>
      <c r="AZ935" s="465"/>
      <c r="BA935" s="465"/>
      <c r="BB935" s="465"/>
      <c r="BC935" s="465"/>
    </row>
    <row r="936" spans="1:55">
      <c r="A936" s="465"/>
      <c r="B936" s="465"/>
      <c r="C936" s="465"/>
      <c r="D936" s="467"/>
      <c r="E936" s="465"/>
      <c r="F936" s="465"/>
      <c r="G936" s="465"/>
      <c r="H936" s="465"/>
      <c r="I936" s="465"/>
      <c r="J936" s="465"/>
      <c r="K936" s="465"/>
      <c r="L936" s="465"/>
      <c r="M936" s="465"/>
      <c r="N936" s="465"/>
      <c r="O936" s="465"/>
      <c r="P936" s="465"/>
      <c r="Q936" s="465"/>
      <c r="R936" s="465"/>
      <c r="S936" s="465"/>
      <c r="T936" s="465"/>
      <c r="U936" s="465"/>
      <c r="V936" s="465"/>
      <c r="W936" s="465"/>
      <c r="X936" s="465"/>
      <c r="Y936" s="465"/>
      <c r="Z936" s="465"/>
      <c r="AA936" s="465"/>
      <c r="AB936" s="465"/>
      <c r="AC936" s="465"/>
      <c r="AD936" s="465"/>
      <c r="AE936" s="465"/>
      <c r="AF936" s="465"/>
      <c r="AG936" s="465"/>
      <c r="AH936" s="465"/>
      <c r="AI936" s="465"/>
      <c r="AJ936" s="465"/>
      <c r="AK936" s="465"/>
      <c r="AL936" s="465"/>
      <c r="AM936" s="465"/>
      <c r="AN936" s="465"/>
      <c r="AO936" s="465"/>
      <c r="AP936" s="465"/>
      <c r="AQ936" s="465"/>
      <c r="AR936" s="465"/>
      <c r="AS936" s="465"/>
      <c r="AT936" s="465"/>
      <c r="AU936" s="465"/>
      <c r="AV936" s="465"/>
      <c r="AW936" s="465"/>
      <c r="AX936" s="465"/>
      <c r="AY936" s="465"/>
      <c r="AZ936" s="465"/>
      <c r="BA936" s="465"/>
      <c r="BB936" s="465"/>
      <c r="BC936" s="465"/>
    </row>
    <row r="937" spans="1:55">
      <c r="A937" s="465"/>
      <c r="B937" s="465"/>
      <c r="C937" s="465"/>
      <c r="D937" s="467"/>
      <c r="E937" s="465"/>
      <c r="F937" s="465"/>
      <c r="G937" s="465"/>
      <c r="H937" s="465"/>
      <c r="I937" s="465"/>
      <c r="J937" s="465"/>
      <c r="K937" s="465"/>
      <c r="L937" s="465"/>
      <c r="M937" s="465"/>
      <c r="N937" s="465"/>
      <c r="O937" s="465"/>
      <c r="P937" s="465"/>
      <c r="Q937" s="465"/>
      <c r="R937" s="465"/>
      <c r="S937" s="465"/>
      <c r="T937" s="465"/>
      <c r="U937" s="465"/>
      <c r="V937" s="465"/>
      <c r="W937" s="465"/>
      <c r="X937" s="465"/>
      <c r="Y937" s="465"/>
      <c r="Z937" s="465"/>
      <c r="AA937" s="465"/>
      <c r="AB937" s="465"/>
      <c r="AC937" s="465"/>
      <c r="AD937" s="465"/>
      <c r="AE937" s="465"/>
      <c r="AF937" s="465"/>
      <c r="AG937" s="465"/>
      <c r="AH937" s="465"/>
      <c r="AI937" s="465"/>
      <c r="AJ937" s="465"/>
      <c r="AK937" s="465"/>
      <c r="AL937" s="465"/>
      <c r="AM937" s="465"/>
      <c r="AN937" s="465"/>
      <c r="AO937" s="465"/>
      <c r="AP937" s="465"/>
      <c r="AQ937" s="465"/>
      <c r="AR937" s="465"/>
      <c r="AS937" s="465"/>
      <c r="AT937" s="465"/>
      <c r="AU937" s="465"/>
      <c r="AV937" s="465"/>
      <c r="AW937" s="465"/>
      <c r="AX937" s="465"/>
      <c r="AY937" s="465"/>
      <c r="AZ937" s="465"/>
      <c r="BA937" s="465"/>
      <c r="BB937" s="465"/>
      <c r="BC937" s="465"/>
    </row>
    <row r="938" spans="1:55">
      <c r="A938" s="465"/>
      <c r="B938" s="465"/>
      <c r="C938" s="465"/>
      <c r="D938" s="467"/>
      <c r="E938" s="465"/>
      <c r="F938" s="465"/>
      <c r="G938" s="465"/>
      <c r="H938" s="465"/>
      <c r="I938" s="465"/>
      <c r="J938" s="465"/>
      <c r="K938" s="465"/>
      <c r="L938" s="465"/>
      <c r="M938" s="465"/>
      <c r="N938" s="465"/>
      <c r="O938" s="465"/>
      <c r="P938" s="465"/>
      <c r="Q938" s="465"/>
      <c r="R938" s="465"/>
      <c r="S938" s="465"/>
      <c r="T938" s="465"/>
      <c r="U938" s="465"/>
      <c r="V938" s="465"/>
      <c r="W938" s="465"/>
      <c r="X938" s="465"/>
      <c r="Y938" s="465"/>
      <c r="Z938" s="465"/>
      <c r="AA938" s="465"/>
      <c r="AB938" s="465"/>
      <c r="AC938" s="465"/>
      <c r="AD938" s="465"/>
      <c r="AE938" s="465"/>
      <c r="AF938" s="465"/>
      <c r="AG938" s="465"/>
      <c r="AH938" s="465"/>
      <c r="AI938" s="465"/>
      <c r="AJ938" s="465"/>
      <c r="AK938" s="465"/>
      <c r="AL938" s="465"/>
      <c r="AM938" s="465"/>
      <c r="AN938" s="465"/>
      <c r="AO938" s="465"/>
      <c r="AP938" s="465"/>
      <c r="AQ938" s="465"/>
      <c r="AR938" s="465"/>
      <c r="AS938" s="465"/>
      <c r="AT938" s="465"/>
      <c r="AU938" s="465"/>
      <c r="AV938" s="465"/>
      <c r="AW938" s="465"/>
      <c r="AX938" s="465"/>
      <c r="AY938" s="465"/>
      <c r="AZ938" s="465"/>
      <c r="BA938" s="465"/>
      <c r="BB938" s="465"/>
      <c r="BC938" s="465"/>
    </row>
    <row r="939" spans="1:55">
      <c r="A939" s="465"/>
      <c r="B939" s="465"/>
      <c r="C939" s="465"/>
      <c r="D939" s="467"/>
      <c r="E939" s="465"/>
      <c r="F939" s="465"/>
      <c r="G939" s="465"/>
      <c r="H939" s="465"/>
      <c r="I939" s="465"/>
      <c r="J939" s="465"/>
      <c r="K939" s="465"/>
      <c r="L939" s="465"/>
      <c r="M939" s="465"/>
      <c r="N939" s="465"/>
      <c r="O939" s="465"/>
      <c r="P939" s="465"/>
      <c r="Q939" s="465"/>
      <c r="R939" s="465"/>
      <c r="S939" s="465"/>
      <c r="T939" s="465"/>
      <c r="U939" s="465"/>
      <c r="V939" s="465"/>
      <c r="W939" s="465"/>
      <c r="X939" s="465"/>
      <c r="Y939" s="465"/>
      <c r="Z939" s="465"/>
      <c r="AA939" s="465"/>
      <c r="AB939" s="465"/>
      <c r="AC939" s="465"/>
      <c r="AD939" s="465"/>
      <c r="AE939" s="465"/>
      <c r="AF939" s="465"/>
      <c r="AG939" s="465"/>
      <c r="AH939" s="465"/>
      <c r="AI939" s="465"/>
      <c r="AJ939" s="465"/>
      <c r="AK939" s="465"/>
      <c r="AL939" s="465"/>
      <c r="AM939" s="465"/>
      <c r="AN939" s="465"/>
      <c r="AO939" s="465"/>
      <c r="AP939" s="465"/>
      <c r="AQ939" s="465"/>
      <c r="AR939" s="465"/>
      <c r="AS939" s="465"/>
      <c r="AT939" s="465"/>
      <c r="AU939" s="465"/>
      <c r="AV939" s="465"/>
      <c r="AW939" s="465"/>
      <c r="AX939" s="465"/>
      <c r="AY939" s="465"/>
      <c r="AZ939" s="465"/>
      <c r="BA939" s="465"/>
      <c r="BB939" s="465"/>
      <c r="BC939" s="465"/>
    </row>
    <row r="940" spans="1:55">
      <c r="A940" s="465"/>
      <c r="B940" s="465"/>
      <c r="C940" s="465"/>
      <c r="D940" s="467"/>
      <c r="E940" s="465"/>
      <c r="F940" s="465"/>
      <c r="G940" s="465"/>
      <c r="H940" s="465"/>
      <c r="I940" s="465"/>
      <c r="J940" s="465"/>
      <c r="K940" s="465"/>
      <c r="L940" s="465"/>
      <c r="M940" s="465"/>
      <c r="N940" s="465"/>
      <c r="O940" s="465"/>
      <c r="P940" s="465"/>
      <c r="Q940" s="465"/>
      <c r="R940" s="465"/>
      <c r="S940" s="465"/>
      <c r="T940" s="465"/>
      <c r="U940" s="465"/>
      <c r="V940" s="465"/>
      <c r="W940" s="465"/>
      <c r="X940" s="465"/>
      <c r="Y940" s="465"/>
      <c r="Z940" s="465"/>
      <c r="AA940" s="465"/>
      <c r="AB940" s="465"/>
      <c r="AC940" s="465"/>
      <c r="AD940" s="465"/>
      <c r="AE940" s="465"/>
      <c r="AF940" s="465"/>
      <c r="AG940" s="465"/>
      <c r="AH940" s="465"/>
      <c r="AI940" s="465"/>
      <c r="AJ940" s="465"/>
      <c r="AK940" s="465"/>
      <c r="AL940" s="465"/>
      <c r="AM940" s="465"/>
      <c r="AN940" s="465"/>
      <c r="AO940" s="465"/>
      <c r="AP940" s="465"/>
      <c r="AQ940" s="465"/>
      <c r="AR940" s="465"/>
      <c r="AS940" s="465"/>
      <c r="AT940" s="465"/>
      <c r="AU940" s="465"/>
      <c r="AV940" s="465"/>
      <c r="AW940" s="465"/>
      <c r="AX940" s="465"/>
      <c r="AY940" s="465"/>
      <c r="AZ940" s="465"/>
      <c r="BA940" s="465"/>
      <c r="BB940" s="465"/>
      <c r="BC940" s="465"/>
    </row>
    <row r="941" spans="1:55">
      <c r="A941" s="465"/>
      <c r="B941" s="465"/>
      <c r="C941" s="465"/>
      <c r="D941" s="467"/>
      <c r="E941" s="465"/>
      <c r="F941" s="465"/>
      <c r="G941" s="465"/>
      <c r="H941" s="465"/>
      <c r="I941" s="465"/>
      <c r="J941" s="465"/>
      <c r="K941" s="465"/>
      <c r="L941" s="465"/>
      <c r="M941" s="465"/>
      <c r="N941" s="465"/>
      <c r="O941" s="465"/>
      <c r="P941" s="465"/>
      <c r="Q941" s="465"/>
      <c r="R941" s="465"/>
      <c r="S941" s="465"/>
      <c r="T941" s="465"/>
      <c r="U941" s="465"/>
      <c r="V941" s="465"/>
      <c r="W941" s="465"/>
      <c r="X941" s="465"/>
      <c r="Y941" s="465"/>
      <c r="Z941" s="465"/>
      <c r="AA941" s="465"/>
      <c r="AB941" s="465"/>
      <c r="AC941" s="465"/>
      <c r="AD941" s="465"/>
      <c r="AE941" s="465"/>
      <c r="AF941" s="465"/>
      <c r="AG941" s="465"/>
      <c r="AH941" s="465"/>
      <c r="AI941" s="465"/>
      <c r="AJ941" s="465"/>
      <c r="AK941" s="465"/>
      <c r="AL941" s="465"/>
      <c r="AM941" s="465"/>
      <c r="AN941" s="465"/>
      <c r="AO941" s="465"/>
      <c r="AP941" s="465"/>
      <c r="AQ941" s="465"/>
      <c r="AR941" s="465"/>
      <c r="AS941" s="465"/>
      <c r="AT941" s="465"/>
      <c r="AU941" s="465"/>
      <c r="AV941" s="465"/>
      <c r="AW941" s="465"/>
      <c r="AX941" s="465"/>
      <c r="AY941" s="465"/>
      <c r="AZ941" s="465"/>
      <c r="BA941" s="465"/>
      <c r="BB941" s="465"/>
      <c r="BC941" s="465"/>
    </row>
    <row r="942" spans="1:55">
      <c r="A942" s="465"/>
      <c r="B942" s="465"/>
      <c r="C942" s="465"/>
      <c r="D942" s="467"/>
      <c r="E942" s="465"/>
      <c r="F942" s="465"/>
      <c r="G942" s="465"/>
      <c r="H942" s="465"/>
      <c r="I942" s="465"/>
      <c r="J942" s="465"/>
      <c r="K942" s="465"/>
      <c r="L942" s="465"/>
      <c r="M942" s="465"/>
      <c r="N942" s="465"/>
      <c r="O942" s="465"/>
      <c r="P942" s="465"/>
      <c r="Q942" s="465"/>
      <c r="R942" s="465"/>
      <c r="S942" s="465"/>
      <c r="T942" s="465"/>
      <c r="U942" s="465"/>
      <c r="V942" s="465"/>
      <c r="W942" s="465"/>
      <c r="X942" s="465"/>
      <c r="Y942" s="465"/>
      <c r="Z942" s="465"/>
      <c r="AA942" s="465"/>
      <c r="AB942" s="465"/>
      <c r="AC942" s="465"/>
      <c r="AD942" s="465"/>
      <c r="AE942" s="465"/>
      <c r="AF942" s="465"/>
      <c r="AG942" s="465"/>
      <c r="AH942" s="465"/>
      <c r="AI942" s="465"/>
      <c r="AJ942" s="465"/>
      <c r="AK942" s="465"/>
      <c r="AL942" s="465"/>
      <c r="AM942" s="465"/>
      <c r="AN942" s="465"/>
      <c r="AO942" s="465"/>
      <c r="AP942" s="465"/>
      <c r="AQ942" s="465"/>
      <c r="AR942" s="465"/>
      <c r="AS942" s="465"/>
      <c r="AT942" s="465"/>
      <c r="AU942" s="465"/>
      <c r="AV942" s="465"/>
      <c r="AW942" s="465"/>
      <c r="AX942" s="465"/>
      <c r="AY942" s="465"/>
      <c r="AZ942" s="465"/>
      <c r="BA942" s="465"/>
      <c r="BB942" s="465"/>
      <c r="BC942" s="465"/>
    </row>
    <row r="943" spans="1:55">
      <c r="A943" s="465"/>
      <c r="B943" s="465"/>
      <c r="C943" s="465"/>
      <c r="D943" s="467"/>
      <c r="E943" s="465"/>
      <c r="F943" s="465"/>
      <c r="G943" s="465"/>
      <c r="H943" s="465"/>
      <c r="I943" s="465"/>
      <c r="J943" s="465"/>
      <c r="K943" s="465"/>
      <c r="L943" s="465"/>
      <c r="M943" s="465"/>
      <c r="N943" s="465"/>
      <c r="O943" s="465"/>
      <c r="P943" s="465"/>
      <c r="Q943" s="465"/>
      <c r="R943" s="465"/>
      <c r="S943" s="465"/>
      <c r="T943" s="465"/>
      <c r="U943" s="465"/>
      <c r="V943" s="465"/>
      <c r="W943" s="465"/>
      <c r="X943" s="465"/>
      <c r="Y943" s="465"/>
      <c r="Z943" s="465"/>
      <c r="AA943" s="465"/>
      <c r="AB943" s="465"/>
      <c r="AC943" s="465"/>
      <c r="AD943" s="465"/>
      <c r="AE943" s="465"/>
      <c r="AF943" s="465"/>
      <c r="AG943" s="465"/>
      <c r="AH943" s="465"/>
      <c r="AI943" s="465"/>
      <c r="AJ943" s="465"/>
      <c r="AK943" s="465"/>
      <c r="AL943" s="465"/>
      <c r="AM943" s="465"/>
      <c r="AN943" s="465"/>
      <c r="AO943" s="465"/>
      <c r="AP943" s="465"/>
      <c r="AQ943" s="465"/>
      <c r="AR943" s="465"/>
      <c r="AS943" s="465"/>
      <c r="AT943" s="465"/>
      <c r="AU943" s="465"/>
      <c r="AV943" s="465"/>
      <c r="AW943" s="465"/>
      <c r="AX943" s="465"/>
      <c r="AY943" s="465"/>
      <c r="AZ943" s="465"/>
      <c r="BA943" s="465"/>
      <c r="BB943" s="465"/>
      <c r="BC943" s="465"/>
    </row>
    <row r="944" spans="1:55">
      <c r="A944" s="465"/>
      <c r="B944" s="465"/>
      <c r="C944" s="465"/>
      <c r="D944" s="467"/>
      <c r="E944" s="465"/>
      <c r="F944" s="465"/>
      <c r="G944" s="465"/>
      <c r="H944" s="465"/>
      <c r="I944" s="465"/>
      <c r="J944" s="465"/>
      <c r="K944" s="465"/>
      <c r="L944" s="465"/>
      <c r="M944" s="465"/>
      <c r="N944" s="465"/>
      <c r="O944" s="465"/>
      <c r="P944" s="465"/>
      <c r="Q944" s="465"/>
      <c r="R944" s="465"/>
      <c r="S944" s="465"/>
      <c r="T944" s="465"/>
      <c r="U944" s="465"/>
      <c r="V944" s="465"/>
      <c r="W944" s="465"/>
      <c r="X944" s="465"/>
      <c r="Y944" s="465"/>
      <c r="Z944" s="465"/>
      <c r="AA944" s="465"/>
      <c r="AB944" s="465"/>
      <c r="AC944" s="465"/>
      <c r="AD944" s="465"/>
      <c r="AE944" s="465"/>
      <c r="AF944" s="465"/>
      <c r="AG944" s="465"/>
      <c r="AH944" s="465"/>
      <c r="AI944" s="465"/>
      <c r="AJ944" s="465"/>
      <c r="AK944" s="465"/>
      <c r="AL944" s="465"/>
      <c r="AM944" s="465"/>
      <c r="AN944" s="465"/>
      <c r="AO944" s="465"/>
      <c r="AP944" s="465"/>
      <c r="AQ944" s="465"/>
      <c r="AR944" s="465"/>
      <c r="AS944" s="465"/>
      <c r="AT944" s="465"/>
      <c r="AU944" s="465"/>
      <c r="AV944" s="465"/>
      <c r="AW944" s="465"/>
      <c r="AX944" s="465"/>
      <c r="AY944" s="465"/>
      <c r="AZ944" s="465"/>
      <c r="BA944" s="465"/>
      <c r="BB944" s="465"/>
      <c r="BC944" s="465"/>
    </row>
    <row r="945" spans="1:55">
      <c r="A945" s="465"/>
      <c r="B945" s="465"/>
      <c r="C945" s="465"/>
      <c r="D945" s="467"/>
      <c r="E945" s="465"/>
      <c r="F945" s="465"/>
      <c r="G945" s="465"/>
      <c r="H945" s="465"/>
      <c r="I945" s="465"/>
      <c r="J945" s="465"/>
      <c r="K945" s="465"/>
      <c r="L945" s="465"/>
      <c r="M945" s="465"/>
      <c r="N945" s="465"/>
      <c r="O945" s="465"/>
      <c r="P945" s="465"/>
      <c r="Q945" s="465"/>
      <c r="R945" s="465"/>
      <c r="S945" s="465"/>
      <c r="T945" s="465"/>
      <c r="U945" s="465"/>
      <c r="V945" s="465"/>
      <c r="W945" s="465"/>
      <c r="X945" s="465"/>
      <c r="Y945" s="465"/>
      <c r="Z945" s="465"/>
      <c r="AA945" s="465"/>
      <c r="AB945" s="465"/>
      <c r="AC945" s="465"/>
      <c r="AD945" s="465"/>
      <c r="AE945" s="465"/>
      <c r="AF945" s="465"/>
      <c r="AG945" s="465"/>
      <c r="AH945" s="465"/>
      <c r="AI945" s="465"/>
      <c r="AJ945" s="465"/>
      <c r="AK945" s="465"/>
      <c r="AL945" s="465"/>
      <c r="AM945" s="465"/>
      <c r="AN945" s="465"/>
      <c r="AO945" s="465"/>
      <c r="AP945" s="465"/>
      <c r="AQ945" s="465"/>
      <c r="AR945" s="465"/>
      <c r="AS945" s="465"/>
      <c r="AT945" s="465"/>
      <c r="AU945" s="465"/>
      <c r="AV945" s="465"/>
      <c r="AW945" s="465"/>
      <c r="AX945" s="465"/>
      <c r="AY945" s="465"/>
      <c r="AZ945" s="465"/>
      <c r="BA945" s="465"/>
      <c r="BB945" s="465"/>
      <c r="BC945" s="465"/>
    </row>
    <row r="946" spans="1:55">
      <c r="A946" s="465"/>
      <c r="B946" s="465"/>
      <c r="C946" s="465"/>
      <c r="D946" s="467"/>
      <c r="E946" s="465"/>
      <c r="F946" s="465"/>
      <c r="G946" s="465"/>
      <c r="H946" s="465"/>
      <c r="I946" s="465"/>
      <c r="J946" s="465"/>
      <c r="K946" s="465"/>
      <c r="L946" s="465"/>
      <c r="M946" s="465"/>
      <c r="N946" s="465"/>
      <c r="O946" s="465"/>
      <c r="P946" s="465"/>
      <c r="Q946" s="465"/>
      <c r="R946" s="465"/>
      <c r="S946" s="465"/>
      <c r="T946" s="465"/>
      <c r="U946" s="465"/>
      <c r="V946" s="465"/>
      <c r="W946" s="465"/>
      <c r="X946" s="465"/>
      <c r="Y946" s="465"/>
      <c r="Z946" s="465"/>
      <c r="AA946" s="465"/>
      <c r="AB946" s="465"/>
      <c r="AC946" s="465"/>
      <c r="AD946" s="465"/>
      <c r="AE946" s="465"/>
      <c r="AF946" s="465"/>
      <c r="AG946" s="465"/>
      <c r="AH946" s="465"/>
      <c r="AI946" s="465"/>
      <c r="AJ946" s="465"/>
      <c r="AK946" s="465"/>
      <c r="AL946" s="465"/>
      <c r="AM946" s="465"/>
      <c r="AN946" s="465"/>
      <c r="AO946" s="465"/>
      <c r="AP946" s="465"/>
      <c r="AQ946" s="465"/>
      <c r="AR946" s="465"/>
      <c r="AS946" s="465"/>
      <c r="AT946" s="465"/>
      <c r="AU946" s="465"/>
      <c r="AV946" s="465"/>
      <c r="AW946" s="465"/>
      <c r="AX946" s="465"/>
      <c r="AY946" s="465"/>
      <c r="AZ946" s="465"/>
      <c r="BA946" s="465"/>
      <c r="BB946" s="465"/>
      <c r="BC946" s="465"/>
    </row>
    <row r="947" spans="1:55">
      <c r="A947" s="465"/>
      <c r="B947" s="465"/>
      <c r="C947" s="465"/>
      <c r="D947" s="467"/>
      <c r="E947" s="465"/>
      <c r="F947" s="465"/>
      <c r="G947" s="465"/>
      <c r="H947" s="465"/>
      <c r="I947" s="465"/>
      <c r="J947" s="465"/>
      <c r="K947" s="465"/>
      <c r="L947" s="465"/>
      <c r="M947" s="465"/>
      <c r="N947" s="465"/>
      <c r="O947" s="465"/>
      <c r="P947" s="465"/>
      <c r="Q947" s="465"/>
      <c r="R947" s="465"/>
      <c r="S947" s="465"/>
      <c r="T947" s="465"/>
      <c r="U947" s="465"/>
      <c r="V947" s="465"/>
      <c r="W947" s="465"/>
      <c r="X947" s="465"/>
      <c r="Y947" s="465"/>
      <c r="Z947" s="465"/>
      <c r="AA947" s="465"/>
      <c r="AB947" s="465"/>
      <c r="AC947" s="465"/>
      <c r="AD947" s="465"/>
      <c r="AE947" s="465"/>
      <c r="AF947" s="465"/>
      <c r="AG947" s="465"/>
      <c r="AH947" s="465"/>
      <c r="AI947" s="465"/>
      <c r="AJ947" s="465"/>
      <c r="AK947" s="465"/>
      <c r="AL947" s="465"/>
      <c r="AM947" s="465"/>
      <c r="AN947" s="465"/>
      <c r="AO947" s="465"/>
      <c r="AP947" s="465"/>
      <c r="AQ947" s="465"/>
      <c r="AR947" s="465"/>
      <c r="AS947" s="465"/>
      <c r="AT947" s="465"/>
      <c r="AU947" s="465"/>
      <c r="AV947" s="465"/>
      <c r="AW947" s="465"/>
      <c r="AX947" s="465"/>
      <c r="AY947" s="465"/>
      <c r="AZ947" s="465"/>
      <c r="BA947" s="465"/>
      <c r="BB947" s="465"/>
      <c r="BC947" s="465"/>
    </row>
    <row r="948" spans="1:55">
      <c r="A948" s="465"/>
      <c r="B948" s="465"/>
      <c r="C948" s="465"/>
      <c r="D948" s="467"/>
      <c r="E948" s="465"/>
      <c r="F948" s="465"/>
      <c r="G948" s="465"/>
      <c r="H948" s="465"/>
      <c r="I948" s="465"/>
      <c r="J948" s="465"/>
      <c r="K948" s="465"/>
      <c r="L948" s="465"/>
      <c r="M948" s="465"/>
      <c r="N948" s="465"/>
      <c r="O948" s="465"/>
      <c r="P948" s="465"/>
      <c r="Q948" s="465"/>
      <c r="R948" s="465"/>
      <c r="S948" s="465"/>
      <c r="T948" s="465"/>
      <c r="U948" s="465"/>
      <c r="V948" s="465"/>
      <c r="W948" s="465"/>
      <c r="X948" s="465"/>
      <c r="Y948" s="465"/>
      <c r="Z948" s="465"/>
      <c r="AA948" s="465"/>
      <c r="AB948" s="465"/>
      <c r="AC948" s="465"/>
      <c r="AD948" s="465"/>
      <c r="AE948" s="465"/>
      <c r="AF948" s="465"/>
      <c r="AG948" s="465"/>
      <c r="AH948" s="465"/>
      <c r="AI948" s="465"/>
      <c r="AJ948" s="465"/>
      <c r="AK948" s="465"/>
      <c r="AL948" s="465"/>
      <c r="AM948" s="465"/>
      <c r="AN948" s="465"/>
      <c r="AO948" s="465"/>
      <c r="AP948" s="465"/>
      <c r="AQ948" s="465"/>
      <c r="AR948" s="465"/>
      <c r="AS948" s="465"/>
      <c r="AT948" s="465"/>
      <c r="AU948" s="465"/>
      <c r="AV948" s="465"/>
      <c r="AW948" s="465"/>
      <c r="AX948" s="465"/>
      <c r="AY948" s="465"/>
      <c r="AZ948" s="465"/>
      <c r="BA948" s="465"/>
      <c r="BB948" s="465"/>
      <c r="BC948" s="465"/>
    </row>
    <row r="949" spans="1:55">
      <c r="A949" s="465"/>
      <c r="B949" s="465"/>
      <c r="C949" s="465"/>
      <c r="D949" s="467"/>
      <c r="E949" s="465"/>
      <c r="F949" s="465"/>
      <c r="G949" s="465"/>
      <c r="H949" s="465"/>
      <c r="I949" s="465"/>
      <c r="J949" s="465"/>
      <c r="K949" s="465"/>
      <c r="L949" s="465"/>
      <c r="M949" s="465"/>
      <c r="N949" s="465"/>
      <c r="O949" s="465"/>
      <c r="P949" s="465"/>
      <c r="Q949" s="465"/>
      <c r="R949" s="465"/>
      <c r="S949" s="465"/>
      <c r="T949" s="465"/>
      <c r="U949" s="465"/>
      <c r="V949" s="465"/>
      <c r="W949" s="465"/>
      <c r="X949" s="465"/>
      <c r="Y949" s="465"/>
      <c r="Z949" s="465"/>
      <c r="AA949" s="465"/>
      <c r="AB949" s="465"/>
      <c r="AC949" s="465"/>
      <c r="AD949" s="465"/>
      <c r="AE949" s="465"/>
      <c r="AF949" s="465"/>
      <c r="AG949" s="465"/>
      <c r="AH949" s="465"/>
      <c r="AI949" s="465"/>
      <c r="AJ949" s="465"/>
      <c r="AK949" s="465"/>
      <c r="AL949" s="465"/>
      <c r="AM949" s="465"/>
      <c r="AN949" s="465"/>
      <c r="AO949" s="465"/>
      <c r="AP949" s="465"/>
      <c r="AQ949" s="465"/>
      <c r="AR949" s="465"/>
      <c r="AS949" s="465"/>
      <c r="AT949" s="465"/>
      <c r="AU949" s="465"/>
      <c r="AV949" s="465"/>
      <c r="AW949" s="465"/>
      <c r="AX949" s="465"/>
      <c r="AY949" s="465"/>
      <c r="AZ949" s="465"/>
      <c r="BA949" s="465"/>
      <c r="BB949" s="465"/>
      <c r="BC949" s="465"/>
    </row>
    <row r="950" spans="1:55">
      <c r="A950" s="465"/>
      <c r="B950" s="465"/>
      <c r="C950" s="465"/>
      <c r="D950" s="467"/>
      <c r="E950" s="465"/>
      <c r="F950" s="465"/>
      <c r="G950" s="465"/>
      <c r="H950" s="465"/>
      <c r="I950" s="465"/>
      <c r="J950" s="465"/>
      <c r="K950" s="465"/>
      <c r="L950" s="465"/>
      <c r="M950" s="465"/>
      <c r="N950" s="465"/>
      <c r="O950" s="465"/>
      <c r="P950" s="465"/>
      <c r="Q950" s="465"/>
      <c r="R950" s="465"/>
      <c r="S950" s="465"/>
      <c r="T950" s="465"/>
      <c r="U950" s="465"/>
      <c r="V950" s="465"/>
      <c r="W950" s="465"/>
      <c r="X950" s="465"/>
      <c r="Y950" s="465"/>
      <c r="Z950" s="465"/>
      <c r="AA950" s="465"/>
      <c r="AB950" s="465"/>
      <c r="AC950" s="465"/>
      <c r="AD950" s="465"/>
      <c r="AE950" s="465"/>
      <c r="AF950" s="465"/>
      <c r="AG950" s="465"/>
      <c r="AH950" s="465"/>
      <c r="AI950" s="465"/>
      <c r="AJ950" s="465"/>
      <c r="AK950" s="465"/>
      <c r="AL950" s="465"/>
      <c r="AM950" s="465"/>
      <c r="AN950" s="465"/>
      <c r="AO950" s="465"/>
      <c r="AP950" s="465"/>
      <c r="AQ950" s="465"/>
      <c r="AR950" s="465"/>
      <c r="AS950" s="465"/>
      <c r="AT950" s="465"/>
      <c r="AU950" s="465"/>
      <c r="AV950" s="465"/>
      <c r="AW950" s="465"/>
      <c r="AX950" s="465"/>
      <c r="AY950" s="465"/>
      <c r="AZ950" s="465"/>
      <c r="BA950" s="465"/>
      <c r="BB950" s="465"/>
      <c r="BC950" s="465"/>
    </row>
    <row r="951" spans="1:55">
      <c r="A951" s="465"/>
      <c r="B951" s="465"/>
      <c r="C951" s="465"/>
      <c r="D951" s="467"/>
      <c r="E951" s="465"/>
      <c r="F951" s="465"/>
      <c r="G951" s="465"/>
      <c r="H951" s="465"/>
      <c r="I951" s="465"/>
      <c r="J951" s="465"/>
      <c r="K951" s="465"/>
      <c r="L951" s="465"/>
      <c r="M951" s="465"/>
      <c r="N951" s="465"/>
      <c r="O951" s="465"/>
      <c r="P951" s="465"/>
      <c r="Q951" s="465"/>
      <c r="R951" s="465"/>
      <c r="S951" s="465"/>
      <c r="T951" s="465"/>
      <c r="U951" s="465"/>
      <c r="V951" s="465"/>
      <c r="W951" s="465"/>
      <c r="X951" s="465"/>
      <c r="Y951" s="465"/>
      <c r="Z951" s="465"/>
      <c r="AA951" s="465"/>
      <c r="AB951" s="465"/>
      <c r="AC951" s="465"/>
      <c r="AD951" s="465"/>
      <c r="AE951" s="465"/>
      <c r="AF951" s="465"/>
      <c r="AG951" s="465"/>
      <c r="AH951" s="465"/>
      <c r="AI951" s="465"/>
      <c r="AJ951" s="465"/>
      <c r="AK951" s="465"/>
      <c r="AL951" s="465"/>
      <c r="AM951" s="465"/>
      <c r="AN951" s="465"/>
      <c r="AO951" s="465"/>
      <c r="AP951" s="465"/>
      <c r="AQ951" s="465"/>
      <c r="AR951" s="465"/>
      <c r="AS951" s="465"/>
      <c r="AT951" s="465"/>
      <c r="AU951" s="465"/>
      <c r="AV951" s="465"/>
      <c r="AW951" s="465"/>
      <c r="AX951" s="465"/>
      <c r="AY951" s="465"/>
      <c r="AZ951" s="465"/>
      <c r="BA951" s="465"/>
      <c r="BB951" s="465"/>
      <c r="BC951" s="465"/>
    </row>
    <row r="952" spans="1:55">
      <c r="A952" s="465"/>
      <c r="B952" s="465"/>
      <c r="C952" s="465"/>
      <c r="D952" s="467"/>
      <c r="E952" s="465"/>
      <c r="F952" s="465"/>
      <c r="G952" s="465"/>
      <c r="H952" s="465"/>
      <c r="I952" s="465"/>
      <c r="J952" s="465"/>
      <c r="K952" s="465"/>
      <c r="L952" s="465"/>
      <c r="M952" s="465"/>
      <c r="N952" s="465"/>
      <c r="O952" s="465"/>
      <c r="P952" s="465"/>
      <c r="Q952" s="465"/>
      <c r="R952" s="465"/>
      <c r="S952" s="465"/>
      <c r="T952" s="465"/>
      <c r="U952" s="465"/>
      <c r="V952" s="465"/>
      <c r="W952" s="465"/>
      <c r="X952" s="465"/>
      <c r="Y952" s="465"/>
      <c r="Z952" s="465"/>
      <c r="AA952" s="465"/>
      <c r="AB952" s="465"/>
      <c r="AC952" s="465"/>
      <c r="AD952" s="465"/>
      <c r="AE952" s="465"/>
      <c r="AF952" s="465"/>
      <c r="AG952" s="465"/>
      <c r="AH952" s="465"/>
      <c r="AI952" s="465"/>
      <c r="AJ952" s="465"/>
      <c r="AK952" s="465"/>
      <c r="AL952" s="465"/>
      <c r="AM952" s="465"/>
      <c r="AN952" s="465"/>
      <c r="AO952" s="465"/>
      <c r="AP952" s="465"/>
      <c r="AQ952" s="465"/>
      <c r="AR952" s="465"/>
      <c r="AS952" s="465"/>
      <c r="AT952" s="465"/>
      <c r="AU952" s="465"/>
      <c r="AV952" s="465"/>
      <c r="AW952" s="465"/>
      <c r="AX952" s="465"/>
      <c r="AY952" s="465"/>
      <c r="AZ952" s="465"/>
      <c r="BA952" s="465"/>
      <c r="BB952" s="465"/>
      <c r="BC952" s="465"/>
    </row>
    <row r="953" spans="1:55">
      <c r="A953" s="465"/>
      <c r="B953" s="465"/>
      <c r="C953" s="465"/>
      <c r="D953" s="467"/>
      <c r="E953" s="465"/>
      <c r="F953" s="465"/>
      <c r="G953" s="465"/>
      <c r="H953" s="465"/>
      <c r="I953" s="465"/>
      <c r="J953" s="465"/>
      <c r="K953" s="465"/>
      <c r="L953" s="465"/>
      <c r="M953" s="465"/>
      <c r="N953" s="465"/>
      <c r="O953" s="465"/>
      <c r="P953" s="465"/>
      <c r="Q953" s="465"/>
      <c r="R953" s="465"/>
      <c r="S953" s="465"/>
      <c r="T953" s="465"/>
      <c r="U953" s="465"/>
      <c r="V953" s="465"/>
      <c r="W953" s="465"/>
      <c r="X953" s="465"/>
      <c r="Y953" s="465"/>
      <c r="Z953" s="465"/>
      <c r="AA953" s="465"/>
      <c r="AB953" s="465"/>
      <c r="AC953" s="465"/>
      <c r="AD953" s="465"/>
      <c r="AE953" s="465"/>
      <c r="AF953" s="465"/>
      <c r="AG953" s="465"/>
      <c r="AH953" s="465"/>
      <c r="AI953" s="465"/>
      <c r="AJ953" s="465"/>
      <c r="AK953" s="465"/>
      <c r="AL953" s="465"/>
      <c r="AM953" s="465"/>
      <c r="AN953" s="465"/>
      <c r="AO953" s="465"/>
      <c r="AP953" s="465"/>
      <c r="AQ953" s="465"/>
      <c r="AR953" s="465"/>
      <c r="AS953" s="465"/>
      <c r="AT953" s="465"/>
      <c r="AU953" s="465"/>
      <c r="AV953" s="465"/>
      <c r="AW953" s="465"/>
      <c r="AX953" s="465"/>
      <c r="AY953" s="465"/>
      <c r="AZ953" s="465"/>
      <c r="BA953" s="465"/>
      <c r="BB953" s="465"/>
      <c r="BC953" s="465"/>
    </row>
    <row r="954" spans="1:55">
      <c r="A954" s="465"/>
      <c r="B954" s="465"/>
      <c r="C954" s="465"/>
      <c r="D954" s="467"/>
      <c r="E954" s="465"/>
      <c r="F954" s="465"/>
      <c r="G954" s="465"/>
      <c r="H954" s="465"/>
      <c r="I954" s="465"/>
      <c r="J954" s="465"/>
      <c r="K954" s="465"/>
      <c r="L954" s="465"/>
      <c r="M954" s="465"/>
      <c r="N954" s="465"/>
      <c r="O954" s="465"/>
      <c r="P954" s="465"/>
      <c r="Q954" s="465"/>
      <c r="R954" s="465"/>
      <c r="S954" s="465"/>
      <c r="T954" s="465"/>
      <c r="U954" s="465"/>
      <c r="V954" s="465"/>
      <c r="W954" s="465"/>
      <c r="X954" s="465"/>
      <c r="Y954" s="465"/>
      <c r="Z954" s="465"/>
      <c r="AA954" s="465"/>
      <c r="AB954" s="465"/>
      <c r="AC954" s="465"/>
      <c r="AD954" s="465"/>
      <c r="AE954" s="465"/>
      <c r="AF954" s="465"/>
      <c r="AG954" s="465"/>
      <c r="AH954" s="465"/>
      <c r="AI954" s="465"/>
      <c r="AJ954" s="465"/>
      <c r="AK954" s="465"/>
      <c r="AL954" s="465"/>
      <c r="AM954" s="465"/>
      <c r="AN954" s="465"/>
      <c r="AO954" s="465"/>
      <c r="AP954" s="465"/>
      <c r="AQ954" s="465"/>
      <c r="AR954" s="465"/>
      <c r="AS954" s="465"/>
      <c r="AT954" s="465"/>
      <c r="AU954" s="465"/>
      <c r="AV954" s="465"/>
      <c r="AW954" s="465"/>
      <c r="AX954" s="465"/>
      <c r="AY954" s="465"/>
      <c r="AZ954" s="465"/>
      <c r="BA954" s="465"/>
      <c r="BB954" s="465"/>
      <c r="BC954" s="465"/>
    </row>
    <row r="955" spans="1:55">
      <c r="A955" s="465"/>
      <c r="B955" s="465"/>
      <c r="C955" s="465"/>
      <c r="D955" s="467"/>
      <c r="E955" s="465"/>
      <c r="F955" s="465"/>
      <c r="G955" s="465"/>
      <c r="H955" s="465"/>
      <c r="I955" s="465"/>
      <c r="J955" s="465"/>
      <c r="K955" s="465"/>
      <c r="L955" s="465"/>
      <c r="M955" s="465"/>
      <c r="N955" s="465"/>
      <c r="O955" s="465"/>
      <c r="P955" s="465"/>
      <c r="Q955" s="465"/>
      <c r="R955" s="465"/>
      <c r="S955" s="465"/>
      <c r="T955" s="465"/>
      <c r="U955" s="465"/>
      <c r="V955" s="465"/>
      <c r="W955" s="465"/>
      <c r="X955" s="465"/>
      <c r="Y955" s="465"/>
      <c r="Z955" s="465"/>
      <c r="AA955" s="465"/>
      <c r="AB955" s="465"/>
      <c r="AC955" s="465"/>
      <c r="AD955" s="465"/>
      <c r="AE955" s="465"/>
      <c r="AF955" s="465"/>
      <c r="AG955" s="465"/>
      <c r="AH955" s="465"/>
      <c r="AI955" s="465"/>
      <c r="AJ955" s="465"/>
      <c r="AK955" s="465"/>
      <c r="AL955" s="465"/>
      <c r="AM955" s="465"/>
      <c r="AN955" s="465"/>
      <c r="AO955" s="465"/>
      <c r="AP955" s="465"/>
      <c r="AQ955" s="465"/>
      <c r="AR955" s="465"/>
      <c r="AS955" s="465"/>
      <c r="AT955" s="465"/>
      <c r="AU955" s="465"/>
      <c r="AV955" s="465"/>
      <c r="AW955" s="465"/>
      <c r="AX955" s="465"/>
      <c r="AY955" s="465"/>
      <c r="AZ955" s="465"/>
      <c r="BA955" s="465"/>
      <c r="BB955" s="465"/>
      <c r="BC955" s="465"/>
    </row>
    <row r="956" spans="1:55">
      <c r="A956" s="465"/>
      <c r="B956" s="465"/>
      <c r="C956" s="465"/>
      <c r="D956" s="467"/>
      <c r="E956" s="465"/>
      <c r="F956" s="465"/>
      <c r="G956" s="465"/>
      <c r="H956" s="465"/>
      <c r="I956" s="465"/>
      <c r="J956" s="465"/>
      <c r="K956" s="465"/>
      <c r="L956" s="465"/>
      <c r="M956" s="465"/>
      <c r="N956" s="465"/>
      <c r="O956" s="465"/>
      <c r="P956" s="465"/>
      <c r="Q956" s="465"/>
      <c r="R956" s="465"/>
      <c r="S956" s="465"/>
      <c r="T956" s="465"/>
      <c r="U956" s="465"/>
      <c r="V956" s="465"/>
      <c r="W956" s="465"/>
      <c r="X956" s="465"/>
      <c r="Y956" s="465"/>
      <c r="Z956" s="465"/>
      <c r="AA956" s="465"/>
      <c r="AB956" s="465"/>
      <c r="AC956" s="465"/>
      <c r="AD956" s="465"/>
      <c r="AE956" s="465"/>
      <c r="AF956" s="465"/>
      <c r="AG956" s="465"/>
      <c r="AH956" s="465"/>
      <c r="AI956" s="465"/>
      <c r="AJ956" s="465"/>
      <c r="AK956" s="465"/>
      <c r="AL956" s="465"/>
      <c r="AM956" s="465"/>
      <c r="AN956" s="465"/>
      <c r="AO956" s="465"/>
      <c r="AP956" s="465"/>
      <c r="AQ956" s="465"/>
      <c r="AR956" s="465"/>
      <c r="AS956" s="465"/>
      <c r="AT956" s="465"/>
      <c r="AU956" s="465"/>
      <c r="AV956" s="465"/>
      <c r="AW956" s="465"/>
      <c r="AX956" s="465"/>
      <c r="AY956" s="465"/>
      <c r="AZ956" s="465"/>
      <c r="BA956" s="465"/>
      <c r="BB956" s="465"/>
      <c r="BC956" s="465"/>
    </row>
    <row r="957" spans="1:55">
      <c r="A957" s="465"/>
      <c r="B957" s="465"/>
      <c r="C957" s="465"/>
      <c r="D957" s="467"/>
      <c r="E957" s="465"/>
      <c r="F957" s="465"/>
      <c r="G957" s="465"/>
      <c r="H957" s="465"/>
      <c r="I957" s="465"/>
      <c r="J957" s="465"/>
      <c r="K957" s="465"/>
      <c r="L957" s="465"/>
      <c r="M957" s="465"/>
      <c r="N957" s="465"/>
      <c r="O957" s="465"/>
      <c r="P957" s="465"/>
      <c r="Q957" s="465"/>
      <c r="R957" s="465"/>
      <c r="S957" s="465"/>
      <c r="T957" s="465"/>
      <c r="U957" s="465"/>
      <c r="V957" s="465"/>
      <c r="W957" s="465"/>
      <c r="X957" s="465"/>
      <c r="Y957" s="465"/>
      <c r="Z957" s="465"/>
      <c r="AA957" s="465"/>
      <c r="AB957" s="465"/>
      <c r="AC957" s="465"/>
      <c r="AD957" s="465"/>
      <c r="AE957" s="465"/>
      <c r="AF957" s="465"/>
      <c r="AG957" s="465"/>
      <c r="AH957" s="465"/>
      <c r="AI957" s="465"/>
      <c r="AJ957" s="465"/>
      <c r="AK957" s="465"/>
      <c r="AL957" s="465"/>
      <c r="AM957" s="465"/>
      <c r="AN957" s="465"/>
      <c r="AO957" s="465"/>
      <c r="AP957" s="465"/>
      <c r="AQ957" s="465"/>
      <c r="AR957" s="465"/>
      <c r="AS957" s="465"/>
      <c r="AT957" s="465"/>
      <c r="AU957" s="465"/>
      <c r="AV957" s="465"/>
      <c r="AW957" s="465"/>
      <c r="AX957" s="465"/>
      <c r="AY957" s="465"/>
      <c r="AZ957" s="465"/>
      <c r="BA957" s="465"/>
      <c r="BB957" s="465"/>
      <c r="BC957" s="465"/>
    </row>
    <row r="958" spans="1:55">
      <c r="A958" s="465"/>
      <c r="B958" s="465"/>
      <c r="C958" s="465"/>
      <c r="D958" s="467"/>
      <c r="E958" s="465"/>
      <c r="F958" s="465"/>
      <c r="G958" s="465"/>
      <c r="H958" s="465"/>
      <c r="I958" s="465"/>
      <c r="J958" s="465"/>
      <c r="K958" s="465"/>
      <c r="L958" s="465"/>
      <c r="M958" s="465"/>
      <c r="N958" s="465"/>
      <c r="O958" s="465"/>
      <c r="P958" s="465"/>
      <c r="Q958" s="465"/>
      <c r="R958" s="465"/>
      <c r="S958" s="465"/>
      <c r="T958" s="465"/>
      <c r="U958" s="465"/>
      <c r="V958" s="465"/>
      <c r="W958" s="465"/>
      <c r="X958" s="465"/>
      <c r="Y958" s="465"/>
      <c r="Z958" s="465"/>
      <c r="AA958" s="465"/>
      <c r="AB958" s="465"/>
      <c r="AC958" s="465"/>
      <c r="AD958" s="465"/>
      <c r="AE958" s="465"/>
      <c r="AF958" s="465"/>
      <c r="AG958" s="465"/>
      <c r="AH958" s="465"/>
      <c r="AI958" s="465"/>
      <c r="AJ958" s="465"/>
      <c r="AK958" s="465"/>
      <c r="AL958" s="465"/>
      <c r="AM958" s="465"/>
      <c r="AN958" s="465"/>
      <c r="AO958" s="465"/>
      <c r="AP958" s="465"/>
      <c r="AQ958" s="465"/>
      <c r="AR958" s="465"/>
      <c r="AS958" s="465"/>
      <c r="AT958" s="465"/>
      <c r="AU958" s="465"/>
      <c r="AV958" s="465"/>
      <c r="AW958" s="465"/>
      <c r="AX958" s="465"/>
      <c r="AY958" s="465"/>
      <c r="AZ958" s="465"/>
      <c r="BA958" s="465"/>
      <c r="BB958" s="465"/>
      <c r="BC958" s="465"/>
    </row>
    <row r="959" spans="1:55">
      <c r="A959" s="465"/>
      <c r="B959" s="465"/>
      <c r="C959" s="465"/>
      <c r="D959" s="467"/>
      <c r="E959" s="465"/>
      <c r="F959" s="465"/>
      <c r="G959" s="465"/>
      <c r="H959" s="465"/>
      <c r="I959" s="465"/>
      <c r="J959" s="465"/>
      <c r="K959" s="465"/>
      <c r="L959" s="465"/>
      <c r="M959" s="465"/>
      <c r="N959" s="465"/>
      <c r="O959" s="465"/>
      <c r="P959" s="465"/>
      <c r="Q959" s="465"/>
      <c r="R959" s="465"/>
      <c r="S959" s="465"/>
      <c r="T959" s="465"/>
      <c r="U959" s="465"/>
      <c r="V959" s="465"/>
      <c r="W959" s="465"/>
      <c r="X959" s="465"/>
      <c r="Y959" s="465"/>
      <c r="Z959" s="465"/>
      <c r="AA959" s="465"/>
      <c r="AB959" s="465"/>
      <c r="AC959" s="465"/>
      <c r="AD959" s="465"/>
      <c r="AE959" s="465"/>
      <c r="AF959" s="465"/>
      <c r="AG959" s="465"/>
      <c r="AH959" s="465"/>
      <c r="AI959" s="465"/>
      <c r="AJ959" s="465"/>
      <c r="AK959" s="465"/>
      <c r="AL959" s="465"/>
      <c r="AM959" s="465"/>
      <c r="AN959" s="465"/>
      <c r="AO959" s="465"/>
      <c r="AP959" s="465"/>
      <c r="AQ959" s="465"/>
      <c r="AR959" s="465"/>
      <c r="AS959" s="465"/>
      <c r="AT959" s="465"/>
      <c r="AU959" s="465"/>
      <c r="AV959" s="465"/>
      <c r="AW959" s="465"/>
      <c r="AX959" s="465"/>
      <c r="AY959" s="465"/>
      <c r="AZ959" s="465"/>
      <c r="BA959" s="465"/>
      <c r="BB959" s="465"/>
      <c r="BC959" s="465"/>
    </row>
    <row r="960" spans="1:55">
      <c r="A960" s="465"/>
      <c r="B960" s="465"/>
      <c r="C960" s="465"/>
      <c r="D960" s="467"/>
      <c r="E960" s="465"/>
      <c r="F960" s="465"/>
      <c r="G960" s="465"/>
      <c r="H960" s="465"/>
      <c r="I960" s="465"/>
      <c r="J960" s="465"/>
      <c r="K960" s="465"/>
      <c r="L960" s="465"/>
      <c r="M960" s="465"/>
      <c r="N960" s="465"/>
      <c r="O960" s="465"/>
      <c r="P960" s="465"/>
      <c r="Q960" s="465"/>
      <c r="R960" s="465"/>
      <c r="S960" s="465"/>
      <c r="T960" s="465"/>
      <c r="U960" s="465"/>
      <c r="V960" s="465"/>
      <c r="W960" s="465"/>
      <c r="X960" s="465"/>
      <c r="Y960" s="465"/>
      <c r="Z960" s="465"/>
      <c r="AA960" s="465"/>
      <c r="AB960" s="465"/>
      <c r="AC960" s="465"/>
      <c r="AD960" s="465"/>
      <c r="AE960" s="465"/>
      <c r="AF960" s="465"/>
      <c r="AG960" s="465"/>
      <c r="AH960" s="465"/>
      <c r="AI960" s="465"/>
      <c r="AJ960" s="465"/>
      <c r="AK960" s="465"/>
      <c r="AL960" s="465"/>
      <c r="AM960" s="465"/>
      <c r="AN960" s="465"/>
      <c r="AO960" s="465"/>
      <c r="AP960" s="465"/>
      <c r="AQ960" s="465"/>
      <c r="AR960" s="465"/>
      <c r="AS960" s="465"/>
      <c r="AT960" s="465"/>
      <c r="AU960" s="465"/>
      <c r="AV960" s="465"/>
      <c r="AW960" s="465"/>
      <c r="AX960" s="465"/>
      <c r="AY960" s="465"/>
      <c r="AZ960" s="465"/>
      <c r="BA960" s="465"/>
      <c r="BB960" s="465"/>
      <c r="BC960" s="465"/>
    </row>
    <row r="961" spans="1:55">
      <c r="A961" s="465"/>
      <c r="B961" s="465"/>
      <c r="C961" s="465"/>
      <c r="D961" s="467"/>
      <c r="E961" s="465"/>
      <c r="F961" s="465"/>
      <c r="G961" s="465"/>
      <c r="H961" s="465"/>
      <c r="I961" s="465"/>
      <c r="J961" s="465"/>
      <c r="K961" s="465"/>
      <c r="L961" s="465"/>
      <c r="M961" s="465"/>
      <c r="N961" s="465"/>
      <c r="O961" s="465"/>
      <c r="P961" s="465"/>
      <c r="Q961" s="465"/>
      <c r="R961" s="465"/>
      <c r="S961" s="465"/>
      <c r="T961" s="465"/>
      <c r="U961" s="465"/>
      <c r="V961" s="465"/>
      <c r="W961" s="465"/>
      <c r="X961" s="465"/>
      <c r="Y961" s="465"/>
      <c r="Z961" s="465"/>
      <c r="AA961" s="465"/>
      <c r="AB961" s="465"/>
      <c r="AC961" s="465"/>
      <c r="AD961" s="465"/>
      <c r="AE961" s="465"/>
      <c r="AF961" s="465"/>
      <c r="AG961" s="465"/>
      <c r="AH961" s="465"/>
      <c r="AI961" s="465"/>
      <c r="AJ961" s="465"/>
      <c r="AK961" s="465"/>
      <c r="AL961" s="465"/>
      <c r="AM961" s="465"/>
      <c r="AN961" s="465"/>
      <c r="AO961" s="465"/>
      <c r="AP961" s="465"/>
      <c r="AQ961" s="465"/>
      <c r="AR961" s="465"/>
      <c r="AS961" s="465"/>
      <c r="AT961" s="465"/>
      <c r="AU961" s="465"/>
      <c r="AV961" s="465"/>
      <c r="AW961" s="465"/>
      <c r="AX961" s="465"/>
      <c r="AY961" s="465"/>
      <c r="AZ961" s="465"/>
      <c r="BA961" s="465"/>
      <c r="BB961" s="465"/>
      <c r="BC961" s="465"/>
    </row>
    <row r="962" spans="1:55">
      <c r="A962" s="465"/>
      <c r="B962" s="465"/>
      <c r="C962" s="465"/>
      <c r="D962" s="467"/>
      <c r="E962" s="465"/>
      <c r="F962" s="465"/>
      <c r="G962" s="465"/>
      <c r="H962" s="465"/>
      <c r="I962" s="465"/>
      <c r="J962" s="465"/>
      <c r="K962" s="465"/>
      <c r="L962" s="465"/>
      <c r="M962" s="465"/>
      <c r="N962" s="465"/>
      <c r="O962" s="465"/>
      <c r="P962" s="465"/>
      <c r="Q962" s="465"/>
      <c r="R962" s="465"/>
      <c r="S962" s="465"/>
      <c r="T962" s="465"/>
      <c r="U962" s="465"/>
      <c r="V962" s="465"/>
      <c r="W962" s="465"/>
      <c r="X962" s="465"/>
      <c r="Y962" s="465"/>
      <c r="Z962" s="465"/>
      <c r="AA962" s="465"/>
      <c r="AB962" s="465"/>
      <c r="AC962" s="465"/>
      <c r="AD962" s="465"/>
      <c r="AE962" s="465"/>
      <c r="AF962" s="465"/>
      <c r="AG962" s="465"/>
      <c r="AH962" s="465"/>
      <c r="AI962" s="465"/>
      <c r="AJ962" s="465"/>
      <c r="AK962" s="465"/>
      <c r="AL962" s="465"/>
      <c r="AM962" s="465"/>
      <c r="AN962" s="465"/>
      <c r="AO962" s="465"/>
      <c r="AP962" s="465"/>
      <c r="AQ962" s="465"/>
      <c r="AR962" s="465"/>
      <c r="AS962" s="465"/>
      <c r="AT962" s="465"/>
      <c r="AU962" s="465"/>
      <c r="AV962" s="465"/>
      <c r="AW962" s="465"/>
      <c r="AX962" s="465"/>
      <c r="AY962" s="465"/>
      <c r="AZ962" s="465"/>
      <c r="BA962" s="465"/>
      <c r="BB962" s="465"/>
      <c r="BC962" s="465"/>
    </row>
    <row r="963" spans="1:55">
      <c r="A963" s="465"/>
      <c r="B963" s="465"/>
      <c r="C963" s="465"/>
      <c r="D963" s="467"/>
      <c r="E963" s="465"/>
      <c r="F963" s="465"/>
      <c r="G963" s="465"/>
      <c r="H963" s="465"/>
      <c r="I963" s="465"/>
      <c r="J963" s="465"/>
      <c r="K963" s="465"/>
      <c r="L963" s="465"/>
      <c r="M963" s="465"/>
      <c r="N963" s="465"/>
      <c r="O963" s="465"/>
      <c r="P963" s="465"/>
      <c r="Q963" s="465"/>
      <c r="R963" s="465"/>
      <c r="S963" s="465"/>
      <c r="T963" s="465"/>
      <c r="U963" s="465"/>
      <c r="V963" s="465"/>
      <c r="W963" s="465"/>
      <c r="X963" s="465"/>
      <c r="Y963" s="465"/>
      <c r="Z963" s="465"/>
      <c r="AA963" s="465"/>
      <c r="AB963" s="465"/>
      <c r="AC963" s="465"/>
      <c r="AD963" s="465"/>
      <c r="AE963" s="465"/>
      <c r="AF963" s="465"/>
      <c r="AG963" s="465"/>
      <c r="AH963" s="465"/>
      <c r="AI963" s="465"/>
      <c r="AJ963" s="465"/>
      <c r="AK963" s="465"/>
      <c r="AL963" s="465"/>
      <c r="AM963" s="465"/>
      <c r="AN963" s="465"/>
      <c r="AO963" s="465"/>
      <c r="AP963" s="465"/>
      <c r="AQ963" s="465"/>
      <c r="AR963" s="465"/>
      <c r="AS963" s="465"/>
      <c r="AT963" s="465"/>
      <c r="AU963" s="465"/>
      <c r="AV963" s="465"/>
      <c r="AW963" s="465"/>
      <c r="AX963" s="465"/>
      <c r="AY963" s="465"/>
      <c r="AZ963" s="465"/>
      <c r="BA963" s="465"/>
      <c r="BB963" s="465"/>
      <c r="BC963" s="465"/>
    </row>
    <row r="964" spans="1:55">
      <c r="A964" s="465"/>
      <c r="B964" s="465"/>
      <c r="C964" s="465"/>
      <c r="D964" s="467"/>
      <c r="E964" s="465"/>
      <c r="F964" s="465"/>
      <c r="G964" s="465"/>
      <c r="H964" s="465"/>
      <c r="I964" s="465"/>
      <c r="J964" s="465"/>
      <c r="K964" s="465"/>
      <c r="L964" s="465"/>
      <c r="M964" s="465"/>
      <c r="N964" s="465"/>
      <c r="O964" s="465"/>
      <c r="P964" s="465"/>
      <c r="Q964" s="465"/>
      <c r="R964" s="465"/>
      <c r="S964" s="465"/>
      <c r="T964" s="465"/>
      <c r="U964" s="465"/>
      <c r="V964" s="465"/>
      <c r="W964" s="465"/>
      <c r="X964" s="465"/>
      <c r="Y964" s="465"/>
      <c r="Z964" s="465"/>
      <c r="AA964" s="465"/>
      <c r="AB964" s="465"/>
      <c r="AC964" s="465"/>
      <c r="AD964" s="465"/>
      <c r="AE964" s="465"/>
      <c r="AF964" s="465"/>
      <c r="AG964" s="465"/>
      <c r="AH964" s="465"/>
      <c r="AI964" s="465"/>
      <c r="AJ964" s="465"/>
      <c r="AK964" s="465"/>
      <c r="AL964" s="465"/>
      <c r="AM964" s="465"/>
      <c r="AN964" s="465"/>
      <c r="AO964" s="465"/>
      <c r="AP964" s="465"/>
      <c r="AQ964" s="465"/>
      <c r="AR964" s="465"/>
      <c r="AS964" s="465"/>
      <c r="AT964" s="465"/>
      <c r="AU964" s="465"/>
      <c r="AV964" s="465"/>
      <c r="AW964" s="465"/>
      <c r="AX964" s="465"/>
      <c r="AY964" s="465"/>
      <c r="AZ964" s="465"/>
      <c r="BA964" s="465"/>
      <c r="BB964" s="465"/>
      <c r="BC964" s="465"/>
    </row>
    <row r="965" spans="1:55">
      <c r="A965" s="465"/>
      <c r="B965" s="465"/>
      <c r="C965" s="465"/>
      <c r="D965" s="467"/>
      <c r="E965" s="465"/>
      <c r="F965" s="465"/>
      <c r="G965" s="465"/>
      <c r="H965" s="465"/>
      <c r="I965" s="465"/>
      <c r="J965" s="465"/>
      <c r="K965" s="465"/>
      <c r="L965" s="465"/>
      <c r="M965" s="465"/>
      <c r="N965" s="465"/>
      <c r="O965" s="465"/>
      <c r="P965" s="465"/>
      <c r="Q965" s="465"/>
      <c r="R965" s="465"/>
      <c r="S965" s="465"/>
      <c r="T965" s="465"/>
      <c r="U965" s="465"/>
      <c r="V965" s="465"/>
      <c r="W965" s="465"/>
      <c r="X965" s="465"/>
      <c r="Y965" s="465"/>
      <c r="Z965" s="465"/>
      <c r="AA965" s="465"/>
      <c r="AB965" s="465"/>
      <c r="AC965" s="465"/>
      <c r="AD965" s="465"/>
      <c r="AE965" s="465"/>
      <c r="AF965" s="465"/>
      <c r="AG965" s="465"/>
      <c r="AH965" s="465"/>
      <c r="AI965" s="465"/>
      <c r="AJ965" s="465"/>
      <c r="AK965" s="465"/>
      <c r="AL965" s="465"/>
      <c r="AM965" s="465"/>
      <c r="AN965" s="465"/>
      <c r="AO965" s="465"/>
      <c r="AP965" s="465"/>
      <c r="AQ965" s="465"/>
      <c r="AR965" s="465"/>
      <c r="AS965" s="465"/>
      <c r="AT965" s="465"/>
      <c r="AU965" s="465"/>
      <c r="AV965" s="465"/>
      <c r="AW965" s="465"/>
      <c r="AX965" s="465"/>
      <c r="AY965" s="465"/>
      <c r="AZ965" s="465"/>
      <c r="BA965" s="465"/>
      <c r="BB965" s="465"/>
      <c r="BC965" s="465"/>
    </row>
    <row r="966" spans="1:55">
      <c r="A966" s="465"/>
      <c r="B966" s="465"/>
      <c r="C966" s="465"/>
      <c r="D966" s="467"/>
      <c r="E966" s="465"/>
      <c r="F966" s="465"/>
      <c r="G966" s="465"/>
      <c r="H966" s="465"/>
      <c r="I966" s="465"/>
      <c r="J966" s="465"/>
      <c r="K966" s="465"/>
      <c r="L966" s="465"/>
      <c r="M966" s="465"/>
      <c r="N966" s="465"/>
      <c r="O966" s="465"/>
      <c r="P966" s="465"/>
      <c r="Q966" s="465"/>
      <c r="R966" s="465"/>
      <c r="S966" s="465"/>
      <c r="T966" s="465"/>
      <c r="U966" s="465"/>
      <c r="V966" s="465"/>
      <c r="W966" s="465"/>
      <c r="X966" s="465"/>
      <c r="Y966" s="465"/>
      <c r="Z966" s="465"/>
      <c r="AA966" s="465"/>
      <c r="AB966" s="465"/>
      <c r="AC966" s="465"/>
      <c r="AD966" s="465"/>
      <c r="AE966" s="465"/>
      <c r="AF966" s="465"/>
      <c r="AG966" s="465"/>
      <c r="AH966" s="465"/>
      <c r="AI966" s="465"/>
      <c r="AJ966" s="465"/>
      <c r="AK966" s="465"/>
      <c r="AL966" s="465"/>
      <c r="AM966" s="465"/>
      <c r="AN966" s="465"/>
      <c r="AO966" s="465"/>
      <c r="AP966" s="465"/>
      <c r="AQ966" s="465"/>
      <c r="AR966" s="465"/>
      <c r="AS966" s="465"/>
      <c r="AT966" s="465"/>
      <c r="AU966" s="465"/>
      <c r="AV966" s="465"/>
      <c r="AW966" s="465"/>
      <c r="AX966" s="465"/>
      <c r="AY966" s="465"/>
      <c r="AZ966" s="465"/>
      <c r="BA966" s="465"/>
      <c r="BB966" s="465"/>
      <c r="BC966" s="465"/>
    </row>
    <row r="967" spans="1:55">
      <c r="A967" s="465"/>
      <c r="B967" s="465"/>
      <c r="C967" s="465"/>
      <c r="D967" s="467"/>
      <c r="E967" s="465"/>
      <c r="F967" s="465"/>
      <c r="G967" s="465"/>
      <c r="H967" s="465"/>
      <c r="I967" s="465"/>
      <c r="J967" s="465"/>
      <c r="K967" s="465"/>
      <c r="L967" s="465"/>
      <c r="M967" s="465"/>
      <c r="N967" s="465"/>
      <c r="O967" s="465"/>
      <c r="P967" s="465"/>
      <c r="Q967" s="465"/>
      <c r="R967" s="465"/>
      <c r="S967" s="465"/>
      <c r="T967" s="465"/>
      <c r="U967" s="465"/>
      <c r="V967" s="465"/>
      <c r="W967" s="465"/>
      <c r="X967" s="465"/>
      <c r="Y967" s="465"/>
      <c r="Z967" s="465"/>
      <c r="AA967" s="465"/>
      <c r="AB967" s="465"/>
      <c r="AC967" s="465"/>
      <c r="AD967" s="465"/>
      <c r="AE967" s="465"/>
      <c r="AF967" s="465"/>
      <c r="AG967" s="465"/>
      <c r="AH967" s="465"/>
      <c r="AI967" s="465"/>
      <c r="AJ967" s="465"/>
      <c r="AK967" s="465"/>
      <c r="AL967" s="465"/>
      <c r="AM967" s="465"/>
      <c r="AN967" s="465"/>
      <c r="AO967" s="465"/>
      <c r="AP967" s="465"/>
      <c r="AQ967" s="465"/>
      <c r="AR967" s="465"/>
      <c r="AS967" s="465"/>
      <c r="AT967" s="465"/>
      <c r="AU967" s="465"/>
      <c r="AV967" s="465"/>
      <c r="AW967" s="465"/>
      <c r="AX967" s="465"/>
      <c r="AY967" s="465"/>
      <c r="AZ967" s="465"/>
      <c r="BA967" s="465"/>
      <c r="BB967" s="465"/>
      <c r="BC967" s="465"/>
    </row>
    <row r="968" spans="1:55">
      <c r="A968" s="465"/>
      <c r="B968" s="465"/>
      <c r="C968" s="465"/>
      <c r="D968" s="467"/>
      <c r="E968" s="465"/>
      <c r="F968" s="465"/>
      <c r="G968" s="465"/>
      <c r="H968" s="465"/>
      <c r="I968" s="465"/>
      <c r="J968" s="465"/>
      <c r="K968" s="465"/>
      <c r="L968" s="465"/>
      <c r="M968" s="465"/>
      <c r="N968" s="465"/>
      <c r="O968" s="465"/>
      <c r="P968" s="465"/>
      <c r="Q968" s="465"/>
      <c r="R968" s="465"/>
      <c r="S968" s="465"/>
      <c r="T968" s="465"/>
      <c r="U968" s="465"/>
      <c r="V968" s="465"/>
      <c r="W968" s="465"/>
      <c r="X968" s="465"/>
      <c r="Y968" s="465"/>
      <c r="Z968" s="465"/>
      <c r="AA968" s="465"/>
      <c r="AB968" s="465"/>
      <c r="AC968" s="465"/>
      <c r="AD968" s="465"/>
      <c r="AE968" s="465"/>
      <c r="AF968" s="465"/>
      <c r="AG968" s="465"/>
      <c r="AH968" s="465"/>
      <c r="AI968" s="465"/>
      <c r="AJ968" s="465"/>
      <c r="AK968" s="465"/>
      <c r="AL968" s="465"/>
      <c r="AM968" s="465"/>
      <c r="AN968" s="465"/>
      <c r="AO968" s="465"/>
      <c r="AP968" s="465"/>
      <c r="AQ968" s="465"/>
      <c r="AR968" s="465"/>
      <c r="AS968" s="465"/>
      <c r="AT968" s="465"/>
      <c r="AU968" s="465"/>
      <c r="AV968" s="465"/>
      <c r="AW968" s="465"/>
      <c r="AX968" s="465"/>
      <c r="AY968" s="465"/>
      <c r="AZ968" s="465"/>
      <c r="BA968" s="465"/>
      <c r="BB968" s="465"/>
      <c r="BC968" s="465"/>
    </row>
    <row r="969" spans="1:55">
      <c r="A969" s="465"/>
      <c r="B969" s="465"/>
      <c r="C969" s="465"/>
      <c r="D969" s="467"/>
      <c r="E969" s="465"/>
      <c r="F969" s="465"/>
      <c r="G969" s="465"/>
      <c r="H969" s="465"/>
      <c r="I969" s="465"/>
      <c r="J969" s="465"/>
      <c r="K969" s="465"/>
      <c r="L969" s="465"/>
      <c r="M969" s="465"/>
      <c r="N969" s="465"/>
      <c r="O969" s="465"/>
      <c r="P969" s="465"/>
      <c r="Q969" s="465"/>
      <c r="R969" s="465"/>
      <c r="S969" s="465"/>
      <c r="T969" s="465"/>
      <c r="U969" s="465"/>
      <c r="V969" s="465"/>
      <c r="W969" s="465"/>
      <c r="X969" s="465"/>
      <c r="Y969" s="465"/>
      <c r="Z969" s="465"/>
      <c r="AA969" s="465"/>
      <c r="AB969" s="465"/>
      <c r="AC969" s="465"/>
      <c r="AD969" s="465"/>
      <c r="AE969" s="465"/>
      <c r="AF969" s="465"/>
      <c r="AG969" s="465"/>
      <c r="AH969" s="465"/>
      <c r="AI969" s="465"/>
      <c r="AJ969" s="465"/>
      <c r="AK969" s="465"/>
      <c r="AL969" s="465"/>
      <c r="AM969" s="465"/>
      <c r="AN969" s="465"/>
      <c r="AO969" s="465"/>
      <c r="AP969" s="465"/>
      <c r="AQ969" s="465"/>
      <c r="AR969" s="465"/>
      <c r="AS969" s="465"/>
      <c r="AT969" s="465"/>
      <c r="AU969" s="465"/>
      <c r="AV969" s="465"/>
      <c r="AW969" s="465"/>
      <c r="AX969" s="465"/>
      <c r="AY969" s="465"/>
      <c r="AZ969" s="465"/>
      <c r="BA969" s="465"/>
      <c r="BB969" s="465"/>
      <c r="BC969" s="465"/>
    </row>
    <row r="970" spans="1:55">
      <c r="A970" s="465"/>
      <c r="B970" s="465"/>
      <c r="C970" s="465"/>
      <c r="D970" s="467"/>
      <c r="E970" s="465"/>
      <c r="F970" s="465"/>
      <c r="G970" s="465"/>
      <c r="H970" s="465"/>
      <c r="I970" s="465"/>
      <c r="J970" s="465"/>
      <c r="K970" s="465"/>
      <c r="L970" s="465"/>
      <c r="M970" s="465"/>
      <c r="N970" s="465"/>
      <c r="O970" s="465"/>
      <c r="P970" s="465"/>
      <c r="Q970" s="465"/>
      <c r="R970" s="465"/>
      <c r="S970" s="465"/>
      <c r="T970" s="465"/>
      <c r="U970" s="465"/>
      <c r="V970" s="465"/>
      <c r="W970" s="465"/>
      <c r="X970" s="465"/>
      <c r="Y970" s="465"/>
      <c r="Z970" s="465"/>
      <c r="AA970" s="465"/>
      <c r="AB970" s="465"/>
      <c r="AC970" s="465"/>
      <c r="AD970" s="465"/>
      <c r="AE970" s="465"/>
      <c r="AF970" s="465"/>
      <c r="AG970" s="465"/>
      <c r="AH970" s="465"/>
      <c r="AI970" s="465"/>
      <c r="AJ970" s="465"/>
      <c r="AK970" s="465"/>
      <c r="AL970" s="465"/>
      <c r="AM970" s="465"/>
      <c r="AN970" s="465"/>
      <c r="AO970" s="465"/>
      <c r="AP970" s="465"/>
      <c r="AQ970" s="465"/>
      <c r="AR970" s="465"/>
      <c r="AS970" s="465"/>
      <c r="AT970" s="465"/>
      <c r="AU970" s="465"/>
      <c r="AV970" s="465"/>
      <c r="AW970" s="465"/>
      <c r="AX970" s="465"/>
      <c r="AY970" s="465"/>
      <c r="AZ970" s="465"/>
      <c r="BA970" s="465"/>
      <c r="BB970" s="465"/>
      <c r="BC970" s="465"/>
    </row>
    <row r="971" spans="1:55">
      <c r="A971" s="465"/>
      <c r="B971" s="465"/>
      <c r="C971" s="465"/>
      <c r="D971" s="467"/>
      <c r="E971" s="465"/>
      <c r="F971" s="465"/>
      <c r="G971" s="465"/>
      <c r="H971" s="465"/>
      <c r="I971" s="465"/>
      <c r="J971" s="465"/>
      <c r="K971" s="465"/>
      <c r="L971" s="465"/>
      <c r="M971" s="465"/>
      <c r="N971" s="465"/>
      <c r="O971" s="465"/>
      <c r="P971" s="465"/>
      <c r="Q971" s="465"/>
      <c r="R971" s="465"/>
      <c r="S971" s="465"/>
      <c r="T971" s="465"/>
      <c r="U971" s="465"/>
      <c r="V971" s="465"/>
      <c r="W971" s="465"/>
      <c r="X971" s="465"/>
      <c r="Y971" s="465"/>
      <c r="Z971" s="465"/>
      <c r="AA971" s="465"/>
      <c r="AB971" s="465"/>
      <c r="AC971" s="465"/>
      <c r="AD971" s="465"/>
      <c r="AE971" s="465"/>
      <c r="AF971" s="465"/>
      <c r="AG971" s="465"/>
      <c r="AH971" s="465"/>
      <c r="AI971" s="465"/>
      <c r="AJ971" s="465"/>
      <c r="AK971" s="465"/>
      <c r="AL971" s="465"/>
      <c r="AM971" s="465"/>
      <c r="AN971" s="465"/>
      <c r="AO971" s="465"/>
      <c r="AP971" s="465"/>
      <c r="AQ971" s="465"/>
      <c r="AR971" s="465"/>
      <c r="AS971" s="465"/>
      <c r="AT971" s="465"/>
      <c r="AU971" s="465"/>
      <c r="AV971" s="465"/>
      <c r="AW971" s="465"/>
      <c r="AX971" s="465"/>
      <c r="AY971" s="465"/>
      <c r="AZ971" s="465"/>
      <c r="BA971" s="465"/>
      <c r="BB971" s="465"/>
      <c r="BC971" s="465"/>
    </row>
    <row r="972" spans="1:55">
      <c r="A972" s="465"/>
      <c r="B972" s="465"/>
      <c r="C972" s="465"/>
      <c r="D972" s="467"/>
      <c r="E972" s="465"/>
      <c r="F972" s="465"/>
      <c r="G972" s="465"/>
      <c r="H972" s="465"/>
      <c r="I972" s="465"/>
      <c r="J972" s="465"/>
      <c r="K972" s="465"/>
      <c r="L972" s="465"/>
      <c r="M972" s="465"/>
      <c r="N972" s="465"/>
      <c r="O972" s="465"/>
      <c r="P972" s="465"/>
      <c r="Q972" s="465"/>
      <c r="R972" s="465"/>
      <c r="S972" s="465"/>
      <c r="T972" s="465"/>
      <c r="U972" s="465"/>
      <c r="V972" s="465"/>
      <c r="W972" s="465"/>
      <c r="X972" s="465"/>
      <c r="Y972" s="465"/>
      <c r="Z972" s="465"/>
      <c r="AA972" s="465"/>
      <c r="AB972" s="465"/>
      <c r="AC972" s="465"/>
      <c r="AD972" s="465"/>
      <c r="AE972" s="465"/>
      <c r="AF972" s="465"/>
      <c r="AG972" s="465"/>
      <c r="AH972" s="465"/>
      <c r="AI972" s="465"/>
      <c r="AJ972" s="465"/>
      <c r="AK972" s="465"/>
      <c r="AL972" s="465"/>
      <c r="AM972" s="465"/>
      <c r="AN972" s="465"/>
      <c r="AO972" s="465"/>
      <c r="AP972" s="465"/>
      <c r="AQ972" s="465"/>
      <c r="AR972" s="465"/>
      <c r="AS972" s="465"/>
      <c r="AT972" s="465"/>
      <c r="AU972" s="465"/>
      <c r="AV972" s="465"/>
      <c r="AW972" s="465"/>
      <c r="AX972" s="465"/>
      <c r="AY972" s="465"/>
      <c r="AZ972" s="465"/>
      <c r="BA972" s="465"/>
      <c r="BB972" s="465"/>
      <c r="BC972" s="465"/>
    </row>
    <row r="973" spans="1:55">
      <c r="A973" s="465"/>
      <c r="B973" s="465"/>
      <c r="C973" s="465"/>
      <c r="D973" s="467"/>
      <c r="E973" s="465"/>
      <c r="F973" s="465"/>
      <c r="G973" s="465"/>
      <c r="H973" s="465"/>
      <c r="I973" s="465"/>
      <c r="J973" s="465"/>
      <c r="K973" s="465"/>
      <c r="L973" s="465"/>
      <c r="M973" s="465"/>
      <c r="N973" s="465"/>
      <c r="O973" s="465"/>
      <c r="P973" s="465"/>
      <c r="Q973" s="465"/>
      <c r="R973" s="465"/>
      <c r="S973" s="465"/>
      <c r="T973" s="465"/>
      <c r="U973" s="465"/>
      <c r="V973" s="465"/>
      <c r="W973" s="465"/>
      <c r="X973" s="465"/>
      <c r="Y973" s="465"/>
      <c r="Z973" s="465"/>
      <c r="AA973" s="465"/>
      <c r="AB973" s="465"/>
      <c r="AC973" s="465"/>
      <c r="AD973" s="465"/>
      <c r="AE973" s="465"/>
      <c r="AF973" s="465"/>
      <c r="AG973" s="465"/>
      <c r="AH973" s="465"/>
      <c r="AI973" s="465"/>
      <c r="AJ973" s="465"/>
      <c r="AK973" s="465"/>
      <c r="AL973" s="465"/>
      <c r="AM973" s="465"/>
      <c r="AN973" s="465"/>
      <c r="AO973" s="465"/>
      <c r="AP973" s="465"/>
      <c r="AQ973" s="465"/>
      <c r="AR973" s="465"/>
      <c r="AS973" s="465"/>
      <c r="AT973" s="465"/>
      <c r="AU973" s="465"/>
      <c r="AV973" s="465"/>
      <c r="AW973" s="465"/>
      <c r="AX973" s="465"/>
      <c r="AY973" s="465"/>
      <c r="AZ973" s="465"/>
      <c r="BA973" s="465"/>
      <c r="BB973" s="465"/>
      <c r="BC973" s="465"/>
    </row>
    <row r="974" spans="1:55">
      <c r="A974" s="465"/>
      <c r="B974" s="465"/>
      <c r="C974" s="465"/>
      <c r="D974" s="467"/>
      <c r="E974" s="465"/>
      <c r="F974" s="465"/>
      <c r="G974" s="465"/>
      <c r="H974" s="465"/>
      <c r="I974" s="465"/>
      <c r="J974" s="465"/>
      <c r="K974" s="465"/>
      <c r="L974" s="465"/>
      <c r="M974" s="465"/>
      <c r="N974" s="465"/>
      <c r="O974" s="465"/>
      <c r="P974" s="465"/>
      <c r="Q974" s="465"/>
      <c r="R974" s="465"/>
      <c r="S974" s="465"/>
      <c r="T974" s="465"/>
      <c r="U974" s="465"/>
      <c r="V974" s="465"/>
      <c r="W974" s="465"/>
      <c r="X974" s="465"/>
      <c r="Y974" s="465"/>
      <c r="Z974" s="465"/>
      <c r="AA974" s="465"/>
      <c r="AB974" s="465"/>
      <c r="AC974" s="465"/>
      <c r="AD974" s="465"/>
      <c r="AE974" s="465"/>
      <c r="AF974" s="465"/>
      <c r="AG974" s="465"/>
      <c r="AH974" s="465"/>
      <c r="AI974" s="465"/>
      <c r="AJ974" s="465"/>
      <c r="AK974" s="465"/>
      <c r="AL974" s="465"/>
      <c r="AM974" s="465"/>
      <c r="AN974" s="465"/>
      <c r="AO974" s="465"/>
      <c r="AP974" s="465"/>
      <c r="AQ974" s="465"/>
      <c r="AR974" s="465"/>
      <c r="AS974" s="465"/>
      <c r="AT974" s="465"/>
      <c r="AU974" s="465"/>
      <c r="AV974" s="465"/>
      <c r="AW974" s="465"/>
      <c r="AX974" s="465"/>
      <c r="AY974" s="465"/>
      <c r="AZ974" s="465"/>
      <c r="BA974" s="465"/>
      <c r="BB974" s="465"/>
      <c r="BC974" s="465"/>
    </row>
    <row r="975" spans="1:55">
      <c r="A975" s="465"/>
      <c r="B975" s="465"/>
      <c r="C975" s="465"/>
      <c r="D975" s="467"/>
      <c r="E975" s="465"/>
      <c r="F975" s="465"/>
      <c r="G975" s="465"/>
      <c r="H975" s="465"/>
      <c r="I975" s="465"/>
      <c r="J975" s="465"/>
      <c r="K975" s="465"/>
      <c r="L975" s="465"/>
      <c r="M975" s="465"/>
      <c r="N975" s="465"/>
      <c r="O975" s="465"/>
      <c r="P975" s="465"/>
      <c r="Q975" s="465"/>
      <c r="R975" s="465"/>
      <c r="S975" s="465"/>
      <c r="T975" s="465"/>
      <c r="U975" s="465"/>
      <c r="V975" s="465"/>
      <c r="W975" s="465"/>
      <c r="X975" s="465"/>
      <c r="Y975" s="465"/>
      <c r="Z975" s="465"/>
      <c r="AA975" s="465"/>
      <c r="AB975" s="465"/>
      <c r="AC975" s="465"/>
      <c r="AD975" s="465"/>
      <c r="AE975" s="465"/>
      <c r="AF975" s="465"/>
      <c r="AG975" s="465"/>
      <c r="AH975" s="465"/>
      <c r="AI975" s="465"/>
      <c r="AJ975" s="465"/>
      <c r="AK975" s="465"/>
      <c r="AL975" s="465"/>
      <c r="AM975" s="465"/>
      <c r="AN975" s="465"/>
      <c r="AO975" s="465"/>
      <c r="AP975" s="465"/>
      <c r="AQ975" s="465"/>
      <c r="AR975" s="465"/>
      <c r="AS975" s="465"/>
      <c r="AT975" s="465"/>
      <c r="AU975" s="465"/>
      <c r="AV975" s="465"/>
      <c r="AW975" s="465"/>
      <c r="AX975" s="465"/>
      <c r="AY975" s="465"/>
      <c r="AZ975" s="465"/>
      <c r="BA975" s="465"/>
      <c r="BB975" s="465"/>
      <c r="BC975" s="465"/>
    </row>
    <row r="976" spans="1:55">
      <c r="A976" s="465"/>
      <c r="B976" s="465"/>
      <c r="C976" s="465"/>
      <c r="D976" s="467"/>
      <c r="E976" s="465"/>
      <c r="F976" s="465"/>
      <c r="G976" s="465"/>
      <c r="H976" s="465"/>
      <c r="I976" s="465"/>
      <c r="J976" s="465"/>
      <c r="K976" s="465"/>
      <c r="L976" s="465"/>
      <c r="M976" s="465"/>
      <c r="N976" s="465"/>
      <c r="O976" s="465"/>
      <c r="P976" s="465"/>
      <c r="Q976" s="465"/>
      <c r="R976" s="465"/>
      <c r="S976" s="465"/>
      <c r="T976" s="465"/>
      <c r="U976" s="465"/>
      <c r="V976" s="465"/>
      <c r="W976" s="465"/>
      <c r="X976" s="465"/>
      <c r="Y976" s="465"/>
      <c r="Z976" s="465"/>
      <c r="AA976" s="465"/>
      <c r="AB976" s="465"/>
      <c r="AC976" s="465"/>
      <c r="AD976" s="465"/>
      <c r="AE976" s="465"/>
      <c r="AF976" s="465"/>
      <c r="AG976" s="465"/>
      <c r="AH976" s="465"/>
      <c r="AI976" s="465"/>
      <c r="AJ976" s="465"/>
      <c r="AK976" s="465"/>
      <c r="AL976" s="465"/>
      <c r="AM976" s="465"/>
      <c r="AN976" s="465"/>
      <c r="AO976" s="465"/>
      <c r="AP976" s="465"/>
      <c r="AQ976" s="465"/>
      <c r="AR976" s="465"/>
      <c r="AS976" s="465"/>
      <c r="AT976" s="465"/>
      <c r="AU976" s="465"/>
      <c r="AV976" s="465"/>
      <c r="AW976" s="465"/>
      <c r="AX976" s="465"/>
      <c r="AY976" s="465"/>
      <c r="AZ976" s="465"/>
      <c r="BA976" s="465"/>
      <c r="BB976" s="465"/>
      <c r="BC976" s="465"/>
    </row>
    <row r="977" spans="1:55">
      <c r="A977" s="465"/>
      <c r="B977" s="465"/>
      <c r="C977" s="465"/>
      <c r="D977" s="467"/>
      <c r="E977" s="465"/>
      <c r="F977" s="465"/>
      <c r="G977" s="465"/>
      <c r="H977" s="465"/>
      <c r="I977" s="465"/>
      <c r="J977" s="465"/>
      <c r="K977" s="465"/>
      <c r="L977" s="465"/>
      <c r="M977" s="465"/>
      <c r="N977" s="465"/>
      <c r="O977" s="465"/>
      <c r="P977" s="465"/>
      <c r="Q977" s="465"/>
      <c r="R977" s="465"/>
      <c r="S977" s="465"/>
      <c r="T977" s="465"/>
      <c r="U977" s="465"/>
      <c r="V977" s="465"/>
      <c r="W977" s="465"/>
      <c r="X977" s="465"/>
      <c r="Y977" s="465"/>
      <c r="Z977" s="465"/>
      <c r="AA977" s="465"/>
      <c r="AB977" s="465"/>
      <c r="AC977" s="465"/>
      <c r="AD977" s="465"/>
      <c r="AE977" s="465"/>
      <c r="AF977" s="465"/>
      <c r="AG977" s="465"/>
      <c r="AH977" s="465"/>
      <c r="AI977" s="465"/>
      <c r="AJ977" s="465"/>
      <c r="AK977" s="465"/>
      <c r="AL977" s="465"/>
      <c r="AM977" s="465"/>
      <c r="AN977" s="465"/>
      <c r="AO977" s="465"/>
      <c r="AP977" s="465"/>
      <c r="AQ977" s="465"/>
      <c r="AR977" s="465"/>
      <c r="AS977" s="465"/>
      <c r="AT977" s="465"/>
      <c r="AU977" s="465"/>
      <c r="AV977" s="465"/>
      <c r="AW977" s="465"/>
      <c r="AX977" s="465"/>
      <c r="AY977" s="465"/>
      <c r="AZ977" s="465"/>
      <c r="BA977" s="465"/>
      <c r="BB977" s="465"/>
      <c r="BC977" s="465"/>
    </row>
    <row r="978" spans="1:55">
      <c r="A978" s="465"/>
      <c r="B978" s="465"/>
      <c r="C978" s="465"/>
      <c r="D978" s="467"/>
      <c r="E978" s="465"/>
      <c r="F978" s="465"/>
      <c r="G978" s="465"/>
      <c r="H978" s="465"/>
      <c r="I978" s="465"/>
      <c r="J978" s="465"/>
      <c r="K978" s="465"/>
      <c r="L978" s="465"/>
      <c r="M978" s="465"/>
      <c r="N978" s="465"/>
      <c r="O978" s="465"/>
      <c r="P978" s="465"/>
      <c r="Q978" s="465"/>
      <c r="R978" s="465"/>
      <c r="S978" s="465"/>
      <c r="T978" s="465"/>
      <c r="U978" s="465"/>
      <c r="V978" s="465"/>
      <c r="W978" s="465"/>
      <c r="X978" s="465"/>
      <c r="Y978" s="465"/>
      <c r="Z978" s="465"/>
      <c r="AA978" s="465"/>
      <c r="AB978" s="465"/>
      <c r="AC978" s="465"/>
      <c r="AD978" s="465"/>
      <c r="AE978" s="465"/>
      <c r="AF978" s="465"/>
      <c r="AG978" s="465"/>
      <c r="AH978" s="465"/>
      <c r="AI978" s="465"/>
      <c r="AJ978" s="465"/>
      <c r="AK978" s="465"/>
      <c r="AL978" s="465"/>
      <c r="AM978" s="465"/>
      <c r="AN978" s="465"/>
      <c r="AO978" s="465"/>
      <c r="AP978" s="465"/>
      <c r="AQ978" s="465"/>
      <c r="AR978" s="465"/>
      <c r="AS978" s="465"/>
      <c r="AT978" s="465"/>
      <c r="AU978" s="465"/>
      <c r="AV978" s="465"/>
      <c r="AW978" s="465"/>
      <c r="AX978" s="465"/>
      <c r="AY978" s="465"/>
      <c r="AZ978" s="465"/>
      <c r="BA978" s="465"/>
      <c r="BB978" s="465"/>
      <c r="BC978" s="465"/>
    </row>
    <row r="979" spans="1:55">
      <c r="A979" s="465"/>
      <c r="B979" s="465"/>
      <c r="C979" s="465"/>
      <c r="D979" s="467"/>
      <c r="E979" s="465"/>
      <c r="F979" s="465"/>
      <c r="G979" s="465"/>
      <c r="H979" s="465"/>
      <c r="I979" s="465"/>
      <c r="J979" s="465"/>
      <c r="K979" s="465"/>
      <c r="L979" s="465"/>
      <c r="M979" s="465"/>
      <c r="N979" s="465"/>
      <c r="O979" s="465"/>
      <c r="P979" s="465"/>
      <c r="Q979" s="465"/>
      <c r="R979" s="465"/>
      <c r="S979" s="465"/>
      <c r="T979" s="465"/>
      <c r="U979" s="465"/>
      <c r="V979" s="465"/>
      <c r="W979" s="465"/>
      <c r="X979" s="465"/>
      <c r="Y979" s="465"/>
      <c r="Z979" s="465"/>
      <c r="AA979" s="465"/>
      <c r="AB979" s="465"/>
      <c r="AC979" s="465"/>
      <c r="AD979" s="465"/>
      <c r="AE979" s="465"/>
      <c r="AF979" s="465"/>
      <c r="AG979" s="465"/>
      <c r="AH979" s="465"/>
      <c r="AI979" s="465"/>
      <c r="AJ979" s="465"/>
      <c r="AK979" s="465"/>
      <c r="AL979" s="465"/>
      <c r="AM979" s="465"/>
      <c r="AN979" s="465"/>
      <c r="AO979" s="465"/>
      <c r="AP979" s="465"/>
      <c r="AQ979" s="465"/>
      <c r="AR979" s="465"/>
      <c r="AS979" s="465"/>
      <c r="AT979" s="465"/>
      <c r="AU979" s="465"/>
      <c r="AV979" s="465"/>
      <c r="AW979" s="465"/>
      <c r="AX979" s="465"/>
      <c r="AY979" s="465"/>
      <c r="AZ979" s="465"/>
      <c r="BA979" s="465"/>
      <c r="BB979" s="465"/>
      <c r="BC979" s="465"/>
    </row>
    <row r="980" spans="1:55">
      <c r="A980" s="465"/>
      <c r="B980" s="465"/>
      <c r="C980" s="465"/>
      <c r="D980" s="467"/>
      <c r="E980" s="465"/>
      <c r="F980" s="465"/>
      <c r="G980" s="465"/>
      <c r="H980" s="465"/>
      <c r="I980" s="465"/>
      <c r="J980" s="465"/>
      <c r="K980" s="465"/>
      <c r="L980" s="465"/>
      <c r="M980" s="465"/>
      <c r="N980" s="465"/>
      <c r="O980" s="465"/>
      <c r="P980" s="465"/>
      <c r="Q980" s="465"/>
      <c r="R980" s="465"/>
      <c r="S980" s="465"/>
      <c r="T980" s="465"/>
      <c r="U980" s="465"/>
      <c r="V980" s="465"/>
      <c r="W980" s="465"/>
      <c r="X980" s="465"/>
      <c r="Y980" s="465"/>
      <c r="Z980" s="465"/>
      <c r="AA980" s="465"/>
      <c r="AB980" s="465"/>
      <c r="AC980" s="465"/>
      <c r="AD980" s="465"/>
      <c r="AE980" s="465"/>
      <c r="AF980" s="465"/>
      <c r="AG980" s="465"/>
      <c r="AH980" s="465"/>
      <c r="AI980" s="465"/>
      <c r="AJ980" s="465"/>
      <c r="AK980" s="465"/>
      <c r="AL980" s="465"/>
      <c r="AM980" s="465"/>
      <c r="AN980" s="465"/>
      <c r="AO980" s="465"/>
      <c r="AP980" s="465"/>
      <c r="AQ980" s="465"/>
      <c r="AR980" s="465"/>
      <c r="AS980" s="465"/>
      <c r="AT980" s="465"/>
      <c r="AU980" s="465"/>
      <c r="AV980" s="465"/>
      <c r="AW980" s="465"/>
      <c r="AX980" s="465"/>
      <c r="AY980" s="465"/>
      <c r="AZ980" s="465"/>
      <c r="BA980" s="465"/>
      <c r="BB980" s="465"/>
      <c r="BC980" s="465"/>
    </row>
    <row r="981" spans="1:55">
      <c r="A981" s="465"/>
      <c r="B981" s="465"/>
      <c r="C981" s="465"/>
      <c r="D981" s="467"/>
      <c r="E981" s="465"/>
      <c r="F981" s="465"/>
      <c r="G981" s="465"/>
      <c r="H981" s="465"/>
      <c r="I981" s="465"/>
      <c r="J981" s="465"/>
      <c r="K981" s="465"/>
      <c r="L981" s="465"/>
      <c r="M981" s="465"/>
      <c r="N981" s="465"/>
      <c r="O981" s="465"/>
      <c r="P981" s="465"/>
      <c r="Q981" s="465"/>
      <c r="R981" s="465"/>
      <c r="S981" s="465"/>
      <c r="T981" s="465"/>
      <c r="U981" s="465"/>
      <c r="V981" s="465"/>
      <c r="W981" s="465"/>
      <c r="X981" s="465"/>
      <c r="Y981" s="465"/>
      <c r="Z981" s="465"/>
      <c r="AA981" s="465"/>
      <c r="AB981" s="465"/>
      <c r="AC981" s="465"/>
      <c r="AD981" s="465"/>
      <c r="AE981" s="465"/>
      <c r="AF981" s="465"/>
      <c r="AG981" s="465"/>
      <c r="AH981" s="465"/>
      <c r="AI981" s="465"/>
      <c r="AJ981" s="465"/>
      <c r="AK981" s="465"/>
      <c r="AL981" s="465"/>
      <c r="AM981" s="465"/>
      <c r="AN981" s="465"/>
      <c r="AO981" s="465"/>
      <c r="AP981" s="465"/>
      <c r="AQ981" s="465"/>
      <c r="AR981" s="465"/>
      <c r="AS981" s="465"/>
      <c r="AT981" s="465"/>
      <c r="AU981" s="465"/>
      <c r="AV981" s="465"/>
      <c r="AW981" s="465"/>
      <c r="AX981" s="465"/>
      <c r="AY981" s="465"/>
      <c r="AZ981" s="465"/>
      <c r="BA981" s="465"/>
      <c r="BB981" s="465"/>
      <c r="BC981" s="465"/>
    </row>
    <row r="982" spans="1:55">
      <c r="A982" s="465"/>
      <c r="B982" s="465"/>
      <c r="C982" s="465"/>
      <c r="D982" s="467"/>
      <c r="E982" s="465"/>
      <c r="F982" s="465"/>
      <c r="G982" s="465"/>
      <c r="H982" s="465"/>
      <c r="I982" s="465"/>
      <c r="J982" s="465"/>
      <c r="K982" s="465"/>
      <c r="L982" s="465"/>
      <c r="M982" s="465"/>
      <c r="N982" s="465"/>
      <c r="O982" s="465"/>
      <c r="P982" s="465"/>
      <c r="Q982" s="465"/>
      <c r="R982" s="465"/>
      <c r="S982" s="465"/>
      <c r="T982" s="465"/>
      <c r="U982" s="465"/>
      <c r="V982" s="465"/>
      <c r="W982" s="465"/>
      <c r="X982" s="465"/>
      <c r="Y982" s="465"/>
      <c r="Z982" s="465"/>
      <c r="AA982" s="465"/>
      <c r="AB982" s="465"/>
      <c r="AC982" s="465"/>
      <c r="AD982" s="465"/>
      <c r="AE982" s="465"/>
      <c r="AF982" s="465"/>
      <c r="AG982" s="465"/>
      <c r="AH982" s="465"/>
      <c r="AI982" s="465"/>
      <c r="AJ982" s="465"/>
      <c r="AK982" s="465"/>
      <c r="AL982" s="465"/>
      <c r="AM982" s="465"/>
      <c r="AN982" s="465"/>
      <c r="AO982" s="465"/>
      <c r="AP982" s="465"/>
      <c r="AQ982" s="465"/>
      <c r="AR982" s="465"/>
      <c r="AS982" s="465"/>
      <c r="AT982" s="465"/>
      <c r="AU982" s="465"/>
      <c r="AV982" s="465"/>
      <c r="AW982" s="465"/>
      <c r="AX982" s="465"/>
      <c r="AY982" s="465"/>
      <c r="AZ982" s="465"/>
      <c r="BA982" s="465"/>
      <c r="BB982" s="465"/>
      <c r="BC982" s="465"/>
    </row>
    <row r="983" spans="1:55">
      <c r="A983" s="465"/>
      <c r="B983" s="465"/>
      <c r="C983" s="465"/>
      <c r="D983" s="467"/>
      <c r="E983" s="465"/>
      <c r="F983" s="465"/>
      <c r="G983" s="465"/>
      <c r="H983" s="465"/>
      <c r="I983" s="465"/>
      <c r="J983" s="465"/>
      <c r="K983" s="465"/>
      <c r="L983" s="465"/>
      <c r="M983" s="465"/>
      <c r="N983" s="465"/>
      <c r="O983" s="465"/>
      <c r="P983" s="465"/>
      <c r="Q983" s="465"/>
      <c r="R983" s="465"/>
      <c r="S983" s="465"/>
      <c r="T983" s="465"/>
      <c r="U983" s="465"/>
      <c r="V983" s="465"/>
      <c r="W983" s="465"/>
      <c r="X983" s="465"/>
      <c r="Y983" s="465"/>
      <c r="Z983" s="465"/>
      <c r="AA983" s="465"/>
      <c r="AB983" s="465"/>
      <c r="AC983" s="465"/>
      <c r="AD983" s="465"/>
      <c r="AE983" s="465"/>
      <c r="AF983" s="465"/>
      <c r="AG983" s="465"/>
      <c r="AH983" s="465"/>
      <c r="AI983" s="465"/>
      <c r="AJ983" s="465"/>
      <c r="AK983" s="465"/>
      <c r="AL983" s="465"/>
      <c r="AM983" s="465"/>
      <c r="AN983" s="465"/>
      <c r="AO983" s="465"/>
      <c r="AP983" s="465"/>
      <c r="AQ983" s="465"/>
      <c r="AR983" s="465"/>
      <c r="AS983" s="465"/>
      <c r="AT983" s="465"/>
      <c r="AU983" s="465"/>
      <c r="AV983" s="465"/>
      <c r="AW983" s="465"/>
      <c r="AX983" s="465"/>
      <c r="AY983" s="465"/>
      <c r="AZ983" s="465"/>
      <c r="BA983" s="465"/>
      <c r="BB983" s="465"/>
      <c r="BC983" s="465"/>
    </row>
    <row r="984" spans="1:55">
      <c r="A984" s="465"/>
      <c r="B984" s="465"/>
      <c r="C984" s="465"/>
      <c r="D984" s="467"/>
      <c r="E984" s="465"/>
      <c r="F984" s="465"/>
      <c r="G984" s="465"/>
      <c r="H984" s="465"/>
      <c r="I984" s="465"/>
      <c r="J984" s="465"/>
      <c r="K984" s="465"/>
      <c r="L984" s="465"/>
      <c r="M984" s="465"/>
      <c r="N984" s="465"/>
      <c r="O984" s="465"/>
      <c r="P984" s="465"/>
      <c r="Q984" s="465"/>
      <c r="R984" s="465"/>
      <c r="S984" s="465"/>
      <c r="T984" s="465"/>
      <c r="U984" s="465"/>
      <c r="V984" s="465"/>
      <c r="W984" s="465"/>
      <c r="X984" s="465"/>
      <c r="Y984" s="465"/>
      <c r="Z984" s="465"/>
      <c r="AA984" s="465"/>
      <c r="AB984" s="465"/>
      <c r="AC984" s="465"/>
      <c r="AD984" s="465"/>
      <c r="AE984" s="465"/>
      <c r="AF984" s="465"/>
      <c r="AG984" s="465"/>
      <c r="AH984" s="465"/>
      <c r="AI984" s="465"/>
      <c r="AJ984" s="465"/>
      <c r="AK984" s="465"/>
      <c r="AL984" s="465"/>
      <c r="AM984" s="465"/>
      <c r="AN984" s="465"/>
      <c r="AO984" s="465"/>
      <c r="AP984" s="465"/>
      <c r="AQ984" s="465"/>
      <c r="AR984" s="465"/>
      <c r="AS984" s="465"/>
      <c r="AT984" s="465"/>
      <c r="AU984" s="465"/>
      <c r="AV984" s="465"/>
      <c r="AW984" s="465"/>
      <c r="AX984" s="465"/>
      <c r="AY984" s="465"/>
      <c r="AZ984" s="465"/>
      <c r="BA984" s="465"/>
      <c r="BB984" s="465"/>
      <c r="BC984" s="465"/>
    </row>
    <row r="985" spans="1:55">
      <c r="A985" s="465"/>
      <c r="B985" s="465"/>
      <c r="C985" s="465"/>
      <c r="D985" s="467"/>
      <c r="E985" s="465"/>
      <c r="F985" s="465"/>
      <c r="G985" s="465"/>
      <c r="H985" s="465"/>
      <c r="I985" s="465"/>
      <c r="J985" s="465"/>
      <c r="K985" s="465"/>
      <c r="L985" s="465"/>
      <c r="M985" s="465"/>
      <c r="N985" s="465"/>
      <c r="O985" s="465"/>
      <c r="P985" s="465"/>
      <c r="Q985" s="465"/>
      <c r="R985" s="465"/>
      <c r="S985" s="465"/>
      <c r="T985" s="465"/>
      <c r="U985" s="465"/>
      <c r="V985" s="465"/>
      <c r="W985" s="465"/>
      <c r="X985" s="465"/>
      <c r="Y985" s="465"/>
      <c r="Z985" s="465"/>
      <c r="AA985" s="465"/>
      <c r="AB985" s="465"/>
      <c r="AC985" s="465"/>
      <c r="AD985" s="465"/>
      <c r="AE985" s="465"/>
      <c r="AF985" s="465"/>
      <c r="AG985" s="465"/>
      <c r="AH985" s="465"/>
      <c r="AI985" s="465"/>
      <c r="AJ985" s="465"/>
      <c r="AK985" s="465"/>
      <c r="AL985" s="465"/>
      <c r="AM985" s="465"/>
      <c r="AN985" s="465"/>
      <c r="AO985" s="465"/>
      <c r="AP985" s="465"/>
      <c r="AQ985" s="465"/>
      <c r="AR985" s="465"/>
      <c r="AS985" s="465"/>
      <c r="AT985" s="465"/>
      <c r="AU985" s="465"/>
      <c r="AV985" s="465"/>
      <c r="AW985" s="465"/>
      <c r="AX985" s="465"/>
      <c r="AY985" s="465"/>
      <c r="AZ985" s="465"/>
      <c r="BA985" s="465"/>
      <c r="BB985" s="465"/>
      <c r="BC985" s="465"/>
    </row>
    <row r="986" spans="1:55">
      <c r="A986" s="465"/>
      <c r="B986" s="465"/>
      <c r="C986" s="465"/>
      <c r="D986" s="467"/>
      <c r="E986" s="465"/>
      <c r="F986" s="465"/>
      <c r="G986" s="465"/>
      <c r="H986" s="465"/>
      <c r="I986" s="465"/>
      <c r="J986" s="465"/>
      <c r="K986" s="465"/>
      <c r="L986" s="465"/>
      <c r="M986" s="465"/>
      <c r="N986" s="465"/>
      <c r="O986" s="465"/>
      <c r="P986" s="465"/>
      <c r="Q986" s="465"/>
      <c r="R986" s="465"/>
      <c r="S986" s="465"/>
      <c r="T986" s="465"/>
      <c r="U986" s="465"/>
      <c r="V986" s="465"/>
      <c r="W986" s="465"/>
      <c r="X986" s="465"/>
      <c r="Y986" s="465"/>
      <c r="Z986" s="465"/>
      <c r="AA986" s="465"/>
      <c r="AB986" s="465"/>
      <c r="AC986" s="465"/>
      <c r="AD986" s="465"/>
      <c r="AE986" s="465"/>
      <c r="AF986" s="465"/>
      <c r="AG986" s="465"/>
      <c r="AH986" s="465"/>
      <c r="AI986" s="465"/>
      <c r="AJ986" s="465"/>
      <c r="AK986" s="465"/>
      <c r="AL986" s="465"/>
      <c r="AM986" s="465"/>
      <c r="AN986" s="465"/>
      <c r="AO986" s="465"/>
      <c r="AP986" s="465"/>
      <c r="AQ986" s="465"/>
      <c r="AR986" s="465"/>
      <c r="AS986" s="465"/>
      <c r="AT986" s="465"/>
      <c r="AU986" s="465"/>
      <c r="AV986" s="465"/>
      <c r="AW986" s="465"/>
      <c r="AX986" s="465"/>
      <c r="AY986" s="465"/>
      <c r="AZ986" s="465"/>
      <c r="BA986" s="465"/>
      <c r="BB986" s="465"/>
      <c r="BC986" s="465"/>
    </row>
    <row r="987" spans="1:55">
      <c r="A987" s="465"/>
      <c r="B987" s="465"/>
      <c r="C987" s="465"/>
      <c r="D987" s="467"/>
      <c r="E987" s="465"/>
      <c r="F987" s="465"/>
      <c r="G987" s="465"/>
      <c r="H987" s="465"/>
      <c r="I987" s="465"/>
      <c r="J987" s="465"/>
      <c r="K987" s="465"/>
      <c r="L987" s="465"/>
      <c r="M987" s="465"/>
      <c r="N987" s="465"/>
      <c r="O987" s="465"/>
      <c r="P987" s="465"/>
      <c r="Q987" s="465"/>
      <c r="R987" s="465"/>
      <c r="S987" s="465"/>
      <c r="T987" s="465"/>
      <c r="U987" s="465"/>
      <c r="V987" s="465"/>
      <c r="W987" s="465"/>
      <c r="X987" s="465"/>
      <c r="Y987" s="465"/>
      <c r="Z987" s="465"/>
      <c r="AA987" s="465"/>
      <c r="AB987" s="465"/>
      <c r="AC987" s="465"/>
      <c r="AD987" s="465"/>
      <c r="AE987" s="465"/>
      <c r="AF987" s="465"/>
      <c r="AG987" s="465"/>
      <c r="AH987" s="465"/>
      <c r="AI987" s="465"/>
      <c r="AJ987" s="465"/>
      <c r="AK987" s="465"/>
      <c r="AL987" s="465"/>
      <c r="AM987" s="465"/>
      <c r="AN987" s="465"/>
      <c r="AO987" s="465"/>
      <c r="AP987" s="465"/>
      <c r="AQ987" s="465"/>
      <c r="AR987" s="465"/>
      <c r="AS987" s="465"/>
      <c r="AT987" s="465"/>
      <c r="AU987" s="465"/>
      <c r="AV987" s="465"/>
      <c r="AW987" s="465"/>
      <c r="AX987" s="465"/>
      <c r="AY987" s="465"/>
      <c r="AZ987" s="465"/>
      <c r="BA987" s="465"/>
      <c r="BB987" s="465"/>
      <c r="BC987" s="465"/>
    </row>
    <row r="988" spans="1:55">
      <c r="A988" s="465"/>
      <c r="B988" s="465"/>
      <c r="C988" s="465"/>
      <c r="D988" s="467"/>
      <c r="E988" s="465"/>
      <c r="F988" s="465"/>
      <c r="G988" s="465"/>
      <c r="H988" s="465"/>
      <c r="I988" s="465"/>
      <c r="J988" s="465"/>
      <c r="K988" s="465"/>
      <c r="L988" s="465"/>
      <c r="M988" s="465"/>
      <c r="N988" s="465"/>
      <c r="O988" s="465"/>
      <c r="P988" s="465"/>
      <c r="Q988" s="465"/>
      <c r="R988" s="465"/>
      <c r="S988" s="465"/>
      <c r="T988" s="465"/>
      <c r="U988" s="465"/>
      <c r="V988" s="465"/>
      <c r="W988" s="465"/>
      <c r="X988" s="465"/>
      <c r="Y988" s="465"/>
      <c r="Z988" s="465"/>
      <c r="AA988" s="465"/>
      <c r="AB988" s="465"/>
      <c r="AC988" s="465"/>
      <c r="AD988" s="465"/>
      <c r="AE988" s="465"/>
      <c r="AF988" s="465"/>
      <c r="AG988" s="465"/>
      <c r="AH988" s="465"/>
      <c r="AI988" s="465"/>
      <c r="AJ988" s="465"/>
      <c r="AK988" s="465"/>
      <c r="AL988" s="465"/>
      <c r="AM988" s="465"/>
      <c r="AN988" s="465"/>
      <c r="AO988" s="465"/>
      <c r="AP988" s="465"/>
      <c r="AQ988" s="465"/>
      <c r="AR988" s="465"/>
      <c r="AS988" s="465"/>
      <c r="AT988" s="465"/>
      <c r="AU988" s="465"/>
      <c r="AV988" s="465"/>
      <c r="AW988" s="465"/>
      <c r="AX988" s="465"/>
      <c r="AY988" s="465"/>
      <c r="AZ988" s="465"/>
      <c r="BA988" s="465"/>
      <c r="BB988" s="465"/>
      <c r="BC988" s="465"/>
    </row>
    <row r="989" spans="1:55">
      <c r="A989" s="465"/>
      <c r="B989" s="465"/>
      <c r="C989" s="465"/>
      <c r="D989" s="467"/>
      <c r="E989" s="465"/>
      <c r="F989" s="465"/>
      <c r="G989" s="465"/>
      <c r="H989" s="465"/>
      <c r="I989" s="465"/>
      <c r="J989" s="465"/>
      <c r="K989" s="465"/>
      <c r="L989" s="465"/>
      <c r="M989" s="465"/>
      <c r="N989" s="465"/>
      <c r="O989" s="465"/>
      <c r="P989" s="465"/>
      <c r="Q989" s="465"/>
      <c r="R989" s="465"/>
      <c r="S989" s="465"/>
      <c r="T989" s="465"/>
      <c r="U989" s="465"/>
      <c r="V989" s="465"/>
      <c r="W989" s="465"/>
      <c r="X989" s="465"/>
      <c r="Y989" s="465"/>
      <c r="Z989" s="465"/>
      <c r="AA989" s="465"/>
      <c r="AB989" s="465"/>
      <c r="AC989" s="465"/>
      <c r="AD989" s="465"/>
      <c r="AE989" s="465"/>
      <c r="AF989" s="465"/>
      <c r="AG989" s="465"/>
      <c r="AH989" s="465"/>
      <c r="AI989" s="465"/>
      <c r="AJ989" s="465"/>
      <c r="AK989" s="465"/>
      <c r="AL989" s="465"/>
      <c r="AM989" s="465"/>
      <c r="AN989" s="465"/>
      <c r="AO989" s="465"/>
      <c r="AP989" s="465"/>
      <c r="AQ989" s="465"/>
      <c r="AR989" s="465"/>
      <c r="AS989" s="465"/>
      <c r="AT989" s="465"/>
      <c r="AU989" s="465"/>
      <c r="AV989" s="465"/>
      <c r="AW989" s="465"/>
      <c r="AX989" s="465"/>
      <c r="AY989" s="465"/>
      <c r="AZ989" s="465"/>
      <c r="BA989" s="465"/>
      <c r="BB989" s="465"/>
      <c r="BC989" s="465"/>
    </row>
    <row r="990" spans="1:55">
      <c r="A990" s="465"/>
      <c r="B990" s="465"/>
      <c r="C990" s="465"/>
      <c r="D990" s="467"/>
      <c r="E990" s="465"/>
      <c r="F990" s="465"/>
      <c r="G990" s="465"/>
      <c r="H990" s="465"/>
      <c r="I990" s="465"/>
      <c r="J990" s="465"/>
      <c r="K990" s="465"/>
      <c r="L990" s="465"/>
      <c r="M990" s="465"/>
      <c r="N990" s="465"/>
      <c r="O990" s="465"/>
      <c r="P990" s="465"/>
      <c r="Q990" s="465"/>
      <c r="R990" s="465"/>
      <c r="S990" s="465"/>
      <c r="T990" s="465"/>
      <c r="U990" s="465"/>
      <c r="V990" s="465"/>
      <c r="W990" s="465"/>
      <c r="X990" s="465"/>
      <c r="Y990" s="465"/>
      <c r="Z990" s="465"/>
      <c r="AA990" s="465"/>
      <c r="AB990" s="465"/>
      <c r="AC990" s="465"/>
      <c r="AD990" s="465"/>
      <c r="AE990" s="465"/>
      <c r="AF990" s="465"/>
      <c r="AG990" s="465"/>
      <c r="AH990" s="465"/>
      <c r="AI990" s="465"/>
      <c r="AJ990" s="465"/>
      <c r="AK990" s="465"/>
      <c r="AL990" s="465"/>
      <c r="AM990" s="465"/>
      <c r="AN990" s="465"/>
      <c r="AO990" s="465"/>
      <c r="AP990" s="465"/>
      <c r="AQ990" s="465"/>
      <c r="AR990" s="465"/>
      <c r="AS990" s="465"/>
      <c r="AT990" s="465"/>
      <c r="AU990" s="465"/>
      <c r="AV990" s="465"/>
      <c r="AW990" s="465"/>
      <c r="AX990" s="465"/>
      <c r="AY990" s="465"/>
      <c r="AZ990" s="465"/>
      <c r="BA990" s="465"/>
      <c r="BB990" s="465"/>
      <c r="BC990" s="465"/>
    </row>
    <row r="991" spans="1:55">
      <c r="A991" s="465"/>
      <c r="B991" s="465"/>
      <c r="C991" s="465"/>
      <c r="D991" s="467"/>
      <c r="E991" s="465"/>
      <c r="F991" s="465"/>
      <c r="G991" s="465"/>
      <c r="H991" s="465"/>
      <c r="I991" s="465"/>
      <c r="J991" s="465"/>
      <c r="K991" s="465"/>
      <c r="L991" s="465"/>
      <c r="M991" s="465"/>
      <c r="N991" s="465"/>
      <c r="O991" s="465"/>
      <c r="P991" s="465"/>
      <c r="Q991" s="465"/>
      <c r="R991" s="465"/>
      <c r="S991" s="465"/>
      <c r="T991" s="465"/>
      <c r="U991" s="465"/>
      <c r="V991" s="465"/>
      <c r="W991" s="465"/>
      <c r="X991" s="465"/>
      <c r="Y991" s="465"/>
      <c r="Z991" s="465"/>
      <c r="AA991" s="465"/>
      <c r="AB991" s="465"/>
      <c r="AC991" s="465"/>
      <c r="AD991" s="465"/>
      <c r="AE991" s="465"/>
      <c r="AF991" s="465"/>
      <c r="AG991" s="465"/>
      <c r="AH991" s="465"/>
      <c r="AI991" s="465"/>
      <c r="AJ991" s="465"/>
      <c r="AK991" s="465"/>
      <c r="AL991" s="465"/>
      <c r="AM991" s="465"/>
      <c r="AN991" s="465"/>
      <c r="AO991" s="465"/>
      <c r="AP991" s="465"/>
      <c r="AQ991" s="465"/>
      <c r="AR991" s="465"/>
      <c r="AS991" s="465"/>
      <c r="AT991" s="465"/>
      <c r="AU991" s="465"/>
      <c r="AV991" s="465"/>
      <c r="AW991" s="465"/>
      <c r="AX991" s="465"/>
      <c r="AY991" s="465"/>
      <c r="AZ991" s="465"/>
      <c r="BA991" s="465"/>
      <c r="BB991" s="465"/>
      <c r="BC991" s="465"/>
    </row>
    <row r="992" spans="1:55">
      <c r="A992" s="465"/>
      <c r="B992" s="465"/>
      <c r="C992" s="465"/>
      <c r="D992" s="467"/>
      <c r="E992" s="465"/>
      <c r="F992" s="465"/>
      <c r="G992" s="465"/>
      <c r="H992" s="465"/>
      <c r="I992" s="465"/>
      <c r="J992" s="465"/>
      <c r="K992" s="465"/>
      <c r="L992" s="465"/>
      <c r="M992" s="465"/>
      <c r="N992" s="465"/>
      <c r="O992" s="465"/>
      <c r="P992" s="465"/>
      <c r="Q992" s="465"/>
      <c r="R992" s="465"/>
      <c r="S992" s="465"/>
      <c r="T992" s="465"/>
      <c r="U992" s="465"/>
      <c r="V992" s="465"/>
      <c r="W992" s="465"/>
      <c r="X992" s="465"/>
      <c r="Y992" s="465"/>
      <c r="Z992" s="465"/>
      <c r="AA992" s="465"/>
      <c r="AB992" s="465"/>
      <c r="AC992" s="465"/>
      <c r="AD992" s="465"/>
      <c r="AE992" s="465"/>
      <c r="AF992" s="465"/>
      <c r="AG992" s="465"/>
      <c r="AH992" s="465"/>
      <c r="AI992" s="465"/>
      <c r="AJ992" s="465"/>
      <c r="AK992" s="465"/>
      <c r="AL992" s="465"/>
      <c r="AM992" s="465"/>
      <c r="AN992" s="465"/>
      <c r="AO992" s="465"/>
      <c r="AP992" s="465"/>
      <c r="AQ992" s="465"/>
      <c r="AR992" s="465"/>
      <c r="AS992" s="465"/>
      <c r="AT992" s="465"/>
      <c r="AU992" s="465"/>
      <c r="AV992" s="465"/>
      <c r="AW992" s="465"/>
      <c r="AX992" s="465"/>
      <c r="AY992" s="465"/>
      <c r="AZ992" s="465"/>
      <c r="BA992" s="465"/>
      <c r="BB992" s="465"/>
      <c r="BC992" s="465"/>
    </row>
    <row r="993" spans="1:55">
      <c r="A993" s="465"/>
      <c r="B993" s="465"/>
      <c r="C993" s="465"/>
      <c r="D993" s="467"/>
      <c r="E993" s="465"/>
      <c r="F993" s="465"/>
      <c r="G993" s="465"/>
      <c r="H993" s="465"/>
      <c r="I993" s="465"/>
      <c r="J993" s="465"/>
      <c r="K993" s="465"/>
      <c r="L993" s="465"/>
      <c r="M993" s="465"/>
      <c r="N993" s="465"/>
      <c r="O993" s="465"/>
      <c r="P993" s="465"/>
      <c r="Q993" s="465"/>
      <c r="R993" s="465"/>
      <c r="S993" s="465"/>
      <c r="T993" s="465"/>
      <c r="U993" s="465"/>
      <c r="V993" s="465"/>
      <c r="W993" s="465"/>
      <c r="X993" s="465"/>
      <c r="Y993" s="465"/>
      <c r="Z993" s="465"/>
      <c r="AA993" s="465"/>
      <c r="AB993" s="465"/>
      <c r="AC993" s="465"/>
      <c r="AD993" s="465"/>
      <c r="AE993" s="465"/>
      <c r="AF993" s="465"/>
      <c r="AG993" s="465"/>
      <c r="AH993" s="465"/>
      <c r="AI993" s="465"/>
      <c r="AJ993" s="465"/>
      <c r="AK993" s="465"/>
      <c r="AL993" s="465"/>
      <c r="AM993" s="465"/>
      <c r="AN993" s="465"/>
      <c r="AO993" s="465"/>
      <c r="AP993" s="465"/>
      <c r="AQ993" s="465"/>
      <c r="AR993" s="465"/>
      <c r="AS993" s="465"/>
      <c r="AT993" s="465"/>
      <c r="AU993" s="465"/>
      <c r="AV993" s="465"/>
      <c r="AW993" s="465"/>
      <c r="AX993" s="465"/>
      <c r="AY993" s="465"/>
      <c r="AZ993" s="465"/>
      <c r="BA993" s="465"/>
      <c r="BB993" s="465"/>
      <c r="BC993" s="465"/>
    </row>
    <row r="994" spans="1:55">
      <c r="A994" s="465"/>
      <c r="B994" s="465"/>
      <c r="C994" s="465"/>
      <c r="D994" s="467"/>
      <c r="E994" s="465"/>
      <c r="F994" s="465"/>
      <c r="G994" s="465"/>
      <c r="H994" s="465"/>
      <c r="I994" s="465"/>
      <c r="J994" s="465"/>
      <c r="K994" s="465"/>
      <c r="L994" s="465"/>
      <c r="M994" s="465"/>
      <c r="N994" s="465"/>
      <c r="O994" s="465"/>
      <c r="P994" s="465"/>
      <c r="Q994" s="465"/>
      <c r="R994" s="465"/>
      <c r="S994" s="465"/>
      <c r="T994" s="465"/>
      <c r="U994" s="465"/>
      <c r="V994" s="465"/>
      <c r="W994" s="465"/>
      <c r="X994" s="465"/>
      <c r="Y994" s="465"/>
      <c r="Z994" s="465"/>
      <c r="AA994" s="465"/>
      <c r="AB994" s="465"/>
      <c r="AC994" s="465"/>
      <c r="AD994" s="465"/>
      <c r="AE994" s="465"/>
      <c r="AF994" s="465"/>
      <c r="AG994" s="465"/>
      <c r="AH994" s="465"/>
      <c r="AI994" s="465"/>
      <c r="AJ994" s="465"/>
      <c r="AK994" s="465"/>
      <c r="AL994" s="465"/>
      <c r="AM994" s="465"/>
      <c r="AN994" s="465"/>
      <c r="AO994" s="465"/>
      <c r="AP994" s="465"/>
      <c r="AQ994" s="465"/>
      <c r="AR994" s="465"/>
      <c r="AS994" s="465"/>
      <c r="AT994" s="465"/>
      <c r="AU994" s="465"/>
      <c r="AV994" s="465"/>
      <c r="AW994" s="465"/>
      <c r="AX994" s="465"/>
      <c r="AY994" s="465"/>
      <c r="AZ994" s="465"/>
      <c r="BA994" s="465"/>
      <c r="BB994" s="465"/>
      <c r="BC994" s="465"/>
    </row>
    <row r="995" spans="1:55">
      <c r="A995" s="465"/>
      <c r="B995" s="465"/>
      <c r="C995" s="465"/>
      <c r="D995" s="467"/>
      <c r="E995" s="465"/>
      <c r="F995" s="465"/>
      <c r="G995" s="465"/>
      <c r="H995" s="465"/>
      <c r="I995" s="465"/>
      <c r="J995" s="465"/>
      <c r="K995" s="465"/>
      <c r="L995" s="465"/>
      <c r="M995" s="465"/>
      <c r="N995" s="465"/>
      <c r="O995" s="465"/>
      <c r="P995" s="465"/>
      <c r="Q995" s="465"/>
      <c r="R995" s="465"/>
      <c r="S995" s="465"/>
      <c r="T995" s="465"/>
      <c r="U995" s="465"/>
      <c r="V995" s="465"/>
      <c r="W995" s="465"/>
      <c r="X995" s="465"/>
      <c r="Y995" s="465"/>
      <c r="Z995" s="465"/>
      <c r="AA995" s="465"/>
      <c r="AB995" s="465"/>
      <c r="AC995" s="465"/>
      <c r="AD995" s="465"/>
      <c r="AE995" s="465"/>
      <c r="AF995" s="465"/>
      <c r="AG995" s="465"/>
      <c r="AH995" s="465"/>
      <c r="AI995" s="465"/>
      <c r="AJ995" s="465"/>
      <c r="AK995" s="465"/>
      <c r="AL995" s="465"/>
      <c r="AM995" s="465"/>
      <c r="AN995" s="465"/>
      <c r="AO995" s="465"/>
      <c r="AP995" s="465"/>
      <c r="AQ995" s="465"/>
      <c r="AR995" s="465"/>
      <c r="AS995" s="465"/>
      <c r="AT995" s="465"/>
      <c r="AU995" s="465"/>
      <c r="AV995" s="465"/>
      <c r="AW995" s="465"/>
      <c r="AX995" s="465"/>
      <c r="AY995" s="465"/>
      <c r="AZ995" s="465"/>
      <c r="BA995" s="465"/>
      <c r="BB995" s="465"/>
      <c r="BC995" s="465"/>
    </row>
    <row r="996" spans="1:55">
      <c r="A996" s="465"/>
      <c r="B996" s="465"/>
      <c r="C996" s="465"/>
      <c r="D996" s="467"/>
      <c r="E996" s="465"/>
      <c r="F996" s="465"/>
      <c r="G996" s="465"/>
      <c r="H996" s="465"/>
      <c r="I996" s="465"/>
      <c r="J996" s="465"/>
      <c r="K996" s="465"/>
      <c r="L996" s="465"/>
      <c r="M996" s="465"/>
      <c r="N996" s="465"/>
      <c r="O996" s="465"/>
      <c r="P996" s="465"/>
      <c r="Q996" s="465"/>
      <c r="R996" s="465"/>
      <c r="S996" s="465"/>
      <c r="T996" s="465"/>
      <c r="U996" s="465"/>
      <c r="V996" s="465"/>
      <c r="W996" s="465"/>
      <c r="X996" s="465"/>
      <c r="Y996" s="465"/>
      <c r="Z996" s="465"/>
      <c r="AA996" s="465"/>
      <c r="AB996" s="465"/>
      <c r="AC996" s="465"/>
      <c r="AD996" s="465"/>
      <c r="AE996" s="465"/>
      <c r="AF996" s="465"/>
      <c r="AG996" s="465"/>
      <c r="AH996" s="465"/>
      <c r="AI996" s="465"/>
      <c r="AJ996" s="465"/>
      <c r="AK996" s="465"/>
      <c r="AL996" s="465"/>
      <c r="AM996" s="465"/>
      <c r="AN996" s="465"/>
      <c r="AO996" s="465"/>
      <c r="AP996" s="465"/>
      <c r="AQ996" s="465"/>
      <c r="AR996" s="465"/>
      <c r="AS996" s="465"/>
      <c r="AT996" s="465"/>
      <c r="AU996" s="465"/>
      <c r="AV996" s="465"/>
      <c r="AW996" s="465"/>
      <c r="AX996" s="465"/>
      <c r="AY996" s="465"/>
      <c r="AZ996" s="465"/>
      <c r="BA996" s="465"/>
      <c r="BB996" s="465"/>
      <c r="BC996" s="465"/>
    </row>
    <row r="997" spans="1:55">
      <c r="A997" s="465"/>
      <c r="B997" s="465"/>
      <c r="C997" s="465"/>
      <c r="D997" s="467"/>
      <c r="E997" s="465"/>
      <c r="F997" s="465"/>
      <c r="G997" s="465"/>
      <c r="H997" s="465"/>
      <c r="I997" s="465"/>
      <c r="J997" s="465"/>
      <c r="K997" s="465"/>
      <c r="L997" s="465"/>
      <c r="M997" s="465"/>
      <c r="N997" s="465"/>
      <c r="O997" s="465"/>
      <c r="P997" s="465"/>
      <c r="Q997" s="465"/>
      <c r="R997" s="465"/>
      <c r="S997" s="465"/>
      <c r="T997" s="465"/>
      <c r="U997" s="465"/>
      <c r="V997" s="465"/>
      <c r="W997" s="465"/>
      <c r="X997" s="465"/>
      <c r="Y997" s="465"/>
      <c r="Z997" s="465"/>
      <c r="AA997" s="465"/>
      <c r="AB997" s="465"/>
      <c r="AC997" s="465"/>
      <c r="AD997" s="465"/>
      <c r="AE997" s="465"/>
      <c r="AF997" s="465"/>
      <c r="AG997" s="465"/>
      <c r="AH997" s="465"/>
      <c r="AI997" s="465"/>
      <c r="AJ997" s="465"/>
      <c r="AK997" s="465"/>
      <c r="AL997" s="465"/>
      <c r="AM997" s="465"/>
      <c r="AN997" s="465"/>
      <c r="AO997" s="465"/>
      <c r="AP997" s="465"/>
      <c r="AQ997" s="465"/>
      <c r="AR997" s="465"/>
      <c r="AS997" s="465"/>
      <c r="AT997" s="465"/>
      <c r="AU997" s="465"/>
      <c r="AV997" s="465"/>
      <c r="AW997" s="465"/>
      <c r="AX997" s="465"/>
      <c r="AY997" s="465"/>
      <c r="AZ997" s="465"/>
      <c r="BA997" s="465"/>
      <c r="BB997" s="465"/>
      <c r="BC997" s="465"/>
    </row>
    <row r="998" spans="1:55">
      <c r="A998" s="465"/>
      <c r="B998" s="465"/>
      <c r="C998" s="465"/>
      <c r="D998" s="467"/>
      <c r="E998" s="465"/>
      <c r="F998" s="465"/>
      <c r="G998" s="465"/>
      <c r="H998" s="465"/>
      <c r="I998" s="465"/>
      <c r="J998" s="465"/>
      <c r="K998" s="465"/>
      <c r="L998" s="465"/>
      <c r="M998" s="465"/>
      <c r="N998" s="465"/>
      <c r="O998" s="465"/>
      <c r="P998" s="465"/>
      <c r="Q998" s="465"/>
      <c r="R998" s="465"/>
      <c r="S998" s="465"/>
      <c r="T998" s="465"/>
      <c r="U998" s="465"/>
      <c r="V998" s="465"/>
      <c r="W998" s="465"/>
      <c r="X998" s="465"/>
      <c r="Y998" s="465"/>
      <c r="Z998" s="465"/>
      <c r="AA998" s="465"/>
      <c r="AB998" s="465"/>
      <c r="AC998" s="465"/>
      <c r="AD998" s="465"/>
      <c r="AE998" s="465"/>
      <c r="AF998" s="465"/>
      <c r="AG998" s="465"/>
      <c r="AH998" s="465"/>
      <c r="AI998" s="465"/>
      <c r="AJ998" s="465"/>
      <c r="AK998" s="465"/>
      <c r="AL998" s="465"/>
      <c r="AM998" s="465"/>
      <c r="AN998" s="465"/>
      <c r="AO998" s="465"/>
      <c r="AP998" s="465"/>
      <c r="AQ998" s="465"/>
      <c r="AR998" s="465"/>
      <c r="AS998" s="465"/>
      <c r="AT998" s="465"/>
      <c r="AU998" s="465"/>
      <c r="AV998" s="465"/>
      <c r="AW998" s="465"/>
      <c r="AX998" s="465"/>
      <c r="AY998" s="465"/>
      <c r="AZ998" s="465"/>
      <c r="BA998" s="465"/>
      <c r="BB998" s="465"/>
      <c r="BC998" s="465"/>
    </row>
    <row r="999" spans="1:55">
      <c r="A999" s="465"/>
      <c r="B999" s="465"/>
      <c r="C999" s="465"/>
      <c r="D999" s="467"/>
      <c r="E999" s="465"/>
      <c r="F999" s="465"/>
      <c r="G999" s="465"/>
      <c r="H999" s="465"/>
      <c r="I999" s="465"/>
      <c r="J999" s="465"/>
      <c r="K999" s="465"/>
      <c r="L999" s="465"/>
      <c r="M999" s="465"/>
      <c r="N999" s="465"/>
      <c r="O999" s="465"/>
      <c r="P999" s="465"/>
      <c r="Q999" s="465"/>
      <c r="R999" s="465"/>
      <c r="S999" s="465"/>
      <c r="T999" s="465"/>
      <c r="U999" s="465"/>
      <c r="V999" s="465"/>
      <c r="W999" s="465"/>
      <c r="X999" s="465"/>
      <c r="Y999" s="465"/>
      <c r="Z999" s="465"/>
      <c r="AA999" s="465"/>
      <c r="AB999" s="465"/>
      <c r="AC999" s="465"/>
      <c r="AD999" s="465"/>
      <c r="AE999" s="465"/>
      <c r="AF999" s="465"/>
      <c r="AG999" s="465"/>
      <c r="AH999" s="465"/>
      <c r="AI999" s="465"/>
      <c r="AJ999" s="465"/>
      <c r="AK999" s="465"/>
      <c r="AL999" s="465"/>
      <c r="AM999" s="465"/>
      <c r="AN999" s="465"/>
      <c r="AO999" s="465"/>
      <c r="AP999" s="465"/>
      <c r="AQ999" s="465"/>
      <c r="AR999" s="465"/>
      <c r="AS999" s="465"/>
      <c r="AT999" s="465"/>
      <c r="AU999" s="465"/>
      <c r="AV999" s="465"/>
      <c r="AW999" s="465"/>
      <c r="AX999" s="465"/>
      <c r="AY999" s="465"/>
      <c r="AZ999" s="465"/>
      <c r="BA999" s="465"/>
      <c r="BB999" s="465"/>
      <c r="BC999" s="465"/>
    </row>
    <row r="1000" spans="1:55">
      <c r="A1000" s="465"/>
      <c r="B1000" s="465"/>
      <c r="C1000" s="465"/>
      <c r="D1000" s="467"/>
      <c r="E1000" s="465"/>
      <c r="F1000" s="465"/>
      <c r="G1000" s="465"/>
      <c r="H1000" s="465"/>
      <c r="I1000" s="465"/>
      <c r="J1000" s="465"/>
      <c r="K1000" s="465"/>
      <c r="L1000" s="465"/>
      <c r="M1000" s="465"/>
      <c r="N1000" s="465"/>
      <c r="O1000" s="465"/>
      <c r="P1000" s="465"/>
      <c r="Q1000" s="465"/>
      <c r="R1000" s="465"/>
      <c r="S1000" s="465"/>
      <c r="T1000" s="465"/>
      <c r="U1000" s="465"/>
      <c r="V1000" s="465"/>
      <c r="W1000" s="465"/>
      <c r="X1000" s="465"/>
      <c r="Y1000" s="465"/>
      <c r="Z1000" s="465"/>
      <c r="AA1000" s="465"/>
      <c r="AB1000" s="465"/>
      <c r="AC1000" s="465"/>
      <c r="AD1000" s="465"/>
      <c r="AE1000" s="465"/>
      <c r="AF1000" s="465"/>
      <c r="AG1000" s="465"/>
      <c r="AH1000" s="465"/>
      <c r="AI1000" s="465"/>
      <c r="AJ1000" s="465"/>
      <c r="AK1000" s="465"/>
      <c r="AL1000" s="465"/>
      <c r="AM1000" s="465"/>
      <c r="AN1000" s="465"/>
      <c r="AO1000" s="465"/>
      <c r="AP1000" s="465"/>
      <c r="AQ1000" s="465"/>
      <c r="AR1000" s="465"/>
      <c r="AS1000" s="465"/>
      <c r="AT1000" s="465"/>
      <c r="AU1000" s="465"/>
      <c r="AV1000" s="465"/>
      <c r="AW1000" s="465"/>
      <c r="AX1000" s="465"/>
      <c r="AY1000" s="465"/>
      <c r="AZ1000" s="465"/>
      <c r="BA1000" s="465"/>
      <c r="BB1000" s="465"/>
      <c r="BC1000" s="465"/>
    </row>
    <row r="1001" spans="1:55">
      <c r="A1001" s="465"/>
      <c r="B1001" s="465"/>
      <c r="C1001" s="465"/>
      <c r="D1001" s="467"/>
      <c r="E1001" s="465"/>
      <c r="F1001" s="465"/>
      <c r="G1001" s="465"/>
      <c r="H1001" s="465"/>
      <c r="I1001" s="465"/>
      <c r="J1001" s="465"/>
      <c r="K1001" s="465"/>
      <c r="L1001" s="465"/>
      <c r="M1001" s="465"/>
      <c r="N1001" s="465"/>
      <c r="O1001" s="465"/>
      <c r="P1001" s="465"/>
      <c r="Q1001" s="465"/>
      <c r="R1001" s="465"/>
      <c r="S1001" s="465"/>
      <c r="T1001" s="465"/>
      <c r="U1001" s="465"/>
      <c r="V1001" s="465"/>
      <c r="W1001" s="465"/>
      <c r="X1001" s="465"/>
      <c r="Y1001" s="465"/>
      <c r="Z1001" s="465"/>
      <c r="AA1001" s="465"/>
      <c r="AB1001" s="465"/>
      <c r="AC1001" s="465"/>
      <c r="AD1001" s="465"/>
      <c r="AE1001" s="465"/>
      <c r="AF1001" s="465"/>
      <c r="AG1001" s="465"/>
      <c r="AH1001" s="465"/>
      <c r="AI1001" s="465"/>
      <c r="AJ1001" s="465"/>
      <c r="AK1001" s="465"/>
      <c r="AL1001" s="465"/>
      <c r="AM1001" s="465"/>
      <c r="AN1001" s="465"/>
      <c r="AO1001" s="465"/>
      <c r="AP1001" s="465"/>
      <c r="AQ1001" s="465"/>
      <c r="AR1001" s="465"/>
      <c r="AS1001" s="465"/>
      <c r="AT1001" s="465"/>
      <c r="AU1001" s="465"/>
      <c r="AV1001" s="465"/>
      <c r="AW1001" s="465"/>
      <c r="AX1001" s="465"/>
      <c r="AY1001" s="465"/>
      <c r="AZ1001" s="465"/>
      <c r="BA1001" s="465"/>
      <c r="BB1001" s="465"/>
      <c r="BC1001" s="465"/>
    </row>
    <row r="1002" spans="1:55">
      <c r="A1002" s="465"/>
      <c r="B1002" s="465"/>
      <c r="C1002" s="465"/>
      <c r="D1002" s="467"/>
      <c r="E1002" s="465"/>
      <c r="F1002" s="465"/>
      <c r="G1002" s="465"/>
      <c r="H1002" s="465"/>
      <c r="I1002" s="465"/>
      <c r="J1002" s="465"/>
      <c r="K1002" s="465"/>
      <c r="L1002" s="465"/>
      <c r="M1002" s="465"/>
      <c r="N1002" s="465"/>
      <c r="O1002" s="465"/>
      <c r="P1002" s="465"/>
      <c r="Q1002" s="465"/>
      <c r="R1002" s="465"/>
      <c r="S1002" s="465"/>
      <c r="T1002" s="465"/>
      <c r="U1002" s="465"/>
      <c r="V1002" s="465"/>
      <c r="W1002" s="465"/>
      <c r="X1002" s="465"/>
      <c r="Y1002" s="465"/>
      <c r="Z1002" s="465"/>
      <c r="AA1002" s="465"/>
      <c r="AB1002" s="465"/>
      <c r="AC1002" s="465"/>
      <c r="AD1002" s="465"/>
      <c r="AE1002" s="465"/>
      <c r="AF1002" s="465"/>
      <c r="AG1002" s="465"/>
      <c r="AH1002" s="465"/>
      <c r="AI1002" s="465"/>
      <c r="AJ1002" s="465"/>
      <c r="AK1002" s="465"/>
      <c r="AL1002" s="465"/>
      <c r="AM1002" s="465"/>
      <c r="AN1002" s="465"/>
      <c r="AO1002" s="465"/>
      <c r="AP1002" s="465"/>
      <c r="AQ1002" s="465"/>
      <c r="AR1002" s="465"/>
      <c r="AS1002" s="465"/>
      <c r="AT1002" s="465"/>
      <c r="AU1002" s="465"/>
      <c r="AV1002" s="465"/>
      <c r="AW1002" s="465"/>
      <c r="AX1002" s="465"/>
      <c r="AY1002" s="465"/>
      <c r="AZ1002" s="465"/>
      <c r="BA1002" s="465"/>
      <c r="BB1002" s="465"/>
      <c r="BC1002" s="465"/>
    </row>
    <row r="1003" spans="1:55">
      <c r="A1003" s="465"/>
      <c r="B1003" s="465"/>
      <c r="C1003" s="465"/>
      <c r="D1003" s="467"/>
      <c r="E1003" s="465"/>
      <c r="F1003" s="465"/>
      <c r="G1003" s="465"/>
      <c r="H1003" s="465"/>
      <c r="I1003" s="465"/>
      <c r="J1003" s="465"/>
      <c r="K1003" s="465"/>
      <c r="L1003" s="465"/>
      <c r="M1003" s="465"/>
      <c r="N1003" s="465"/>
      <c r="O1003" s="465"/>
      <c r="P1003" s="465"/>
      <c r="Q1003" s="465"/>
      <c r="R1003" s="465"/>
      <c r="S1003" s="465"/>
      <c r="T1003" s="465"/>
      <c r="U1003" s="465"/>
      <c r="V1003" s="465"/>
      <c r="W1003" s="465"/>
      <c r="X1003" s="465"/>
      <c r="Y1003" s="465"/>
      <c r="Z1003" s="465"/>
      <c r="AA1003" s="465"/>
      <c r="AB1003" s="465"/>
      <c r="AC1003" s="465"/>
      <c r="AD1003" s="465"/>
      <c r="AE1003" s="465"/>
      <c r="AF1003" s="465"/>
      <c r="AG1003" s="465"/>
      <c r="AH1003" s="465"/>
      <c r="AI1003" s="465"/>
      <c r="AJ1003" s="465"/>
      <c r="AK1003" s="465"/>
      <c r="AL1003" s="465"/>
      <c r="AM1003" s="465"/>
      <c r="AN1003" s="465"/>
      <c r="AO1003" s="465"/>
      <c r="AP1003" s="465"/>
      <c r="AQ1003" s="465"/>
      <c r="AR1003" s="465"/>
      <c r="AS1003" s="465"/>
      <c r="AT1003" s="465"/>
      <c r="AU1003" s="465"/>
      <c r="AV1003" s="465"/>
      <c r="AW1003" s="465"/>
      <c r="AX1003" s="465"/>
      <c r="AY1003" s="465"/>
      <c r="AZ1003" s="465"/>
      <c r="BA1003" s="465"/>
      <c r="BB1003" s="465"/>
      <c r="BC1003" s="465"/>
    </row>
    <row r="1004" spans="1:55">
      <c r="A1004" s="465"/>
      <c r="B1004" s="465"/>
      <c r="C1004" s="465"/>
      <c r="D1004" s="467"/>
      <c r="E1004" s="465"/>
      <c r="F1004" s="465"/>
      <c r="G1004" s="465"/>
      <c r="H1004" s="465"/>
      <c r="I1004" s="465"/>
      <c r="J1004" s="465"/>
      <c r="K1004" s="465"/>
      <c r="L1004" s="465"/>
      <c r="M1004" s="465"/>
      <c r="N1004" s="465"/>
      <c r="O1004" s="465"/>
      <c r="P1004" s="465"/>
      <c r="Q1004" s="465"/>
      <c r="R1004" s="465"/>
      <c r="S1004" s="465"/>
      <c r="T1004" s="465"/>
      <c r="U1004" s="465"/>
      <c r="V1004" s="465"/>
      <c r="W1004" s="465"/>
      <c r="X1004" s="465"/>
      <c r="Y1004" s="465"/>
      <c r="Z1004" s="465"/>
      <c r="AA1004" s="465"/>
      <c r="AB1004" s="465"/>
      <c r="AC1004" s="465"/>
      <c r="AD1004" s="465"/>
      <c r="AE1004" s="465"/>
      <c r="AF1004" s="465"/>
      <c r="AG1004" s="465"/>
      <c r="AH1004" s="465"/>
      <c r="AI1004" s="465"/>
      <c r="AJ1004" s="465"/>
      <c r="AK1004" s="465"/>
      <c r="AL1004" s="465"/>
      <c r="AM1004" s="465"/>
      <c r="AN1004" s="465"/>
      <c r="AO1004" s="465"/>
      <c r="AP1004" s="465"/>
      <c r="AQ1004" s="465"/>
      <c r="AR1004" s="465"/>
      <c r="AS1004" s="465"/>
      <c r="AT1004" s="465"/>
      <c r="AU1004" s="465"/>
      <c r="AV1004" s="465"/>
      <c r="AW1004" s="465"/>
      <c r="AX1004" s="465"/>
      <c r="AY1004" s="465"/>
      <c r="AZ1004" s="465"/>
      <c r="BA1004" s="465"/>
      <c r="BB1004" s="465"/>
      <c r="BC1004" s="465"/>
    </row>
    <row r="1005" spans="1:55">
      <c r="A1005" s="465"/>
      <c r="B1005" s="465"/>
      <c r="C1005" s="465"/>
      <c r="D1005" s="467"/>
      <c r="E1005" s="465"/>
      <c r="F1005" s="465"/>
      <c r="G1005" s="465"/>
      <c r="H1005" s="465"/>
      <c r="I1005" s="465"/>
      <c r="J1005" s="465"/>
      <c r="K1005" s="465"/>
      <c r="L1005" s="465"/>
      <c r="M1005" s="465"/>
      <c r="N1005" s="465"/>
      <c r="O1005" s="465"/>
      <c r="P1005" s="465"/>
      <c r="Q1005" s="465"/>
      <c r="R1005" s="465"/>
      <c r="S1005" s="465"/>
      <c r="T1005" s="465"/>
      <c r="U1005" s="465"/>
      <c r="V1005" s="465"/>
      <c r="W1005" s="465"/>
      <c r="X1005" s="465"/>
      <c r="Y1005" s="465"/>
      <c r="Z1005" s="465"/>
      <c r="AA1005" s="465"/>
      <c r="AB1005" s="465"/>
      <c r="AC1005" s="465"/>
      <c r="AD1005" s="465"/>
      <c r="AE1005" s="465"/>
      <c r="AF1005" s="465"/>
      <c r="AG1005" s="465"/>
      <c r="AH1005" s="465"/>
      <c r="AI1005" s="465"/>
      <c r="AJ1005" s="465"/>
      <c r="AK1005" s="465"/>
      <c r="AL1005" s="465"/>
      <c r="AM1005" s="465"/>
      <c r="AN1005" s="465"/>
      <c r="AO1005" s="465"/>
      <c r="AP1005" s="465"/>
      <c r="AQ1005" s="465"/>
      <c r="AR1005" s="465"/>
      <c r="AS1005" s="465"/>
      <c r="AT1005" s="465"/>
      <c r="AU1005" s="465"/>
      <c r="AV1005" s="465"/>
      <c r="AW1005" s="465"/>
      <c r="AX1005" s="465"/>
      <c r="AY1005" s="465"/>
      <c r="AZ1005" s="465"/>
      <c r="BA1005" s="465"/>
      <c r="BB1005" s="465"/>
      <c r="BC1005" s="465"/>
    </row>
    <row r="1006" spans="1:55">
      <c r="A1006" s="465"/>
      <c r="B1006" s="465"/>
      <c r="C1006" s="465"/>
      <c r="D1006" s="467"/>
      <c r="E1006" s="465"/>
      <c r="F1006" s="465"/>
      <c r="G1006" s="465"/>
      <c r="H1006" s="465"/>
      <c r="I1006" s="465"/>
      <c r="J1006" s="465"/>
      <c r="K1006" s="465"/>
      <c r="L1006" s="465"/>
      <c r="M1006" s="465"/>
      <c r="N1006" s="465"/>
      <c r="O1006" s="465"/>
      <c r="P1006" s="465"/>
      <c r="Q1006" s="465"/>
      <c r="R1006" s="465"/>
      <c r="S1006" s="465"/>
      <c r="T1006" s="465"/>
      <c r="U1006" s="465"/>
      <c r="V1006" s="465"/>
      <c r="W1006" s="465"/>
      <c r="X1006" s="465"/>
      <c r="Y1006" s="465"/>
      <c r="Z1006" s="465"/>
      <c r="AA1006" s="465"/>
      <c r="AB1006" s="465"/>
      <c r="AC1006" s="465"/>
      <c r="AD1006" s="465"/>
      <c r="AE1006" s="465"/>
      <c r="AF1006" s="465"/>
      <c r="AG1006" s="465"/>
      <c r="AH1006" s="465"/>
      <c r="AI1006" s="465"/>
      <c r="AJ1006" s="465"/>
      <c r="AK1006" s="465"/>
      <c r="AL1006" s="465"/>
      <c r="AM1006" s="465"/>
      <c r="AN1006" s="465"/>
      <c r="AO1006" s="465"/>
      <c r="AP1006" s="465"/>
      <c r="AQ1006" s="465"/>
      <c r="AR1006" s="465"/>
      <c r="AS1006" s="465"/>
      <c r="AT1006" s="465"/>
      <c r="AU1006" s="465"/>
      <c r="AV1006" s="465"/>
      <c r="AW1006" s="465"/>
      <c r="AX1006" s="465"/>
      <c r="AY1006" s="465"/>
      <c r="AZ1006" s="465"/>
      <c r="BA1006" s="465"/>
      <c r="BB1006" s="465"/>
      <c r="BC1006" s="465"/>
    </row>
    <row r="1007" spans="1:55">
      <c r="A1007" s="465"/>
      <c r="B1007" s="465"/>
      <c r="C1007" s="465"/>
      <c r="D1007" s="467"/>
      <c r="E1007" s="465"/>
      <c r="F1007" s="465"/>
      <c r="G1007" s="465"/>
      <c r="H1007" s="465"/>
      <c r="I1007" s="465"/>
      <c r="J1007" s="465"/>
      <c r="K1007" s="465"/>
      <c r="L1007" s="465"/>
      <c r="M1007" s="465"/>
      <c r="N1007" s="465"/>
      <c r="O1007" s="465"/>
      <c r="P1007" s="465"/>
      <c r="Q1007" s="465"/>
      <c r="R1007" s="465"/>
      <c r="S1007" s="465"/>
      <c r="T1007" s="465"/>
      <c r="U1007" s="465"/>
      <c r="V1007" s="465"/>
      <c r="W1007" s="465"/>
      <c r="X1007" s="465"/>
      <c r="Y1007" s="465"/>
      <c r="Z1007" s="465"/>
      <c r="AA1007" s="465"/>
      <c r="AB1007" s="465"/>
      <c r="AC1007" s="465"/>
      <c r="AD1007" s="465"/>
      <c r="AE1007" s="465"/>
      <c r="AF1007" s="465"/>
      <c r="AG1007" s="465"/>
      <c r="AH1007" s="465"/>
      <c r="AI1007" s="465"/>
      <c r="AJ1007" s="465"/>
      <c r="AK1007" s="465"/>
      <c r="AL1007" s="465"/>
      <c r="AM1007" s="465"/>
      <c r="AN1007" s="465"/>
      <c r="AO1007" s="465"/>
      <c r="AP1007" s="465"/>
      <c r="AQ1007" s="465"/>
      <c r="AR1007" s="465"/>
      <c r="AS1007" s="465"/>
      <c r="AT1007" s="465"/>
      <c r="AU1007" s="465"/>
      <c r="AV1007" s="465"/>
      <c r="AW1007" s="465"/>
      <c r="AX1007" s="465"/>
      <c r="AY1007" s="465"/>
      <c r="AZ1007" s="465"/>
      <c r="BA1007" s="465"/>
      <c r="BB1007" s="465"/>
      <c r="BC1007" s="465"/>
    </row>
    <row r="1008" spans="1:55">
      <c r="A1008" s="465"/>
      <c r="B1008" s="465"/>
      <c r="C1008" s="465"/>
      <c r="D1008" s="467"/>
      <c r="E1008" s="465"/>
      <c r="F1008" s="465"/>
      <c r="G1008" s="465"/>
      <c r="H1008" s="465"/>
      <c r="I1008" s="465"/>
      <c r="J1008" s="465"/>
      <c r="K1008" s="465"/>
      <c r="L1008" s="465"/>
      <c r="M1008" s="465"/>
      <c r="N1008" s="465"/>
      <c r="O1008" s="465"/>
      <c r="P1008" s="465"/>
      <c r="Q1008" s="465"/>
      <c r="R1008" s="465"/>
      <c r="S1008" s="465"/>
      <c r="T1008" s="465"/>
      <c r="U1008" s="465"/>
      <c r="V1008" s="465"/>
      <c r="W1008" s="465"/>
      <c r="X1008" s="465"/>
      <c r="Y1008" s="465"/>
      <c r="Z1008" s="465"/>
      <c r="AA1008" s="465"/>
      <c r="AB1008" s="465"/>
      <c r="AC1008" s="465"/>
      <c r="AD1008" s="465"/>
      <c r="AE1008" s="465"/>
      <c r="AF1008" s="465"/>
      <c r="AG1008" s="465"/>
      <c r="AH1008" s="465"/>
      <c r="AI1008" s="465"/>
      <c r="AJ1008" s="465"/>
      <c r="AK1008" s="465"/>
      <c r="AL1008" s="465"/>
      <c r="AM1008" s="465"/>
      <c r="AN1008" s="465"/>
      <c r="AO1008" s="465"/>
      <c r="AP1008" s="465"/>
      <c r="AQ1008" s="465"/>
      <c r="AR1008" s="465"/>
      <c r="AS1008" s="465"/>
      <c r="AT1008" s="465"/>
      <c r="AU1008" s="465"/>
      <c r="AV1008" s="465"/>
      <c r="AW1008" s="465"/>
      <c r="AX1008" s="465"/>
      <c r="AY1008" s="465"/>
      <c r="AZ1008" s="465"/>
      <c r="BA1008" s="465"/>
      <c r="BB1008" s="465"/>
      <c r="BC1008" s="465"/>
    </row>
    <row r="1009" spans="1:55">
      <c r="A1009" s="465"/>
      <c r="B1009" s="465"/>
      <c r="C1009" s="465"/>
      <c r="D1009" s="467"/>
      <c r="E1009" s="465"/>
      <c r="F1009" s="465"/>
      <c r="G1009" s="465"/>
      <c r="H1009" s="465"/>
      <c r="I1009" s="465"/>
      <c r="J1009" s="465"/>
      <c r="K1009" s="465"/>
      <c r="L1009" s="465"/>
      <c r="M1009" s="465"/>
      <c r="N1009" s="465"/>
      <c r="O1009" s="465"/>
      <c r="P1009" s="465"/>
      <c r="Q1009" s="465"/>
      <c r="R1009" s="465"/>
      <c r="S1009" s="465"/>
      <c r="T1009" s="465"/>
      <c r="U1009" s="465"/>
      <c r="V1009" s="465"/>
      <c r="W1009" s="465"/>
      <c r="X1009" s="465"/>
      <c r="Y1009" s="465"/>
      <c r="Z1009" s="465"/>
      <c r="AA1009" s="465"/>
      <c r="AB1009" s="465"/>
      <c r="AC1009" s="465"/>
      <c r="AD1009" s="465"/>
      <c r="AE1009" s="465"/>
      <c r="AF1009" s="465"/>
      <c r="AG1009" s="465"/>
      <c r="AH1009" s="465"/>
      <c r="AI1009" s="465"/>
      <c r="AJ1009" s="465"/>
      <c r="AK1009" s="465"/>
      <c r="AL1009" s="465"/>
      <c r="AM1009" s="465"/>
      <c r="AN1009" s="465"/>
      <c r="AO1009" s="465"/>
      <c r="AP1009" s="465"/>
      <c r="AQ1009" s="465"/>
      <c r="AR1009" s="465"/>
      <c r="AS1009" s="465"/>
      <c r="AT1009" s="465"/>
      <c r="AU1009" s="465"/>
      <c r="AV1009" s="465"/>
      <c r="AW1009" s="465"/>
      <c r="AX1009" s="465"/>
      <c r="AY1009" s="465"/>
      <c r="AZ1009" s="465"/>
      <c r="BA1009" s="465"/>
      <c r="BB1009" s="465"/>
      <c r="BC1009" s="465"/>
    </row>
    <row r="1010" spans="1:55">
      <c r="A1010" s="465"/>
      <c r="B1010" s="465"/>
      <c r="C1010" s="465"/>
      <c r="D1010" s="467"/>
      <c r="E1010" s="465"/>
      <c r="F1010" s="465"/>
      <c r="G1010" s="465"/>
      <c r="H1010" s="465"/>
      <c r="I1010" s="465"/>
      <c r="J1010" s="465"/>
      <c r="K1010" s="465"/>
      <c r="L1010" s="465"/>
      <c r="M1010" s="465"/>
      <c r="N1010" s="465"/>
      <c r="O1010" s="465"/>
      <c r="P1010" s="465"/>
      <c r="Q1010" s="465"/>
      <c r="R1010" s="465"/>
      <c r="S1010" s="465"/>
      <c r="T1010" s="465"/>
      <c r="U1010" s="465"/>
      <c r="V1010" s="465"/>
      <c r="W1010" s="465"/>
      <c r="X1010" s="465"/>
      <c r="Y1010" s="465"/>
      <c r="Z1010" s="465"/>
      <c r="AA1010" s="465"/>
      <c r="AB1010" s="465"/>
      <c r="AC1010" s="465"/>
      <c r="AD1010" s="465"/>
      <c r="AE1010" s="465"/>
      <c r="AF1010" s="465"/>
      <c r="AG1010" s="465"/>
      <c r="AH1010" s="465"/>
      <c r="AI1010" s="465"/>
      <c r="AJ1010" s="465"/>
      <c r="AK1010" s="465"/>
      <c r="AL1010" s="465"/>
      <c r="AM1010" s="465"/>
      <c r="AN1010" s="465"/>
      <c r="AO1010" s="465"/>
      <c r="AP1010" s="465"/>
      <c r="AQ1010" s="465"/>
      <c r="AR1010" s="465"/>
      <c r="AS1010" s="465"/>
      <c r="AT1010" s="465"/>
      <c r="AU1010" s="465"/>
      <c r="AV1010" s="465"/>
      <c r="AW1010" s="465"/>
      <c r="AX1010" s="465"/>
      <c r="AY1010" s="465"/>
      <c r="AZ1010" s="465"/>
      <c r="BA1010" s="465"/>
      <c r="BB1010" s="465"/>
      <c r="BC1010" s="465"/>
    </row>
    <row r="1011" spans="1:55">
      <c r="A1011" s="465"/>
      <c r="B1011" s="465"/>
      <c r="C1011" s="465"/>
      <c r="D1011" s="467"/>
      <c r="E1011" s="465"/>
      <c r="F1011" s="465"/>
      <c r="G1011" s="465"/>
      <c r="H1011" s="465"/>
      <c r="I1011" s="465"/>
      <c r="J1011" s="465"/>
      <c r="K1011" s="465"/>
      <c r="L1011" s="465"/>
      <c r="M1011" s="465"/>
      <c r="N1011" s="465"/>
      <c r="O1011" s="465"/>
      <c r="P1011" s="465"/>
      <c r="Q1011" s="465"/>
      <c r="R1011" s="465"/>
      <c r="S1011" s="465"/>
      <c r="T1011" s="465"/>
      <c r="U1011" s="465"/>
      <c r="V1011" s="465"/>
      <c r="W1011" s="465"/>
      <c r="X1011" s="465"/>
      <c r="Y1011" s="465"/>
      <c r="Z1011" s="465"/>
      <c r="AA1011" s="465"/>
      <c r="AB1011" s="465"/>
      <c r="AC1011" s="465"/>
      <c r="AD1011" s="465"/>
      <c r="AE1011" s="465"/>
      <c r="AF1011" s="465"/>
      <c r="AG1011" s="465"/>
      <c r="AH1011" s="465"/>
      <c r="AI1011" s="465"/>
      <c r="AJ1011" s="465"/>
      <c r="AK1011" s="465"/>
      <c r="AL1011" s="465"/>
      <c r="AM1011" s="465"/>
      <c r="AN1011" s="465"/>
      <c r="AO1011" s="465"/>
      <c r="AP1011" s="465"/>
      <c r="AQ1011" s="465"/>
      <c r="AR1011" s="465"/>
      <c r="AS1011" s="465"/>
      <c r="AT1011" s="465"/>
      <c r="AU1011" s="465"/>
      <c r="AV1011" s="465"/>
      <c r="AW1011" s="465"/>
      <c r="AX1011" s="465"/>
      <c r="AY1011" s="465"/>
      <c r="AZ1011" s="465"/>
      <c r="BA1011" s="465"/>
      <c r="BB1011" s="465"/>
      <c r="BC1011" s="465"/>
    </row>
    <row r="1012" spans="1:55">
      <c r="A1012" s="465"/>
      <c r="B1012" s="465"/>
      <c r="C1012" s="465"/>
      <c r="D1012" s="467"/>
      <c r="E1012" s="465"/>
      <c r="F1012" s="465"/>
      <c r="G1012" s="465"/>
      <c r="H1012" s="465"/>
      <c r="I1012" s="465"/>
      <c r="J1012" s="465"/>
      <c r="K1012" s="465"/>
      <c r="L1012" s="465"/>
      <c r="M1012" s="465"/>
      <c r="N1012" s="465"/>
      <c r="O1012" s="465"/>
      <c r="P1012" s="465"/>
      <c r="Q1012" s="465"/>
      <c r="R1012" s="465"/>
      <c r="S1012" s="465"/>
      <c r="T1012" s="465"/>
      <c r="U1012" s="465"/>
      <c r="V1012" s="465"/>
      <c r="W1012" s="465"/>
      <c r="X1012" s="465"/>
      <c r="Y1012" s="465"/>
      <c r="Z1012" s="465"/>
      <c r="AA1012" s="465"/>
      <c r="AB1012" s="465"/>
      <c r="AC1012" s="465"/>
      <c r="AD1012" s="465"/>
      <c r="AE1012" s="465"/>
      <c r="AF1012" s="465"/>
      <c r="AG1012" s="465"/>
      <c r="AH1012" s="465"/>
      <c r="AI1012" s="465"/>
      <c r="AJ1012" s="465"/>
      <c r="AK1012" s="465"/>
      <c r="AL1012" s="465"/>
      <c r="AM1012" s="465"/>
      <c r="AN1012" s="465"/>
      <c r="AO1012" s="465"/>
      <c r="AP1012" s="465"/>
      <c r="AQ1012" s="465"/>
      <c r="AR1012" s="465"/>
      <c r="AS1012" s="465"/>
      <c r="AT1012" s="465"/>
      <c r="AU1012" s="465"/>
      <c r="AV1012" s="465"/>
      <c r="AW1012" s="465"/>
      <c r="AX1012" s="465"/>
      <c r="AY1012" s="465"/>
      <c r="AZ1012" s="465"/>
      <c r="BA1012" s="465"/>
      <c r="BB1012" s="465"/>
      <c r="BC1012" s="465"/>
    </row>
    <row r="1013" spans="1:55">
      <c r="A1013" s="465"/>
      <c r="B1013" s="465"/>
      <c r="C1013" s="465"/>
      <c r="D1013" s="467"/>
      <c r="E1013" s="465"/>
      <c r="F1013" s="465"/>
      <c r="G1013" s="465"/>
      <c r="H1013" s="465"/>
      <c r="I1013" s="465"/>
      <c r="J1013" s="465"/>
      <c r="K1013" s="465"/>
      <c r="L1013" s="465"/>
      <c r="M1013" s="465"/>
      <c r="N1013" s="465"/>
      <c r="O1013" s="465"/>
      <c r="P1013" s="465"/>
      <c r="Q1013" s="465"/>
      <c r="R1013" s="465"/>
      <c r="S1013" s="465"/>
      <c r="T1013" s="465"/>
      <c r="U1013" s="465"/>
      <c r="V1013" s="465"/>
      <c r="W1013" s="465"/>
      <c r="X1013" s="465"/>
      <c r="Y1013" s="465"/>
      <c r="Z1013" s="465"/>
      <c r="AA1013" s="465"/>
      <c r="AB1013" s="465"/>
      <c r="AC1013" s="465"/>
      <c r="AD1013" s="465"/>
      <c r="AE1013" s="465"/>
      <c r="AF1013" s="465"/>
      <c r="AG1013" s="465"/>
      <c r="AH1013" s="465"/>
      <c r="AI1013" s="465"/>
      <c r="AJ1013" s="465"/>
      <c r="AK1013" s="465"/>
      <c r="AL1013" s="465"/>
      <c r="AM1013" s="465"/>
      <c r="AN1013" s="465"/>
      <c r="AO1013" s="465"/>
      <c r="AP1013" s="465"/>
      <c r="AQ1013" s="465"/>
      <c r="AR1013" s="465"/>
      <c r="AS1013" s="465"/>
      <c r="AT1013" s="465"/>
      <c r="AU1013" s="465"/>
      <c r="AV1013" s="465"/>
      <c r="AW1013" s="465"/>
      <c r="AX1013" s="465"/>
      <c r="AY1013" s="465"/>
      <c r="AZ1013" s="465"/>
      <c r="BA1013" s="465"/>
      <c r="BB1013" s="465"/>
      <c r="BC1013" s="465"/>
    </row>
    <row r="1014" spans="1:55">
      <c r="A1014" s="465"/>
      <c r="B1014" s="465"/>
      <c r="C1014" s="465"/>
      <c r="D1014" s="467"/>
      <c r="E1014" s="465"/>
      <c r="F1014" s="465"/>
      <c r="G1014" s="465"/>
      <c r="H1014" s="465"/>
      <c r="I1014" s="465"/>
      <c r="J1014" s="465"/>
      <c r="K1014" s="465"/>
      <c r="L1014" s="465"/>
      <c r="M1014" s="465"/>
      <c r="N1014" s="465"/>
      <c r="O1014" s="465"/>
      <c r="P1014" s="465"/>
      <c r="Q1014" s="465"/>
      <c r="R1014" s="465"/>
      <c r="S1014" s="465"/>
      <c r="T1014" s="465"/>
      <c r="U1014" s="465"/>
      <c r="V1014" s="465"/>
      <c r="W1014" s="465"/>
      <c r="X1014" s="465"/>
      <c r="Y1014" s="465"/>
      <c r="Z1014" s="465"/>
      <c r="AA1014" s="465"/>
      <c r="AB1014" s="465"/>
      <c r="AC1014" s="465"/>
      <c r="AD1014" s="465"/>
      <c r="AE1014" s="465"/>
      <c r="AF1014" s="465"/>
      <c r="AG1014" s="465"/>
      <c r="AH1014" s="465"/>
      <c r="AI1014" s="465"/>
      <c r="AJ1014" s="465"/>
      <c r="AK1014" s="465"/>
      <c r="AL1014" s="465"/>
      <c r="AM1014" s="465"/>
      <c r="AN1014" s="465"/>
      <c r="AO1014" s="465"/>
      <c r="AP1014" s="465"/>
      <c r="AQ1014" s="465"/>
      <c r="AR1014" s="465"/>
      <c r="AS1014" s="465"/>
      <c r="AT1014" s="465"/>
      <c r="AU1014" s="465"/>
      <c r="AV1014" s="465"/>
      <c r="AW1014" s="465"/>
      <c r="AX1014" s="465"/>
      <c r="AY1014" s="465"/>
      <c r="AZ1014" s="465"/>
      <c r="BA1014" s="465"/>
      <c r="BB1014" s="465"/>
      <c r="BC1014" s="465"/>
    </row>
    <row r="1015" spans="1:55">
      <c r="A1015" s="465"/>
      <c r="B1015" s="465"/>
      <c r="C1015" s="465"/>
      <c r="D1015" s="467"/>
      <c r="E1015" s="465"/>
      <c r="F1015" s="465"/>
      <c r="G1015" s="465"/>
      <c r="H1015" s="465"/>
      <c r="I1015" s="465"/>
      <c r="J1015" s="465"/>
      <c r="K1015" s="465"/>
      <c r="L1015" s="465"/>
      <c r="M1015" s="465"/>
      <c r="N1015" s="465"/>
      <c r="O1015" s="465"/>
      <c r="P1015" s="465"/>
      <c r="Q1015" s="465"/>
      <c r="R1015" s="465"/>
      <c r="S1015" s="465"/>
      <c r="T1015" s="465"/>
      <c r="U1015" s="465"/>
      <c r="V1015" s="465"/>
      <c r="W1015" s="465"/>
      <c r="X1015" s="465"/>
      <c r="Y1015" s="465"/>
      <c r="Z1015" s="465"/>
      <c r="AA1015" s="465"/>
      <c r="AB1015" s="465"/>
      <c r="AC1015" s="465"/>
      <c r="AD1015" s="465"/>
      <c r="AE1015" s="465"/>
      <c r="AF1015" s="465"/>
      <c r="AG1015" s="465"/>
      <c r="AH1015" s="465"/>
      <c r="AI1015" s="465"/>
      <c r="AJ1015" s="465"/>
      <c r="AK1015" s="465"/>
      <c r="AL1015" s="465"/>
      <c r="AM1015" s="465"/>
      <c r="AN1015" s="465"/>
      <c r="AO1015" s="465"/>
      <c r="AP1015" s="465"/>
      <c r="AQ1015" s="465"/>
      <c r="AR1015" s="465"/>
      <c r="AS1015" s="465"/>
      <c r="AT1015" s="465"/>
      <c r="AU1015" s="465"/>
      <c r="AV1015" s="465"/>
      <c r="AW1015" s="465"/>
      <c r="AX1015" s="465"/>
      <c r="AY1015" s="465"/>
      <c r="AZ1015" s="465"/>
      <c r="BA1015" s="465"/>
      <c r="BB1015" s="465"/>
      <c r="BC1015" s="465"/>
    </row>
    <row r="1016" spans="1:55">
      <c r="A1016" s="465"/>
      <c r="B1016" s="465"/>
      <c r="C1016" s="465"/>
      <c r="D1016" s="467"/>
      <c r="E1016" s="465"/>
      <c r="F1016" s="465"/>
      <c r="G1016" s="465"/>
      <c r="H1016" s="465"/>
      <c r="I1016" s="465"/>
      <c r="J1016" s="465"/>
      <c r="K1016" s="465"/>
      <c r="L1016" s="465"/>
      <c r="M1016" s="465"/>
      <c r="N1016" s="465"/>
      <c r="O1016" s="465"/>
      <c r="P1016" s="465"/>
      <c r="Q1016" s="465"/>
      <c r="R1016" s="465"/>
      <c r="S1016" s="465"/>
      <c r="T1016" s="465"/>
      <c r="U1016" s="465"/>
      <c r="V1016" s="465"/>
      <c r="W1016" s="465"/>
      <c r="X1016" s="465"/>
      <c r="Y1016" s="465"/>
      <c r="Z1016" s="465"/>
      <c r="AA1016" s="465"/>
      <c r="AB1016" s="465"/>
      <c r="AC1016" s="465"/>
      <c r="AD1016" s="465"/>
      <c r="AE1016" s="465"/>
      <c r="AF1016" s="465"/>
      <c r="AG1016" s="465"/>
      <c r="AH1016" s="465"/>
      <c r="AI1016" s="465"/>
      <c r="AJ1016" s="465"/>
      <c r="AK1016" s="465"/>
      <c r="AL1016" s="465"/>
      <c r="AM1016" s="465"/>
      <c r="AN1016" s="465"/>
      <c r="AO1016" s="465"/>
      <c r="AP1016" s="465"/>
      <c r="AQ1016" s="465"/>
      <c r="AR1016" s="465"/>
      <c r="AS1016" s="465"/>
      <c r="AT1016" s="465"/>
      <c r="AU1016" s="465"/>
      <c r="AV1016" s="465"/>
      <c r="AW1016" s="465"/>
      <c r="AX1016" s="465"/>
      <c r="AY1016" s="465"/>
      <c r="AZ1016" s="465"/>
      <c r="BA1016" s="465"/>
      <c r="BB1016" s="465"/>
      <c r="BC1016" s="465"/>
    </row>
    <row r="1017" spans="1:55">
      <c r="A1017" s="465"/>
      <c r="B1017" s="465"/>
      <c r="C1017" s="465"/>
      <c r="D1017" s="467"/>
      <c r="E1017" s="465"/>
      <c r="F1017" s="465"/>
      <c r="G1017" s="465"/>
      <c r="H1017" s="465"/>
      <c r="I1017" s="465"/>
      <c r="J1017" s="465"/>
      <c r="K1017" s="465"/>
      <c r="L1017" s="465"/>
      <c r="M1017" s="465"/>
      <c r="N1017" s="465"/>
      <c r="O1017" s="465"/>
      <c r="P1017" s="465"/>
      <c r="Q1017" s="465"/>
      <c r="R1017" s="465"/>
      <c r="S1017" s="465"/>
      <c r="T1017" s="465"/>
      <c r="U1017" s="465"/>
      <c r="V1017" s="465"/>
      <c r="W1017" s="465"/>
      <c r="X1017" s="465"/>
      <c r="Y1017" s="465"/>
      <c r="Z1017" s="465"/>
      <c r="AA1017" s="465"/>
      <c r="AB1017" s="465"/>
      <c r="AC1017" s="465"/>
      <c r="AD1017" s="465"/>
      <c r="AE1017" s="465"/>
      <c r="AF1017" s="465"/>
      <c r="AG1017" s="465"/>
      <c r="AH1017" s="465"/>
      <c r="AI1017" s="465"/>
      <c r="AJ1017" s="465"/>
      <c r="AK1017" s="465"/>
      <c r="AL1017" s="465"/>
      <c r="AM1017" s="465"/>
      <c r="AN1017" s="465"/>
      <c r="AO1017" s="465"/>
      <c r="AP1017" s="465"/>
      <c r="AQ1017" s="465"/>
      <c r="AR1017" s="465"/>
      <c r="AS1017" s="465"/>
      <c r="AT1017" s="465"/>
      <c r="AU1017" s="465"/>
      <c r="AV1017" s="465"/>
      <c r="AW1017" s="465"/>
      <c r="AX1017" s="465"/>
      <c r="AY1017" s="465"/>
      <c r="AZ1017" s="465"/>
      <c r="BA1017" s="465"/>
      <c r="BB1017" s="465"/>
      <c r="BC1017" s="465"/>
    </row>
    <row r="1018" spans="1:55">
      <c r="A1018" s="465"/>
      <c r="B1018" s="465"/>
      <c r="C1018" s="465"/>
      <c r="D1018" s="467"/>
      <c r="E1018" s="465"/>
      <c r="F1018" s="465"/>
      <c r="G1018" s="465"/>
      <c r="H1018" s="465"/>
      <c r="I1018" s="465"/>
      <c r="J1018" s="465"/>
      <c r="K1018" s="465"/>
      <c r="L1018" s="465"/>
      <c r="M1018" s="465"/>
      <c r="N1018" s="465"/>
      <c r="O1018" s="465"/>
      <c r="P1018" s="465"/>
      <c r="Q1018" s="465"/>
      <c r="R1018" s="465"/>
      <c r="S1018" s="465"/>
      <c r="T1018" s="465"/>
      <c r="U1018" s="465"/>
      <c r="V1018" s="465"/>
      <c r="W1018" s="465"/>
      <c r="X1018" s="465"/>
      <c r="Y1018" s="465"/>
      <c r="Z1018" s="465"/>
      <c r="AA1018" s="465"/>
      <c r="AB1018" s="465"/>
      <c r="AC1018" s="465"/>
      <c r="AD1018" s="465"/>
      <c r="AE1018" s="465"/>
      <c r="AF1018" s="465"/>
      <c r="AG1018" s="465"/>
      <c r="AH1018" s="465"/>
      <c r="AI1018" s="465"/>
      <c r="AJ1018" s="465"/>
      <c r="AK1018" s="465"/>
      <c r="AL1018" s="465"/>
      <c r="AM1018" s="465"/>
      <c r="AN1018" s="465"/>
      <c r="AO1018" s="465"/>
      <c r="AP1018" s="465"/>
      <c r="AQ1018" s="465"/>
      <c r="AR1018" s="465"/>
      <c r="AS1018" s="465"/>
      <c r="AT1018" s="465"/>
      <c r="AU1018" s="465"/>
      <c r="AV1018" s="465"/>
      <c r="AW1018" s="465"/>
      <c r="AX1018" s="465"/>
      <c r="AY1018" s="465"/>
      <c r="AZ1018" s="465"/>
      <c r="BA1018" s="465"/>
      <c r="BB1018" s="465"/>
      <c r="BC1018" s="465"/>
    </row>
    <row r="1019" spans="1:55">
      <c r="A1019" s="465"/>
      <c r="B1019" s="465"/>
      <c r="C1019" s="465"/>
      <c r="D1019" s="467"/>
      <c r="E1019" s="465"/>
      <c r="F1019" s="465"/>
      <c r="G1019" s="465"/>
      <c r="H1019" s="465"/>
      <c r="I1019" s="465"/>
      <c r="J1019" s="465"/>
      <c r="K1019" s="465"/>
      <c r="L1019" s="465"/>
      <c r="M1019" s="465"/>
      <c r="N1019" s="465"/>
      <c r="O1019" s="465"/>
      <c r="P1019" s="465"/>
      <c r="Q1019" s="465"/>
      <c r="R1019" s="465"/>
      <c r="S1019" s="465"/>
      <c r="T1019" s="465"/>
      <c r="U1019" s="465"/>
      <c r="V1019" s="465"/>
      <c r="W1019" s="465"/>
      <c r="X1019" s="465"/>
      <c r="Y1019" s="465"/>
      <c r="Z1019" s="465"/>
      <c r="AA1019" s="465"/>
      <c r="AB1019" s="465"/>
      <c r="AC1019" s="465"/>
      <c r="AD1019" s="465"/>
      <c r="AE1019" s="465"/>
      <c r="AF1019" s="465"/>
      <c r="AG1019" s="465"/>
      <c r="AH1019" s="465"/>
      <c r="AI1019" s="465"/>
      <c r="AJ1019" s="465"/>
      <c r="AK1019" s="465"/>
      <c r="AL1019" s="465"/>
      <c r="AM1019" s="465"/>
      <c r="AN1019" s="465"/>
      <c r="AO1019" s="465"/>
      <c r="AP1019" s="465"/>
      <c r="AQ1019" s="465"/>
      <c r="AR1019" s="465"/>
      <c r="AS1019" s="465"/>
      <c r="AT1019" s="465"/>
      <c r="AU1019" s="465"/>
      <c r="AV1019" s="465"/>
      <c r="AW1019" s="465"/>
      <c r="AX1019" s="465"/>
      <c r="AY1019" s="465"/>
      <c r="AZ1019" s="465"/>
      <c r="BA1019" s="465"/>
      <c r="BB1019" s="465"/>
      <c r="BC1019" s="465"/>
    </row>
    <row r="1020" spans="1:55">
      <c r="A1020" s="465"/>
      <c r="B1020" s="465"/>
      <c r="C1020" s="465"/>
      <c r="D1020" s="467"/>
      <c r="E1020" s="465"/>
      <c r="F1020" s="465"/>
      <c r="G1020" s="465"/>
      <c r="H1020" s="465"/>
      <c r="I1020" s="465"/>
      <c r="J1020" s="465"/>
      <c r="K1020" s="465"/>
      <c r="L1020" s="465"/>
      <c r="M1020" s="465"/>
      <c r="N1020" s="465"/>
      <c r="O1020" s="465"/>
      <c r="P1020" s="465"/>
      <c r="Q1020" s="465"/>
      <c r="R1020" s="465"/>
      <c r="S1020" s="465"/>
      <c r="T1020" s="465"/>
      <c r="U1020" s="465"/>
      <c r="V1020" s="465"/>
      <c r="W1020" s="465"/>
      <c r="X1020" s="465"/>
      <c r="Y1020" s="465"/>
      <c r="Z1020" s="465"/>
      <c r="AA1020" s="465"/>
      <c r="AB1020" s="465"/>
      <c r="AC1020" s="465"/>
      <c r="AD1020" s="465"/>
      <c r="AE1020" s="465"/>
      <c r="AF1020" s="465"/>
      <c r="AG1020" s="465"/>
      <c r="AH1020" s="465"/>
      <c r="AI1020" s="465"/>
      <c r="AJ1020" s="465"/>
      <c r="AK1020" s="465"/>
      <c r="AL1020" s="465"/>
      <c r="AM1020" s="465"/>
      <c r="AN1020" s="465"/>
      <c r="AO1020" s="465"/>
      <c r="AP1020" s="465"/>
      <c r="AQ1020" s="465"/>
      <c r="AR1020" s="465"/>
      <c r="AS1020" s="465"/>
      <c r="AT1020" s="465"/>
      <c r="AU1020" s="465"/>
      <c r="AV1020" s="465"/>
      <c r="AW1020" s="465"/>
      <c r="AX1020" s="465"/>
      <c r="AY1020" s="465"/>
      <c r="AZ1020" s="465"/>
      <c r="BA1020" s="465"/>
      <c r="BB1020" s="465"/>
      <c r="BC1020" s="465"/>
    </row>
    <row r="1021" spans="1:55">
      <c r="A1021" s="465"/>
      <c r="B1021" s="465"/>
      <c r="C1021" s="465"/>
      <c r="D1021" s="467"/>
      <c r="E1021" s="465"/>
      <c r="F1021" s="465"/>
      <c r="G1021" s="465"/>
      <c r="H1021" s="465"/>
      <c r="I1021" s="465"/>
      <c r="J1021" s="465"/>
      <c r="K1021" s="465"/>
      <c r="L1021" s="465"/>
      <c r="M1021" s="465"/>
      <c r="N1021" s="465"/>
      <c r="O1021" s="465"/>
      <c r="P1021" s="465"/>
      <c r="Q1021" s="465"/>
      <c r="R1021" s="465"/>
      <c r="S1021" s="465"/>
      <c r="T1021" s="465"/>
      <c r="U1021" s="465"/>
      <c r="V1021" s="465"/>
      <c r="W1021" s="465"/>
      <c r="X1021" s="465"/>
      <c r="Y1021" s="465"/>
      <c r="Z1021" s="465"/>
      <c r="AA1021" s="465"/>
      <c r="AB1021" s="465"/>
      <c r="AC1021" s="465"/>
      <c r="AD1021" s="465"/>
      <c r="AE1021" s="465"/>
      <c r="AF1021" s="465"/>
      <c r="AG1021" s="465"/>
      <c r="AH1021" s="465"/>
      <c r="AI1021" s="465"/>
      <c r="AJ1021" s="465"/>
      <c r="AK1021" s="465"/>
      <c r="AL1021" s="465"/>
      <c r="AM1021" s="465"/>
      <c r="AN1021" s="465"/>
      <c r="AO1021" s="465"/>
      <c r="AP1021" s="465"/>
      <c r="AQ1021" s="465"/>
      <c r="AR1021" s="465"/>
      <c r="AS1021" s="465"/>
      <c r="AT1021" s="465"/>
      <c r="AU1021" s="465"/>
      <c r="AV1021" s="465"/>
      <c r="AW1021" s="465"/>
      <c r="AX1021" s="465"/>
      <c r="AY1021" s="465"/>
      <c r="AZ1021" s="465"/>
      <c r="BA1021" s="465"/>
      <c r="BB1021" s="465"/>
      <c r="BC1021" s="465"/>
    </row>
    <row r="1022" spans="1:55">
      <c r="A1022" s="465"/>
      <c r="B1022" s="465"/>
      <c r="C1022" s="465"/>
      <c r="D1022" s="467"/>
      <c r="E1022" s="465"/>
      <c r="F1022" s="465"/>
      <c r="G1022" s="465"/>
      <c r="H1022" s="465"/>
      <c r="I1022" s="465"/>
      <c r="J1022" s="465"/>
      <c r="K1022" s="465"/>
      <c r="L1022" s="465"/>
      <c r="M1022" s="465"/>
      <c r="N1022" s="465"/>
      <c r="O1022" s="465"/>
      <c r="P1022" s="465"/>
      <c r="Q1022" s="465"/>
      <c r="R1022" s="465"/>
      <c r="S1022" s="465"/>
      <c r="T1022" s="465"/>
      <c r="U1022" s="465"/>
      <c r="V1022" s="465"/>
      <c r="W1022" s="465"/>
      <c r="X1022" s="465"/>
      <c r="Y1022" s="465"/>
      <c r="Z1022" s="465"/>
      <c r="AA1022" s="465"/>
      <c r="AB1022" s="465"/>
      <c r="AC1022" s="465"/>
      <c r="AD1022" s="465"/>
      <c r="AE1022" s="465"/>
      <c r="AF1022" s="465"/>
      <c r="AG1022" s="465"/>
      <c r="AH1022" s="465"/>
      <c r="AI1022" s="465"/>
      <c r="AJ1022" s="465"/>
      <c r="AK1022" s="465"/>
      <c r="AL1022" s="465"/>
      <c r="AM1022" s="465"/>
      <c r="AN1022" s="465"/>
      <c r="AO1022" s="465"/>
      <c r="AP1022" s="465"/>
      <c r="AQ1022" s="465"/>
      <c r="AR1022" s="465"/>
      <c r="AS1022" s="465"/>
      <c r="AT1022" s="465"/>
      <c r="AU1022" s="465"/>
      <c r="AV1022" s="465"/>
      <c r="AW1022" s="465"/>
      <c r="AX1022" s="465"/>
      <c r="AY1022" s="465"/>
      <c r="AZ1022" s="465"/>
      <c r="BA1022" s="465"/>
      <c r="BB1022" s="465"/>
      <c r="BC1022" s="465"/>
    </row>
    <row r="1023" spans="1:55">
      <c r="A1023" s="465"/>
      <c r="B1023" s="465"/>
      <c r="C1023" s="465"/>
      <c r="D1023" s="467"/>
      <c r="E1023" s="465"/>
      <c r="F1023" s="465"/>
      <c r="G1023" s="465"/>
      <c r="H1023" s="465"/>
      <c r="I1023" s="465"/>
      <c r="J1023" s="465"/>
      <c r="K1023" s="465"/>
      <c r="L1023" s="465"/>
      <c r="M1023" s="465"/>
      <c r="N1023" s="465"/>
      <c r="O1023" s="465"/>
      <c r="P1023" s="465"/>
      <c r="Q1023" s="465"/>
      <c r="R1023" s="465"/>
      <c r="S1023" s="465"/>
      <c r="T1023" s="465"/>
      <c r="U1023" s="465"/>
      <c r="V1023" s="465"/>
      <c r="W1023" s="465"/>
      <c r="X1023" s="465"/>
      <c r="Y1023" s="465"/>
      <c r="Z1023" s="465"/>
      <c r="AA1023" s="465"/>
      <c r="AB1023" s="465"/>
      <c r="AC1023" s="465"/>
      <c r="AD1023" s="465"/>
      <c r="AE1023" s="465"/>
      <c r="AF1023" s="465"/>
      <c r="AG1023" s="465"/>
      <c r="AH1023" s="465"/>
      <c r="AI1023" s="465"/>
      <c r="AJ1023" s="465"/>
      <c r="AK1023" s="465"/>
      <c r="AL1023" s="465"/>
      <c r="AM1023" s="465"/>
      <c r="AN1023" s="465"/>
      <c r="AO1023" s="465"/>
      <c r="AP1023" s="465"/>
      <c r="AQ1023" s="465"/>
      <c r="AR1023" s="465"/>
      <c r="AS1023" s="465"/>
      <c r="AT1023" s="465"/>
      <c r="AU1023" s="465"/>
      <c r="AV1023" s="465"/>
      <c r="AW1023" s="465"/>
      <c r="AX1023" s="465"/>
      <c r="AY1023" s="465"/>
      <c r="AZ1023" s="465"/>
      <c r="BA1023" s="465"/>
      <c r="BB1023" s="465"/>
      <c r="BC1023" s="465"/>
    </row>
    <row r="1024" spans="1:55">
      <c r="A1024" s="465"/>
      <c r="B1024" s="465"/>
      <c r="C1024" s="465"/>
      <c r="D1024" s="467"/>
      <c r="E1024" s="465"/>
      <c r="F1024" s="465"/>
      <c r="G1024" s="465"/>
      <c r="H1024" s="465"/>
      <c r="I1024" s="465"/>
      <c r="J1024" s="465"/>
      <c r="K1024" s="465"/>
      <c r="L1024" s="465"/>
      <c r="M1024" s="465"/>
      <c r="N1024" s="465"/>
      <c r="O1024" s="465"/>
      <c r="P1024" s="465"/>
      <c r="Q1024" s="465"/>
      <c r="R1024" s="465"/>
      <c r="S1024" s="465"/>
      <c r="T1024" s="465"/>
      <c r="U1024" s="465"/>
      <c r="V1024" s="465"/>
      <c r="W1024" s="465"/>
      <c r="X1024" s="465"/>
      <c r="Y1024" s="465"/>
      <c r="Z1024" s="465"/>
      <c r="AA1024" s="465"/>
      <c r="AB1024" s="465"/>
      <c r="AC1024" s="465"/>
      <c r="AD1024" s="465"/>
      <c r="AE1024" s="465"/>
      <c r="AF1024" s="465"/>
      <c r="AG1024" s="465"/>
      <c r="AH1024" s="465"/>
      <c r="AI1024" s="465"/>
      <c r="AJ1024" s="465"/>
      <c r="AK1024" s="465"/>
      <c r="AL1024" s="465"/>
      <c r="AM1024" s="465"/>
      <c r="AN1024" s="465"/>
      <c r="AO1024" s="465"/>
      <c r="AP1024" s="465"/>
      <c r="AQ1024" s="465"/>
      <c r="AR1024" s="465"/>
      <c r="AS1024" s="465"/>
      <c r="AT1024" s="465"/>
      <c r="AU1024" s="465"/>
      <c r="AV1024" s="465"/>
      <c r="AW1024" s="465"/>
      <c r="AX1024" s="465"/>
      <c r="AY1024" s="465"/>
      <c r="AZ1024" s="465"/>
      <c r="BA1024" s="465"/>
      <c r="BB1024" s="465"/>
      <c r="BC1024" s="465"/>
    </row>
    <row r="1025" spans="1:55">
      <c r="A1025" s="465"/>
      <c r="B1025" s="465"/>
      <c r="C1025" s="465"/>
      <c r="D1025" s="467"/>
      <c r="E1025" s="465"/>
      <c r="F1025" s="465"/>
      <c r="G1025" s="465"/>
      <c r="H1025" s="465"/>
      <c r="I1025" s="465"/>
      <c r="J1025" s="465"/>
      <c r="K1025" s="465"/>
      <c r="L1025" s="465"/>
      <c r="M1025" s="465"/>
      <c r="N1025" s="465"/>
      <c r="O1025" s="465"/>
      <c r="P1025" s="465"/>
      <c r="Q1025" s="465"/>
      <c r="R1025" s="465"/>
      <c r="S1025" s="465"/>
      <c r="T1025" s="465"/>
      <c r="U1025" s="465"/>
      <c r="V1025" s="465"/>
      <c r="W1025" s="465"/>
      <c r="X1025" s="465"/>
      <c r="Y1025" s="465"/>
      <c r="Z1025" s="465"/>
      <c r="AA1025" s="465"/>
      <c r="AB1025" s="465"/>
      <c r="AC1025" s="465"/>
      <c r="AD1025" s="465"/>
      <c r="AE1025" s="465"/>
      <c r="AF1025" s="465"/>
      <c r="AG1025" s="465"/>
      <c r="AH1025" s="465"/>
      <c r="AI1025" s="465"/>
      <c r="AJ1025" s="465"/>
      <c r="AK1025" s="465"/>
      <c r="AL1025" s="465"/>
      <c r="AM1025" s="465"/>
      <c r="AN1025" s="465"/>
      <c r="AO1025" s="465"/>
      <c r="AP1025" s="465"/>
      <c r="AQ1025" s="465"/>
      <c r="AR1025" s="465"/>
      <c r="AS1025" s="465"/>
      <c r="AT1025" s="465"/>
      <c r="AU1025" s="465"/>
      <c r="AV1025" s="465"/>
      <c r="AW1025" s="465"/>
      <c r="AX1025" s="465"/>
      <c r="AY1025" s="465"/>
      <c r="AZ1025" s="465"/>
      <c r="BA1025" s="465"/>
      <c r="BB1025" s="465"/>
      <c r="BC1025" s="465"/>
    </row>
    <row r="1026" spans="1:55">
      <c r="A1026" s="465"/>
      <c r="B1026" s="465"/>
      <c r="C1026" s="465"/>
      <c r="D1026" s="467"/>
      <c r="E1026" s="465"/>
      <c r="F1026" s="465"/>
      <c r="G1026" s="465"/>
      <c r="H1026" s="465"/>
      <c r="I1026" s="465"/>
      <c r="J1026" s="465"/>
      <c r="K1026" s="465"/>
      <c r="L1026" s="465"/>
      <c r="M1026" s="465"/>
      <c r="N1026" s="465"/>
      <c r="O1026" s="465"/>
      <c r="P1026" s="465"/>
      <c r="Q1026" s="465"/>
      <c r="R1026" s="465"/>
      <c r="S1026" s="465"/>
      <c r="T1026" s="465"/>
      <c r="U1026" s="465"/>
      <c r="V1026" s="465"/>
      <c r="W1026" s="465"/>
      <c r="X1026" s="465"/>
      <c r="Y1026" s="465"/>
      <c r="Z1026" s="465"/>
      <c r="AA1026" s="465"/>
      <c r="AB1026" s="465"/>
      <c r="AC1026" s="465"/>
      <c r="AD1026" s="465"/>
      <c r="AE1026" s="465"/>
      <c r="AF1026" s="465"/>
      <c r="AG1026" s="465"/>
      <c r="AH1026" s="465"/>
      <c r="AI1026" s="465"/>
      <c r="AJ1026" s="465"/>
      <c r="AK1026" s="465"/>
      <c r="AL1026" s="465"/>
      <c r="AM1026" s="465"/>
      <c r="AN1026" s="465"/>
      <c r="AO1026" s="465"/>
      <c r="AP1026" s="465"/>
      <c r="AQ1026" s="465"/>
      <c r="AR1026" s="465"/>
      <c r="AS1026" s="465"/>
      <c r="AT1026" s="465"/>
      <c r="AU1026" s="465"/>
      <c r="AV1026" s="465"/>
      <c r="AW1026" s="465"/>
      <c r="AX1026" s="465"/>
      <c r="AY1026" s="465"/>
      <c r="AZ1026" s="465"/>
      <c r="BA1026" s="465"/>
      <c r="BB1026" s="465"/>
      <c r="BC1026" s="465"/>
    </row>
    <row r="1027" spans="1:55">
      <c r="A1027" s="465"/>
      <c r="B1027" s="465"/>
      <c r="C1027" s="465"/>
      <c r="D1027" s="467"/>
      <c r="E1027" s="465"/>
      <c r="F1027" s="465"/>
      <c r="G1027" s="465"/>
      <c r="H1027" s="465"/>
      <c r="I1027" s="465"/>
      <c r="J1027" s="465"/>
      <c r="K1027" s="465"/>
      <c r="L1027" s="465"/>
      <c r="M1027" s="465"/>
      <c r="N1027" s="465"/>
      <c r="O1027" s="465"/>
      <c r="P1027" s="465"/>
      <c r="Q1027" s="465"/>
      <c r="R1027" s="465"/>
      <c r="S1027" s="465"/>
      <c r="T1027" s="465"/>
      <c r="U1027" s="465"/>
      <c r="V1027" s="465"/>
      <c r="W1027" s="465"/>
      <c r="X1027" s="465"/>
      <c r="Y1027" s="465"/>
      <c r="Z1027" s="465"/>
      <c r="AA1027" s="465"/>
      <c r="AB1027" s="465"/>
      <c r="AC1027" s="465"/>
      <c r="AD1027" s="465"/>
      <c r="AE1027" s="465"/>
      <c r="AF1027" s="465"/>
      <c r="AG1027" s="465"/>
      <c r="AH1027" s="465"/>
      <c r="AI1027" s="465"/>
      <c r="AJ1027" s="465"/>
      <c r="AK1027" s="465"/>
      <c r="AL1027" s="465"/>
      <c r="AM1027" s="465"/>
      <c r="AN1027" s="465"/>
      <c r="AO1027" s="465"/>
      <c r="AP1027" s="465"/>
      <c r="AQ1027" s="465"/>
      <c r="AR1027" s="465"/>
      <c r="AS1027" s="465"/>
      <c r="AT1027" s="465"/>
      <c r="AU1027" s="465"/>
      <c r="AV1027" s="465"/>
      <c r="AW1027" s="465"/>
      <c r="AX1027" s="465"/>
      <c r="AY1027" s="465"/>
      <c r="AZ1027" s="465"/>
      <c r="BA1027" s="465"/>
      <c r="BB1027" s="465"/>
      <c r="BC1027" s="465"/>
    </row>
    <row r="1028" spans="1:55">
      <c r="A1028" s="465"/>
      <c r="B1028" s="465"/>
      <c r="C1028" s="465"/>
      <c r="D1028" s="467"/>
      <c r="E1028" s="465"/>
      <c r="F1028" s="465"/>
      <c r="G1028" s="465"/>
      <c r="H1028" s="465"/>
      <c r="I1028" s="465"/>
      <c r="J1028" s="465"/>
      <c r="K1028" s="465"/>
      <c r="L1028" s="465"/>
      <c r="M1028" s="465"/>
      <c r="N1028" s="465"/>
      <c r="O1028" s="465"/>
      <c r="P1028" s="465"/>
      <c r="Q1028" s="465"/>
      <c r="R1028" s="465"/>
      <c r="S1028" s="465"/>
      <c r="T1028" s="465"/>
      <c r="U1028" s="465"/>
      <c r="V1028" s="465"/>
      <c r="W1028" s="465"/>
      <c r="X1028" s="465"/>
      <c r="Y1028" s="465"/>
      <c r="Z1028" s="465"/>
      <c r="AA1028" s="465"/>
      <c r="AB1028" s="465"/>
      <c r="AC1028" s="465"/>
      <c r="AD1028" s="465"/>
      <c r="AE1028" s="465"/>
      <c r="AF1028" s="465"/>
      <c r="AG1028" s="465"/>
      <c r="AH1028" s="465"/>
      <c r="AI1028" s="465"/>
      <c r="AJ1028" s="465"/>
      <c r="AK1028" s="465"/>
      <c r="AL1028" s="465"/>
      <c r="AM1028" s="465"/>
      <c r="AN1028" s="465"/>
      <c r="AO1028" s="465"/>
      <c r="AP1028" s="465"/>
      <c r="AQ1028" s="465"/>
      <c r="AR1028" s="465"/>
      <c r="AS1028" s="465"/>
      <c r="AT1028" s="465"/>
      <c r="AU1028" s="465"/>
      <c r="AV1028" s="465"/>
      <c r="AW1028" s="465"/>
      <c r="AX1028" s="465"/>
      <c r="AY1028" s="465"/>
      <c r="AZ1028" s="465"/>
      <c r="BA1028" s="465"/>
      <c r="BB1028" s="465"/>
      <c r="BC1028" s="465"/>
    </row>
    <row r="1029" spans="1:55">
      <c r="A1029" s="465"/>
      <c r="B1029" s="465"/>
      <c r="C1029" s="465"/>
      <c r="D1029" s="467"/>
      <c r="E1029" s="465"/>
      <c r="F1029" s="465"/>
      <c r="G1029" s="465"/>
      <c r="H1029" s="465"/>
      <c r="I1029" s="465"/>
      <c r="J1029" s="465"/>
      <c r="K1029" s="465"/>
      <c r="L1029" s="465"/>
      <c r="M1029" s="465"/>
      <c r="N1029" s="465"/>
      <c r="O1029" s="465"/>
      <c r="P1029" s="465"/>
      <c r="Q1029" s="465"/>
      <c r="R1029" s="465"/>
      <c r="S1029" s="465"/>
      <c r="T1029" s="465"/>
      <c r="U1029" s="465"/>
      <c r="V1029" s="465"/>
      <c r="W1029" s="465"/>
      <c r="X1029" s="465"/>
      <c r="Y1029" s="465"/>
      <c r="Z1029" s="465"/>
      <c r="AA1029" s="465"/>
      <c r="AB1029" s="465"/>
      <c r="AC1029" s="465"/>
      <c r="AD1029" s="465"/>
      <c r="AE1029" s="465"/>
      <c r="AF1029" s="465"/>
      <c r="AG1029" s="465"/>
      <c r="AH1029" s="465"/>
      <c r="AI1029" s="465"/>
      <c r="AJ1029" s="465"/>
      <c r="AK1029" s="465"/>
      <c r="AL1029" s="465"/>
      <c r="AM1029" s="465"/>
      <c r="AN1029" s="465"/>
      <c r="AO1029" s="465"/>
      <c r="AP1029" s="465"/>
      <c r="AQ1029" s="465"/>
      <c r="AR1029" s="465"/>
      <c r="AS1029" s="465"/>
      <c r="AT1029" s="465"/>
      <c r="AU1029" s="465"/>
      <c r="AV1029" s="465"/>
      <c r="AW1029" s="465"/>
      <c r="AX1029" s="465"/>
      <c r="AY1029" s="465"/>
      <c r="AZ1029" s="465"/>
      <c r="BA1029" s="465"/>
      <c r="BB1029" s="465"/>
      <c r="BC1029" s="465"/>
    </row>
    <row r="1030" spans="1:55">
      <c r="A1030" s="465"/>
      <c r="B1030" s="465"/>
      <c r="C1030" s="465"/>
      <c r="D1030" s="467"/>
      <c r="E1030" s="465"/>
      <c r="F1030" s="465"/>
      <c r="G1030" s="465"/>
      <c r="H1030" s="465"/>
      <c r="I1030" s="465"/>
      <c r="J1030" s="465"/>
      <c r="K1030" s="465"/>
      <c r="L1030" s="465"/>
      <c r="M1030" s="465"/>
      <c r="N1030" s="465"/>
      <c r="O1030" s="465"/>
      <c r="P1030" s="465"/>
      <c r="Q1030" s="465"/>
      <c r="R1030" s="465"/>
      <c r="S1030" s="465"/>
      <c r="T1030" s="465"/>
      <c r="U1030" s="465"/>
      <c r="V1030" s="465"/>
      <c r="W1030" s="465"/>
      <c r="X1030" s="465"/>
      <c r="Y1030" s="465"/>
      <c r="Z1030" s="465"/>
      <c r="AA1030" s="465"/>
      <c r="AB1030" s="465"/>
      <c r="AC1030" s="465"/>
      <c r="AD1030" s="465"/>
      <c r="AE1030" s="465"/>
      <c r="AF1030" s="465"/>
      <c r="AG1030" s="465"/>
      <c r="AH1030" s="465"/>
      <c r="AI1030" s="465"/>
      <c r="AJ1030" s="465"/>
      <c r="AK1030" s="465"/>
      <c r="AL1030" s="465"/>
      <c r="AM1030" s="465"/>
      <c r="AN1030" s="465"/>
      <c r="AO1030" s="465"/>
      <c r="AP1030" s="465"/>
      <c r="AQ1030" s="465"/>
      <c r="AR1030" s="465"/>
      <c r="AS1030" s="465"/>
      <c r="AT1030" s="465"/>
      <c r="AU1030" s="465"/>
      <c r="AV1030" s="465"/>
      <c r="AW1030" s="465"/>
      <c r="AX1030" s="465"/>
      <c r="AY1030" s="465"/>
      <c r="AZ1030" s="465"/>
      <c r="BA1030" s="465"/>
      <c r="BB1030" s="465"/>
      <c r="BC1030" s="465"/>
    </row>
    <row r="1031" spans="1:55">
      <c r="A1031" s="465"/>
      <c r="B1031" s="465"/>
      <c r="C1031" s="465"/>
      <c r="D1031" s="467"/>
      <c r="E1031" s="465"/>
      <c r="F1031" s="465"/>
      <c r="G1031" s="465"/>
      <c r="H1031" s="465"/>
      <c r="I1031" s="465"/>
      <c r="J1031" s="465"/>
      <c r="K1031" s="465"/>
      <c r="L1031" s="465"/>
      <c r="M1031" s="465"/>
      <c r="N1031" s="465"/>
      <c r="O1031" s="465"/>
      <c r="P1031" s="465"/>
      <c r="Q1031" s="465"/>
      <c r="R1031" s="465"/>
      <c r="S1031" s="465"/>
      <c r="T1031" s="465"/>
      <c r="U1031" s="465"/>
      <c r="V1031" s="465"/>
      <c r="W1031" s="465"/>
      <c r="X1031" s="465"/>
      <c r="Y1031" s="465"/>
      <c r="Z1031" s="465"/>
      <c r="AA1031" s="465"/>
      <c r="AB1031" s="465"/>
      <c r="AC1031" s="465"/>
      <c r="AD1031" s="465"/>
      <c r="AE1031" s="465"/>
      <c r="AF1031" s="465"/>
      <c r="AG1031" s="465"/>
      <c r="AH1031" s="465"/>
      <c r="AI1031" s="465"/>
      <c r="AJ1031" s="465"/>
      <c r="AK1031" s="465"/>
      <c r="AL1031" s="465"/>
      <c r="AM1031" s="465"/>
      <c r="AN1031" s="465"/>
      <c r="AO1031" s="465"/>
      <c r="AP1031" s="465"/>
      <c r="AQ1031" s="465"/>
      <c r="AR1031" s="465"/>
      <c r="AS1031" s="465"/>
      <c r="AT1031" s="465"/>
      <c r="AU1031" s="465"/>
      <c r="AV1031" s="465"/>
      <c r="AW1031" s="465"/>
      <c r="AX1031" s="465"/>
      <c r="AY1031" s="465"/>
      <c r="AZ1031" s="465"/>
      <c r="BA1031" s="465"/>
      <c r="BB1031" s="465"/>
      <c r="BC1031" s="465"/>
    </row>
    <row r="1032" spans="1:55">
      <c r="A1032" s="465"/>
      <c r="B1032" s="465"/>
      <c r="C1032" s="465"/>
      <c r="D1032" s="467"/>
      <c r="E1032" s="465"/>
      <c r="F1032" s="465"/>
      <c r="G1032" s="465"/>
      <c r="H1032" s="465"/>
      <c r="I1032" s="465"/>
      <c r="J1032" s="465"/>
      <c r="K1032" s="465"/>
      <c r="L1032" s="465"/>
      <c r="M1032" s="465"/>
      <c r="N1032" s="465"/>
      <c r="O1032" s="465"/>
      <c r="P1032" s="465"/>
      <c r="Q1032" s="465"/>
      <c r="R1032" s="465"/>
      <c r="S1032" s="465"/>
      <c r="T1032" s="465"/>
      <c r="U1032" s="465"/>
      <c r="V1032" s="465"/>
      <c r="W1032" s="465"/>
      <c r="X1032" s="465"/>
      <c r="Y1032" s="465"/>
      <c r="Z1032" s="465"/>
      <c r="AA1032" s="465"/>
      <c r="AB1032" s="465"/>
      <c r="AC1032" s="465"/>
      <c r="AD1032" s="465"/>
      <c r="AE1032" s="465"/>
      <c r="AF1032" s="465"/>
      <c r="AG1032" s="465"/>
      <c r="AH1032" s="465"/>
      <c r="AI1032" s="465"/>
      <c r="AJ1032" s="465"/>
      <c r="AK1032" s="465"/>
      <c r="AL1032" s="465"/>
      <c r="AM1032" s="465"/>
      <c r="AN1032" s="465"/>
      <c r="AO1032" s="465"/>
      <c r="AP1032" s="465"/>
      <c r="AQ1032" s="465"/>
      <c r="AR1032" s="465"/>
      <c r="AS1032" s="465"/>
      <c r="AT1032" s="465"/>
      <c r="AU1032" s="465"/>
      <c r="AV1032" s="465"/>
      <c r="AW1032" s="465"/>
      <c r="AX1032" s="465"/>
      <c r="AY1032" s="465"/>
      <c r="AZ1032" s="465"/>
      <c r="BA1032" s="465"/>
      <c r="BB1032" s="465"/>
      <c r="BC1032" s="465"/>
    </row>
    <row r="1033" spans="1:55">
      <c r="A1033" s="465"/>
      <c r="B1033" s="465"/>
      <c r="C1033" s="465"/>
      <c r="D1033" s="467"/>
      <c r="E1033" s="465"/>
      <c r="F1033" s="465"/>
      <c r="G1033" s="465"/>
      <c r="H1033" s="465"/>
      <c r="I1033" s="465"/>
      <c r="J1033" s="465"/>
      <c r="K1033" s="465"/>
      <c r="L1033" s="465"/>
      <c r="M1033" s="465"/>
      <c r="N1033" s="465"/>
      <c r="O1033" s="465"/>
      <c r="P1033" s="465"/>
      <c r="Q1033" s="465"/>
      <c r="R1033" s="465"/>
      <c r="S1033" s="465"/>
      <c r="T1033" s="465"/>
      <c r="U1033" s="465"/>
      <c r="V1033" s="465"/>
      <c r="W1033" s="465"/>
      <c r="X1033" s="465"/>
      <c r="Y1033" s="465"/>
      <c r="Z1033" s="465"/>
      <c r="AA1033" s="465"/>
      <c r="AB1033" s="465"/>
      <c r="AC1033" s="465"/>
      <c r="AD1033" s="465"/>
      <c r="AE1033" s="465"/>
      <c r="AF1033" s="465"/>
      <c r="AG1033" s="465"/>
      <c r="AH1033" s="465"/>
      <c r="AI1033" s="465"/>
      <c r="AJ1033" s="465"/>
      <c r="AK1033" s="465"/>
      <c r="AL1033" s="465"/>
      <c r="AM1033" s="465"/>
      <c r="AN1033" s="465"/>
      <c r="AO1033" s="465"/>
      <c r="AP1033" s="465"/>
      <c r="AQ1033" s="465"/>
      <c r="AR1033" s="465"/>
      <c r="AS1033" s="465"/>
      <c r="AT1033" s="465"/>
      <c r="AU1033" s="465"/>
      <c r="AV1033" s="465"/>
      <c r="AW1033" s="465"/>
      <c r="AX1033" s="465"/>
      <c r="AY1033" s="465"/>
      <c r="AZ1033" s="465"/>
      <c r="BA1033" s="465"/>
      <c r="BB1033" s="465"/>
      <c r="BC1033" s="465"/>
    </row>
    <row r="1034" spans="1:55">
      <c r="A1034" s="465"/>
      <c r="B1034" s="465"/>
      <c r="C1034" s="465"/>
      <c r="D1034" s="467"/>
      <c r="E1034" s="465"/>
      <c r="F1034" s="465"/>
      <c r="G1034" s="465"/>
      <c r="H1034" s="465"/>
      <c r="I1034" s="465"/>
      <c r="J1034" s="465"/>
      <c r="K1034" s="465"/>
      <c r="L1034" s="465"/>
      <c r="M1034" s="465"/>
      <c r="N1034" s="465"/>
      <c r="O1034" s="465"/>
      <c r="P1034" s="465"/>
      <c r="Q1034" s="465"/>
      <c r="R1034" s="465"/>
      <c r="S1034" s="465"/>
      <c r="T1034" s="465"/>
      <c r="U1034" s="465"/>
      <c r="V1034" s="465"/>
      <c r="W1034" s="465"/>
      <c r="X1034" s="465"/>
      <c r="Y1034" s="465"/>
      <c r="Z1034" s="465"/>
      <c r="AA1034" s="465"/>
      <c r="AB1034" s="465"/>
      <c r="AC1034" s="465"/>
      <c r="AD1034" s="465"/>
      <c r="AE1034" s="465"/>
      <c r="AF1034" s="465"/>
      <c r="AG1034" s="465"/>
      <c r="AH1034" s="465"/>
      <c r="AI1034" s="465"/>
      <c r="AJ1034" s="465"/>
      <c r="AK1034" s="465"/>
      <c r="AL1034" s="465"/>
      <c r="AM1034" s="465"/>
      <c r="AN1034" s="465"/>
      <c r="AO1034" s="465"/>
      <c r="AP1034" s="465"/>
      <c r="AQ1034" s="465"/>
      <c r="AR1034" s="465"/>
      <c r="AS1034" s="465"/>
      <c r="AT1034" s="465"/>
      <c r="AU1034" s="465"/>
      <c r="AV1034" s="465"/>
      <c r="AW1034" s="465"/>
      <c r="AX1034" s="465"/>
      <c r="AY1034" s="465"/>
      <c r="AZ1034" s="465"/>
      <c r="BA1034" s="465"/>
      <c r="BB1034" s="465"/>
      <c r="BC1034" s="465"/>
    </row>
    <row r="1035" spans="1:55">
      <c r="A1035" s="465"/>
      <c r="B1035" s="465"/>
      <c r="C1035" s="465"/>
      <c r="D1035" s="467"/>
      <c r="E1035" s="465"/>
      <c r="F1035" s="465"/>
      <c r="G1035" s="465"/>
      <c r="H1035" s="465"/>
      <c r="I1035" s="465"/>
      <c r="J1035" s="465"/>
      <c r="K1035" s="465"/>
      <c r="L1035" s="465"/>
      <c r="M1035" s="465"/>
      <c r="N1035" s="465"/>
      <c r="O1035" s="465"/>
      <c r="P1035" s="465"/>
      <c r="Q1035" s="465"/>
      <c r="R1035" s="465"/>
      <c r="S1035" s="465"/>
      <c r="T1035" s="465"/>
      <c r="U1035" s="465"/>
      <c r="V1035" s="465"/>
      <c r="W1035" s="465"/>
      <c r="X1035" s="465"/>
      <c r="Y1035" s="465"/>
      <c r="Z1035" s="465"/>
      <c r="AA1035" s="465"/>
      <c r="AB1035" s="465"/>
      <c r="AC1035" s="465"/>
      <c r="AD1035" s="465"/>
      <c r="AE1035" s="465"/>
      <c r="AF1035" s="465"/>
      <c r="AG1035" s="465"/>
      <c r="AH1035" s="465"/>
      <c r="AI1035" s="465"/>
      <c r="AJ1035" s="465"/>
      <c r="AK1035" s="465"/>
      <c r="AL1035" s="465"/>
      <c r="AM1035" s="465"/>
      <c r="AN1035" s="465"/>
      <c r="AO1035" s="465"/>
      <c r="AP1035" s="465"/>
      <c r="AQ1035" s="465"/>
      <c r="AR1035" s="465"/>
      <c r="AS1035" s="465"/>
      <c r="AT1035" s="465"/>
      <c r="AU1035" s="465"/>
      <c r="AV1035" s="465"/>
      <c r="AW1035" s="465"/>
      <c r="AX1035" s="465"/>
      <c r="AY1035" s="465"/>
      <c r="AZ1035" s="465"/>
      <c r="BA1035" s="465"/>
      <c r="BB1035" s="465"/>
      <c r="BC1035" s="465"/>
    </row>
    <row r="1036" spans="1:55">
      <c r="A1036" s="465"/>
      <c r="B1036" s="465"/>
      <c r="C1036" s="465"/>
      <c r="D1036" s="467"/>
      <c r="E1036" s="465"/>
      <c r="F1036" s="465"/>
      <c r="G1036" s="465"/>
      <c r="H1036" s="465"/>
      <c r="I1036" s="465"/>
      <c r="J1036" s="465"/>
      <c r="K1036" s="465"/>
      <c r="L1036" s="465"/>
      <c r="M1036" s="465"/>
      <c r="N1036" s="465"/>
      <c r="O1036" s="465"/>
      <c r="P1036" s="465"/>
      <c r="Q1036" s="465"/>
      <c r="R1036" s="465"/>
      <c r="S1036" s="465"/>
      <c r="T1036" s="465"/>
      <c r="U1036" s="465"/>
      <c r="V1036" s="465"/>
      <c r="W1036" s="465"/>
      <c r="X1036" s="465"/>
      <c r="Y1036" s="465"/>
      <c r="Z1036" s="465"/>
      <c r="AA1036" s="465"/>
      <c r="AB1036" s="465"/>
      <c r="AC1036" s="465"/>
      <c r="AD1036" s="465"/>
      <c r="AE1036" s="465"/>
      <c r="AF1036" s="465"/>
      <c r="AG1036" s="465"/>
      <c r="AH1036" s="465"/>
      <c r="AI1036" s="465"/>
      <c r="AJ1036" s="465"/>
      <c r="AK1036" s="465"/>
      <c r="AL1036" s="465"/>
      <c r="AM1036" s="465"/>
      <c r="AN1036" s="465"/>
      <c r="AO1036" s="465"/>
      <c r="AP1036" s="465"/>
      <c r="AQ1036" s="465"/>
      <c r="AR1036" s="465"/>
      <c r="AS1036" s="465"/>
      <c r="AT1036" s="465"/>
      <c r="AU1036" s="465"/>
      <c r="AV1036" s="465"/>
      <c r="AW1036" s="465"/>
      <c r="AX1036" s="465"/>
      <c r="AY1036" s="465"/>
      <c r="AZ1036" s="465"/>
      <c r="BA1036" s="465"/>
      <c r="BB1036" s="465"/>
      <c r="BC1036" s="465"/>
    </row>
    <row r="1037" spans="1:55">
      <c r="A1037" s="465"/>
      <c r="B1037" s="465"/>
      <c r="C1037" s="465"/>
      <c r="D1037" s="467"/>
      <c r="E1037" s="465"/>
      <c r="F1037" s="465"/>
      <c r="G1037" s="465"/>
      <c r="H1037" s="465"/>
      <c r="I1037" s="465"/>
      <c r="J1037" s="465"/>
      <c r="K1037" s="465"/>
      <c r="L1037" s="465"/>
      <c r="M1037" s="465"/>
      <c r="N1037" s="465"/>
      <c r="O1037" s="465"/>
      <c r="P1037" s="465"/>
      <c r="Q1037" s="465"/>
      <c r="R1037" s="465"/>
      <c r="S1037" s="465"/>
      <c r="T1037" s="465"/>
      <c r="U1037" s="465"/>
      <c r="V1037" s="465"/>
      <c r="W1037" s="465"/>
      <c r="X1037" s="465"/>
      <c r="Y1037" s="465"/>
      <c r="Z1037" s="465"/>
      <c r="AA1037" s="465"/>
      <c r="AB1037" s="465"/>
      <c r="AC1037" s="465"/>
      <c r="AD1037" s="465"/>
      <c r="AE1037" s="465"/>
      <c r="AF1037" s="465"/>
      <c r="AG1037" s="465"/>
      <c r="AH1037" s="465"/>
      <c r="AI1037" s="465"/>
      <c r="AJ1037" s="465"/>
      <c r="AK1037" s="465"/>
      <c r="AL1037" s="465"/>
      <c r="AM1037" s="465"/>
      <c r="AN1037" s="465"/>
      <c r="AO1037" s="465"/>
      <c r="AP1037" s="465"/>
      <c r="AQ1037" s="465"/>
      <c r="AR1037" s="465"/>
      <c r="AS1037" s="465"/>
      <c r="AT1037" s="465"/>
      <c r="AU1037" s="465"/>
      <c r="AV1037" s="465"/>
      <c r="AW1037" s="465"/>
      <c r="AX1037" s="465"/>
      <c r="AY1037" s="465"/>
      <c r="AZ1037" s="465"/>
      <c r="BA1037" s="465"/>
      <c r="BB1037" s="465"/>
      <c r="BC1037" s="465"/>
    </row>
    <row r="1038" spans="1:55">
      <c r="A1038" s="465"/>
      <c r="B1038" s="465"/>
      <c r="C1038" s="465"/>
      <c r="D1038" s="467"/>
      <c r="E1038" s="465"/>
      <c r="F1038" s="465"/>
      <c r="G1038" s="465"/>
      <c r="H1038" s="465"/>
      <c r="I1038" s="465"/>
      <c r="J1038" s="465"/>
      <c r="K1038" s="465"/>
      <c r="L1038" s="465"/>
      <c r="M1038" s="465"/>
      <c r="N1038" s="465"/>
      <c r="O1038" s="465"/>
      <c r="P1038" s="465"/>
      <c r="Q1038" s="465"/>
      <c r="R1038" s="465"/>
      <c r="S1038" s="465"/>
      <c r="T1038" s="465"/>
      <c r="U1038" s="465"/>
      <c r="V1038" s="465"/>
      <c r="W1038" s="465"/>
      <c r="X1038" s="465"/>
      <c r="Y1038" s="465"/>
      <c r="Z1038" s="465"/>
      <c r="AA1038" s="465"/>
      <c r="AB1038" s="465"/>
      <c r="AC1038" s="465"/>
      <c r="AD1038" s="465"/>
      <c r="AE1038" s="465"/>
      <c r="AF1038" s="465"/>
      <c r="AG1038" s="465"/>
      <c r="AH1038" s="465"/>
      <c r="AI1038" s="465"/>
      <c r="AJ1038" s="465"/>
      <c r="AK1038" s="465"/>
      <c r="AL1038" s="465"/>
      <c r="AM1038" s="465"/>
      <c r="AN1038" s="465"/>
      <c r="AO1038" s="465"/>
      <c r="AP1038" s="465"/>
      <c r="AQ1038" s="465"/>
      <c r="AR1038" s="465"/>
      <c r="AS1038" s="465"/>
      <c r="AT1038" s="465"/>
      <c r="AU1038" s="465"/>
      <c r="AV1038" s="465"/>
      <c r="AW1038" s="465"/>
      <c r="AX1038" s="465"/>
      <c r="AY1038" s="465"/>
      <c r="AZ1038" s="465"/>
      <c r="BA1038" s="465"/>
      <c r="BB1038" s="465"/>
      <c r="BC1038" s="465"/>
    </row>
    <row r="1039" spans="1:55">
      <c r="A1039" s="465"/>
      <c r="B1039" s="465"/>
      <c r="C1039" s="465"/>
      <c r="D1039" s="467"/>
      <c r="E1039" s="465"/>
      <c r="F1039" s="465"/>
      <c r="G1039" s="465"/>
      <c r="H1039" s="465"/>
      <c r="I1039" s="465"/>
      <c r="J1039" s="465"/>
      <c r="K1039" s="465"/>
      <c r="L1039" s="465"/>
      <c r="M1039" s="465"/>
      <c r="N1039" s="465"/>
      <c r="O1039" s="465"/>
      <c r="P1039" s="465"/>
      <c r="Q1039" s="465"/>
      <c r="R1039" s="465"/>
      <c r="S1039" s="465"/>
      <c r="T1039" s="465"/>
      <c r="U1039" s="465"/>
      <c r="V1039" s="465"/>
      <c r="W1039" s="465"/>
      <c r="X1039" s="465"/>
      <c r="Y1039" s="465"/>
      <c r="Z1039" s="465"/>
      <c r="AA1039" s="465"/>
      <c r="AB1039" s="465"/>
      <c r="AC1039" s="465"/>
      <c r="AD1039" s="465"/>
      <c r="AE1039" s="465"/>
      <c r="AF1039" s="465"/>
      <c r="AG1039" s="465"/>
      <c r="AH1039" s="465"/>
      <c r="AI1039" s="465"/>
      <c r="AJ1039" s="465"/>
      <c r="AK1039" s="465"/>
      <c r="AL1039" s="465"/>
      <c r="AM1039" s="465"/>
      <c r="AN1039" s="465"/>
      <c r="AO1039" s="465"/>
      <c r="AP1039" s="465"/>
      <c r="AQ1039" s="465"/>
      <c r="AR1039" s="465"/>
      <c r="AS1039" s="465"/>
      <c r="AT1039" s="465"/>
      <c r="AU1039" s="465"/>
      <c r="AV1039" s="465"/>
      <c r="AW1039" s="465"/>
      <c r="AX1039" s="465"/>
      <c r="AY1039" s="465"/>
      <c r="AZ1039" s="465"/>
      <c r="BA1039" s="465"/>
      <c r="BB1039" s="465"/>
      <c r="BC1039" s="465"/>
    </row>
    <row r="1040" spans="1:55">
      <c r="A1040" s="465"/>
      <c r="B1040" s="465"/>
      <c r="C1040" s="465"/>
      <c r="D1040" s="467"/>
      <c r="E1040" s="465"/>
      <c r="F1040" s="465"/>
      <c r="G1040" s="465"/>
      <c r="H1040" s="465"/>
      <c r="I1040" s="465"/>
      <c r="J1040" s="465"/>
      <c r="K1040" s="465"/>
      <c r="L1040" s="465"/>
      <c r="M1040" s="465"/>
      <c r="N1040" s="465"/>
      <c r="O1040" s="465"/>
      <c r="P1040" s="465"/>
      <c r="Q1040" s="465"/>
      <c r="R1040" s="465"/>
      <c r="S1040" s="465"/>
      <c r="T1040" s="465"/>
      <c r="U1040" s="465"/>
      <c r="V1040" s="465"/>
      <c r="W1040" s="465"/>
      <c r="X1040" s="465"/>
      <c r="Y1040" s="465"/>
      <c r="Z1040" s="465"/>
      <c r="AA1040" s="465"/>
      <c r="AB1040" s="465"/>
      <c r="AC1040" s="465"/>
      <c r="AD1040" s="465"/>
      <c r="AE1040" s="465"/>
      <c r="AF1040" s="465"/>
      <c r="AG1040" s="465"/>
      <c r="AH1040" s="465"/>
      <c r="AI1040" s="465"/>
      <c r="AJ1040" s="465"/>
      <c r="AK1040" s="465"/>
      <c r="AL1040" s="465"/>
      <c r="AM1040" s="465"/>
      <c r="AN1040" s="465"/>
      <c r="AO1040" s="465"/>
      <c r="AP1040" s="465"/>
      <c r="AQ1040" s="465"/>
      <c r="AR1040" s="465"/>
      <c r="AS1040" s="465"/>
      <c r="AT1040" s="465"/>
      <c r="AU1040" s="465"/>
      <c r="AV1040" s="465"/>
      <c r="AW1040" s="465"/>
      <c r="AX1040" s="465"/>
      <c r="AY1040" s="465"/>
      <c r="AZ1040" s="465"/>
      <c r="BA1040" s="465"/>
      <c r="BB1040" s="465"/>
      <c r="BC1040" s="465"/>
    </row>
    <row r="1041" spans="1:55">
      <c r="A1041" s="465"/>
      <c r="B1041" s="465"/>
      <c r="C1041" s="465"/>
      <c r="D1041" s="467"/>
      <c r="E1041" s="465"/>
      <c r="F1041" s="465"/>
      <c r="G1041" s="465"/>
      <c r="H1041" s="465"/>
      <c r="I1041" s="465"/>
      <c r="J1041" s="465"/>
      <c r="K1041" s="465"/>
      <c r="L1041" s="465"/>
      <c r="M1041" s="465"/>
      <c r="N1041" s="465"/>
      <c r="O1041" s="465"/>
      <c r="P1041" s="465"/>
      <c r="Q1041" s="465"/>
      <c r="R1041" s="465"/>
      <c r="S1041" s="465"/>
      <c r="T1041" s="465"/>
      <c r="U1041" s="465"/>
      <c r="V1041" s="465"/>
      <c r="W1041" s="465"/>
      <c r="X1041" s="465"/>
      <c r="Y1041" s="465"/>
      <c r="Z1041" s="465"/>
      <c r="AA1041" s="465"/>
      <c r="AB1041" s="465"/>
      <c r="AC1041" s="465"/>
      <c r="AD1041" s="465"/>
      <c r="AE1041" s="465"/>
      <c r="AF1041" s="465"/>
      <c r="AG1041" s="465"/>
      <c r="AH1041" s="465"/>
      <c r="AI1041" s="465"/>
      <c r="AJ1041" s="465"/>
      <c r="AK1041" s="465"/>
      <c r="AL1041" s="465"/>
      <c r="AM1041" s="465"/>
      <c r="AN1041" s="465"/>
      <c r="AO1041" s="465"/>
      <c r="AP1041" s="465"/>
      <c r="AQ1041" s="465"/>
      <c r="AR1041" s="465"/>
      <c r="AS1041" s="465"/>
      <c r="AT1041" s="465"/>
      <c r="AU1041" s="465"/>
      <c r="AV1041" s="465"/>
      <c r="AW1041" s="465"/>
      <c r="AX1041" s="465"/>
      <c r="AY1041" s="465"/>
      <c r="AZ1041" s="465"/>
      <c r="BA1041" s="465"/>
      <c r="BB1041" s="465"/>
      <c r="BC1041" s="465"/>
    </row>
    <row r="1042" spans="1:55">
      <c r="A1042" s="465"/>
      <c r="B1042" s="465"/>
      <c r="C1042" s="465"/>
      <c r="D1042" s="467"/>
      <c r="E1042" s="465"/>
      <c r="F1042" s="465"/>
      <c r="G1042" s="465"/>
      <c r="H1042" s="465"/>
      <c r="I1042" s="465"/>
      <c r="J1042" s="465"/>
      <c r="K1042" s="465"/>
      <c r="L1042" s="465"/>
      <c r="M1042" s="465"/>
      <c r="N1042" s="465"/>
      <c r="O1042" s="465"/>
      <c r="P1042" s="465"/>
      <c r="Q1042" s="465"/>
      <c r="R1042" s="465"/>
      <c r="S1042" s="465"/>
      <c r="T1042" s="465"/>
      <c r="U1042" s="465"/>
      <c r="V1042" s="465"/>
      <c r="W1042" s="465"/>
      <c r="X1042" s="465"/>
      <c r="Y1042" s="465"/>
      <c r="Z1042" s="465"/>
      <c r="AA1042" s="465"/>
      <c r="AB1042" s="465"/>
      <c r="AC1042" s="465"/>
      <c r="AD1042" s="465"/>
      <c r="AE1042" s="465"/>
      <c r="AF1042" s="465"/>
      <c r="AG1042" s="465"/>
      <c r="AH1042" s="465"/>
      <c r="AI1042" s="465"/>
      <c r="AJ1042" s="465"/>
      <c r="AK1042" s="465"/>
      <c r="AL1042" s="465"/>
      <c r="AM1042" s="465"/>
      <c r="AN1042" s="465"/>
      <c r="AO1042" s="465"/>
      <c r="AP1042" s="465"/>
      <c r="AQ1042" s="465"/>
      <c r="AR1042" s="465"/>
      <c r="AS1042" s="465"/>
      <c r="AT1042" s="465"/>
      <c r="AU1042" s="465"/>
      <c r="AV1042" s="465"/>
      <c r="AW1042" s="465"/>
      <c r="AX1042" s="465"/>
      <c r="AY1042" s="465"/>
      <c r="AZ1042" s="465"/>
      <c r="BA1042" s="465"/>
      <c r="BB1042" s="465"/>
      <c r="BC1042" s="465"/>
    </row>
    <row r="1043" spans="1:55">
      <c r="A1043" s="465"/>
      <c r="B1043" s="465"/>
      <c r="C1043" s="465"/>
      <c r="D1043" s="467"/>
      <c r="E1043" s="465"/>
      <c r="F1043" s="465"/>
      <c r="G1043" s="465"/>
      <c r="H1043" s="465"/>
      <c r="I1043" s="465"/>
      <c r="J1043" s="465"/>
      <c r="K1043" s="465"/>
      <c r="L1043" s="465"/>
      <c r="M1043" s="465"/>
      <c r="N1043" s="465"/>
      <c r="O1043" s="465"/>
      <c r="P1043" s="465"/>
      <c r="Q1043" s="465"/>
      <c r="R1043" s="465"/>
      <c r="S1043" s="465"/>
      <c r="T1043" s="465"/>
      <c r="U1043" s="465"/>
      <c r="V1043" s="465"/>
      <c r="W1043" s="465"/>
      <c r="X1043" s="465"/>
      <c r="Y1043" s="465"/>
      <c r="Z1043" s="465"/>
      <c r="AA1043" s="465"/>
      <c r="AB1043" s="465"/>
      <c r="AC1043" s="465"/>
      <c r="AD1043" s="465"/>
      <c r="AE1043" s="465"/>
      <c r="AF1043" s="465"/>
      <c r="AG1043" s="465"/>
      <c r="AH1043" s="465"/>
      <c r="AI1043" s="465"/>
      <c r="AJ1043" s="465"/>
      <c r="AK1043" s="465"/>
      <c r="AL1043" s="465"/>
      <c r="AM1043" s="465"/>
      <c r="AN1043" s="465"/>
      <c r="AO1043" s="465"/>
      <c r="AP1043" s="465"/>
      <c r="AQ1043" s="465"/>
      <c r="AR1043" s="465"/>
      <c r="AS1043" s="465"/>
      <c r="AT1043" s="465"/>
      <c r="AU1043" s="465"/>
      <c r="AV1043" s="465"/>
      <c r="AW1043" s="465"/>
      <c r="AX1043" s="465"/>
      <c r="AY1043" s="465"/>
      <c r="AZ1043" s="465"/>
      <c r="BA1043" s="465"/>
      <c r="BB1043" s="465"/>
      <c r="BC1043" s="465"/>
    </row>
    <row r="1044" spans="1:55">
      <c r="A1044" s="465"/>
      <c r="B1044" s="465"/>
      <c r="C1044" s="465"/>
      <c r="D1044" s="467"/>
      <c r="E1044" s="465"/>
      <c r="F1044" s="465"/>
      <c r="G1044" s="465"/>
      <c r="H1044" s="465"/>
      <c r="I1044" s="465"/>
      <c r="J1044" s="465"/>
      <c r="K1044" s="465"/>
      <c r="L1044" s="465"/>
      <c r="M1044" s="465"/>
      <c r="N1044" s="465"/>
      <c r="O1044" s="465"/>
      <c r="P1044" s="465"/>
      <c r="Q1044" s="465"/>
      <c r="R1044" s="465"/>
      <c r="S1044" s="465"/>
      <c r="T1044" s="465"/>
      <c r="U1044" s="465"/>
      <c r="V1044" s="465"/>
      <c r="W1044" s="465"/>
      <c r="X1044" s="465"/>
      <c r="Y1044" s="465"/>
      <c r="Z1044" s="465"/>
      <c r="AA1044" s="465"/>
      <c r="AB1044" s="465"/>
      <c r="AC1044" s="465"/>
      <c r="AD1044" s="465"/>
      <c r="AE1044" s="465"/>
      <c r="AF1044" s="465"/>
      <c r="AG1044" s="465"/>
      <c r="AH1044" s="465"/>
      <c r="AI1044" s="465"/>
      <c r="AJ1044" s="465"/>
      <c r="AK1044" s="465"/>
      <c r="AL1044" s="465"/>
      <c r="AM1044" s="465"/>
      <c r="AN1044" s="465"/>
      <c r="AO1044" s="465"/>
      <c r="AP1044" s="465"/>
      <c r="AQ1044" s="465"/>
      <c r="AR1044" s="465"/>
      <c r="AS1044" s="465"/>
      <c r="AT1044" s="465"/>
      <c r="AU1044" s="465"/>
      <c r="AV1044" s="465"/>
      <c r="AW1044" s="465"/>
      <c r="AX1044" s="465"/>
      <c r="AY1044" s="465"/>
      <c r="AZ1044" s="465"/>
      <c r="BA1044" s="465"/>
      <c r="BB1044" s="465"/>
      <c r="BC1044" s="465"/>
    </row>
    <row r="1045" spans="1:55">
      <c r="A1045" s="465"/>
      <c r="B1045" s="465"/>
      <c r="C1045" s="465"/>
      <c r="D1045" s="467"/>
      <c r="E1045" s="465"/>
      <c r="F1045" s="465"/>
      <c r="G1045" s="465"/>
      <c r="H1045" s="465"/>
      <c r="I1045" s="465"/>
      <c r="J1045" s="465"/>
      <c r="K1045" s="465"/>
      <c r="L1045" s="465"/>
      <c r="M1045" s="465"/>
      <c r="N1045" s="465"/>
      <c r="O1045" s="465"/>
      <c r="P1045" s="465"/>
      <c r="Q1045" s="465"/>
      <c r="R1045" s="465"/>
      <c r="S1045" s="465"/>
      <c r="T1045" s="465"/>
      <c r="U1045" s="465"/>
      <c r="V1045" s="465"/>
      <c r="W1045" s="465"/>
      <c r="X1045" s="465"/>
      <c r="Y1045" s="465"/>
      <c r="Z1045" s="465"/>
      <c r="AA1045" s="465"/>
      <c r="AB1045" s="465"/>
      <c r="AC1045" s="465"/>
      <c r="AD1045" s="465"/>
      <c r="AE1045" s="465"/>
      <c r="AF1045" s="465"/>
      <c r="AG1045" s="465"/>
      <c r="AH1045" s="465"/>
      <c r="AI1045" s="465"/>
      <c r="AJ1045" s="465"/>
      <c r="AK1045" s="465"/>
      <c r="AL1045" s="465"/>
      <c r="AM1045" s="465"/>
      <c r="AN1045" s="465"/>
      <c r="AO1045" s="465"/>
      <c r="AP1045" s="465"/>
      <c r="AQ1045" s="465"/>
      <c r="AR1045" s="465"/>
      <c r="AS1045" s="465"/>
      <c r="AT1045" s="465"/>
      <c r="AU1045" s="465"/>
      <c r="AV1045" s="465"/>
      <c r="AW1045" s="465"/>
      <c r="AX1045" s="465"/>
      <c r="AY1045" s="465"/>
      <c r="AZ1045" s="465"/>
      <c r="BA1045" s="465"/>
      <c r="BB1045" s="465"/>
      <c r="BC1045" s="465"/>
    </row>
    <row r="1046" spans="1:55">
      <c r="A1046" s="465"/>
      <c r="B1046" s="465"/>
      <c r="C1046" s="465"/>
      <c r="D1046" s="467"/>
      <c r="E1046" s="465"/>
      <c r="F1046" s="465"/>
      <c r="G1046" s="465"/>
      <c r="H1046" s="465"/>
      <c r="I1046" s="465"/>
      <c r="J1046" s="465"/>
      <c r="K1046" s="465"/>
      <c r="L1046" s="465"/>
      <c r="M1046" s="465"/>
      <c r="N1046" s="465"/>
      <c r="O1046" s="465"/>
      <c r="P1046" s="465"/>
      <c r="Q1046" s="465"/>
      <c r="R1046" s="465"/>
      <c r="S1046" s="465"/>
      <c r="T1046" s="465"/>
      <c r="U1046" s="465"/>
      <c r="V1046" s="465"/>
      <c r="W1046" s="465"/>
      <c r="X1046" s="465"/>
      <c r="Y1046" s="465"/>
      <c r="Z1046" s="465"/>
      <c r="AA1046" s="465"/>
      <c r="AB1046" s="465"/>
      <c r="AC1046" s="465"/>
      <c r="AD1046" s="465"/>
      <c r="AE1046" s="465"/>
      <c r="AF1046" s="465"/>
      <c r="AG1046" s="465"/>
      <c r="AH1046" s="465"/>
      <c r="AI1046" s="465"/>
      <c r="AJ1046" s="465"/>
      <c r="AK1046" s="465"/>
      <c r="AL1046" s="465"/>
      <c r="AM1046" s="465"/>
      <c r="AN1046" s="465"/>
      <c r="AO1046" s="465"/>
      <c r="AP1046" s="465"/>
      <c r="AQ1046" s="465"/>
      <c r="AR1046" s="465"/>
      <c r="AS1046" s="465"/>
      <c r="AT1046" s="465"/>
      <c r="AU1046" s="465"/>
      <c r="AV1046" s="465"/>
      <c r="AW1046" s="465"/>
      <c r="AX1046" s="465"/>
      <c r="AY1046" s="465"/>
      <c r="AZ1046" s="465"/>
      <c r="BA1046" s="465"/>
      <c r="BB1046" s="465"/>
      <c r="BC1046" s="465"/>
    </row>
    <row r="1047" spans="1:55">
      <c r="A1047" s="465"/>
      <c r="B1047" s="465"/>
      <c r="C1047" s="465"/>
      <c r="D1047" s="467"/>
      <c r="E1047" s="465"/>
      <c r="F1047" s="465"/>
      <c r="G1047" s="465"/>
      <c r="H1047" s="465"/>
      <c r="I1047" s="465"/>
      <c r="J1047" s="465"/>
      <c r="K1047" s="465"/>
      <c r="L1047" s="465"/>
      <c r="M1047" s="465"/>
      <c r="N1047" s="465"/>
      <c r="O1047" s="465"/>
      <c r="P1047" s="465"/>
      <c r="Q1047" s="465"/>
      <c r="R1047" s="465"/>
      <c r="S1047" s="465"/>
      <c r="T1047" s="465"/>
      <c r="U1047" s="465"/>
      <c r="V1047" s="465"/>
      <c r="W1047" s="465"/>
      <c r="X1047" s="465"/>
      <c r="Y1047" s="465"/>
      <c r="Z1047" s="465"/>
      <c r="AA1047" s="465"/>
      <c r="AB1047" s="465"/>
      <c r="AC1047" s="465"/>
      <c r="AD1047" s="465"/>
      <c r="AE1047" s="465"/>
      <c r="AF1047" s="465"/>
      <c r="AG1047" s="465"/>
      <c r="AH1047" s="465"/>
      <c r="AI1047" s="465"/>
      <c r="AJ1047" s="465"/>
      <c r="AK1047" s="465"/>
      <c r="AL1047" s="465"/>
      <c r="AM1047" s="465"/>
      <c r="AN1047" s="465"/>
      <c r="AO1047" s="465"/>
      <c r="AP1047" s="465"/>
      <c r="AQ1047" s="465"/>
      <c r="AR1047" s="465"/>
      <c r="AS1047" s="465"/>
      <c r="AT1047" s="465"/>
      <c r="AU1047" s="465"/>
      <c r="AV1047" s="465"/>
      <c r="AW1047" s="465"/>
      <c r="AX1047" s="465"/>
      <c r="AY1047" s="465"/>
      <c r="AZ1047" s="465"/>
      <c r="BA1047" s="465"/>
      <c r="BB1047" s="465"/>
      <c r="BC1047" s="465"/>
    </row>
    <row r="1048" spans="1:55">
      <c r="A1048" s="465"/>
      <c r="B1048" s="465"/>
      <c r="C1048" s="465"/>
      <c r="D1048" s="467"/>
      <c r="E1048" s="465"/>
      <c r="F1048" s="465"/>
      <c r="G1048" s="465"/>
      <c r="H1048" s="465"/>
      <c r="I1048" s="465"/>
      <c r="J1048" s="465"/>
      <c r="K1048" s="465"/>
      <c r="L1048" s="465"/>
      <c r="M1048" s="465"/>
      <c r="N1048" s="465"/>
      <c r="O1048" s="465"/>
      <c r="P1048" s="465"/>
      <c r="Q1048" s="465"/>
      <c r="R1048" s="465"/>
      <c r="S1048" s="465"/>
      <c r="T1048" s="465"/>
      <c r="U1048" s="465"/>
      <c r="V1048" s="465"/>
      <c r="W1048" s="465"/>
      <c r="X1048" s="465"/>
      <c r="Y1048" s="465"/>
      <c r="Z1048" s="465"/>
      <c r="AA1048" s="465"/>
      <c r="AB1048" s="465"/>
      <c r="AC1048" s="465"/>
      <c r="AD1048" s="465"/>
      <c r="AE1048" s="465"/>
      <c r="AF1048" s="465"/>
      <c r="AG1048" s="465"/>
      <c r="AH1048" s="465"/>
      <c r="AI1048" s="465"/>
      <c r="AJ1048" s="465"/>
      <c r="AK1048" s="465"/>
      <c r="AL1048" s="465"/>
      <c r="AM1048" s="465"/>
      <c r="AN1048" s="465"/>
      <c r="AO1048" s="465"/>
      <c r="AP1048" s="465"/>
      <c r="AQ1048" s="465"/>
      <c r="AR1048" s="465"/>
      <c r="AS1048" s="465"/>
      <c r="AT1048" s="465"/>
      <c r="AU1048" s="465"/>
      <c r="AV1048" s="465"/>
      <c r="AW1048" s="465"/>
      <c r="AX1048" s="465"/>
      <c r="AY1048" s="465"/>
      <c r="AZ1048" s="465"/>
      <c r="BA1048" s="465"/>
      <c r="BB1048" s="465"/>
      <c r="BC1048" s="465"/>
    </row>
    <row r="1049" spans="1:55">
      <c r="A1049" s="465"/>
      <c r="B1049" s="465"/>
      <c r="C1049" s="465"/>
      <c r="D1049" s="467"/>
      <c r="E1049" s="465"/>
      <c r="F1049" s="465"/>
      <c r="G1049" s="465"/>
      <c r="H1049" s="465"/>
      <c r="I1049" s="465"/>
      <c r="J1049" s="465"/>
      <c r="K1049" s="465"/>
      <c r="L1049" s="465"/>
      <c r="M1049" s="465"/>
      <c r="N1049" s="465"/>
      <c r="O1049" s="465"/>
      <c r="P1049" s="465"/>
      <c r="Q1049" s="465"/>
      <c r="R1049" s="465"/>
      <c r="S1049" s="465"/>
      <c r="T1049" s="465"/>
      <c r="U1049" s="465"/>
      <c r="V1049" s="465"/>
      <c r="W1049" s="465"/>
      <c r="X1049" s="465"/>
      <c r="Y1049" s="465"/>
      <c r="Z1049" s="465"/>
      <c r="AA1049" s="465"/>
      <c r="AB1049" s="465"/>
      <c r="AC1049" s="465"/>
      <c r="AD1049" s="465"/>
      <c r="AE1049" s="465"/>
      <c r="AF1049" s="465"/>
      <c r="AG1049" s="465"/>
      <c r="AH1049" s="465"/>
      <c r="AI1049" s="465"/>
      <c r="AJ1049" s="465"/>
      <c r="AK1049" s="465"/>
      <c r="AL1049" s="465"/>
      <c r="AM1049" s="465"/>
      <c r="AN1049" s="465"/>
      <c r="AO1049" s="465"/>
      <c r="AP1049" s="465"/>
      <c r="AQ1049" s="465"/>
      <c r="AR1049" s="465"/>
      <c r="AS1049" s="465"/>
      <c r="AT1049" s="465"/>
      <c r="AU1049" s="465"/>
      <c r="AV1049" s="465"/>
      <c r="AW1049" s="465"/>
      <c r="AX1049" s="465"/>
      <c r="AY1049" s="465"/>
      <c r="AZ1049" s="465"/>
      <c r="BA1049" s="465"/>
      <c r="BB1049" s="465"/>
      <c r="BC1049" s="465"/>
    </row>
    <row r="1050" spans="1:55">
      <c r="A1050" s="465"/>
      <c r="B1050" s="465"/>
      <c r="C1050" s="465"/>
      <c r="D1050" s="467"/>
      <c r="E1050" s="465"/>
      <c r="F1050" s="465"/>
      <c r="G1050" s="465"/>
      <c r="H1050" s="465"/>
      <c r="I1050" s="465"/>
      <c r="J1050" s="465"/>
      <c r="K1050" s="465"/>
      <c r="L1050" s="465"/>
      <c r="M1050" s="465"/>
      <c r="N1050" s="465"/>
      <c r="O1050" s="465"/>
      <c r="P1050" s="465"/>
      <c r="Q1050" s="465"/>
      <c r="R1050" s="465"/>
      <c r="S1050" s="465"/>
      <c r="T1050" s="465"/>
      <c r="U1050" s="465"/>
      <c r="V1050" s="465"/>
      <c r="W1050" s="465"/>
      <c r="X1050" s="465"/>
      <c r="Y1050" s="465"/>
      <c r="Z1050" s="465"/>
      <c r="AA1050" s="465"/>
      <c r="AB1050" s="465"/>
      <c r="AC1050" s="465"/>
      <c r="AD1050" s="465"/>
      <c r="AE1050" s="465"/>
      <c r="AF1050" s="465"/>
      <c r="AG1050" s="465"/>
      <c r="AH1050" s="465"/>
      <c r="AI1050" s="465"/>
      <c r="AJ1050" s="465"/>
      <c r="AK1050" s="465"/>
      <c r="AL1050" s="465"/>
      <c r="AM1050" s="465"/>
      <c r="AN1050" s="465"/>
      <c r="AO1050" s="465"/>
      <c r="AP1050" s="465"/>
      <c r="AQ1050" s="465"/>
      <c r="AR1050" s="465"/>
      <c r="AS1050" s="465"/>
      <c r="AT1050" s="465"/>
      <c r="AU1050" s="465"/>
      <c r="AV1050" s="465"/>
      <c r="AW1050" s="465"/>
      <c r="AX1050" s="465"/>
      <c r="AY1050" s="465"/>
      <c r="AZ1050" s="465"/>
      <c r="BA1050" s="465"/>
      <c r="BB1050" s="465"/>
      <c r="BC1050" s="465"/>
    </row>
    <row r="1051" spans="1:55">
      <c r="A1051" s="465"/>
      <c r="B1051" s="465"/>
      <c r="C1051" s="465"/>
      <c r="D1051" s="467"/>
      <c r="E1051" s="465"/>
      <c r="F1051" s="465"/>
      <c r="G1051" s="465"/>
      <c r="H1051" s="465"/>
      <c r="I1051" s="465"/>
      <c r="J1051" s="465"/>
      <c r="K1051" s="465"/>
      <c r="L1051" s="465"/>
      <c r="M1051" s="465"/>
      <c r="N1051" s="465"/>
      <c r="O1051" s="465"/>
      <c r="P1051" s="465"/>
      <c r="Q1051" s="465"/>
      <c r="R1051" s="465"/>
      <c r="S1051" s="465"/>
      <c r="T1051" s="465"/>
      <c r="U1051" s="465"/>
      <c r="V1051" s="465"/>
      <c r="W1051" s="465"/>
      <c r="X1051" s="465"/>
      <c r="Y1051" s="465"/>
      <c r="Z1051" s="465"/>
      <c r="AA1051" s="465"/>
      <c r="AB1051" s="465"/>
      <c r="AC1051" s="465"/>
      <c r="AD1051" s="465"/>
      <c r="AE1051" s="465"/>
      <c r="AF1051" s="465"/>
      <c r="AG1051" s="465"/>
      <c r="AH1051" s="465"/>
      <c r="AI1051" s="465"/>
      <c r="AJ1051" s="465"/>
      <c r="AK1051" s="465"/>
      <c r="AL1051" s="465"/>
      <c r="AM1051" s="465"/>
      <c r="AN1051" s="465"/>
      <c r="AO1051" s="465"/>
      <c r="AP1051" s="465"/>
      <c r="AQ1051" s="465"/>
      <c r="AR1051" s="465"/>
      <c r="AS1051" s="465"/>
      <c r="AT1051" s="465"/>
      <c r="AU1051" s="465"/>
      <c r="AV1051" s="465"/>
      <c r="AW1051" s="465"/>
      <c r="AX1051" s="465"/>
      <c r="AY1051" s="465"/>
      <c r="AZ1051" s="465"/>
      <c r="BA1051" s="465"/>
      <c r="BB1051" s="465"/>
      <c r="BC1051" s="465"/>
    </row>
    <row r="1052" spans="1:55">
      <c r="A1052" s="465"/>
      <c r="B1052" s="465"/>
      <c r="C1052" s="465"/>
      <c r="D1052" s="467"/>
      <c r="E1052" s="465"/>
      <c r="F1052" s="465"/>
      <c r="G1052" s="465"/>
      <c r="H1052" s="465"/>
      <c r="I1052" s="465"/>
      <c r="J1052" s="465"/>
      <c r="K1052" s="465"/>
      <c r="L1052" s="465"/>
      <c r="M1052" s="465"/>
      <c r="N1052" s="465"/>
      <c r="O1052" s="465"/>
      <c r="P1052" s="465"/>
      <c r="Q1052" s="465"/>
      <c r="R1052" s="465"/>
      <c r="S1052" s="465"/>
      <c r="T1052" s="465"/>
      <c r="U1052" s="465"/>
      <c r="V1052" s="465"/>
      <c r="W1052" s="465"/>
      <c r="X1052" s="465"/>
      <c r="Y1052" s="465"/>
      <c r="Z1052" s="465"/>
      <c r="AA1052" s="465"/>
      <c r="AB1052" s="465"/>
      <c r="AC1052" s="465"/>
      <c r="AD1052" s="465"/>
      <c r="AE1052" s="465"/>
      <c r="AF1052" s="465"/>
      <c r="AG1052" s="465"/>
      <c r="AH1052" s="465"/>
      <c r="AI1052" s="465"/>
      <c r="AJ1052" s="465"/>
      <c r="AK1052" s="465"/>
      <c r="AL1052" s="465"/>
      <c r="AM1052" s="465"/>
      <c r="AN1052" s="465"/>
      <c r="AO1052" s="465"/>
      <c r="AP1052" s="465"/>
      <c r="AQ1052" s="465"/>
      <c r="AR1052" s="465"/>
      <c r="AS1052" s="465"/>
      <c r="AT1052" s="465"/>
      <c r="AU1052" s="465"/>
      <c r="AV1052" s="465"/>
      <c r="AW1052" s="465"/>
      <c r="AX1052" s="465"/>
      <c r="AY1052" s="465"/>
      <c r="AZ1052" s="465"/>
      <c r="BA1052" s="465"/>
      <c r="BB1052" s="465"/>
      <c r="BC1052" s="465"/>
    </row>
    <row r="1053" spans="1:55">
      <c r="A1053" s="465"/>
      <c r="B1053" s="465"/>
      <c r="C1053" s="465"/>
      <c r="D1053" s="467"/>
      <c r="E1053" s="465"/>
      <c r="F1053" s="465"/>
      <c r="G1053" s="465"/>
      <c r="H1053" s="465"/>
      <c r="I1053" s="465"/>
      <c r="J1053" s="465"/>
      <c r="K1053" s="465"/>
      <c r="L1053" s="465"/>
      <c r="M1053" s="465"/>
      <c r="N1053" s="465"/>
      <c r="O1053" s="465"/>
      <c r="P1053" s="465"/>
      <c r="Q1053" s="465"/>
      <c r="R1053" s="465"/>
      <c r="S1053" s="465"/>
      <c r="T1053" s="465"/>
      <c r="U1053" s="465"/>
      <c r="V1053" s="465"/>
      <c r="W1053" s="465"/>
      <c r="X1053" s="465"/>
      <c r="Y1053" s="465"/>
      <c r="Z1053" s="465"/>
      <c r="AA1053" s="465"/>
      <c r="AB1053" s="465"/>
      <c r="AC1053" s="465"/>
      <c r="AD1053" s="465"/>
      <c r="AE1053" s="465"/>
      <c r="AF1053" s="465"/>
      <c r="AG1053" s="465"/>
      <c r="AH1053" s="465"/>
      <c r="AI1053" s="465"/>
      <c r="AJ1053" s="465"/>
      <c r="AK1053" s="465"/>
      <c r="AL1053" s="465"/>
      <c r="AM1053" s="465"/>
      <c r="AN1053" s="465"/>
      <c r="AO1053" s="465"/>
      <c r="AP1053" s="465"/>
      <c r="AQ1053" s="465"/>
      <c r="AR1053" s="465"/>
      <c r="AS1053" s="465"/>
      <c r="AT1053" s="465"/>
      <c r="AU1053" s="465"/>
      <c r="AV1053" s="465"/>
      <c r="AW1053" s="465"/>
      <c r="AX1053" s="465"/>
      <c r="AY1053" s="465"/>
      <c r="AZ1053" s="465"/>
      <c r="BA1053" s="465"/>
      <c r="BB1053" s="465"/>
      <c r="BC1053" s="465"/>
    </row>
    <row r="1054" spans="1:55">
      <c r="A1054" s="465"/>
      <c r="B1054" s="465"/>
      <c r="C1054" s="465"/>
      <c r="D1054" s="467"/>
      <c r="E1054" s="465"/>
      <c r="F1054" s="465"/>
      <c r="G1054" s="465"/>
      <c r="H1054" s="465"/>
      <c r="I1054" s="465"/>
      <c r="J1054" s="465"/>
      <c r="K1054" s="465"/>
      <c r="L1054" s="465"/>
      <c r="M1054" s="465"/>
      <c r="N1054" s="465"/>
      <c r="O1054" s="465"/>
      <c r="P1054" s="465"/>
      <c r="Q1054" s="465"/>
      <c r="R1054" s="465"/>
      <c r="S1054" s="465"/>
      <c r="T1054" s="465"/>
      <c r="U1054" s="465"/>
      <c r="V1054" s="465"/>
      <c r="W1054" s="465"/>
      <c r="X1054" s="465"/>
      <c r="Y1054" s="465"/>
      <c r="Z1054" s="465"/>
      <c r="AA1054" s="465"/>
      <c r="AB1054" s="465"/>
      <c r="AC1054" s="465"/>
      <c r="AD1054" s="465"/>
      <c r="AE1054" s="465"/>
      <c r="AF1054" s="465"/>
      <c r="AG1054" s="465"/>
      <c r="AH1054" s="465"/>
      <c r="AI1054" s="465"/>
      <c r="AJ1054" s="465"/>
      <c r="AK1054" s="465"/>
      <c r="AL1054" s="465"/>
      <c r="AM1054" s="465"/>
      <c r="AN1054" s="465"/>
      <c r="AO1054" s="465"/>
      <c r="AP1054" s="465"/>
      <c r="AQ1054" s="465"/>
      <c r="AR1054" s="465"/>
      <c r="AS1054" s="465"/>
      <c r="AT1054" s="465"/>
      <c r="AU1054" s="465"/>
      <c r="AV1054" s="465"/>
      <c r="AW1054" s="465"/>
      <c r="AX1054" s="465"/>
      <c r="AY1054" s="465"/>
      <c r="AZ1054" s="465"/>
      <c r="BA1054" s="465"/>
      <c r="BB1054" s="465"/>
      <c r="BC1054" s="465"/>
    </row>
    <row r="1055" spans="1:55">
      <c r="A1055" s="465"/>
      <c r="B1055" s="465"/>
      <c r="C1055" s="465"/>
      <c r="D1055" s="467"/>
      <c r="E1055" s="465"/>
      <c r="F1055" s="465"/>
      <c r="G1055" s="465"/>
      <c r="H1055" s="465"/>
      <c r="I1055" s="465"/>
      <c r="J1055" s="465"/>
      <c r="K1055" s="465"/>
      <c r="L1055" s="465"/>
      <c r="M1055" s="465"/>
      <c r="N1055" s="465"/>
      <c r="O1055" s="465"/>
      <c r="P1055" s="465"/>
      <c r="Q1055" s="465"/>
      <c r="R1055" s="465"/>
      <c r="S1055" s="465"/>
      <c r="T1055" s="465"/>
      <c r="U1055" s="465"/>
      <c r="V1055" s="465"/>
      <c r="W1055" s="465"/>
      <c r="X1055" s="465"/>
      <c r="Y1055" s="465"/>
      <c r="Z1055" s="465"/>
      <c r="AA1055" s="465"/>
      <c r="AB1055" s="465"/>
      <c r="AC1055" s="465"/>
      <c r="AD1055" s="465"/>
      <c r="AE1055" s="465"/>
      <c r="AF1055" s="465"/>
      <c r="AG1055" s="465"/>
      <c r="AH1055" s="465"/>
      <c r="AI1055" s="465"/>
      <c r="AJ1055" s="465"/>
      <c r="AK1055" s="465"/>
      <c r="AL1055" s="465"/>
      <c r="AM1055" s="465"/>
      <c r="AN1055" s="465"/>
      <c r="AO1055" s="465"/>
      <c r="AP1055" s="465"/>
      <c r="AQ1055" s="465"/>
      <c r="AR1055" s="465"/>
      <c r="AS1055" s="465"/>
      <c r="AT1055" s="465"/>
      <c r="AU1055" s="465"/>
      <c r="AV1055" s="465"/>
      <c r="AW1055" s="465"/>
      <c r="AX1055" s="465"/>
      <c r="AY1055" s="465"/>
      <c r="AZ1055" s="465"/>
      <c r="BA1055" s="465"/>
      <c r="BB1055" s="465"/>
      <c r="BC1055" s="465"/>
    </row>
    <row r="1056" spans="1:55">
      <c r="A1056" s="465"/>
      <c r="B1056" s="465"/>
      <c r="C1056" s="465"/>
      <c r="D1056" s="467"/>
      <c r="E1056" s="465"/>
      <c r="F1056" s="465"/>
      <c r="G1056" s="465"/>
      <c r="H1056" s="465"/>
      <c r="I1056" s="465"/>
      <c r="J1056" s="465"/>
      <c r="K1056" s="465"/>
      <c r="L1056" s="465"/>
      <c r="M1056" s="465"/>
      <c r="N1056" s="465"/>
      <c r="O1056" s="465"/>
      <c r="P1056" s="465"/>
      <c r="Q1056" s="465"/>
      <c r="R1056" s="465"/>
      <c r="S1056" s="465"/>
      <c r="T1056" s="465"/>
      <c r="U1056" s="465"/>
      <c r="V1056" s="465"/>
      <c r="W1056" s="465"/>
      <c r="X1056" s="465"/>
      <c r="Y1056" s="465"/>
      <c r="Z1056" s="465"/>
      <c r="AA1056" s="465"/>
      <c r="AB1056" s="465"/>
      <c r="AC1056" s="465"/>
      <c r="AD1056" s="465"/>
      <c r="AE1056" s="465"/>
      <c r="AF1056" s="465"/>
      <c r="AG1056" s="465"/>
      <c r="AH1056" s="465"/>
      <c r="AI1056" s="465"/>
      <c r="AJ1056" s="465"/>
      <c r="AK1056" s="465"/>
      <c r="AL1056" s="465"/>
      <c r="AM1056" s="465"/>
      <c r="AN1056" s="465"/>
      <c r="AO1056" s="465"/>
      <c r="AP1056" s="465"/>
      <c r="AQ1056" s="465"/>
      <c r="AR1056" s="465"/>
      <c r="AS1056" s="465"/>
      <c r="AT1056" s="465"/>
      <c r="AU1056" s="465"/>
      <c r="AV1056" s="465"/>
      <c r="AW1056" s="465"/>
      <c r="AX1056" s="465"/>
      <c r="AY1056" s="465"/>
      <c r="AZ1056" s="465"/>
      <c r="BA1056" s="465"/>
      <c r="BB1056" s="465"/>
      <c r="BC1056" s="465"/>
    </row>
    <row r="1057" spans="1:55">
      <c r="A1057" s="465"/>
      <c r="B1057" s="465"/>
      <c r="C1057" s="465"/>
      <c r="D1057" s="467"/>
      <c r="E1057" s="465"/>
      <c r="F1057" s="465"/>
      <c r="G1057" s="465"/>
      <c r="H1057" s="465"/>
      <c r="I1057" s="465"/>
      <c r="J1057" s="465"/>
      <c r="K1057" s="465"/>
      <c r="L1057" s="465"/>
      <c r="M1057" s="465"/>
      <c r="N1057" s="465"/>
      <c r="O1057" s="465"/>
      <c r="P1057" s="465"/>
      <c r="Q1057" s="465"/>
      <c r="R1057" s="465"/>
      <c r="S1057" s="465"/>
      <c r="T1057" s="465"/>
      <c r="U1057" s="465"/>
      <c r="V1057" s="465"/>
      <c r="W1057" s="465"/>
      <c r="X1057" s="465"/>
      <c r="Y1057" s="465"/>
      <c r="Z1057" s="465"/>
      <c r="AA1057" s="465"/>
      <c r="AB1057" s="465"/>
      <c r="AC1057" s="465"/>
      <c r="AD1057" s="465"/>
      <c r="AE1057" s="465"/>
      <c r="AF1057" s="465"/>
      <c r="AG1057" s="465"/>
      <c r="AH1057" s="465"/>
      <c r="AI1057" s="465"/>
      <c r="AJ1057" s="465"/>
      <c r="AK1057" s="465"/>
      <c r="AL1057" s="465"/>
      <c r="AM1057" s="465"/>
      <c r="AN1057" s="465"/>
      <c r="AO1057" s="465"/>
      <c r="AP1057" s="465"/>
      <c r="AQ1057" s="465"/>
      <c r="AR1057" s="465"/>
      <c r="AS1057" s="465"/>
      <c r="AT1057" s="465"/>
      <c r="AU1057" s="465"/>
      <c r="AV1057" s="465"/>
      <c r="AW1057" s="465"/>
      <c r="AX1057" s="465"/>
      <c r="AY1057" s="465"/>
      <c r="AZ1057" s="465"/>
      <c r="BA1057" s="465"/>
      <c r="BB1057" s="465"/>
      <c r="BC1057" s="465"/>
    </row>
    <row r="1058" spans="1:55">
      <c r="A1058" s="465"/>
      <c r="B1058" s="465"/>
      <c r="C1058" s="465"/>
      <c r="D1058" s="467"/>
      <c r="E1058" s="465"/>
      <c r="F1058" s="465"/>
      <c r="G1058" s="465"/>
      <c r="H1058" s="465"/>
      <c r="I1058" s="465"/>
      <c r="J1058" s="465"/>
      <c r="K1058" s="465"/>
      <c r="L1058" s="465"/>
      <c r="M1058" s="465"/>
      <c r="N1058" s="465"/>
      <c r="O1058" s="465"/>
      <c r="P1058" s="465"/>
      <c r="Q1058" s="465"/>
      <c r="R1058" s="465"/>
      <c r="S1058" s="465"/>
      <c r="T1058" s="465"/>
      <c r="U1058" s="465"/>
      <c r="V1058" s="465"/>
      <c r="W1058" s="465"/>
      <c r="X1058" s="465"/>
      <c r="Y1058" s="465"/>
      <c r="Z1058" s="465"/>
      <c r="AA1058" s="465"/>
      <c r="AB1058" s="465"/>
      <c r="AC1058" s="465"/>
      <c r="AD1058" s="465"/>
      <c r="AE1058" s="465"/>
      <c r="AF1058" s="465"/>
      <c r="AG1058" s="465"/>
      <c r="AH1058" s="465"/>
      <c r="AI1058" s="465"/>
      <c r="AJ1058" s="465"/>
      <c r="AK1058" s="465"/>
      <c r="AL1058" s="465"/>
      <c r="AM1058" s="465"/>
      <c r="AN1058" s="465"/>
      <c r="AO1058" s="465"/>
      <c r="AP1058" s="465"/>
      <c r="AQ1058" s="465"/>
      <c r="AR1058" s="465"/>
      <c r="AS1058" s="465"/>
      <c r="AT1058" s="465"/>
      <c r="AU1058" s="465"/>
      <c r="AV1058" s="465"/>
      <c r="AW1058" s="465"/>
      <c r="AX1058" s="465"/>
      <c r="AY1058" s="465"/>
      <c r="AZ1058" s="465"/>
      <c r="BA1058" s="465"/>
      <c r="BB1058" s="465"/>
      <c r="BC1058" s="465"/>
    </row>
    <row r="1059" spans="1:55">
      <c r="A1059" s="465"/>
      <c r="B1059" s="465"/>
      <c r="C1059" s="465"/>
      <c r="D1059" s="467"/>
      <c r="E1059" s="465"/>
      <c r="F1059" s="465"/>
      <c r="G1059" s="465"/>
      <c r="H1059" s="465"/>
      <c r="I1059" s="465"/>
      <c r="J1059" s="465"/>
      <c r="K1059" s="465"/>
      <c r="L1059" s="465"/>
      <c r="M1059" s="465"/>
      <c r="N1059" s="465"/>
      <c r="O1059" s="465"/>
      <c r="P1059" s="465"/>
      <c r="Q1059" s="465"/>
      <c r="R1059" s="465"/>
      <c r="S1059" s="465"/>
      <c r="T1059" s="465"/>
      <c r="U1059" s="465"/>
      <c r="V1059" s="465"/>
      <c r="W1059" s="465"/>
      <c r="X1059" s="465"/>
      <c r="Y1059" s="465"/>
      <c r="Z1059" s="465"/>
      <c r="AA1059" s="465"/>
      <c r="AB1059" s="465"/>
      <c r="AC1059" s="465"/>
      <c r="AD1059" s="465"/>
      <c r="AE1059" s="465"/>
      <c r="AF1059" s="465"/>
      <c r="AG1059" s="465"/>
      <c r="AH1059" s="465"/>
      <c r="AI1059" s="465"/>
      <c r="AJ1059" s="465"/>
      <c r="AK1059" s="465"/>
      <c r="AL1059" s="465"/>
      <c r="AM1059" s="465"/>
      <c r="AN1059" s="465"/>
      <c r="AO1059" s="465"/>
      <c r="AP1059" s="465"/>
      <c r="AQ1059" s="465"/>
      <c r="AR1059" s="465"/>
      <c r="AS1059" s="465"/>
      <c r="AT1059" s="465"/>
      <c r="AU1059" s="465"/>
      <c r="AV1059" s="465"/>
      <c r="AW1059" s="465"/>
      <c r="AX1059" s="465"/>
      <c r="AY1059" s="465"/>
      <c r="AZ1059" s="465"/>
      <c r="BA1059" s="465"/>
      <c r="BB1059" s="465"/>
      <c r="BC1059" s="465"/>
    </row>
    <row r="1060" spans="1:55">
      <c r="A1060" s="465"/>
      <c r="B1060" s="465"/>
      <c r="C1060" s="465"/>
      <c r="D1060" s="467"/>
      <c r="E1060" s="465"/>
      <c r="F1060" s="465"/>
      <c r="G1060" s="465"/>
      <c r="H1060" s="465"/>
      <c r="I1060" s="465"/>
      <c r="J1060" s="465"/>
      <c r="K1060" s="465"/>
      <c r="L1060" s="465"/>
      <c r="M1060" s="465"/>
      <c r="N1060" s="465"/>
      <c r="O1060" s="465"/>
      <c r="P1060" s="465"/>
      <c r="Q1060" s="465"/>
      <c r="R1060" s="465"/>
      <c r="S1060" s="465"/>
      <c r="T1060" s="465"/>
      <c r="U1060" s="465"/>
      <c r="V1060" s="465"/>
      <c r="W1060" s="465"/>
      <c r="X1060" s="465"/>
      <c r="Y1060" s="465"/>
      <c r="Z1060" s="465"/>
      <c r="AA1060" s="465"/>
      <c r="AB1060" s="465"/>
      <c r="AC1060" s="465"/>
      <c r="AD1060" s="465"/>
      <c r="AE1060" s="465"/>
      <c r="AF1060" s="465"/>
      <c r="AG1060" s="465"/>
      <c r="AH1060" s="465"/>
      <c r="AI1060" s="465"/>
      <c r="AJ1060" s="465"/>
      <c r="AK1060" s="465"/>
      <c r="AL1060" s="465"/>
      <c r="AM1060" s="465"/>
      <c r="AN1060" s="465"/>
      <c r="AO1060" s="465"/>
      <c r="AP1060" s="465"/>
      <c r="AQ1060" s="465"/>
      <c r="AR1060" s="465"/>
      <c r="AS1060" s="465"/>
      <c r="AT1060" s="465"/>
      <c r="AU1060" s="465"/>
      <c r="AV1060" s="465"/>
      <c r="AW1060" s="465"/>
      <c r="AX1060" s="465"/>
      <c r="AY1060" s="465"/>
      <c r="AZ1060" s="465"/>
      <c r="BA1060" s="465"/>
      <c r="BB1060" s="465"/>
      <c r="BC1060" s="465"/>
    </row>
    <row r="1061" spans="1:55">
      <c r="A1061" s="465"/>
      <c r="B1061" s="465"/>
      <c r="C1061" s="465"/>
      <c r="D1061" s="467"/>
      <c r="E1061" s="465"/>
      <c r="F1061" s="465"/>
      <c r="G1061" s="465"/>
      <c r="H1061" s="465"/>
      <c r="I1061" s="465"/>
      <c r="J1061" s="465"/>
      <c r="K1061" s="465"/>
      <c r="L1061" s="465"/>
      <c r="M1061" s="465"/>
      <c r="N1061" s="465"/>
      <c r="O1061" s="465"/>
      <c r="P1061" s="465"/>
      <c r="Q1061" s="465"/>
      <c r="R1061" s="465"/>
      <c r="S1061" s="465"/>
      <c r="T1061" s="465"/>
      <c r="U1061" s="465"/>
      <c r="V1061" s="465"/>
      <c r="W1061" s="465"/>
      <c r="X1061" s="465"/>
      <c r="Y1061" s="465"/>
      <c r="Z1061" s="465"/>
      <c r="AA1061" s="465"/>
      <c r="AB1061" s="465"/>
      <c r="AC1061" s="465"/>
      <c r="AD1061" s="465"/>
      <c r="AE1061" s="465"/>
      <c r="AF1061" s="465"/>
      <c r="AG1061" s="465"/>
      <c r="AH1061" s="465"/>
      <c r="AI1061" s="465"/>
      <c r="AJ1061" s="465"/>
      <c r="AK1061" s="465"/>
      <c r="AL1061" s="465"/>
      <c r="AM1061" s="465"/>
      <c r="AN1061" s="465"/>
      <c r="AO1061" s="465"/>
      <c r="AP1061" s="465"/>
      <c r="AQ1061" s="465"/>
      <c r="AR1061" s="465"/>
      <c r="AS1061" s="465"/>
      <c r="AT1061" s="465"/>
      <c r="AU1061" s="465"/>
      <c r="AV1061" s="465"/>
      <c r="AW1061" s="465"/>
      <c r="AX1061" s="465"/>
      <c r="AY1061" s="465"/>
      <c r="AZ1061" s="465"/>
      <c r="BA1061" s="465"/>
      <c r="BB1061" s="465"/>
      <c r="BC1061" s="465"/>
    </row>
    <row r="1062" spans="1:55">
      <c r="A1062" s="465"/>
      <c r="B1062" s="465"/>
      <c r="C1062" s="465"/>
      <c r="D1062" s="467"/>
      <c r="E1062" s="465"/>
      <c r="F1062" s="465"/>
      <c r="G1062" s="465"/>
      <c r="H1062" s="465"/>
      <c r="I1062" s="465"/>
      <c r="J1062" s="465"/>
      <c r="K1062" s="465"/>
      <c r="L1062" s="465"/>
      <c r="M1062" s="465"/>
      <c r="N1062" s="465"/>
      <c r="O1062" s="465"/>
      <c r="P1062" s="465"/>
      <c r="Q1062" s="465"/>
      <c r="R1062" s="465"/>
      <c r="S1062" s="465"/>
      <c r="T1062" s="465"/>
      <c r="U1062" s="465"/>
      <c r="V1062" s="465"/>
      <c r="W1062" s="465"/>
      <c r="X1062" s="465"/>
      <c r="Y1062" s="465"/>
      <c r="Z1062" s="465"/>
      <c r="AA1062" s="465"/>
      <c r="AB1062" s="465"/>
      <c r="AC1062" s="465"/>
      <c r="AD1062" s="465"/>
      <c r="AE1062" s="465"/>
      <c r="AF1062" s="465"/>
      <c r="AG1062" s="465"/>
      <c r="AH1062" s="465"/>
      <c r="AI1062" s="465"/>
      <c r="AJ1062" s="465"/>
      <c r="AK1062" s="465"/>
      <c r="AL1062" s="465"/>
      <c r="AM1062" s="465"/>
      <c r="AN1062" s="465"/>
      <c r="AO1062" s="465"/>
      <c r="AP1062" s="465"/>
      <c r="AQ1062" s="465"/>
      <c r="AR1062" s="465"/>
      <c r="AS1062" s="465"/>
      <c r="AT1062" s="465"/>
      <c r="AU1062" s="465"/>
      <c r="AV1062" s="465"/>
      <c r="AW1062" s="465"/>
      <c r="AX1062" s="465"/>
      <c r="AY1062" s="465"/>
      <c r="AZ1062" s="465"/>
      <c r="BA1062" s="465"/>
      <c r="BB1062" s="465"/>
      <c r="BC1062" s="465"/>
    </row>
    <row r="1063" spans="1:55">
      <c r="A1063" s="465"/>
      <c r="B1063" s="465"/>
      <c r="C1063" s="465"/>
      <c r="D1063" s="467"/>
      <c r="E1063" s="465"/>
      <c r="F1063" s="465"/>
      <c r="G1063" s="465"/>
      <c r="H1063" s="465"/>
      <c r="I1063" s="465"/>
      <c r="J1063" s="465"/>
      <c r="K1063" s="465"/>
      <c r="L1063" s="465"/>
      <c r="M1063" s="465"/>
      <c r="N1063" s="465"/>
      <c r="O1063" s="465"/>
      <c r="P1063" s="465"/>
      <c r="Q1063" s="465"/>
      <c r="R1063" s="465"/>
      <c r="S1063" s="465"/>
      <c r="T1063" s="465"/>
      <c r="U1063" s="465"/>
      <c r="V1063" s="465"/>
      <c r="W1063" s="465"/>
      <c r="X1063" s="465"/>
      <c r="Y1063" s="465"/>
      <c r="Z1063" s="465"/>
      <c r="AA1063" s="465"/>
      <c r="AB1063" s="465"/>
      <c r="AC1063" s="465"/>
      <c r="AD1063" s="465"/>
      <c r="AE1063" s="465"/>
      <c r="AF1063" s="465"/>
      <c r="AG1063" s="465"/>
      <c r="AH1063" s="465"/>
      <c r="AI1063" s="465"/>
      <c r="AJ1063" s="465"/>
      <c r="AK1063" s="465"/>
      <c r="AL1063" s="465"/>
      <c r="AM1063" s="465"/>
      <c r="AN1063" s="465"/>
      <c r="AO1063" s="465"/>
      <c r="AP1063" s="465"/>
      <c r="AQ1063" s="465"/>
      <c r="AR1063" s="465"/>
      <c r="AS1063" s="465"/>
      <c r="AT1063" s="465"/>
      <c r="AU1063" s="465"/>
      <c r="AV1063" s="465"/>
      <c r="AW1063" s="465"/>
      <c r="AX1063" s="465"/>
      <c r="AY1063" s="465"/>
      <c r="AZ1063" s="465"/>
      <c r="BA1063" s="465"/>
      <c r="BB1063" s="465"/>
      <c r="BC1063" s="465"/>
    </row>
    <row r="1064" spans="1:55">
      <c r="A1064" s="465"/>
      <c r="B1064" s="465"/>
      <c r="C1064" s="465"/>
      <c r="D1064" s="467"/>
      <c r="E1064" s="465"/>
      <c r="F1064" s="465"/>
      <c r="G1064" s="465"/>
      <c r="H1064" s="465"/>
      <c r="I1064" s="465"/>
      <c r="J1064" s="465"/>
      <c r="K1064" s="465"/>
      <c r="L1064" s="465"/>
      <c r="M1064" s="465"/>
      <c r="N1064" s="465"/>
      <c r="O1064" s="465"/>
      <c r="P1064" s="465"/>
      <c r="Q1064" s="465"/>
      <c r="R1064" s="465"/>
      <c r="S1064" s="465"/>
      <c r="T1064" s="465"/>
      <c r="U1064" s="465"/>
      <c r="V1064" s="465"/>
      <c r="W1064" s="465"/>
      <c r="X1064" s="465"/>
      <c r="Y1064" s="465"/>
      <c r="Z1064" s="465"/>
      <c r="AA1064" s="465"/>
      <c r="AB1064" s="465"/>
      <c r="AC1064" s="465"/>
      <c r="AD1064" s="465"/>
      <c r="AE1064" s="465"/>
      <c r="AF1064" s="465"/>
      <c r="AG1064" s="465"/>
      <c r="AH1064" s="465"/>
      <c r="AI1064" s="465"/>
      <c r="AJ1064" s="465"/>
      <c r="AK1064" s="465"/>
      <c r="AL1064" s="465"/>
      <c r="AM1064" s="465"/>
      <c r="AN1064" s="465"/>
      <c r="AO1064" s="465"/>
      <c r="AP1064" s="465"/>
      <c r="AQ1064" s="465"/>
      <c r="AR1064" s="465"/>
      <c r="AS1064" s="465"/>
      <c r="AT1064" s="465"/>
      <c r="AU1064" s="465"/>
      <c r="AV1064" s="465"/>
      <c r="AW1064" s="465"/>
      <c r="AX1064" s="465"/>
      <c r="AY1064" s="465"/>
      <c r="AZ1064" s="465"/>
      <c r="BA1064" s="465"/>
      <c r="BB1064" s="465"/>
      <c r="BC1064" s="465"/>
    </row>
    <row r="1065" spans="1:55">
      <c r="A1065" s="465"/>
      <c r="B1065" s="465"/>
      <c r="C1065" s="465"/>
      <c r="D1065" s="467"/>
      <c r="E1065" s="465"/>
      <c r="F1065" s="465"/>
      <c r="G1065" s="465"/>
      <c r="H1065" s="465"/>
      <c r="I1065" s="465"/>
      <c r="J1065" s="465"/>
      <c r="K1065" s="465"/>
      <c r="L1065" s="465"/>
      <c r="M1065" s="465"/>
      <c r="N1065" s="465"/>
      <c r="O1065" s="465"/>
      <c r="P1065" s="465"/>
      <c r="Q1065" s="465"/>
      <c r="R1065" s="465"/>
      <c r="S1065" s="465"/>
      <c r="T1065" s="465"/>
      <c r="U1065" s="465"/>
      <c r="V1065" s="465"/>
      <c r="W1065" s="465"/>
      <c r="X1065" s="465"/>
      <c r="Y1065" s="465"/>
      <c r="Z1065" s="465"/>
      <c r="AA1065" s="465"/>
      <c r="AB1065" s="465"/>
      <c r="AC1065" s="465"/>
      <c r="AD1065" s="465"/>
      <c r="AE1065" s="465"/>
      <c r="AF1065" s="465"/>
      <c r="AG1065" s="465"/>
      <c r="AH1065" s="465"/>
      <c r="AI1065" s="465"/>
      <c r="AJ1065" s="465"/>
      <c r="AK1065" s="465"/>
      <c r="AL1065" s="465"/>
      <c r="AM1065" s="465"/>
      <c r="AN1065" s="465"/>
      <c r="AO1065" s="465"/>
      <c r="AP1065" s="465"/>
      <c r="AQ1065" s="465"/>
      <c r="AR1065" s="465"/>
      <c r="AS1065" s="465"/>
      <c r="AT1065" s="465"/>
      <c r="AU1065" s="465"/>
      <c r="AV1065" s="465"/>
      <c r="AW1065" s="465"/>
      <c r="AX1065" s="465"/>
      <c r="AY1065" s="465"/>
      <c r="AZ1065" s="465"/>
      <c r="BA1065" s="465"/>
      <c r="BB1065" s="465"/>
      <c r="BC1065" s="465"/>
    </row>
    <row r="1066" spans="1:55">
      <c r="A1066" s="465"/>
      <c r="B1066" s="465"/>
      <c r="C1066" s="465"/>
      <c r="D1066" s="467"/>
      <c r="E1066" s="465"/>
      <c r="F1066" s="465"/>
      <c r="G1066" s="465"/>
      <c r="H1066" s="465"/>
      <c r="I1066" s="465"/>
      <c r="J1066" s="465"/>
      <c r="K1066" s="465"/>
      <c r="L1066" s="465"/>
      <c r="M1066" s="465"/>
      <c r="N1066" s="465"/>
      <c r="O1066" s="465"/>
      <c r="P1066" s="465"/>
      <c r="Q1066" s="465"/>
      <c r="R1066" s="465"/>
      <c r="S1066" s="465"/>
      <c r="T1066" s="465"/>
      <c r="U1066" s="465"/>
      <c r="V1066" s="465"/>
      <c r="W1066" s="465"/>
      <c r="X1066" s="465"/>
      <c r="Y1066" s="465"/>
      <c r="Z1066" s="465"/>
      <c r="AA1066" s="465"/>
      <c r="AB1066" s="465"/>
      <c r="AC1066" s="465"/>
      <c r="AD1066" s="465"/>
      <c r="AE1066" s="465"/>
      <c r="AF1066" s="465"/>
      <c r="AG1066" s="465"/>
      <c r="AH1066" s="465"/>
      <c r="AI1066" s="465"/>
      <c r="AJ1066" s="465"/>
      <c r="AK1066" s="465"/>
      <c r="AL1066" s="465"/>
      <c r="AM1066" s="465"/>
      <c r="AN1066" s="465"/>
      <c r="AO1066" s="465"/>
      <c r="AP1066" s="465"/>
      <c r="AQ1066" s="465"/>
      <c r="AR1066" s="465"/>
      <c r="AS1066" s="465"/>
      <c r="AT1066" s="465"/>
      <c r="AU1066" s="465"/>
      <c r="AV1066" s="465"/>
      <c r="AW1066" s="465"/>
      <c r="AX1066" s="465"/>
      <c r="AY1066" s="465"/>
      <c r="AZ1066" s="465"/>
      <c r="BA1066" s="465"/>
      <c r="BB1066" s="465"/>
      <c r="BC1066" s="465"/>
    </row>
    <row r="1067" spans="1:55">
      <c r="A1067" s="465"/>
      <c r="B1067" s="465"/>
      <c r="C1067" s="465"/>
      <c r="D1067" s="467"/>
      <c r="E1067" s="465"/>
      <c r="F1067" s="465"/>
      <c r="G1067" s="465"/>
      <c r="H1067" s="465"/>
      <c r="I1067" s="465"/>
      <c r="J1067" s="465"/>
      <c r="K1067" s="465"/>
      <c r="L1067" s="465"/>
      <c r="M1067" s="465"/>
      <c r="N1067" s="465"/>
      <c r="O1067" s="465"/>
      <c r="P1067" s="465"/>
      <c r="Q1067" s="465"/>
      <c r="R1067" s="465"/>
      <c r="S1067" s="465"/>
      <c r="T1067" s="465"/>
      <c r="U1067" s="465"/>
      <c r="V1067" s="465"/>
      <c r="W1067" s="465"/>
      <c r="X1067" s="465"/>
      <c r="Y1067" s="465"/>
      <c r="Z1067" s="465"/>
      <c r="AA1067" s="465"/>
      <c r="AB1067" s="465"/>
      <c r="AC1067" s="465"/>
      <c r="AD1067" s="465"/>
      <c r="AE1067" s="465"/>
      <c r="AF1067" s="465"/>
      <c r="AG1067" s="465"/>
      <c r="AH1067" s="465"/>
      <c r="AI1067" s="465"/>
      <c r="AJ1067" s="465"/>
      <c r="AK1067" s="465"/>
      <c r="AL1067" s="465"/>
      <c r="AM1067" s="465"/>
      <c r="AN1067" s="465"/>
      <c r="AO1067" s="465"/>
      <c r="AP1067" s="465"/>
      <c r="AQ1067" s="465"/>
      <c r="AR1067" s="465"/>
      <c r="AS1067" s="465"/>
      <c r="AT1067" s="465"/>
      <c r="AU1067" s="465"/>
      <c r="AV1067" s="465"/>
      <c r="AW1067" s="465"/>
      <c r="AX1067" s="465"/>
      <c r="AY1067" s="465"/>
      <c r="AZ1067" s="465"/>
      <c r="BA1067" s="465"/>
      <c r="BB1067" s="465"/>
      <c r="BC1067" s="465"/>
    </row>
    <row r="1068" spans="1:55">
      <c r="A1068" s="465"/>
      <c r="B1068" s="465"/>
      <c r="C1068" s="465"/>
      <c r="D1068" s="467"/>
      <c r="E1068" s="465"/>
      <c r="F1068" s="465"/>
      <c r="G1068" s="465"/>
      <c r="H1068" s="465"/>
      <c r="I1068" s="465"/>
      <c r="J1068" s="465"/>
      <c r="K1068" s="465"/>
      <c r="L1068" s="465"/>
      <c r="M1068" s="465"/>
      <c r="N1068" s="465"/>
      <c r="O1068" s="465"/>
      <c r="P1068" s="465"/>
      <c r="Q1068" s="465"/>
      <c r="R1068" s="465"/>
      <c r="S1068" s="465"/>
      <c r="T1068" s="465"/>
      <c r="U1068" s="465"/>
      <c r="V1068" s="465"/>
      <c r="W1068" s="465"/>
      <c r="X1068" s="465"/>
      <c r="Y1068" s="465"/>
      <c r="Z1068" s="465"/>
      <c r="AA1068" s="465"/>
      <c r="AB1068" s="465"/>
      <c r="AC1068" s="465"/>
      <c r="AD1068" s="465"/>
      <c r="AE1068" s="465"/>
      <c r="AF1068" s="465"/>
      <c r="AG1068" s="465"/>
      <c r="AH1068" s="465"/>
      <c r="AI1068" s="465"/>
      <c r="AJ1068" s="465"/>
      <c r="AK1068" s="465"/>
      <c r="AL1068" s="465"/>
      <c r="AM1068" s="465"/>
      <c r="AN1068" s="465"/>
      <c r="AO1068" s="465"/>
      <c r="AP1068" s="465"/>
      <c r="AQ1068" s="465"/>
      <c r="AR1068" s="465"/>
      <c r="AS1068" s="465"/>
      <c r="AT1068" s="465"/>
      <c r="AU1068" s="465"/>
      <c r="AV1068" s="465"/>
      <c r="AW1068" s="465"/>
      <c r="AX1068" s="465"/>
      <c r="AY1068" s="465"/>
      <c r="AZ1068" s="465"/>
      <c r="BA1068" s="465"/>
      <c r="BB1068" s="465"/>
      <c r="BC1068" s="465"/>
    </row>
    <row r="1069" spans="1:55">
      <c r="A1069" s="465"/>
      <c r="B1069" s="465"/>
      <c r="C1069" s="465"/>
      <c r="D1069" s="467"/>
      <c r="E1069" s="465"/>
      <c r="F1069" s="465"/>
      <c r="G1069" s="465"/>
      <c r="H1069" s="465"/>
      <c r="I1069" s="465"/>
      <c r="J1069" s="465"/>
      <c r="K1069" s="465"/>
      <c r="L1069" s="465"/>
      <c r="M1069" s="465"/>
      <c r="N1069" s="465"/>
      <c r="O1069" s="465"/>
      <c r="P1069" s="465"/>
      <c r="Q1069" s="465"/>
      <c r="R1069" s="465"/>
      <c r="S1069" s="465"/>
      <c r="T1069" s="465"/>
      <c r="U1069" s="465"/>
      <c r="V1069" s="465"/>
      <c r="W1069" s="465"/>
      <c r="X1069" s="465"/>
      <c r="Y1069" s="465"/>
      <c r="Z1069" s="465"/>
      <c r="AA1069" s="465"/>
      <c r="AB1069" s="465"/>
      <c r="AC1069" s="465"/>
      <c r="AD1069" s="465"/>
      <c r="AE1069" s="465"/>
      <c r="AF1069" s="465"/>
      <c r="AG1069" s="465"/>
      <c r="AH1069" s="465"/>
      <c r="AI1069" s="465"/>
      <c r="AJ1069" s="465"/>
      <c r="AK1069" s="465"/>
      <c r="AL1069" s="465"/>
      <c r="AM1069" s="465"/>
      <c r="AN1069" s="465"/>
      <c r="AO1069" s="465"/>
      <c r="AP1069" s="465"/>
      <c r="AQ1069" s="465"/>
      <c r="AR1069" s="465"/>
      <c r="AS1069" s="465"/>
      <c r="AT1069" s="465"/>
      <c r="AU1069" s="465"/>
      <c r="AV1069" s="465"/>
      <c r="AW1069" s="465"/>
      <c r="AX1069" s="465"/>
      <c r="AY1069" s="465"/>
      <c r="AZ1069" s="465"/>
      <c r="BA1069" s="465"/>
      <c r="BB1069" s="465"/>
      <c r="BC1069" s="465"/>
    </row>
    <row r="1070" spans="1:55">
      <c r="A1070" s="465"/>
      <c r="B1070" s="465"/>
      <c r="C1070" s="465"/>
      <c r="D1070" s="467"/>
      <c r="E1070" s="465"/>
      <c r="F1070" s="465"/>
      <c r="G1070" s="465"/>
      <c r="H1070" s="465"/>
      <c r="I1070" s="465"/>
      <c r="J1070" s="465"/>
      <c r="K1070" s="465"/>
      <c r="L1070" s="465"/>
      <c r="M1070" s="465"/>
      <c r="N1070" s="465"/>
      <c r="O1070" s="465"/>
      <c r="P1070" s="465"/>
      <c r="Q1070" s="465"/>
      <c r="R1070" s="465"/>
      <c r="S1070" s="465"/>
      <c r="T1070" s="465"/>
      <c r="U1070" s="465"/>
      <c r="V1070" s="465"/>
      <c r="W1070" s="465"/>
      <c r="X1070" s="465"/>
      <c r="Y1070" s="465"/>
      <c r="Z1070" s="465"/>
      <c r="AA1070" s="465"/>
      <c r="AB1070" s="465"/>
      <c r="AC1070" s="465"/>
      <c r="AD1070" s="465"/>
      <c r="AE1070" s="465"/>
      <c r="AF1070" s="465"/>
      <c r="AG1070" s="465"/>
      <c r="AH1070" s="465"/>
      <c r="AI1070" s="465"/>
      <c r="AJ1070" s="465"/>
      <c r="AK1070" s="465"/>
      <c r="AL1070" s="465"/>
      <c r="AM1070" s="465"/>
      <c r="AN1070" s="465"/>
      <c r="AO1070" s="465"/>
      <c r="AP1070" s="465"/>
      <c r="AQ1070" s="465"/>
      <c r="AR1070" s="465"/>
      <c r="AS1070" s="465"/>
      <c r="AT1070" s="465"/>
      <c r="AU1070" s="465"/>
      <c r="AV1070" s="465"/>
      <c r="AW1070" s="465"/>
      <c r="AX1070" s="465"/>
      <c r="AY1070" s="465"/>
      <c r="AZ1070" s="465"/>
      <c r="BA1070" s="465"/>
      <c r="BB1070" s="465"/>
      <c r="BC1070" s="465"/>
    </row>
    <row r="1071" spans="1:55">
      <c r="A1071" s="465"/>
      <c r="B1071" s="465"/>
      <c r="C1071" s="465"/>
      <c r="D1071" s="467"/>
      <c r="E1071" s="465"/>
      <c r="F1071" s="465"/>
      <c r="G1071" s="465"/>
      <c r="H1071" s="465"/>
      <c r="I1071" s="465"/>
      <c r="J1071" s="465"/>
      <c r="K1071" s="465"/>
      <c r="L1071" s="465"/>
      <c r="M1071" s="465"/>
      <c r="N1071" s="465"/>
      <c r="O1071" s="465"/>
      <c r="P1071" s="465"/>
      <c r="Q1071" s="465"/>
      <c r="R1071" s="465"/>
      <c r="S1071" s="465"/>
      <c r="T1071" s="465"/>
      <c r="U1071" s="465"/>
      <c r="V1071" s="465"/>
      <c r="W1071" s="465"/>
      <c r="X1071" s="465"/>
      <c r="Y1071" s="465"/>
      <c r="Z1071" s="465"/>
      <c r="AA1071" s="465"/>
      <c r="AB1071" s="465"/>
      <c r="AC1071" s="465"/>
      <c r="AD1071" s="465"/>
      <c r="AE1071" s="465"/>
      <c r="AF1071" s="465"/>
      <c r="AG1071" s="465"/>
      <c r="AH1071" s="465"/>
      <c r="AI1071" s="465"/>
      <c r="AJ1071" s="465"/>
      <c r="AK1071" s="465"/>
      <c r="AL1071" s="465"/>
      <c r="AM1071" s="465"/>
      <c r="AN1071" s="465"/>
      <c r="AO1071" s="465"/>
      <c r="AP1071" s="465"/>
      <c r="AQ1071" s="465"/>
      <c r="AR1071" s="465"/>
      <c r="AS1071" s="465"/>
      <c r="AT1071" s="465"/>
      <c r="AU1071" s="465"/>
      <c r="AV1071" s="465"/>
      <c r="AW1071" s="465"/>
      <c r="AX1071" s="465"/>
      <c r="AY1071" s="465"/>
      <c r="AZ1071" s="465"/>
      <c r="BA1071" s="465"/>
      <c r="BB1071" s="465"/>
      <c r="BC1071" s="465"/>
    </row>
    <row r="1072" spans="1:55">
      <c r="A1072" s="465"/>
      <c r="B1072" s="465"/>
      <c r="C1072" s="465"/>
      <c r="D1072" s="467"/>
      <c r="E1072" s="465"/>
      <c r="F1072" s="465"/>
      <c r="G1072" s="465"/>
      <c r="H1072" s="465"/>
      <c r="I1072" s="465"/>
      <c r="J1072" s="465"/>
      <c r="K1072" s="465"/>
      <c r="L1072" s="465"/>
      <c r="M1072" s="465"/>
      <c r="N1072" s="465"/>
      <c r="O1072" s="465"/>
      <c r="P1072" s="465"/>
      <c r="Q1072" s="465"/>
      <c r="R1072" s="465"/>
      <c r="S1072" s="465"/>
      <c r="T1072" s="465"/>
      <c r="U1072" s="465"/>
      <c r="V1072" s="465"/>
      <c r="W1072" s="465"/>
      <c r="X1072" s="465"/>
      <c r="Y1072" s="465"/>
      <c r="Z1072" s="465"/>
      <c r="AA1072" s="465"/>
      <c r="AB1072" s="465"/>
      <c r="AC1072" s="465"/>
      <c r="AD1072" s="465"/>
      <c r="AE1072" s="465"/>
      <c r="AF1072" s="465"/>
      <c r="AG1072" s="465"/>
      <c r="AH1072" s="465"/>
      <c r="AI1072" s="465"/>
      <c r="AJ1072" s="465"/>
      <c r="AK1072" s="465"/>
      <c r="AL1072" s="465"/>
      <c r="AM1072" s="465"/>
      <c r="AN1072" s="465"/>
      <c r="AO1072" s="465"/>
      <c r="AP1072" s="465"/>
      <c r="AQ1072" s="465"/>
      <c r="AR1072" s="465"/>
      <c r="AS1072" s="465"/>
      <c r="AT1072" s="465"/>
      <c r="AU1072" s="465"/>
      <c r="AV1072" s="465"/>
      <c r="AW1072" s="465"/>
      <c r="AX1072" s="465"/>
      <c r="AY1072" s="465"/>
      <c r="AZ1072" s="465"/>
      <c r="BA1072" s="465"/>
      <c r="BB1072" s="465"/>
      <c r="BC1072" s="465"/>
    </row>
    <row r="1073" spans="1:55">
      <c r="A1073" s="465"/>
      <c r="B1073" s="465"/>
      <c r="C1073" s="465"/>
      <c r="D1073" s="467"/>
      <c r="E1073" s="465"/>
      <c r="F1073" s="465"/>
      <c r="G1073" s="465"/>
      <c r="H1073" s="465"/>
      <c r="I1073" s="465"/>
      <c r="J1073" s="465"/>
      <c r="K1073" s="465"/>
      <c r="L1073" s="465"/>
      <c r="M1073" s="465"/>
      <c r="N1073" s="465"/>
      <c r="O1073" s="465"/>
      <c r="P1073" s="465"/>
      <c r="Q1073" s="465"/>
      <c r="R1073" s="465"/>
      <c r="S1073" s="465"/>
      <c r="T1073" s="465"/>
      <c r="U1073" s="465"/>
      <c r="V1073" s="465"/>
      <c r="W1073" s="465"/>
      <c r="X1073" s="465"/>
      <c r="Y1073" s="465"/>
      <c r="Z1073" s="465"/>
      <c r="AA1073" s="465"/>
      <c r="AB1073" s="465"/>
      <c r="AC1073" s="465"/>
      <c r="AD1073" s="465"/>
      <c r="AE1073" s="465"/>
      <c r="AF1073" s="465"/>
      <c r="AG1073" s="465"/>
      <c r="AH1073" s="465"/>
      <c r="AI1073" s="465"/>
      <c r="AJ1073" s="465"/>
      <c r="AK1073" s="465"/>
      <c r="AL1073" s="465"/>
      <c r="AM1073" s="465"/>
      <c r="AN1073" s="465"/>
      <c r="AO1073" s="465"/>
      <c r="AP1073" s="465"/>
      <c r="AQ1073" s="465"/>
      <c r="AR1073" s="465"/>
      <c r="AS1073" s="465"/>
      <c r="AT1073" s="465"/>
      <c r="AU1073" s="465"/>
      <c r="AV1073" s="465"/>
      <c r="AW1073" s="465"/>
      <c r="AX1073" s="465"/>
      <c r="AY1073" s="465"/>
      <c r="AZ1073" s="465"/>
      <c r="BA1073" s="465"/>
      <c r="BB1073" s="465"/>
      <c r="BC1073" s="465"/>
    </row>
    <row r="1074" spans="1:55">
      <c r="A1074" s="465"/>
      <c r="B1074" s="465"/>
      <c r="C1074" s="465"/>
      <c r="D1074" s="467"/>
      <c r="E1074" s="465"/>
      <c r="F1074" s="465"/>
      <c r="G1074" s="465"/>
      <c r="H1074" s="465"/>
      <c r="I1074" s="465"/>
      <c r="J1074" s="465"/>
      <c r="K1074" s="465"/>
      <c r="L1074" s="465"/>
      <c r="M1074" s="465"/>
      <c r="N1074" s="465"/>
      <c r="O1074" s="465"/>
      <c r="P1074" s="465"/>
      <c r="Q1074" s="465"/>
      <c r="R1074" s="465"/>
      <c r="S1074" s="465"/>
      <c r="T1074" s="465"/>
      <c r="U1074" s="465"/>
      <c r="V1074" s="465"/>
      <c r="W1074" s="465"/>
      <c r="X1074" s="465"/>
      <c r="Y1074" s="465"/>
      <c r="Z1074" s="465"/>
      <c r="AA1074" s="465"/>
      <c r="AB1074" s="465"/>
      <c r="AC1074" s="465"/>
      <c r="AD1074" s="465"/>
      <c r="AE1074" s="465"/>
      <c r="AF1074" s="465"/>
      <c r="AG1074" s="465"/>
      <c r="AH1074" s="465"/>
      <c r="AI1074" s="465"/>
      <c r="AJ1074" s="465"/>
      <c r="AK1074" s="465"/>
      <c r="AL1074" s="465"/>
      <c r="AM1074" s="465"/>
      <c r="AN1074" s="465"/>
      <c r="AO1074" s="465"/>
      <c r="AP1074" s="465"/>
      <c r="AQ1074" s="465"/>
      <c r="AR1074" s="465"/>
      <c r="AS1074" s="465"/>
      <c r="AT1074" s="465"/>
      <c r="AU1074" s="465"/>
      <c r="AV1074" s="465"/>
      <c r="AW1074" s="465"/>
      <c r="AX1074" s="465"/>
      <c r="AY1074" s="465"/>
      <c r="AZ1074" s="465"/>
      <c r="BA1074" s="465"/>
      <c r="BB1074" s="465"/>
      <c r="BC1074" s="465"/>
    </row>
    <row r="1075" spans="1:55">
      <c r="A1075" s="465"/>
      <c r="B1075" s="465"/>
      <c r="C1075" s="465"/>
      <c r="D1075" s="467"/>
      <c r="E1075" s="465"/>
      <c r="F1075" s="465"/>
      <c r="G1075" s="465"/>
      <c r="H1075" s="465"/>
      <c r="I1075" s="465"/>
      <c r="J1075" s="465"/>
      <c r="K1075" s="465"/>
      <c r="L1075" s="465"/>
      <c r="M1075" s="465"/>
      <c r="N1075" s="465"/>
      <c r="O1075" s="465"/>
      <c r="P1075" s="465"/>
      <c r="Q1075" s="465"/>
      <c r="R1075" s="465"/>
      <c r="S1075" s="465"/>
      <c r="T1075" s="465"/>
      <c r="U1075" s="465"/>
      <c r="V1075" s="465"/>
      <c r="W1075" s="465"/>
      <c r="X1075" s="465"/>
      <c r="Y1075" s="465"/>
      <c r="Z1075" s="465"/>
      <c r="AA1075" s="465"/>
      <c r="AB1075" s="465"/>
      <c r="AC1075" s="465"/>
      <c r="AD1075" s="465"/>
      <c r="AE1075" s="465"/>
      <c r="AF1075" s="465"/>
      <c r="AG1075" s="465"/>
      <c r="AH1075" s="465"/>
      <c r="AI1075" s="465"/>
      <c r="AJ1075" s="465"/>
      <c r="AK1075" s="465"/>
      <c r="AL1075" s="465"/>
      <c r="AM1075" s="465"/>
      <c r="AN1075" s="465"/>
      <c r="AO1075" s="465"/>
      <c r="AP1075" s="465"/>
      <c r="AQ1075" s="465"/>
      <c r="AR1075" s="465"/>
      <c r="AS1075" s="465"/>
      <c r="AT1075" s="465"/>
      <c r="AU1075" s="465"/>
      <c r="AV1075" s="465"/>
      <c r="AW1075" s="465"/>
      <c r="AX1075" s="465"/>
      <c r="AY1075" s="465"/>
      <c r="AZ1075" s="465"/>
      <c r="BA1075" s="465"/>
      <c r="BB1075" s="465"/>
      <c r="BC1075" s="465"/>
    </row>
    <row r="1076" spans="1:55">
      <c r="A1076" s="465"/>
      <c r="B1076" s="465"/>
      <c r="C1076" s="465"/>
      <c r="D1076" s="467"/>
      <c r="E1076" s="465"/>
      <c r="F1076" s="465"/>
      <c r="G1076" s="465"/>
      <c r="H1076" s="465"/>
      <c r="I1076" s="465"/>
      <c r="J1076" s="465"/>
      <c r="K1076" s="465"/>
      <c r="L1076" s="465"/>
      <c r="M1076" s="465"/>
      <c r="N1076" s="465"/>
      <c r="O1076" s="465"/>
      <c r="P1076" s="465"/>
      <c r="Q1076" s="465"/>
      <c r="R1076" s="465"/>
      <c r="S1076" s="465"/>
      <c r="T1076" s="465"/>
      <c r="U1076" s="465"/>
      <c r="V1076" s="465"/>
      <c r="W1076" s="465"/>
      <c r="X1076" s="465"/>
      <c r="Y1076" s="465"/>
      <c r="Z1076" s="465"/>
      <c r="AA1076" s="465"/>
      <c r="AB1076" s="465"/>
      <c r="AC1076" s="465"/>
      <c r="AD1076" s="465"/>
      <c r="AE1076" s="465"/>
      <c r="AF1076" s="465"/>
      <c r="AG1076" s="465"/>
      <c r="AH1076" s="465"/>
      <c r="AI1076" s="465"/>
      <c r="AJ1076" s="465"/>
      <c r="AK1076" s="465"/>
      <c r="AL1076" s="465"/>
      <c r="AM1076" s="465"/>
      <c r="AN1076" s="465"/>
      <c r="AO1076" s="465"/>
      <c r="AP1076" s="465"/>
      <c r="AQ1076" s="465"/>
      <c r="AR1076" s="465"/>
      <c r="AS1076" s="465"/>
      <c r="AT1076" s="465"/>
      <c r="AU1076" s="465"/>
      <c r="AV1076" s="465"/>
      <c r="AW1076" s="465"/>
      <c r="AX1076" s="465"/>
      <c r="AY1076" s="465"/>
      <c r="AZ1076" s="465"/>
      <c r="BA1076" s="465"/>
      <c r="BB1076" s="465"/>
      <c r="BC1076" s="465"/>
    </row>
    <row r="1077" spans="1:55">
      <c r="A1077" s="465"/>
      <c r="B1077" s="465"/>
      <c r="C1077" s="465"/>
      <c r="D1077" s="467"/>
      <c r="E1077" s="465"/>
      <c r="F1077" s="465"/>
      <c r="G1077" s="465"/>
      <c r="H1077" s="465"/>
      <c r="I1077" s="465"/>
      <c r="J1077" s="465"/>
      <c r="K1077" s="465"/>
      <c r="L1077" s="465"/>
      <c r="M1077" s="465"/>
      <c r="N1077" s="465"/>
      <c r="O1077" s="465"/>
      <c r="P1077" s="465"/>
      <c r="Q1077" s="465"/>
      <c r="R1077" s="465"/>
      <c r="S1077" s="465"/>
      <c r="T1077" s="465"/>
      <c r="U1077" s="465"/>
      <c r="V1077" s="465"/>
      <c r="W1077" s="465"/>
      <c r="X1077" s="465"/>
      <c r="Y1077" s="465"/>
      <c r="Z1077" s="465"/>
      <c r="AA1077" s="465"/>
      <c r="AB1077" s="465"/>
      <c r="AC1077" s="465"/>
      <c r="AD1077" s="465"/>
      <c r="AE1077" s="465"/>
      <c r="AF1077" s="465"/>
      <c r="AG1077" s="465"/>
      <c r="AH1077" s="465"/>
      <c r="AI1077" s="465"/>
      <c r="AJ1077" s="465"/>
      <c r="AK1077" s="465"/>
      <c r="AL1077" s="465"/>
      <c r="AM1077" s="465"/>
      <c r="AN1077" s="465"/>
      <c r="AO1077" s="465"/>
      <c r="AP1077" s="465"/>
      <c r="AQ1077" s="465"/>
      <c r="AR1077" s="465"/>
      <c r="AS1077" s="465"/>
      <c r="AT1077" s="465"/>
      <c r="AU1077" s="465"/>
      <c r="AV1077" s="465"/>
      <c r="AW1077" s="465"/>
      <c r="AX1077" s="465"/>
      <c r="AY1077" s="465"/>
      <c r="AZ1077" s="465"/>
      <c r="BA1077" s="465"/>
      <c r="BB1077" s="465"/>
      <c r="BC1077" s="465"/>
    </row>
    <row r="1078" spans="1:55">
      <c r="A1078" s="465"/>
      <c r="B1078" s="465"/>
      <c r="C1078" s="465"/>
      <c r="D1078" s="467"/>
      <c r="E1078" s="465"/>
      <c r="F1078" s="465"/>
      <c r="G1078" s="465"/>
      <c r="H1078" s="465"/>
      <c r="I1078" s="465"/>
      <c r="J1078" s="465"/>
      <c r="K1078" s="465"/>
      <c r="L1078" s="465"/>
      <c r="M1078" s="465"/>
      <c r="N1078" s="465"/>
      <c r="O1078" s="465"/>
      <c r="P1078" s="465"/>
      <c r="Q1078" s="465"/>
      <c r="R1078" s="465"/>
      <c r="S1078" s="465"/>
      <c r="T1078" s="465"/>
      <c r="U1078" s="465"/>
      <c r="V1078" s="465"/>
      <c r="W1078" s="465"/>
      <c r="X1078" s="465"/>
      <c r="Y1078" s="465"/>
      <c r="Z1078" s="465"/>
      <c r="AA1078" s="465"/>
      <c r="AB1078" s="465"/>
      <c r="AC1078" s="465"/>
      <c r="AD1078" s="465"/>
      <c r="AE1078" s="465"/>
      <c r="AF1078" s="465"/>
      <c r="AG1078" s="465"/>
      <c r="AH1078" s="465"/>
      <c r="AI1078" s="465"/>
      <c r="AJ1078" s="465"/>
      <c r="AK1078" s="465"/>
      <c r="AL1078" s="465"/>
      <c r="AM1078" s="465"/>
      <c r="AN1078" s="465"/>
      <c r="AO1078" s="465"/>
      <c r="AP1078" s="465"/>
      <c r="AQ1078" s="465"/>
      <c r="AR1078" s="465"/>
      <c r="AS1078" s="465"/>
      <c r="AT1078" s="465"/>
      <c r="AU1078" s="465"/>
      <c r="AV1078" s="465"/>
      <c r="AW1078" s="465"/>
      <c r="AX1078" s="465"/>
      <c r="AY1078" s="465"/>
      <c r="AZ1078" s="465"/>
      <c r="BA1078" s="465"/>
      <c r="BB1078" s="465"/>
      <c r="BC1078" s="465"/>
    </row>
    <row r="1079" spans="1:55">
      <c r="A1079" s="465"/>
      <c r="B1079" s="465"/>
      <c r="C1079" s="465"/>
      <c r="D1079" s="467"/>
      <c r="E1079" s="465"/>
      <c r="F1079" s="465"/>
      <c r="G1079" s="465"/>
      <c r="H1079" s="465"/>
      <c r="I1079" s="465"/>
      <c r="J1079" s="465"/>
      <c r="K1079" s="465"/>
      <c r="L1079" s="465"/>
      <c r="M1079" s="465"/>
      <c r="N1079" s="465"/>
      <c r="O1079" s="465"/>
      <c r="P1079" s="465"/>
      <c r="Q1079" s="465"/>
      <c r="R1079" s="465"/>
      <c r="S1079" s="465"/>
      <c r="T1079" s="465"/>
      <c r="U1079" s="465"/>
      <c r="V1079" s="465"/>
      <c r="W1079" s="465"/>
      <c r="X1079" s="465"/>
      <c r="Y1079" s="465"/>
      <c r="Z1079" s="465"/>
      <c r="AA1079" s="465"/>
      <c r="AB1079" s="465"/>
      <c r="AC1079" s="465"/>
      <c r="AD1079" s="465"/>
      <c r="AE1079" s="465"/>
      <c r="AF1079" s="465"/>
      <c r="AG1079" s="465"/>
      <c r="AH1079" s="465"/>
      <c r="AI1079" s="465"/>
      <c r="AJ1079" s="465"/>
      <c r="AK1079" s="465"/>
      <c r="AL1079" s="465"/>
      <c r="AM1079" s="465"/>
      <c r="AN1079" s="465"/>
      <c r="AO1079" s="465"/>
      <c r="AP1079" s="465"/>
      <c r="AQ1079" s="465"/>
      <c r="AR1079" s="465"/>
      <c r="AS1079" s="465"/>
      <c r="AT1079" s="465"/>
      <c r="AU1079" s="465"/>
      <c r="AV1079" s="465"/>
      <c r="AW1079" s="465"/>
      <c r="AX1079" s="465"/>
      <c r="AY1079" s="465"/>
      <c r="AZ1079" s="465"/>
      <c r="BA1079" s="465"/>
      <c r="BB1079" s="465"/>
      <c r="BC1079" s="465"/>
    </row>
    <row r="1080" spans="1:55">
      <c r="A1080" s="465"/>
      <c r="B1080" s="465"/>
      <c r="C1080" s="465"/>
      <c r="D1080" s="467"/>
      <c r="E1080" s="465"/>
      <c r="F1080" s="465"/>
      <c r="G1080" s="465"/>
      <c r="H1080" s="465"/>
      <c r="I1080" s="465"/>
      <c r="J1080" s="465"/>
      <c r="K1080" s="465"/>
      <c r="L1080" s="465"/>
      <c r="M1080" s="465"/>
      <c r="N1080" s="465"/>
      <c r="O1080" s="465"/>
      <c r="P1080" s="465"/>
      <c r="Q1080" s="465"/>
      <c r="R1080" s="465"/>
      <c r="S1080" s="465"/>
      <c r="T1080" s="465"/>
      <c r="U1080" s="465"/>
      <c r="V1080" s="465"/>
      <c r="W1080" s="465"/>
      <c r="X1080" s="465"/>
      <c r="Y1080" s="465"/>
      <c r="Z1080" s="465"/>
      <c r="AA1080" s="465"/>
      <c r="AB1080" s="465"/>
      <c r="AC1080" s="465"/>
      <c r="AD1080" s="465"/>
      <c r="AE1080" s="465"/>
      <c r="AF1080" s="465"/>
      <c r="AG1080" s="465"/>
      <c r="AH1080" s="465"/>
      <c r="AI1080" s="465"/>
      <c r="AJ1080" s="465"/>
      <c r="AK1080" s="465"/>
      <c r="AL1080" s="465"/>
      <c r="AM1080" s="465"/>
      <c r="AN1080" s="465"/>
      <c r="AO1080" s="465"/>
      <c r="AP1080" s="465"/>
      <c r="AQ1080" s="465"/>
      <c r="AR1080" s="465"/>
      <c r="AS1080" s="465"/>
      <c r="AT1080" s="465"/>
      <c r="AU1080" s="465"/>
      <c r="AV1080" s="465"/>
      <c r="AW1080" s="465"/>
      <c r="AX1080" s="465"/>
      <c r="AY1080" s="465"/>
      <c r="AZ1080" s="465"/>
      <c r="BA1080" s="465"/>
      <c r="BB1080" s="465"/>
      <c r="BC1080" s="465"/>
    </row>
    <row r="1081" spans="1:55">
      <c r="A1081" s="465"/>
      <c r="B1081" s="465"/>
      <c r="C1081" s="465"/>
      <c r="D1081" s="467"/>
      <c r="E1081" s="465"/>
      <c r="F1081" s="465"/>
      <c r="G1081" s="465"/>
      <c r="H1081" s="465"/>
      <c r="I1081" s="465"/>
      <c r="J1081" s="465"/>
      <c r="K1081" s="465"/>
      <c r="L1081" s="465"/>
      <c r="M1081" s="465"/>
      <c r="N1081" s="465"/>
      <c r="O1081" s="465"/>
      <c r="P1081" s="465"/>
      <c r="Q1081" s="465"/>
      <c r="R1081" s="465"/>
      <c r="S1081" s="465"/>
      <c r="T1081" s="465"/>
      <c r="U1081" s="465"/>
      <c r="V1081" s="465"/>
      <c r="W1081" s="465"/>
      <c r="X1081" s="465"/>
      <c r="Y1081" s="465"/>
      <c r="Z1081" s="465"/>
      <c r="AA1081" s="465"/>
      <c r="AB1081" s="465"/>
      <c r="AC1081" s="465"/>
      <c r="AD1081" s="465"/>
      <c r="AE1081" s="465"/>
      <c r="AF1081" s="465"/>
      <c r="AG1081" s="465"/>
      <c r="AH1081" s="465"/>
      <c r="AI1081" s="465"/>
      <c r="AJ1081" s="465"/>
      <c r="AK1081" s="465"/>
      <c r="AL1081" s="465"/>
      <c r="AM1081" s="465"/>
      <c r="AN1081" s="465"/>
      <c r="AO1081" s="465"/>
      <c r="AP1081" s="465"/>
      <c r="AQ1081" s="465"/>
      <c r="AR1081" s="465"/>
      <c r="AS1081" s="465"/>
      <c r="AT1081" s="465"/>
      <c r="AU1081" s="465"/>
      <c r="AV1081" s="465"/>
      <c r="AW1081" s="465"/>
      <c r="AX1081" s="465"/>
      <c r="AY1081" s="465"/>
      <c r="AZ1081" s="465"/>
      <c r="BA1081" s="465"/>
      <c r="BB1081" s="465"/>
      <c r="BC1081" s="465"/>
    </row>
    <row r="1082" spans="1:55">
      <c r="A1082" s="465"/>
      <c r="B1082" s="465"/>
      <c r="C1082" s="465"/>
      <c r="D1082" s="467"/>
      <c r="E1082" s="465"/>
      <c r="F1082" s="465"/>
      <c r="G1082" s="465"/>
      <c r="H1082" s="465"/>
      <c r="I1082" s="465"/>
      <c r="J1082" s="465"/>
      <c r="K1082" s="465"/>
      <c r="L1082" s="465"/>
      <c r="M1082" s="465"/>
      <c r="N1082" s="465"/>
      <c r="O1082" s="465"/>
      <c r="P1082" s="465"/>
      <c r="Q1082" s="465"/>
      <c r="R1082" s="465"/>
      <c r="S1082" s="465"/>
      <c r="T1082" s="465"/>
      <c r="U1082" s="465"/>
      <c r="V1082" s="465"/>
      <c r="W1082" s="465"/>
      <c r="X1082" s="465"/>
      <c r="Y1082" s="465"/>
      <c r="Z1082" s="465"/>
      <c r="AA1082" s="465"/>
      <c r="AB1082" s="465"/>
      <c r="AC1082" s="465"/>
      <c r="AD1082" s="465"/>
      <c r="AE1082" s="465"/>
      <c r="AF1082" s="465"/>
      <c r="AG1082" s="465"/>
      <c r="AH1082" s="465"/>
      <c r="AI1082" s="465"/>
      <c r="AJ1082" s="465"/>
      <c r="AK1082" s="465"/>
      <c r="AL1082" s="465"/>
      <c r="AM1082" s="465"/>
      <c r="AN1082" s="465"/>
      <c r="AO1082" s="465"/>
      <c r="AP1082" s="465"/>
      <c r="AQ1082" s="465"/>
      <c r="AR1082" s="465"/>
      <c r="AS1082" s="465"/>
      <c r="AT1082" s="465"/>
      <c r="AU1082" s="465"/>
      <c r="AV1082" s="465"/>
      <c r="AW1082" s="465"/>
      <c r="AX1082" s="465"/>
      <c r="AY1082" s="465"/>
      <c r="AZ1082" s="465"/>
      <c r="BA1082" s="465"/>
      <c r="BB1082" s="465"/>
      <c r="BC1082" s="465"/>
    </row>
    <row r="1083" spans="1:55">
      <c r="A1083" s="465"/>
      <c r="B1083" s="465"/>
      <c r="C1083" s="465"/>
      <c r="D1083" s="467"/>
      <c r="E1083" s="465"/>
      <c r="F1083" s="465"/>
      <c r="G1083" s="465"/>
      <c r="H1083" s="465"/>
      <c r="I1083" s="465"/>
      <c r="J1083" s="465"/>
      <c r="K1083" s="465"/>
      <c r="L1083" s="465"/>
      <c r="M1083" s="465"/>
      <c r="N1083" s="465"/>
      <c r="O1083" s="465"/>
      <c r="P1083" s="465"/>
      <c r="Q1083" s="465"/>
      <c r="R1083" s="465"/>
      <c r="S1083" s="465"/>
      <c r="T1083" s="465"/>
      <c r="U1083" s="465"/>
      <c r="V1083" s="465"/>
      <c r="W1083" s="465"/>
      <c r="X1083" s="465"/>
      <c r="Y1083" s="465"/>
      <c r="Z1083" s="465"/>
      <c r="AA1083" s="465"/>
      <c r="AB1083" s="465"/>
      <c r="AC1083" s="465"/>
      <c r="AD1083" s="465"/>
      <c r="AE1083" s="465"/>
      <c r="AF1083" s="465"/>
      <c r="AG1083" s="465"/>
      <c r="AH1083" s="465"/>
      <c r="AI1083" s="465"/>
      <c r="AJ1083" s="465"/>
      <c r="AK1083" s="465"/>
      <c r="AL1083" s="465"/>
      <c r="AM1083" s="465"/>
      <c r="AN1083" s="465"/>
      <c r="AO1083" s="465"/>
      <c r="AP1083" s="465"/>
      <c r="AQ1083" s="465"/>
      <c r="AR1083" s="465"/>
      <c r="AS1083" s="465"/>
      <c r="AT1083" s="465"/>
      <c r="AU1083" s="465"/>
      <c r="AV1083" s="465"/>
      <c r="AW1083" s="465"/>
      <c r="AX1083" s="465"/>
      <c r="AY1083" s="465"/>
      <c r="AZ1083" s="465"/>
      <c r="BA1083" s="465"/>
      <c r="BB1083" s="465"/>
      <c r="BC1083" s="465"/>
    </row>
    <row r="1084" spans="1:55">
      <c r="A1084" s="465"/>
      <c r="B1084" s="465"/>
      <c r="C1084" s="465"/>
      <c r="D1084" s="467"/>
      <c r="E1084" s="465"/>
      <c r="F1084" s="465"/>
      <c r="G1084" s="465"/>
      <c r="H1084" s="465"/>
      <c r="I1084" s="465"/>
      <c r="J1084" s="465"/>
      <c r="K1084" s="465"/>
      <c r="L1084" s="465"/>
      <c r="M1084" s="465"/>
      <c r="N1084" s="465"/>
      <c r="O1084" s="465"/>
      <c r="P1084" s="465"/>
      <c r="Q1084" s="465"/>
      <c r="R1084" s="465"/>
      <c r="S1084" s="465"/>
      <c r="T1084" s="465"/>
      <c r="U1084" s="465"/>
      <c r="V1084" s="465"/>
      <c r="W1084" s="465"/>
      <c r="X1084" s="465"/>
      <c r="Y1084" s="465"/>
      <c r="Z1084" s="465"/>
      <c r="AA1084" s="465"/>
      <c r="AB1084" s="465"/>
      <c r="AC1084" s="465"/>
      <c r="AD1084" s="465"/>
      <c r="AE1084" s="465"/>
      <c r="AF1084" s="465"/>
      <c r="AG1084" s="465"/>
      <c r="AH1084" s="465"/>
      <c r="AI1084" s="465"/>
      <c r="AJ1084" s="465"/>
      <c r="AK1084" s="465"/>
      <c r="AL1084" s="465"/>
      <c r="AM1084" s="465"/>
      <c r="AN1084" s="465"/>
      <c r="AO1084" s="465"/>
      <c r="AP1084" s="465"/>
      <c r="AQ1084" s="465"/>
      <c r="AR1084" s="465"/>
      <c r="AS1084" s="465"/>
      <c r="AT1084" s="465"/>
      <c r="AU1084" s="465"/>
      <c r="AV1084" s="465"/>
      <c r="AW1084" s="465"/>
      <c r="AX1084" s="465"/>
      <c r="AY1084" s="465"/>
      <c r="AZ1084" s="465"/>
      <c r="BA1084" s="465"/>
      <c r="BB1084" s="465"/>
      <c r="BC1084" s="465"/>
    </row>
    <row r="1085" spans="1:55">
      <c r="A1085" s="465"/>
      <c r="B1085" s="465"/>
      <c r="C1085" s="465"/>
      <c r="D1085" s="467"/>
      <c r="E1085" s="465"/>
      <c r="F1085" s="465"/>
      <c r="G1085" s="465"/>
      <c r="H1085" s="465"/>
      <c r="I1085" s="465"/>
      <c r="J1085" s="465"/>
      <c r="K1085" s="465"/>
      <c r="L1085" s="465"/>
      <c r="M1085" s="465"/>
      <c r="N1085" s="465"/>
      <c r="O1085" s="465"/>
      <c r="P1085" s="465"/>
      <c r="Q1085" s="465"/>
      <c r="R1085" s="465"/>
      <c r="S1085" s="465"/>
      <c r="T1085" s="465"/>
      <c r="U1085" s="465"/>
      <c r="V1085" s="465"/>
      <c r="W1085" s="465"/>
      <c r="X1085" s="465"/>
      <c r="Y1085" s="465"/>
      <c r="Z1085" s="465"/>
      <c r="AA1085" s="465"/>
      <c r="AB1085" s="465"/>
      <c r="AC1085" s="465"/>
      <c r="AD1085" s="465"/>
      <c r="AE1085" s="465"/>
      <c r="AF1085" s="465"/>
      <c r="AG1085" s="465"/>
      <c r="AH1085" s="465"/>
      <c r="AI1085" s="465"/>
      <c r="AJ1085" s="465"/>
      <c r="AK1085" s="465"/>
      <c r="AL1085" s="465"/>
      <c r="AM1085" s="465"/>
      <c r="AN1085" s="465"/>
      <c r="AO1085" s="465"/>
      <c r="AP1085" s="465"/>
      <c r="AQ1085" s="465"/>
      <c r="AR1085" s="465"/>
      <c r="AS1085" s="465"/>
      <c r="AT1085" s="465"/>
      <c r="AU1085" s="465"/>
      <c r="AV1085" s="465"/>
      <c r="AW1085" s="465"/>
      <c r="AX1085" s="465"/>
      <c r="AY1085" s="465"/>
      <c r="AZ1085" s="465"/>
      <c r="BA1085" s="465"/>
      <c r="BB1085" s="465"/>
      <c r="BC1085" s="465"/>
    </row>
    <row r="1086" spans="1:55">
      <c r="A1086" s="465"/>
      <c r="B1086" s="465"/>
      <c r="C1086" s="465"/>
      <c r="D1086" s="467"/>
      <c r="E1086" s="465"/>
      <c r="F1086" s="465"/>
      <c r="G1086" s="465"/>
      <c r="H1086" s="465"/>
      <c r="I1086" s="465"/>
      <c r="J1086" s="465"/>
      <c r="K1086" s="465"/>
      <c r="L1086" s="465"/>
      <c r="M1086" s="465"/>
      <c r="N1086" s="465"/>
      <c r="O1086" s="465"/>
      <c r="P1086" s="465"/>
      <c r="Q1086" s="465"/>
      <c r="R1086" s="465"/>
      <c r="S1086" s="465"/>
      <c r="T1086" s="465"/>
      <c r="U1086" s="465"/>
      <c r="V1086" s="465"/>
      <c r="W1086" s="465"/>
      <c r="X1086" s="465"/>
      <c r="Y1086" s="465"/>
      <c r="Z1086" s="465"/>
      <c r="AA1086" s="465"/>
      <c r="AB1086" s="465"/>
      <c r="AC1086" s="465"/>
      <c r="AD1086" s="465"/>
      <c r="AE1086" s="465"/>
      <c r="AF1086" s="465"/>
      <c r="AG1086" s="465"/>
      <c r="AH1086" s="465"/>
      <c r="AI1086" s="465"/>
      <c r="AJ1086" s="465"/>
      <c r="AK1086" s="465"/>
      <c r="AL1086" s="465"/>
      <c r="AM1086" s="465"/>
      <c r="AN1086" s="465"/>
      <c r="AO1086" s="465"/>
      <c r="AP1086" s="465"/>
      <c r="AQ1086" s="465"/>
      <c r="AR1086" s="465"/>
      <c r="AS1086" s="465"/>
      <c r="AT1086" s="465"/>
      <c r="AU1086" s="465"/>
      <c r="AV1086" s="465"/>
      <c r="AW1086" s="465"/>
      <c r="AX1086" s="465"/>
      <c r="AY1086" s="465"/>
      <c r="AZ1086" s="465"/>
      <c r="BA1086" s="465"/>
      <c r="BB1086" s="465"/>
      <c r="BC1086" s="465"/>
    </row>
    <row r="1087" spans="1:55">
      <c r="A1087" s="465"/>
      <c r="B1087" s="465"/>
      <c r="C1087" s="465"/>
      <c r="D1087" s="467"/>
      <c r="E1087" s="465"/>
      <c r="F1087" s="465"/>
      <c r="G1087" s="465"/>
      <c r="H1087" s="465"/>
      <c r="I1087" s="465"/>
      <c r="J1087" s="465"/>
      <c r="K1087" s="465"/>
      <c r="L1087" s="465"/>
      <c r="M1087" s="465"/>
      <c r="N1087" s="465"/>
      <c r="O1087" s="465"/>
      <c r="P1087" s="465"/>
      <c r="Q1087" s="465"/>
      <c r="R1087" s="465"/>
      <c r="S1087" s="465"/>
      <c r="T1087" s="465"/>
      <c r="U1087" s="465"/>
      <c r="V1087" s="465"/>
      <c r="W1087" s="465"/>
      <c r="X1087" s="465"/>
      <c r="Y1087" s="465"/>
      <c r="Z1087" s="465"/>
      <c r="AA1087" s="465"/>
      <c r="AB1087" s="465"/>
      <c r="AC1087" s="465"/>
      <c r="AD1087" s="465"/>
      <c r="AE1087" s="465"/>
      <c r="AF1087" s="465"/>
      <c r="AG1087" s="465"/>
      <c r="AH1087" s="465"/>
      <c r="AI1087" s="465"/>
      <c r="AJ1087" s="465"/>
      <c r="AK1087" s="465"/>
      <c r="AL1087" s="465"/>
      <c r="AM1087" s="465"/>
      <c r="AN1087" s="465"/>
      <c r="AO1087" s="465"/>
      <c r="AP1087" s="465"/>
      <c r="AQ1087" s="465"/>
      <c r="AR1087" s="465"/>
      <c r="AS1087" s="465"/>
      <c r="AT1087" s="465"/>
      <c r="AU1087" s="465"/>
      <c r="AV1087" s="465"/>
      <c r="AW1087" s="465"/>
      <c r="AX1087" s="465"/>
      <c r="AY1087" s="465"/>
      <c r="AZ1087" s="465"/>
      <c r="BA1087" s="465"/>
      <c r="BB1087" s="465"/>
      <c r="BC1087" s="465"/>
    </row>
    <row r="1088" spans="1:55">
      <c r="A1088" s="465"/>
      <c r="B1088" s="465"/>
      <c r="C1088" s="465"/>
      <c r="D1088" s="467"/>
      <c r="E1088" s="465"/>
      <c r="F1088" s="465"/>
      <c r="G1088" s="465"/>
      <c r="H1088" s="465"/>
      <c r="I1088" s="465"/>
      <c r="J1088" s="465"/>
      <c r="K1088" s="465"/>
      <c r="L1088" s="465"/>
      <c r="M1088" s="465"/>
      <c r="N1088" s="465"/>
      <c r="O1088" s="465"/>
      <c r="P1088" s="465"/>
      <c r="Q1088" s="465"/>
      <c r="R1088" s="465"/>
      <c r="S1088" s="465"/>
      <c r="T1088" s="465"/>
      <c r="U1088" s="465"/>
      <c r="V1088" s="465"/>
      <c r="W1088" s="465"/>
      <c r="X1088" s="465"/>
      <c r="Y1088" s="465"/>
      <c r="Z1088" s="465"/>
      <c r="AA1088" s="465"/>
      <c r="AB1088" s="465"/>
      <c r="AC1088" s="465"/>
      <c r="AD1088" s="465"/>
      <c r="AE1088" s="465"/>
      <c r="AF1088" s="465"/>
      <c r="AG1088" s="465"/>
      <c r="AH1088" s="465"/>
      <c r="AI1088" s="465"/>
      <c r="AJ1088" s="465"/>
      <c r="AK1088" s="465"/>
      <c r="AL1088" s="465"/>
      <c r="AM1088" s="465"/>
      <c r="AN1088" s="465"/>
      <c r="AO1088" s="465"/>
      <c r="AP1088" s="465"/>
      <c r="AQ1088" s="465"/>
      <c r="AR1088" s="465"/>
      <c r="AS1088" s="465"/>
      <c r="AT1088" s="465"/>
      <c r="AU1088" s="465"/>
      <c r="AV1088" s="465"/>
      <c r="AW1088" s="465"/>
      <c r="AX1088" s="465"/>
      <c r="AY1088" s="465"/>
      <c r="AZ1088" s="465"/>
      <c r="BA1088" s="465"/>
      <c r="BB1088" s="465"/>
      <c r="BC1088" s="465"/>
    </row>
    <row r="1089" spans="1:55">
      <c r="A1089" s="465"/>
      <c r="B1089" s="465"/>
      <c r="C1089" s="465"/>
      <c r="D1089" s="467"/>
      <c r="E1089" s="465"/>
      <c r="F1089" s="465"/>
      <c r="G1089" s="465"/>
      <c r="H1089" s="465"/>
      <c r="I1089" s="465"/>
      <c r="J1089" s="465"/>
      <c r="K1089" s="465"/>
      <c r="L1089" s="465"/>
      <c r="M1089" s="465"/>
      <c r="N1089" s="465"/>
      <c r="O1089" s="465"/>
      <c r="P1089" s="465"/>
      <c r="Q1089" s="465"/>
      <c r="R1089" s="465"/>
      <c r="S1089" s="465"/>
      <c r="T1089" s="465"/>
      <c r="U1089" s="465"/>
      <c r="V1089" s="465"/>
      <c r="W1089" s="465"/>
      <c r="X1089" s="465"/>
      <c r="Y1089" s="465"/>
      <c r="Z1089" s="465"/>
      <c r="AA1089" s="465"/>
      <c r="AB1089" s="465"/>
      <c r="AC1089" s="465"/>
      <c r="AD1089" s="465"/>
      <c r="AE1089" s="465"/>
      <c r="AF1089" s="465"/>
      <c r="AG1089" s="465"/>
      <c r="AH1089" s="465"/>
      <c r="AI1089" s="465"/>
      <c r="AJ1089" s="465"/>
      <c r="AK1089" s="465"/>
      <c r="AL1089" s="465"/>
      <c r="AM1089" s="465"/>
      <c r="AN1089" s="465"/>
      <c r="AO1089" s="465"/>
      <c r="AP1089" s="465"/>
      <c r="AQ1089" s="465"/>
      <c r="AR1089" s="465"/>
      <c r="AS1089" s="465"/>
      <c r="AT1089" s="465"/>
      <c r="AU1089" s="465"/>
      <c r="AV1089" s="465"/>
      <c r="AW1089" s="465"/>
      <c r="AX1089" s="465"/>
      <c r="AY1089" s="465"/>
      <c r="AZ1089" s="465"/>
      <c r="BA1089" s="465"/>
      <c r="BB1089" s="465"/>
      <c r="BC1089" s="465"/>
    </row>
    <row r="1090" spans="1:55">
      <c r="A1090" s="465"/>
      <c r="B1090" s="465"/>
      <c r="C1090" s="465"/>
      <c r="D1090" s="467"/>
      <c r="E1090" s="465"/>
      <c r="F1090" s="465"/>
      <c r="G1090" s="465"/>
      <c r="H1090" s="465"/>
      <c r="I1090" s="465"/>
      <c r="J1090" s="465"/>
      <c r="K1090" s="465"/>
      <c r="L1090" s="465"/>
      <c r="M1090" s="465"/>
      <c r="N1090" s="465"/>
      <c r="O1090" s="465"/>
      <c r="P1090" s="465"/>
      <c r="Q1090" s="465"/>
      <c r="R1090" s="465"/>
      <c r="S1090" s="465"/>
      <c r="T1090" s="465"/>
      <c r="U1090" s="465"/>
      <c r="V1090" s="465"/>
      <c r="W1090" s="465"/>
      <c r="X1090" s="465"/>
      <c r="Y1090" s="465"/>
      <c r="Z1090" s="465"/>
      <c r="AA1090" s="465"/>
      <c r="AB1090" s="465"/>
      <c r="AC1090" s="465"/>
      <c r="AD1090" s="465"/>
      <c r="AE1090" s="465"/>
      <c r="AF1090" s="465"/>
      <c r="AG1090" s="465"/>
      <c r="AH1090" s="465"/>
      <c r="AI1090" s="465"/>
      <c r="AJ1090" s="465"/>
      <c r="AK1090" s="465"/>
      <c r="AL1090" s="465"/>
      <c r="AM1090" s="465"/>
      <c r="AN1090" s="465"/>
      <c r="AO1090" s="465"/>
      <c r="AP1090" s="465"/>
      <c r="AQ1090" s="465"/>
      <c r="AR1090" s="465"/>
      <c r="AS1090" s="465"/>
      <c r="AT1090" s="465"/>
      <c r="AU1090" s="465"/>
      <c r="AV1090" s="465"/>
      <c r="AW1090" s="465"/>
      <c r="AX1090" s="465"/>
      <c r="AY1090" s="465"/>
      <c r="AZ1090" s="465"/>
      <c r="BA1090" s="465"/>
      <c r="BB1090" s="465"/>
      <c r="BC1090" s="465"/>
    </row>
    <row r="1091" spans="1:55">
      <c r="A1091" s="465"/>
      <c r="B1091" s="465"/>
      <c r="C1091" s="465"/>
      <c r="D1091" s="467"/>
      <c r="E1091" s="465"/>
      <c r="F1091" s="465"/>
      <c r="G1091" s="465"/>
      <c r="H1091" s="465"/>
      <c r="I1091" s="465"/>
      <c r="J1091" s="465"/>
      <c r="K1091" s="465"/>
      <c r="L1091" s="465"/>
      <c r="M1091" s="465"/>
      <c r="N1091" s="465"/>
      <c r="O1091" s="465"/>
      <c r="P1091" s="465"/>
      <c r="Q1091" s="465"/>
      <c r="R1091" s="465"/>
      <c r="S1091" s="465"/>
      <c r="T1091" s="465"/>
      <c r="U1091" s="465"/>
      <c r="V1091" s="465"/>
      <c r="W1091" s="465"/>
      <c r="X1091" s="465"/>
      <c r="Y1091" s="465"/>
      <c r="Z1091" s="465"/>
      <c r="AA1091" s="465"/>
      <c r="AB1091" s="465"/>
      <c r="AC1091" s="465"/>
      <c r="AD1091" s="465"/>
      <c r="AE1091" s="465"/>
      <c r="AF1091" s="465"/>
      <c r="AG1091" s="465"/>
      <c r="AH1091" s="465"/>
      <c r="AI1091" s="465"/>
      <c r="AJ1091" s="465"/>
      <c r="AK1091" s="465"/>
      <c r="AL1091" s="465"/>
      <c r="AM1091" s="465"/>
      <c r="AN1091" s="465"/>
      <c r="AO1091" s="465"/>
      <c r="AP1091" s="465"/>
      <c r="AQ1091" s="465"/>
      <c r="AR1091" s="465"/>
      <c r="AS1091" s="465"/>
      <c r="AT1091" s="465"/>
      <c r="AU1091" s="465"/>
      <c r="AV1091" s="465"/>
      <c r="AW1091" s="465"/>
      <c r="AX1091" s="465"/>
      <c r="AY1091" s="465"/>
      <c r="AZ1091" s="465"/>
      <c r="BA1091" s="465"/>
      <c r="BB1091" s="465"/>
      <c r="BC1091" s="465"/>
    </row>
    <row r="1092" spans="1:55">
      <c r="A1092" s="465"/>
      <c r="B1092" s="465"/>
      <c r="C1092" s="465"/>
      <c r="D1092" s="467"/>
      <c r="E1092" s="465"/>
      <c r="F1092" s="465"/>
      <c r="G1092" s="465"/>
      <c r="H1092" s="465"/>
      <c r="I1092" s="465"/>
      <c r="J1092" s="465"/>
      <c r="K1092" s="465"/>
      <c r="L1092" s="465"/>
      <c r="M1092" s="465"/>
      <c r="N1092" s="465"/>
      <c r="O1092" s="465"/>
      <c r="P1092" s="465"/>
      <c r="Q1092" s="465"/>
      <c r="R1092" s="465"/>
      <c r="S1092" s="465"/>
      <c r="T1092" s="465"/>
      <c r="U1092" s="465"/>
      <c r="V1092" s="465"/>
      <c r="W1092" s="465"/>
      <c r="X1092" s="465"/>
      <c r="Y1092" s="465"/>
      <c r="Z1092" s="465"/>
      <c r="AA1092" s="465"/>
      <c r="AB1092" s="465"/>
      <c r="AC1092" s="465"/>
      <c r="AD1092" s="465"/>
      <c r="AE1092" s="465"/>
      <c r="AF1092" s="465"/>
      <c r="AG1092" s="465"/>
      <c r="AH1092" s="465"/>
      <c r="AI1092" s="465"/>
      <c r="AJ1092" s="465"/>
      <c r="AK1092" s="465"/>
      <c r="AL1092" s="465"/>
      <c r="AM1092" s="465"/>
      <c r="AN1092" s="465"/>
      <c r="AO1092" s="465"/>
      <c r="AP1092" s="465"/>
      <c r="AQ1092" s="465"/>
      <c r="AR1092" s="465"/>
      <c r="AS1092" s="465"/>
      <c r="AT1092" s="465"/>
      <c r="AU1092" s="465"/>
      <c r="AV1092" s="465"/>
      <c r="AW1092" s="465"/>
      <c r="AX1092" s="465"/>
      <c r="AY1092" s="465"/>
      <c r="AZ1092" s="465"/>
      <c r="BA1092" s="465"/>
      <c r="BB1092" s="465"/>
      <c r="BC1092" s="465"/>
    </row>
    <row r="1093" spans="1:55">
      <c r="A1093" s="465"/>
      <c r="B1093" s="465"/>
      <c r="C1093" s="465"/>
      <c r="D1093" s="467"/>
      <c r="E1093" s="465"/>
      <c r="F1093" s="465"/>
      <c r="G1093" s="465"/>
      <c r="H1093" s="465"/>
      <c r="I1093" s="465"/>
      <c r="J1093" s="465"/>
      <c r="K1093" s="465"/>
      <c r="L1093" s="465"/>
      <c r="M1093" s="465"/>
      <c r="N1093" s="465"/>
      <c r="O1093" s="465"/>
      <c r="P1093" s="465"/>
      <c r="Q1093" s="465"/>
      <c r="R1093" s="465"/>
      <c r="S1093" s="465"/>
      <c r="T1093" s="465"/>
      <c r="U1093" s="465"/>
      <c r="V1093" s="465"/>
      <c r="W1093" s="465"/>
      <c r="X1093" s="465"/>
      <c r="Y1093" s="465"/>
      <c r="Z1093" s="465"/>
      <c r="AA1093" s="465"/>
      <c r="AB1093" s="465"/>
      <c r="AC1093" s="465"/>
      <c r="AD1093" s="465"/>
      <c r="AE1093" s="465"/>
      <c r="AF1093" s="465"/>
      <c r="AG1093" s="465"/>
      <c r="AH1093" s="465"/>
      <c r="AI1093" s="465"/>
      <c r="AJ1093" s="465"/>
      <c r="AK1093" s="465"/>
      <c r="AL1093" s="465"/>
      <c r="AM1093" s="465"/>
      <c r="AN1093" s="465"/>
      <c r="AO1093" s="465"/>
      <c r="AP1093" s="465"/>
      <c r="AQ1093" s="465"/>
      <c r="AR1093" s="465"/>
      <c r="AS1093" s="465"/>
      <c r="AT1093" s="465"/>
      <c r="AU1093" s="465"/>
      <c r="AV1093" s="465"/>
      <c r="AW1093" s="465"/>
      <c r="AX1093" s="465"/>
      <c r="AY1093" s="465"/>
      <c r="AZ1093" s="465"/>
      <c r="BA1093" s="465"/>
      <c r="BB1093" s="465"/>
      <c r="BC1093" s="465"/>
    </row>
    <row r="1094" spans="1:55">
      <c r="A1094" s="465"/>
      <c r="B1094" s="465"/>
      <c r="C1094" s="465"/>
      <c r="D1094" s="467"/>
      <c r="E1094" s="465"/>
      <c r="F1094" s="465"/>
      <c r="G1094" s="465"/>
      <c r="H1094" s="465"/>
      <c r="I1094" s="465"/>
      <c r="J1094" s="465"/>
      <c r="K1094" s="465"/>
      <c r="L1094" s="465"/>
      <c r="M1094" s="465"/>
      <c r="N1094" s="465"/>
      <c r="O1094" s="465"/>
      <c r="P1094" s="465"/>
      <c r="Q1094" s="465"/>
      <c r="R1094" s="465"/>
      <c r="S1094" s="465"/>
      <c r="T1094" s="465"/>
      <c r="U1094" s="465"/>
      <c r="V1094" s="465"/>
      <c r="W1094" s="465"/>
      <c r="X1094" s="465"/>
      <c r="Y1094" s="465"/>
      <c r="Z1094" s="465"/>
      <c r="AA1094" s="465"/>
      <c r="AB1094" s="465"/>
      <c r="AC1094" s="465"/>
      <c r="AD1094" s="465"/>
      <c r="AE1094" s="465"/>
      <c r="AF1094" s="465"/>
      <c r="AG1094" s="465"/>
      <c r="AH1094" s="465"/>
      <c r="AI1094" s="465"/>
      <c r="AJ1094" s="465"/>
      <c r="AK1094" s="465"/>
      <c r="AL1094" s="465"/>
      <c r="AM1094" s="465"/>
      <c r="AN1094" s="465"/>
      <c r="AO1094" s="465"/>
      <c r="AP1094" s="465"/>
      <c r="AQ1094" s="465"/>
      <c r="AR1094" s="465"/>
      <c r="AS1094" s="465"/>
      <c r="AT1094" s="465"/>
      <c r="AU1094" s="465"/>
      <c r="AV1094" s="465"/>
      <c r="AW1094" s="465"/>
      <c r="AX1094" s="465"/>
      <c r="AY1094" s="465"/>
      <c r="AZ1094" s="465"/>
      <c r="BA1094" s="465"/>
      <c r="BB1094" s="465"/>
      <c r="BC1094" s="465"/>
    </row>
    <row r="1095" spans="1:55">
      <c r="A1095" s="465"/>
      <c r="B1095" s="465"/>
      <c r="C1095" s="465"/>
      <c r="D1095" s="467"/>
      <c r="E1095" s="465"/>
      <c r="F1095" s="465"/>
      <c r="G1095" s="465"/>
      <c r="H1095" s="465"/>
      <c r="I1095" s="465"/>
      <c r="J1095" s="465"/>
      <c r="K1095" s="465"/>
      <c r="L1095" s="465"/>
      <c r="M1095" s="465"/>
      <c r="N1095" s="465"/>
      <c r="O1095" s="465"/>
      <c r="P1095" s="465"/>
      <c r="Q1095" s="465"/>
      <c r="R1095" s="465"/>
      <c r="S1095" s="465"/>
      <c r="T1095" s="465"/>
      <c r="U1095" s="465"/>
      <c r="V1095" s="465"/>
      <c r="W1095" s="465"/>
      <c r="X1095" s="465"/>
      <c r="Y1095" s="465"/>
      <c r="Z1095" s="465"/>
      <c r="AA1095" s="465"/>
      <c r="AB1095" s="465"/>
      <c r="AC1095" s="465"/>
      <c r="AD1095" s="465"/>
      <c r="AE1095" s="465"/>
      <c r="AF1095" s="465"/>
      <c r="AG1095" s="465"/>
      <c r="AH1095" s="465"/>
      <c r="AI1095" s="465"/>
      <c r="AJ1095" s="465"/>
      <c r="AK1095" s="465"/>
      <c r="AL1095" s="465"/>
      <c r="AM1095" s="465"/>
      <c r="AN1095" s="465"/>
      <c r="AO1095" s="465"/>
      <c r="AP1095" s="465"/>
      <c r="AQ1095" s="465"/>
      <c r="AR1095" s="465"/>
      <c r="AS1095" s="465"/>
      <c r="AT1095" s="465"/>
      <c r="AU1095" s="465"/>
      <c r="AV1095" s="465"/>
      <c r="AW1095" s="465"/>
      <c r="AX1095" s="465"/>
      <c r="AY1095" s="465"/>
      <c r="AZ1095" s="465"/>
      <c r="BA1095" s="465"/>
      <c r="BB1095" s="465"/>
      <c r="BC1095" s="465"/>
    </row>
    <row r="1096" spans="1:55">
      <c r="A1096" s="465"/>
      <c r="B1096" s="465"/>
      <c r="C1096" s="465"/>
      <c r="D1096" s="467"/>
      <c r="E1096" s="465"/>
      <c r="F1096" s="465"/>
      <c r="G1096" s="465"/>
      <c r="H1096" s="465"/>
      <c r="I1096" s="465"/>
      <c r="J1096" s="465"/>
      <c r="K1096" s="465"/>
      <c r="L1096" s="465"/>
      <c r="M1096" s="465"/>
      <c r="N1096" s="465"/>
      <c r="O1096" s="465"/>
      <c r="P1096" s="465"/>
      <c r="Q1096" s="465"/>
      <c r="R1096" s="465"/>
      <c r="S1096" s="465"/>
      <c r="T1096" s="465"/>
      <c r="U1096" s="465"/>
      <c r="V1096" s="465"/>
      <c r="W1096" s="465"/>
      <c r="X1096" s="465"/>
      <c r="Y1096" s="465"/>
      <c r="Z1096" s="465"/>
      <c r="AA1096" s="465"/>
      <c r="AB1096" s="465"/>
      <c r="AC1096" s="465"/>
      <c r="AD1096" s="465"/>
      <c r="AE1096" s="465"/>
      <c r="AF1096" s="465"/>
      <c r="AG1096" s="465"/>
      <c r="AH1096" s="465"/>
      <c r="AI1096" s="465"/>
      <c r="AJ1096" s="465"/>
      <c r="AK1096" s="465"/>
      <c r="AL1096" s="465"/>
      <c r="AM1096" s="465"/>
      <c r="AN1096" s="465"/>
      <c r="AO1096" s="465"/>
      <c r="AP1096" s="465"/>
      <c r="AQ1096" s="465"/>
      <c r="AR1096" s="465"/>
      <c r="AS1096" s="465"/>
      <c r="AT1096" s="465"/>
      <c r="AU1096" s="465"/>
      <c r="AV1096" s="465"/>
      <c r="AW1096" s="465"/>
      <c r="AX1096" s="465"/>
      <c r="AY1096" s="465"/>
      <c r="AZ1096" s="465"/>
      <c r="BA1096" s="465"/>
      <c r="BB1096" s="465"/>
      <c r="BC1096" s="465"/>
    </row>
    <row r="1097" spans="1:55">
      <c r="A1097" s="465"/>
      <c r="B1097" s="465"/>
      <c r="C1097" s="465"/>
      <c r="D1097" s="467"/>
      <c r="E1097" s="465"/>
      <c r="F1097" s="465"/>
      <c r="G1097" s="465"/>
      <c r="H1097" s="465"/>
      <c r="I1097" s="465"/>
      <c r="J1097" s="465"/>
      <c r="K1097" s="465"/>
      <c r="L1097" s="465"/>
      <c r="M1097" s="465"/>
      <c r="N1097" s="465"/>
      <c r="O1097" s="465"/>
      <c r="P1097" s="465"/>
      <c r="Q1097" s="465"/>
      <c r="R1097" s="465"/>
      <c r="S1097" s="465"/>
      <c r="T1097" s="465"/>
      <c r="U1097" s="465"/>
      <c r="V1097" s="465"/>
      <c r="W1097" s="465"/>
      <c r="X1097" s="465"/>
      <c r="Y1097" s="465"/>
      <c r="Z1097" s="465"/>
      <c r="AA1097" s="465"/>
      <c r="AB1097" s="465"/>
      <c r="AC1097" s="465"/>
      <c r="AD1097" s="465"/>
      <c r="AE1097" s="465"/>
      <c r="AF1097" s="465"/>
      <c r="AG1097" s="465"/>
      <c r="AH1097" s="465"/>
      <c r="AI1097" s="465"/>
      <c r="AJ1097" s="465"/>
      <c r="AK1097" s="465"/>
      <c r="AL1097" s="465"/>
      <c r="AM1097" s="465"/>
      <c r="AN1097" s="465"/>
      <c r="AO1097" s="465"/>
      <c r="AP1097" s="465"/>
      <c r="AQ1097" s="465"/>
      <c r="AR1097" s="465"/>
      <c r="AS1097" s="465"/>
      <c r="AT1097" s="465"/>
      <c r="AU1097" s="465"/>
      <c r="AV1097" s="465"/>
      <c r="AW1097" s="465"/>
      <c r="AX1097" s="465"/>
      <c r="AY1097" s="465"/>
      <c r="AZ1097" s="465"/>
      <c r="BA1097" s="465"/>
      <c r="BB1097" s="465"/>
      <c r="BC1097" s="465"/>
    </row>
    <row r="1098" spans="1:55">
      <c r="A1098" s="465"/>
      <c r="B1098" s="465"/>
      <c r="C1098" s="465"/>
      <c r="D1098" s="467"/>
      <c r="E1098" s="465"/>
      <c r="F1098" s="465"/>
      <c r="G1098" s="465"/>
      <c r="H1098" s="465"/>
      <c r="I1098" s="465"/>
      <c r="J1098" s="465"/>
      <c r="K1098" s="465"/>
      <c r="L1098" s="465"/>
      <c r="M1098" s="465"/>
      <c r="N1098" s="465"/>
      <c r="O1098" s="465"/>
      <c r="P1098" s="465"/>
      <c r="Q1098" s="465"/>
      <c r="R1098" s="465"/>
      <c r="S1098" s="465"/>
      <c r="T1098" s="465"/>
      <c r="U1098" s="465"/>
      <c r="V1098" s="465"/>
      <c r="W1098" s="465"/>
      <c r="X1098" s="465"/>
      <c r="Y1098" s="465"/>
      <c r="Z1098" s="465"/>
      <c r="AA1098" s="465"/>
      <c r="AB1098" s="465"/>
      <c r="AC1098" s="465"/>
      <c r="AD1098" s="465"/>
      <c r="AE1098" s="465"/>
      <c r="AF1098" s="465"/>
      <c r="AG1098" s="465"/>
      <c r="AH1098" s="465"/>
      <c r="AI1098" s="465"/>
      <c r="AJ1098" s="465"/>
      <c r="AK1098" s="465"/>
      <c r="AL1098" s="465"/>
      <c r="AM1098" s="465"/>
      <c r="AN1098" s="465"/>
      <c r="AO1098" s="465"/>
      <c r="AP1098" s="465"/>
      <c r="AQ1098" s="465"/>
      <c r="AR1098" s="465"/>
      <c r="AS1098" s="465"/>
      <c r="AT1098" s="465"/>
      <c r="AU1098" s="465"/>
      <c r="AV1098" s="465"/>
      <c r="AW1098" s="465"/>
      <c r="AX1098" s="465"/>
      <c r="AY1098" s="465"/>
      <c r="AZ1098" s="465"/>
      <c r="BA1098" s="465"/>
      <c r="BB1098" s="465"/>
      <c r="BC1098" s="465"/>
    </row>
    <row r="1099" spans="1:55">
      <c r="A1099" s="465"/>
      <c r="B1099" s="465"/>
      <c r="C1099" s="465"/>
      <c r="D1099" s="467"/>
      <c r="E1099" s="465"/>
      <c r="F1099" s="465"/>
      <c r="G1099" s="465"/>
      <c r="H1099" s="465"/>
      <c r="I1099" s="465"/>
      <c r="J1099" s="465"/>
      <c r="K1099" s="465"/>
      <c r="L1099" s="465"/>
      <c r="M1099" s="465"/>
      <c r="N1099" s="465"/>
      <c r="O1099" s="465"/>
      <c r="P1099" s="465"/>
      <c r="Q1099" s="465"/>
      <c r="R1099" s="465"/>
      <c r="S1099" s="465"/>
      <c r="T1099" s="465"/>
      <c r="U1099" s="465"/>
      <c r="V1099" s="465"/>
      <c r="W1099" s="465"/>
      <c r="X1099" s="465"/>
      <c r="Y1099" s="465"/>
      <c r="Z1099" s="465"/>
      <c r="AA1099" s="465"/>
      <c r="AB1099" s="465"/>
      <c r="AC1099" s="465"/>
      <c r="AD1099" s="465"/>
      <c r="AE1099" s="465"/>
      <c r="AF1099" s="465"/>
      <c r="AG1099" s="465"/>
      <c r="AH1099" s="465"/>
      <c r="AI1099" s="465"/>
      <c r="AJ1099" s="465"/>
      <c r="AK1099" s="465"/>
      <c r="AL1099" s="465"/>
      <c r="AM1099" s="465"/>
      <c r="AN1099" s="465"/>
      <c r="AO1099" s="465"/>
      <c r="AP1099" s="465"/>
      <c r="AQ1099" s="465"/>
      <c r="AR1099" s="465"/>
      <c r="AS1099" s="465"/>
      <c r="AT1099" s="465"/>
      <c r="AU1099" s="465"/>
      <c r="AV1099" s="465"/>
      <c r="AW1099" s="465"/>
      <c r="AX1099" s="465"/>
      <c r="AY1099" s="465"/>
      <c r="AZ1099" s="465"/>
      <c r="BA1099" s="465"/>
      <c r="BB1099" s="465"/>
      <c r="BC1099" s="465"/>
    </row>
    <row r="1100" spans="1:55">
      <c r="A1100" s="465"/>
      <c r="B1100" s="465"/>
      <c r="C1100" s="465"/>
      <c r="D1100" s="467"/>
      <c r="E1100" s="465"/>
      <c r="F1100" s="465"/>
      <c r="G1100" s="465"/>
      <c r="H1100" s="465"/>
      <c r="I1100" s="465"/>
      <c r="J1100" s="465"/>
      <c r="K1100" s="465"/>
      <c r="L1100" s="465"/>
      <c r="M1100" s="465"/>
      <c r="N1100" s="465"/>
      <c r="O1100" s="465"/>
      <c r="P1100" s="465"/>
      <c r="Q1100" s="465"/>
      <c r="R1100" s="465"/>
      <c r="S1100" s="465"/>
      <c r="T1100" s="465"/>
      <c r="U1100" s="465"/>
      <c r="V1100" s="465"/>
      <c r="W1100" s="465"/>
      <c r="X1100" s="465"/>
      <c r="Y1100" s="465"/>
      <c r="Z1100" s="465"/>
      <c r="AA1100" s="465"/>
      <c r="AB1100" s="465"/>
      <c r="AC1100" s="465"/>
      <c r="AD1100" s="465"/>
      <c r="AE1100" s="465"/>
      <c r="AF1100" s="465"/>
      <c r="AG1100" s="465"/>
      <c r="AH1100" s="465"/>
      <c r="AI1100" s="465"/>
      <c r="AJ1100" s="465"/>
      <c r="AK1100" s="465"/>
      <c r="AL1100" s="465"/>
      <c r="AM1100" s="465"/>
      <c r="AN1100" s="465"/>
      <c r="AO1100" s="465"/>
      <c r="AP1100" s="465"/>
      <c r="AQ1100" s="465"/>
      <c r="AR1100" s="465"/>
      <c r="AS1100" s="465"/>
      <c r="AT1100" s="465"/>
      <c r="AU1100" s="465"/>
      <c r="AV1100" s="465"/>
      <c r="AW1100" s="465"/>
      <c r="AX1100" s="465"/>
      <c r="AY1100" s="465"/>
      <c r="AZ1100" s="465"/>
      <c r="BA1100" s="465"/>
      <c r="BB1100" s="465"/>
      <c r="BC1100" s="465"/>
    </row>
    <row r="1101" spans="1:55">
      <c r="A1101" s="465"/>
      <c r="B1101" s="465"/>
      <c r="C1101" s="465"/>
      <c r="D1101" s="467"/>
      <c r="E1101" s="465"/>
      <c r="F1101" s="465"/>
      <c r="G1101" s="465"/>
      <c r="H1101" s="465"/>
      <c r="I1101" s="465"/>
      <c r="J1101" s="465"/>
      <c r="K1101" s="465"/>
      <c r="L1101" s="465"/>
      <c r="M1101" s="465"/>
      <c r="N1101" s="465"/>
      <c r="O1101" s="465"/>
      <c r="P1101" s="465"/>
      <c r="Q1101" s="465"/>
      <c r="R1101" s="465"/>
      <c r="S1101" s="465"/>
      <c r="T1101" s="465"/>
      <c r="U1101" s="465"/>
      <c r="V1101" s="465"/>
      <c r="W1101" s="465"/>
      <c r="X1101" s="465"/>
      <c r="Y1101" s="465"/>
      <c r="Z1101" s="465"/>
      <c r="AA1101" s="465"/>
      <c r="AB1101" s="465"/>
      <c r="AC1101" s="465"/>
      <c r="AD1101" s="465"/>
      <c r="AE1101" s="465"/>
      <c r="AF1101" s="465"/>
      <c r="AG1101" s="465"/>
      <c r="AH1101" s="465"/>
      <c r="AI1101" s="465"/>
      <c r="AJ1101" s="465"/>
      <c r="AK1101" s="465"/>
      <c r="AL1101" s="465"/>
      <c r="AM1101" s="465"/>
      <c r="AN1101" s="465"/>
      <c r="AO1101" s="465"/>
      <c r="AP1101" s="465"/>
      <c r="AQ1101" s="465"/>
      <c r="AR1101" s="465"/>
      <c r="AS1101" s="465"/>
      <c r="AT1101" s="465"/>
      <c r="AU1101" s="465"/>
      <c r="AV1101" s="465"/>
      <c r="AW1101" s="465"/>
      <c r="AX1101" s="465"/>
      <c r="AY1101" s="465"/>
      <c r="AZ1101" s="465"/>
      <c r="BA1101" s="465"/>
      <c r="BB1101" s="465"/>
      <c r="BC1101" s="465"/>
    </row>
    <row r="1102" spans="1:55">
      <c r="A1102" s="465"/>
      <c r="B1102" s="465"/>
      <c r="C1102" s="465"/>
      <c r="D1102" s="467"/>
      <c r="E1102" s="465"/>
      <c r="F1102" s="465"/>
      <c r="G1102" s="465"/>
      <c r="H1102" s="465"/>
      <c r="I1102" s="465"/>
      <c r="J1102" s="465"/>
      <c r="K1102" s="465"/>
      <c r="L1102" s="465"/>
      <c r="M1102" s="465"/>
      <c r="N1102" s="465"/>
      <c r="O1102" s="465"/>
      <c r="P1102" s="465"/>
      <c r="Q1102" s="465"/>
      <c r="R1102" s="465"/>
      <c r="S1102" s="465"/>
      <c r="T1102" s="465"/>
      <c r="U1102" s="465"/>
      <c r="V1102" s="465"/>
      <c r="W1102" s="465"/>
      <c r="X1102" s="465"/>
      <c r="Y1102" s="465"/>
      <c r="Z1102" s="465"/>
      <c r="AA1102" s="465"/>
      <c r="AB1102" s="465"/>
      <c r="AC1102" s="465"/>
      <c r="AD1102" s="465"/>
      <c r="AE1102" s="465"/>
      <c r="AF1102" s="465"/>
      <c r="AG1102" s="465"/>
      <c r="AH1102" s="465"/>
      <c r="AI1102" s="465"/>
      <c r="AJ1102" s="465"/>
      <c r="AK1102" s="465"/>
      <c r="AL1102" s="465"/>
      <c r="AM1102" s="465"/>
      <c r="AN1102" s="465"/>
      <c r="AO1102" s="465"/>
      <c r="AP1102" s="465"/>
      <c r="AQ1102" s="465"/>
      <c r="AR1102" s="465"/>
      <c r="AS1102" s="465"/>
      <c r="AT1102" s="465"/>
      <c r="AU1102" s="465"/>
      <c r="AV1102" s="465"/>
      <c r="AW1102" s="465"/>
      <c r="AX1102" s="465"/>
      <c r="AY1102" s="465"/>
      <c r="AZ1102" s="465"/>
      <c r="BA1102" s="465"/>
      <c r="BB1102" s="465"/>
      <c r="BC1102" s="465"/>
    </row>
    <row r="1103" spans="1:55">
      <c r="A1103" s="465"/>
      <c r="B1103" s="465"/>
      <c r="C1103" s="465"/>
      <c r="D1103" s="467"/>
      <c r="E1103" s="465"/>
      <c r="F1103" s="465"/>
      <c r="G1103" s="465"/>
      <c r="H1103" s="465"/>
      <c r="I1103" s="465"/>
      <c r="J1103" s="465"/>
      <c r="K1103" s="465"/>
      <c r="L1103" s="465"/>
      <c r="M1103" s="465"/>
      <c r="N1103" s="465"/>
      <c r="O1103" s="465"/>
      <c r="P1103" s="465"/>
      <c r="Q1103" s="465"/>
      <c r="R1103" s="465"/>
      <c r="S1103" s="465"/>
      <c r="T1103" s="465"/>
      <c r="U1103" s="465"/>
      <c r="V1103" s="465"/>
      <c r="W1103" s="465"/>
      <c r="X1103" s="465"/>
      <c r="Y1103" s="465"/>
      <c r="Z1103" s="465"/>
      <c r="AA1103" s="465"/>
      <c r="AB1103" s="465"/>
      <c r="AC1103" s="465"/>
      <c r="AD1103" s="465"/>
      <c r="AE1103" s="465"/>
      <c r="AF1103" s="465"/>
      <c r="AG1103" s="465"/>
      <c r="AH1103" s="465"/>
      <c r="AI1103" s="465"/>
      <c r="AJ1103" s="465"/>
      <c r="AK1103" s="465"/>
      <c r="AL1103" s="465"/>
      <c r="AM1103" s="465"/>
      <c r="AN1103" s="465"/>
      <c r="AO1103" s="465"/>
      <c r="AP1103" s="465"/>
      <c r="AQ1103" s="465"/>
      <c r="AR1103" s="465"/>
      <c r="AS1103" s="465"/>
      <c r="AT1103" s="465"/>
      <c r="AU1103" s="465"/>
      <c r="AV1103" s="465"/>
      <c r="AW1103" s="465"/>
      <c r="AX1103" s="465"/>
      <c r="AY1103" s="465"/>
      <c r="AZ1103" s="465"/>
      <c r="BA1103" s="465"/>
      <c r="BB1103" s="465"/>
      <c r="BC1103" s="465"/>
    </row>
    <row r="1104" spans="1:55">
      <c r="A1104" s="465"/>
      <c r="B1104" s="465"/>
      <c r="C1104" s="465"/>
      <c r="D1104" s="467"/>
      <c r="E1104" s="465"/>
      <c r="F1104" s="465"/>
      <c r="G1104" s="465"/>
      <c r="H1104" s="465"/>
      <c r="I1104" s="465"/>
      <c r="J1104" s="465"/>
      <c r="K1104" s="465"/>
      <c r="L1104" s="465"/>
      <c r="M1104" s="465"/>
      <c r="N1104" s="465"/>
      <c r="O1104" s="465"/>
      <c r="P1104" s="465"/>
      <c r="Q1104" s="465"/>
      <c r="R1104" s="465"/>
      <c r="S1104" s="465"/>
      <c r="T1104" s="465"/>
      <c r="U1104" s="465"/>
      <c r="V1104" s="465"/>
      <c r="W1104" s="465"/>
      <c r="X1104" s="465"/>
      <c r="Y1104" s="465"/>
      <c r="Z1104" s="465"/>
      <c r="AA1104" s="465"/>
      <c r="AB1104" s="465"/>
      <c r="AC1104" s="465"/>
      <c r="AD1104" s="465"/>
      <c r="AE1104" s="465"/>
      <c r="AF1104" s="465"/>
      <c r="AG1104" s="465"/>
      <c r="AH1104" s="465"/>
      <c r="AI1104" s="465"/>
      <c r="AJ1104" s="465"/>
      <c r="AK1104" s="465"/>
      <c r="AL1104" s="465"/>
      <c r="AM1104" s="465"/>
      <c r="AN1104" s="465"/>
      <c r="AO1104" s="465"/>
      <c r="AP1104" s="465"/>
      <c r="AQ1104" s="465"/>
      <c r="AR1104" s="465"/>
      <c r="AS1104" s="465"/>
      <c r="AT1104" s="465"/>
      <c r="AU1104" s="465"/>
      <c r="AV1104" s="465"/>
      <c r="AW1104" s="465"/>
      <c r="AX1104" s="465"/>
      <c r="AY1104" s="465"/>
      <c r="AZ1104" s="465"/>
      <c r="BA1104" s="465"/>
      <c r="BB1104" s="465"/>
      <c r="BC1104" s="465"/>
    </row>
    <row r="1105" spans="1:55">
      <c r="A1105" s="465"/>
      <c r="B1105" s="465"/>
      <c r="C1105" s="465"/>
      <c r="D1105" s="467"/>
      <c r="E1105" s="465"/>
      <c r="F1105" s="465"/>
      <c r="G1105" s="465"/>
      <c r="H1105" s="465"/>
      <c r="I1105" s="465"/>
      <c r="J1105" s="465"/>
      <c r="K1105" s="465"/>
      <c r="L1105" s="465"/>
      <c r="M1105" s="465"/>
      <c r="N1105" s="465"/>
      <c r="O1105" s="465"/>
      <c r="P1105" s="465"/>
      <c r="Q1105" s="465"/>
      <c r="R1105" s="465"/>
      <c r="S1105" s="465"/>
      <c r="T1105" s="465"/>
      <c r="U1105" s="465"/>
      <c r="V1105" s="465"/>
      <c r="W1105" s="465"/>
      <c r="X1105" s="465"/>
      <c r="Y1105" s="465"/>
      <c r="Z1105" s="465"/>
      <c r="AA1105" s="465"/>
      <c r="AB1105" s="465"/>
      <c r="AC1105" s="465"/>
      <c r="AD1105" s="465"/>
      <c r="AE1105" s="465"/>
      <c r="AF1105" s="465"/>
      <c r="AG1105" s="465"/>
      <c r="AH1105" s="465"/>
      <c r="AI1105" s="465"/>
      <c r="AJ1105" s="465"/>
      <c r="AK1105" s="465"/>
      <c r="AL1105" s="465"/>
      <c r="AM1105" s="465"/>
      <c r="AN1105" s="465"/>
      <c r="AO1105" s="465"/>
      <c r="AP1105" s="465"/>
      <c r="AQ1105" s="465"/>
      <c r="AR1105" s="465"/>
      <c r="AS1105" s="465"/>
      <c r="AT1105" s="465"/>
      <c r="AU1105" s="465"/>
      <c r="AV1105" s="465"/>
      <c r="AW1105" s="465"/>
      <c r="AX1105" s="465"/>
      <c r="AY1105" s="465"/>
      <c r="AZ1105" s="465"/>
      <c r="BA1105" s="465"/>
      <c r="BB1105" s="465"/>
      <c r="BC1105" s="465"/>
    </row>
    <row r="1106" spans="1:55">
      <c r="A1106" s="465"/>
      <c r="B1106" s="465"/>
      <c r="C1106" s="465"/>
      <c r="D1106" s="467"/>
      <c r="E1106" s="465"/>
      <c r="F1106" s="465"/>
      <c r="G1106" s="465"/>
      <c r="H1106" s="465"/>
      <c r="I1106" s="465"/>
      <c r="J1106" s="465"/>
      <c r="K1106" s="465"/>
      <c r="L1106" s="465"/>
      <c r="M1106" s="465"/>
      <c r="N1106" s="465"/>
      <c r="O1106" s="465"/>
      <c r="P1106" s="465"/>
      <c r="Q1106" s="465"/>
      <c r="R1106" s="465"/>
      <c r="S1106" s="465"/>
      <c r="T1106" s="465"/>
      <c r="U1106" s="465"/>
      <c r="V1106" s="465"/>
      <c r="W1106" s="465"/>
      <c r="X1106" s="465"/>
      <c r="Y1106" s="465"/>
      <c r="Z1106" s="465"/>
      <c r="AA1106" s="465"/>
      <c r="AB1106" s="465"/>
      <c r="AC1106" s="465"/>
      <c r="AD1106" s="465"/>
      <c r="AE1106" s="465"/>
      <c r="AF1106" s="465"/>
      <c r="AG1106" s="465"/>
      <c r="AH1106" s="465"/>
      <c r="AI1106" s="465"/>
      <c r="AJ1106" s="465"/>
      <c r="AK1106" s="465"/>
      <c r="AL1106" s="465"/>
      <c r="AM1106" s="465"/>
      <c r="AN1106" s="465"/>
      <c r="AO1106" s="465"/>
      <c r="AP1106" s="465"/>
      <c r="AQ1106" s="465"/>
      <c r="AR1106" s="465"/>
      <c r="AS1106" s="465"/>
      <c r="AT1106" s="465"/>
      <c r="AU1106" s="465"/>
      <c r="AV1106" s="465"/>
      <c r="AW1106" s="465"/>
      <c r="AX1106" s="465"/>
      <c r="AY1106" s="465"/>
      <c r="AZ1106" s="465"/>
      <c r="BA1106" s="465"/>
      <c r="BB1106" s="465"/>
      <c r="BC1106" s="465"/>
    </row>
    <row r="1107" spans="1:55">
      <c r="A1107" s="465"/>
      <c r="B1107" s="465"/>
      <c r="C1107" s="465"/>
      <c r="D1107" s="467"/>
      <c r="E1107" s="465"/>
      <c r="F1107" s="465"/>
      <c r="G1107" s="465"/>
      <c r="H1107" s="465"/>
      <c r="I1107" s="465"/>
      <c r="J1107" s="465"/>
      <c r="K1107" s="465"/>
      <c r="L1107" s="465"/>
      <c r="M1107" s="465"/>
      <c r="N1107" s="465"/>
      <c r="O1107" s="465"/>
      <c r="P1107" s="465"/>
      <c r="Q1107" s="465"/>
      <c r="R1107" s="465"/>
      <c r="S1107" s="465"/>
      <c r="T1107" s="465"/>
      <c r="U1107" s="465"/>
      <c r="V1107" s="465"/>
      <c r="W1107" s="465"/>
      <c r="X1107" s="465"/>
      <c r="Y1107" s="465"/>
      <c r="Z1107" s="465"/>
      <c r="AA1107" s="465"/>
      <c r="AB1107" s="465"/>
      <c r="AC1107" s="465"/>
      <c r="AD1107" s="465"/>
      <c r="AE1107" s="465"/>
      <c r="AF1107" s="465"/>
      <c r="AG1107" s="465"/>
      <c r="AH1107" s="465"/>
      <c r="AI1107" s="465"/>
      <c r="AJ1107" s="465"/>
      <c r="AK1107" s="465"/>
      <c r="AL1107" s="465"/>
      <c r="AM1107" s="465"/>
      <c r="AN1107" s="465"/>
      <c r="AO1107" s="465"/>
      <c r="AP1107" s="465"/>
      <c r="AQ1107" s="465"/>
      <c r="AR1107" s="465"/>
      <c r="AS1107" s="465"/>
      <c r="AT1107" s="465"/>
      <c r="AU1107" s="465"/>
      <c r="AV1107" s="465"/>
      <c r="AW1107" s="465"/>
      <c r="AX1107" s="465"/>
      <c r="AY1107" s="465"/>
      <c r="AZ1107" s="465"/>
      <c r="BA1107" s="465"/>
      <c r="BB1107" s="465"/>
      <c r="BC1107" s="465"/>
    </row>
    <row r="1108" spans="1:55">
      <c r="A1108" s="465"/>
      <c r="B1108" s="465"/>
      <c r="C1108" s="465"/>
      <c r="D1108" s="467"/>
      <c r="E1108" s="465"/>
      <c r="F1108" s="465"/>
      <c r="G1108" s="465"/>
      <c r="H1108" s="465"/>
      <c r="I1108" s="465"/>
      <c r="J1108" s="465"/>
      <c r="K1108" s="465"/>
      <c r="L1108" s="465"/>
      <c r="M1108" s="465"/>
      <c r="N1108" s="465"/>
      <c r="O1108" s="465"/>
      <c r="P1108" s="465"/>
      <c r="Q1108" s="465"/>
      <c r="R1108" s="465"/>
      <c r="S1108" s="465"/>
      <c r="T1108" s="465"/>
      <c r="U1108" s="465"/>
      <c r="V1108" s="465"/>
      <c r="W1108" s="465"/>
      <c r="X1108" s="465"/>
      <c r="Y1108" s="465"/>
      <c r="Z1108" s="465"/>
      <c r="AA1108" s="465"/>
      <c r="AB1108" s="465"/>
      <c r="AC1108" s="465"/>
      <c r="AD1108" s="465"/>
      <c r="AE1108" s="465"/>
      <c r="AF1108" s="465"/>
      <c r="AG1108" s="465"/>
      <c r="AH1108" s="465"/>
      <c r="AI1108" s="465"/>
      <c r="AJ1108" s="465"/>
      <c r="AK1108" s="465"/>
      <c r="AL1108" s="465"/>
      <c r="AM1108" s="465"/>
      <c r="AN1108" s="465"/>
      <c r="AO1108" s="465"/>
      <c r="AP1108" s="465"/>
      <c r="AQ1108" s="465"/>
      <c r="AR1108" s="465"/>
      <c r="AS1108" s="465"/>
      <c r="AT1108" s="465"/>
      <c r="AU1108" s="465"/>
      <c r="AV1108" s="465"/>
      <c r="AW1108" s="465"/>
      <c r="AX1108" s="465"/>
      <c r="AY1108" s="465"/>
      <c r="AZ1108" s="465"/>
      <c r="BA1108" s="465"/>
      <c r="BB1108" s="465"/>
      <c r="BC1108" s="465"/>
    </row>
    <row r="1109" spans="1:55">
      <c r="A1109" s="465"/>
      <c r="B1109" s="465"/>
      <c r="C1109" s="465"/>
      <c r="D1109" s="467"/>
      <c r="E1109" s="465"/>
      <c r="F1109" s="465"/>
      <c r="G1109" s="465"/>
      <c r="H1109" s="465"/>
      <c r="I1109" s="465"/>
      <c r="J1109" s="465"/>
      <c r="K1109" s="465"/>
      <c r="L1109" s="465"/>
      <c r="M1109" s="465"/>
      <c r="N1109" s="465"/>
      <c r="O1109" s="465"/>
      <c r="P1109" s="465"/>
      <c r="Q1109" s="465"/>
      <c r="R1109" s="465"/>
      <c r="S1109" s="465"/>
      <c r="T1109" s="465"/>
      <c r="U1109" s="465"/>
      <c r="V1109" s="465"/>
      <c r="W1109" s="465"/>
      <c r="X1109" s="465"/>
      <c r="Y1109" s="465"/>
      <c r="Z1109" s="465"/>
      <c r="AA1109" s="465"/>
      <c r="AB1109" s="465"/>
      <c r="AC1109" s="465"/>
      <c r="AD1109" s="465"/>
      <c r="AE1109" s="465"/>
      <c r="AF1109" s="465"/>
      <c r="AG1109" s="465"/>
      <c r="AH1109" s="465"/>
      <c r="AI1109" s="465"/>
      <c r="AJ1109" s="465"/>
      <c r="AK1109" s="465"/>
      <c r="AL1109" s="465"/>
      <c r="AM1109" s="465"/>
      <c r="AN1109" s="465"/>
      <c r="AO1109" s="465"/>
      <c r="AP1109" s="465"/>
      <c r="AQ1109" s="465"/>
      <c r="AR1109" s="465"/>
      <c r="AS1109" s="465"/>
      <c r="AT1109" s="465"/>
      <c r="AU1109" s="465"/>
      <c r="AV1109" s="465"/>
      <c r="AW1109" s="465"/>
      <c r="AX1109" s="465"/>
      <c r="AY1109" s="465"/>
      <c r="AZ1109" s="465"/>
      <c r="BA1109" s="465"/>
      <c r="BB1109" s="465"/>
      <c r="BC1109" s="465"/>
    </row>
    <row r="1110" spans="1:55">
      <c r="A1110" s="465"/>
      <c r="B1110" s="465"/>
      <c r="C1110" s="465"/>
      <c r="D1110" s="467"/>
      <c r="E1110" s="465"/>
      <c r="F1110" s="465"/>
      <c r="G1110" s="465"/>
      <c r="H1110" s="465"/>
      <c r="I1110" s="465"/>
      <c r="J1110" s="465"/>
      <c r="K1110" s="465"/>
      <c r="L1110" s="465"/>
      <c r="M1110" s="465"/>
      <c r="N1110" s="465"/>
      <c r="O1110" s="465"/>
      <c r="P1110" s="465"/>
      <c r="Q1110" s="465"/>
      <c r="R1110" s="465"/>
      <c r="S1110" s="465"/>
      <c r="T1110" s="465"/>
      <c r="U1110" s="465"/>
      <c r="V1110" s="465"/>
      <c r="W1110" s="465"/>
      <c r="X1110" s="465"/>
      <c r="Y1110" s="465"/>
      <c r="Z1110" s="465"/>
      <c r="AA1110" s="465"/>
      <c r="AB1110" s="465"/>
      <c r="AC1110" s="465"/>
      <c r="AD1110" s="465"/>
      <c r="AE1110" s="465"/>
      <c r="AF1110" s="465"/>
      <c r="AG1110" s="465"/>
      <c r="AH1110" s="465"/>
      <c r="AI1110" s="465"/>
      <c r="AJ1110" s="465"/>
      <c r="AK1110" s="465"/>
      <c r="AL1110" s="465"/>
      <c r="AM1110" s="465"/>
      <c r="AN1110" s="465"/>
      <c r="AO1110" s="465"/>
      <c r="AP1110" s="465"/>
      <c r="AQ1110" s="465"/>
      <c r="AR1110" s="465"/>
      <c r="AS1110" s="465"/>
      <c r="AT1110" s="465"/>
      <c r="AU1110" s="465"/>
      <c r="AV1110" s="465"/>
      <c r="AW1110" s="465"/>
      <c r="AX1110" s="465"/>
      <c r="AY1110" s="465"/>
      <c r="AZ1110" s="465"/>
      <c r="BA1110" s="465"/>
      <c r="BB1110" s="465"/>
      <c r="BC1110" s="465"/>
    </row>
    <row r="1111" spans="1:55">
      <c r="A1111" s="465"/>
      <c r="B1111" s="465"/>
      <c r="C1111" s="465"/>
      <c r="D1111" s="467"/>
      <c r="E1111" s="465"/>
      <c r="F1111" s="465"/>
      <c r="G1111" s="465"/>
      <c r="H1111" s="465"/>
      <c r="I1111" s="465"/>
      <c r="J1111" s="465"/>
      <c r="K1111" s="465"/>
      <c r="L1111" s="465"/>
      <c r="M1111" s="465"/>
      <c r="N1111" s="465"/>
      <c r="O1111" s="465"/>
      <c r="P1111" s="465"/>
      <c r="Q1111" s="465"/>
      <c r="R1111" s="465"/>
      <c r="S1111" s="465"/>
      <c r="T1111" s="465"/>
      <c r="U1111" s="465"/>
      <c r="V1111" s="465"/>
      <c r="W1111" s="465"/>
      <c r="X1111" s="465"/>
      <c r="Y1111" s="465"/>
      <c r="Z1111" s="465"/>
      <c r="AA1111" s="465"/>
      <c r="AB1111" s="465"/>
      <c r="AC1111" s="465"/>
      <c r="AD1111" s="465"/>
      <c r="AE1111" s="465"/>
      <c r="AF1111" s="465"/>
      <c r="AG1111" s="465"/>
      <c r="AH1111" s="465"/>
      <c r="AI1111" s="465"/>
      <c r="AJ1111" s="465"/>
      <c r="AK1111" s="465"/>
      <c r="AL1111" s="465"/>
      <c r="AM1111" s="465"/>
      <c r="AN1111" s="465"/>
      <c r="AO1111" s="465"/>
      <c r="AP1111" s="465"/>
      <c r="AQ1111" s="465"/>
      <c r="AR1111" s="465"/>
      <c r="AS1111" s="465"/>
      <c r="AT1111" s="465"/>
      <c r="AU1111" s="465"/>
      <c r="AV1111" s="465"/>
      <c r="AW1111" s="465"/>
      <c r="AX1111" s="465"/>
      <c r="AY1111" s="465"/>
      <c r="AZ1111" s="465"/>
      <c r="BA1111" s="465"/>
      <c r="BB1111" s="465"/>
      <c r="BC1111" s="465"/>
    </row>
    <row r="1112" spans="1:55">
      <c r="A1112" s="465"/>
      <c r="B1112" s="465"/>
      <c r="C1112" s="465"/>
      <c r="D1112" s="467"/>
      <c r="E1112" s="465"/>
      <c r="F1112" s="465"/>
      <c r="G1112" s="465"/>
      <c r="H1112" s="465"/>
      <c r="I1112" s="465"/>
      <c r="J1112" s="465"/>
      <c r="K1112" s="465"/>
      <c r="L1112" s="465"/>
      <c r="M1112" s="465"/>
      <c r="N1112" s="465"/>
      <c r="O1112" s="465"/>
      <c r="P1112" s="465"/>
      <c r="Q1112" s="465"/>
      <c r="R1112" s="465"/>
      <c r="S1112" s="465"/>
      <c r="T1112" s="465"/>
      <c r="U1112" s="465"/>
      <c r="V1112" s="465"/>
      <c r="W1112" s="465"/>
      <c r="X1112" s="465"/>
      <c r="Y1112" s="465"/>
      <c r="Z1112" s="465"/>
      <c r="AA1112" s="465"/>
      <c r="AB1112" s="465"/>
      <c r="AC1112" s="465"/>
      <c r="AD1112" s="465"/>
      <c r="AE1112" s="465"/>
      <c r="AF1112" s="465"/>
      <c r="AG1112" s="465"/>
      <c r="AH1112" s="465"/>
      <c r="AI1112" s="465"/>
      <c r="AJ1112" s="465"/>
      <c r="AK1112" s="465"/>
      <c r="AL1112" s="465"/>
      <c r="AM1112" s="465"/>
      <c r="AN1112" s="465"/>
      <c r="AO1112" s="465"/>
      <c r="AP1112" s="465"/>
      <c r="AQ1112" s="465"/>
      <c r="AR1112" s="465"/>
      <c r="AS1112" s="465"/>
      <c r="AT1112" s="465"/>
      <c r="AU1112" s="465"/>
      <c r="AV1112" s="465"/>
      <c r="AW1112" s="465"/>
      <c r="AX1112" s="465"/>
      <c r="AY1112" s="465"/>
      <c r="AZ1112" s="465"/>
      <c r="BA1112" s="465"/>
      <c r="BB1112" s="465"/>
      <c r="BC1112" s="465"/>
    </row>
    <row r="1113" spans="1:55">
      <c r="A1113" s="465"/>
      <c r="B1113" s="465"/>
      <c r="C1113" s="465"/>
      <c r="D1113" s="467"/>
      <c r="E1113" s="465"/>
      <c r="F1113" s="465"/>
      <c r="G1113" s="465"/>
      <c r="H1113" s="465"/>
      <c r="I1113" s="465"/>
      <c r="J1113" s="465"/>
      <c r="K1113" s="465"/>
      <c r="L1113" s="465"/>
      <c r="M1113" s="465"/>
      <c r="N1113" s="465"/>
      <c r="O1113" s="465"/>
      <c r="P1113" s="465"/>
      <c r="Q1113" s="465"/>
      <c r="R1113" s="465"/>
      <c r="S1113" s="465"/>
      <c r="T1113" s="465"/>
      <c r="U1113" s="465"/>
      <c r="V1113" s="465"/>
      <c r="W1113" s="465"/>
      <c r="X1113" s="465"/>
      <c r="Y1113" s="465"/>
      <c r="Z1113" s="465"/>
      <c r="AA1113" s="465"/>
      <c r="AB1113" s="465"/>
      <c r="AC1113" s="465"/>
      <c r="AD1113" s="465"/>
      <c r="AE1113" s="465"/>
      <c r="AF1113" s="465"/>
      <c r="AG1113" s="465"/>
      <c r="AH1113" s="465"/>
      <c r="AI1113" s="465"/>
      <c r="AJ1113" s="465"/>
      <c r="AK1113" s="465"/>
      <c r="AL1113" s="465"/>
      <c r="AM1113" s="465"/>
      <c r="AN1113" s="465"/>
      <c r="AO1113" s="465"/>
      <c r="AP1113" s="465"/>
      <c r="AQ1113" s="465"/>
      <c r="AR1113" s="465"/>
      <c r="AS1113" s="465"/>
      <c r="AT1113" s="465"/>
      <c r="AU1113" s="465"/>
      <c r="AV1113" s="465"/>
      <c r="AW1113" s="465"/>
      <c r="AX1113" s="465"/>
      <c r="AY1113" s="465"/>
      <c r="AZ1113" s="465"/>
      <c r="BA1113" s="465"/>
      <c r="BB1113" s="465"/>
      <c r="BC1113" s="465"/>
    </row>
    <row r="1114" spans="1:55">
      <c r="A1114" s="465"/>
      <c r="B1114" s="465"/>
      <c r="C1114" s="465"/>
      <c r="D1114" s="467"/>
      <c r="E1114" s="465"/>
      <c r="F1114" s="465"/>
      <c r="G1114" s="465"/>
      <c r="H1114" s="465"/>
      <c r="I1114" s="465"/>
      <c r="J1114" s="465"/>
      <c r="K1114" s="465"/>
      <c r="L1114" s="465"/>
      <c r="M1114" s="465"/>
      <c r="N1114" s="465"/>
      <c r="O1114" s="465"/>
      <c r="P1114" s="465"/>
      <c r="Q1114" s="465"/>
      <c r="R1114" s="465"/>
      <c r="S1114" s="465"/>
      <c r="T1114" s="465"/>
      <c r="U1114" s="465"/>
      <c r="V1114" s="465"/>
      <c r="W1114" s="465"/>
      <c r="X1114" s="465"/>
      <c r="Y1114" s="465"/>
      <c r="Z1114" s="465"/>
      <c r="AA1114" s="465"/>
      <c r="AB1114" s="465"/>
      <c r="AC1114" s="465"/>
      <c r="AD1114" s="465"/>
      <c r="AE1114" s="465"/>
      <c r="AF1114" s="465"/>
      <c r="AG1114" s="465"/>
      <c r="AH1114" s="465"/>
      <c r="AI1114" s="465"/>
      <c r="AJ1114" s="465"/>
      <c r="AK1114" s="465"/>
      <c r="AL1114" s="465"/>
      <c r="AM1114" s="465"/>
      <c r="AN1114" s="465"/>
      <c r="AO1114" s="465"/>
      <c r="AP1114" s="465"/>
      <c r="AQ1114" s="465"/>
      <c r="AR1114" s="465"/>
      <c r="AS1114" s="465"/>
      <c r="AT1114" s="465"/>
      <c r="AU1114" s="465"/>
      <c r="AV1114" s="465"/>
      <c r="AW1114" s="465"/>
      <c r="AX1114" s="465"/>
      <c r="AY1114" s="465"/>
      <c r="AZ1114" s="465"/>
      <c r="BA1114" s="465"/>
      <c r="BB1114" s="465"/>
      <c r="BC1114" s="465"/>
    </row>
    <row r="1115" spans="1:55">
      <c r="A1115" s="465"/>
      <c r="B1115" s="465"/>
      <c r="C1115" s="465"/>
      <c r="D1115" s="467"/>
      <c r="E1115" s="465"/>
      <c r="F1115" s="465"/>
      <c r="G1115" s="465"/>
      <c r="H1115" s="465"/>
      <c r="I1115" s="465"/>
      <c r="J1115" s="465"/>
      <c r="K1115" s="465"/>
      <c r="L1115" s="465"/>
      <c r="M1115" s="465"/>
      <c r="N1115" s="465"/>
      <c r="O1115" s="465"/>
      <c r="P1115" s="465"/>
      <c r="Q1115" s="465"/>
      <c r="R1115" s="465"/>
      <c r="S1115" s="465"/>
      <c r="T1115" s="465"/>
      <c r="U1115" s="465"/>
      <c r="V1115" s="465"/>
      <c r="W1115" s="465"/>
      <c r="X1115" s="465"/>
      <c r="Y1115" s="465"/>
      <c r="Z1115" s="465"/>
      <c r="AA1115" s="465"/>
      <c r="AB1115" s="465"/>
      <c r="AC1115" s="465"/>
      <c r="AD1115" s="465"/>
      <c r="AE1115" s="465"/>
      <c r="AF1115" s="465"/>
      <c r="AG1115" s="465"/>
      <c r="AH1115" s="465"/>
      <c r="AI1115" s="465"/>
      <c r="AJ1115" s="465"/>
      <c r="AK1115" s="465"/>
      <c r="AL1115" s="465"/>
      <c r="AM1115" s="465"/>
      <c r="AN1115" s="465"/>
      <c r="AO1115" s="465"/>
      <c r="AP1115" s="465"/>
      <c r="AQ1115" s="465"/>
      <c r="AR1115" s="465"/>
      <c r="AS1115" s="465"/>
      <c r="AT1115" s="465"/>
      <c r="AU1115" s="465"/>
      <c r="AV1115" s="465"/>
      <c r="AW1115" s="465"/>
      <c r="AX1115" s="465"/>
      <c r="AY1115" s="465"/>
      <c r="AZ1115" s="465"/>
      <c r="BA1115" s="465"/>
      <c r="BB1115" s="465"/>
      <c r="BC1115" s="465"/>
    </row>
    <row r="1116" spans="1:55">
      <c r="A1116" s="465"/>
      <c r="B1116" s="465"/>
      <c r="C1116" s="465"/>
      <c r="D1116" s="467"/>
      <c r="E1116" s="465"/>
      <c r="F1116" s="465"/>
      <c r="G1116" s="465"/>
      <c r="H1116" s="465"/>
      <c r="I1116" s="465"/>
      <c r="J1116" s="465"/>
      <c r="K1116" s="465"/>
      <c r="L1116" s="465"/>
      <c r="M1116" s="465"/>
      <c r="N1116" s="465"/>
      <c r="O1116" s="465"/>
      <c r="P1116" s="465"/>
      <c r="Q1116" s="465"/>
      <c r="R1116" s="465"/>
      <c r="S1116" s="465"/>
      <c r="T1116" s="465"/>
      <c r="U1116" s="465"/>
      <c r="V1116" s="465"/>
      <c r="W1116" s="465"/>
      <c r="X1116" s="465"/>
      <c r="Y1116" s="465"/>
      <c r="Z1116" s="465"/>
      <c r="AA1116" s="465"/>
      <c r="AB1116" s="465"/>
      <c r="AC1116" s="465"/>
      <c r="AD1116" s="465"/>
      <c r="AE1116" s="465"/>
      <c r="AF1116" s="465"/>
      <c r="AG1116" s="465"/>
      <c r="AH1116" s="465"/>
      <c r="AI1116" s="465"/>
      <c r="AJ1116" s="465"/>
      <c r="AK1116" s="465"/>
      <c r="AL1116" s="465"/>
      <c r="AM1116" s="465"/>
      <c r="AN1116" s="465"/>
      <c r="AO1116" s="465"/>
      <c r="AP1116" s="465"/>
      <c r="AQ1116" s="465"/>
      <c r="AR1116" s="465"/>
      <c r="AS1116" s="465"/>
      <c r="AT1116" s="465"/>
      <c r="AU1116" s="465"/>
      <c r="AV1116" s="465"/>
      <c r="AW1116" s="465"/>
      <c r="AX1116" s="465"/>
      <c r="AY1116" s="465"/>
      <c r="AZ1116" s="465"/>
      <c r="BA1116" s="465"/>
      <c r="BB1116" s="465"/>
      <c r="BC1116" s="465"/>
    </row>
    <row r="1117" spans="1:55">
      <c r="A1117" s="465"/>
      <c r="B1117" s="465"/>
      <c r="C1117" s="465"/>
      <c r="D1117" s="467"/>
      <c r="E1117" s="465"/>
      <c r="F1117" s="465"/>
      <c r="G1117" s="465"/>
      <c r="H1117" s="465"/>
      <c r="I1117" s="465"/>
      <c r="J1117" s="465"/>
      <c r="K1117" s="465"/>
      <c r="L1117" s="465"/>
      <c r="M1117" s="465"/>
      <c r="N1117" s="465"/>
      <c r="O1117" s="465"/>
      <c r="P1117" s="465"/>
      <c r="Q1117" s="465"/>
      <c r="R1117" s="465"/>
      <c r="S1117" s="465"/>
      <c r="T1117" s="465"/>
      <c r="U1117" s="465"/>
      <c r="V1117" s="465"/>
      <c r="W1117" s="465"/>
      <c r="X1117" s="465"/>
      <c r="Y1117" s="465"/>
      <c r="Z1117" s="465"/>
      <c r="AA1117" s="465"/>
      <c r="AB1117" s="465"/>
      <c r="AC1117" s="465"/>
      <c r="AD1117" s="465"/>
      <c r="AE1117" s="465"/>
      <c r="AF1117" s="465"/>
      <c r="AG1117" s="465"/>
      <c r="AH1117" s="465"/>
      <c r="AI1117" s="465"/>
      <c r="AJ1117" s="465"/>
      <c r="AK1117" s="465"/>
      <c r="AL1117" s="465"/>
      <c r="AM1117" s="465"/>
      <c r="AN1117" s="465"/>
      <c r="AO1117" s="465"/>
      <c r="AP1117" s="465"/>
      <c r="AQ1117" s="465"/>
      <c r="AR1117" s="465"/>
      <c r="AS1117" s="465"/>
      <c r="AT1117" s="465"/>
      <c r="AU1117" s="465"/>
      <c r="AV1117" s="465"/>
      <c r="AW1117" s="465"/>
      <c r="AX1117" s="465"/>
      <c r="AY1117" s="465"/>
      <c r="AZ1117" s="465"/>
      <c r="BA1117" s="465"/>
      <c r="BB1117" s="465"/>
      <c r="BC1117" s="465"/>
    </row>
    <row r="1118" spans="1:55">
      <c r="A1118" s="465"/>
      <c r="B1118" s="465"/>
      <c r="C1118" s="465"/>
      <c r="D1118" s="467"/>
      <c r="E1118" s="465"/>
      <c r="F1118" s="465"/>
      <c r="G1118" s="465"/>
      <c r="H1118" s="465"/>
      <c r="I1118" s="465"/>
      <c r="J1118" s="465"/>
      <c r="K1118" s="465"/>
      <c r="L1118" s="465"/>
      <c r="M1118" s="465"/>
      <c r="N1118" s="465"/>
      <c r="O1118" s="465"/>
      <c r="P1118" s="465"/>
      <c r="Q1118" s="465"/>
      <c r="R1118" s="465"/>
      <c r="S1118" s="465"/>
      <c r="T1118" s="465"/>
      <c r="U1118" s="465"/>
      <c r="V1118" s="465"/>
      <c r="W1118" s="465"/>
      <c r="X1118" s="465"/>
      <c r="Y1118" s="465"/>
      <c r="Z1118" s="465"/>
      <c r="AA1118" s="465"/>
      <c r="AB1118" s="465"/>
      <c r="AC1118" s="465"/>
      <c r="AD1118" s="465"/>
      <c r="AE1118" s="465"/>
      <c r="AF1118" s="465"/>
      <c r="AG1118" s="465"/>
      <c r="AH1118" s="465"/>
      <c r="AI1118" s="465"/>
      <c r="AJ1118" s="465"/>
      <c r="AK1118" s="465"/>
      <c r="AL1118" s="465"/>
      <c r="AM1118" s="465"/>
      <c r="AN1118" s="465"/>
      <c r="AO1118" s="465"/>
      <c r="AP1118" s="465"/>
      <c r="AQ1118" s="465"/>
      <c r="AR1118" s="465"/>
      <c r="AS1118" s="465"/>
      <c r="AT1118" s="465"/>
      <c r="AU1118" s="465"/>
      <c r="AV1118" s="465"/>
      <c r="AW1118" s="465"/>
      <c r="AX1118" s="465"/>
      <c r="AY1118" s="465"/>
      <c r="AZ1118" s="465"/>
      <c r="BA1118" s="465"/>
      <c r="BB1118" s="465"/>
      <c r="BC1118" s="465"/>
    </row>
    <row r="1119" spans="1:55">
      <c r="A1119" s="465"/>
      <c r="B1119" s="465"/>
      <c r="C1119" s="465"/>
      <c r="D1119" s="467"/>
      <c r="E1119" s="465"/>
      <c r="F1119" s="465"/>
      <c r="G1119" s="465"/>
      <c r="H1119" s="465"/>
      <c r="I1119" s="465"/>
      <c r="J1119" s="465"/>
      <c r="K1119" s="465"/>
      <c r="L1119" s="465"/>
      <c r="M1119" s="465"/>
      <c r="N1119" s="465"/>
      <c r="O1119" s="465"/>
      <c r="P1119" s="465"/>
      <c r="Q1119" s="465"/>
      <c r="R1119" s="465"/>
      <c r="S1119" s="465"/>
      <c r="T1119" s="465"/>
      <c r="U1119" s="465"/>
      <c r="V1119" s="465"/>
      <c r="W1119" s="465"/>
      <c r="X1119" s="465"/>
      <c r="Y1119" s="465"/>
      <c r="Z1119" s="465"/>
      <c r="AA1119" s="465"/>
      <c r="AB1119" s="465"/>
      <c r="AC1119" s="465"/>
      <c r="AD1119" s="465"/>
      <c r="AE1119" s="465"/>
      <c r="AF1119" s="465"/>
      <c r="AG1119" s="465"/>
      <c r="AH1119" s="465"/>
      <c r="AI1119" s="465"/>
      <c r="AJ1119" s="465"/>
      <c r="AK1119" s="465"/>
      <c r="AL1119" s="465"/>
      <c r="AM1119" s="465"/>
      <c r="AN1119" s="465"/>
      <c r="AO1119" s="465"/>
      <c r="AP1119" s="465"/>
      <c r="AQ1119" s="465"/>
      <c r="AR1119" s="465"/>
      <c r="AS1119" s="465"/>
      <c r="AT1119" s="465"/>
      <c r="AU1119" s="465"/>
      <c r="AV1119" s="465"/>
      <c r="AW1119" s="465"/>
      <c r="AX1119" s="465"/>
      <c r="AY1119" s="465"/>
      <c r="AZ1119" s="465"/>
      <c r="BA1119" s="465"/>
      <c r="BB1119" s="465"/>
      <c r="BC1119" s="465"/>
    </row>
    <row r="1120" spans="1:55">
      <c r="A1120" s="465"/>
      <c r="B1120" s="465"/>
      <c r="C1120" s="465"/>
      <c r="D1120" s="467"/>
      <c r="E1120" s="465"/>
      <c r="F1120" s="465"/>
      <c r="G1120" s="465"/>
      <c r="H1120" s="465"/>
      <c r="I1120" s="465"/>
      <c r="J1120" s="465"/>
      <c r="K1120" s="465"/>
      <c r="L1120" s="465"/>
      <c r="M1120" s="465"/>
      <c r="N1120" s="465"/>
      <c r="O1120" s="465"/>
      <c r="P1120" s="465"/>
      <c r="Q1120" s="465"/>
      <c r="R1120" s="465"/>
      <c r="S1120" s="465"/>
      <c r="T1120" s="465"/>
      <c r="U1120" s="465"/>
      <c r="V1120" s="465"/>
      <c r="W1120" s="465"/>
      <c r="X1120" s="465"/>
      <c r="Y1120" s="465"/>
      <c r="Z1120" s="465"/>
      <c r="AA1120" s="465"/>
      <c r="AB1120" s="465"/>
      <c r="AC1120" s="465"/>
      <c r="AD1120" s="465"/>
      <c r="AE1120" s="465"/>
      <c r="AF1120" s="465"/>
      <c r="AG1120" s="465"/>
      <c r="AH1120" s="465"/>
      <c r="AI1120" s="465"/>
      <c r="AJ1120" s="465"/>
      <c r="AK1120" s="465"/>
      <c r="AL1120" s="465"/>
      <c r="AM1120" s="465"/>
      <c r="AN1120" s="465"/>
      <c r="AO1120" s="465"/>
      <c r="AP1120" s="465"/>
      <c r="AQ1120" s="465"/>
      <c r="AR1120" s="465"/>
      <c r="AS1120" s="465"/>
      <c r="AT1120" s="465"/>
      <c r="AU1120" s="465"/>
      <c r="AV1120" s="465"/>
      <c r="AW1120" s="465"/>
      <c r="AX1120" s="465"/>
      <c r="AY1120" s="465"/>
      <c r="AZ1120" s="465"/>
      <c r="BA1120" s="465"/>
      <c r="BB1120" s="465"/>
      <c r="BC1120" s="465"/>
    </row>
    <row r="1121" spans="1:55">
      <c r="A1121" s="465"/>
      <c r="B1121" s="465"/>
      <c r="C1121" s="465"/>
      <c r="D1121" s="467"/>
      <c r="E1121" s="465"/>
      <c r="F1121" s="465"/>
      <c r="G1121" s="465"/>
      <c r="H1121" s="465"/>
      <c r="I1121" s="465"/>
      <c r="J1121" s="465"/>
      <c r="K1121" s="465"/>
      <c r="L1121" s="465"/>
      <c r="M1121" s="465"/>
      <c r="N1121" s="465"/>
      <c r="O1121" s="465"/>
      <c r="P1121" s="465"/>
      <c r="Q1121" s="465"/>
      <c r="R1121" s="465"/>
      <c r="S1121" s="465"/>
      <c r="T1121" s="465"/>
      <c r="U1121" s="465"/>
      <c r="V1121" s="465"/>
      <c r="W1121" s="465"/>
      <c r="X1121" s="465"/>
      <c r="Y1121" s="465"/>
      <c r="Z1121" s="465"/>
      <c r="AA1121" s="465"/>
      <c r="AB1121" s="465"/>
      <c r="AC1121" s="465"/>
      <c r="AD1121" s="465"/>
      <c r="AE1121" s="465"/>
      <c r="AF1121" s="465"/>
      <c r="AG1121" s="465"/>
      <c r="AH1121" s="465"/>
      <c r="AI1121" s="465"/>
      <c r="AJ1121" s="465"/>
      <c r="AK1121" s="465"/>
      <c r="AL1121" s="465"/>
      <c r="AM1121" s="465"/>
      <c r="AN1121" s="465"/>
      <c r="AO1121" s="465"/>
      <c r="AP1121" s="465"/>
      <c r="AQ1121" s="465"/>
      <c r="AR1121" s="465"/>
      <c r="AS1121" s="465"/>
      <c r="AT1121" s="465"/>
      <c r="AU1121" s="465"/>
      <c r="AV1121" s="465"/>
      <c r="AW1121" s="465"/>
      <c r="AX1121" s="465"/>
      <c r="AY1121" s="465"/>
      <c r="AZ1121" s="465"/>
      <c r="BA1121" s="465"/>
      <c r="BB1121" s="465"/>
      <c r="BC1121" s="465"/>
    </row>
    <row r="1122" spans="1:55">
      <c r="A1122" s="465"/>
      <c r="B1122" s="465"/>
      <c r="C1122" s="465"/>
      <c r="D1122" s="467"/>
      <c r="E1122" s="465"/>
      <c r="F1122" s="465"/>
      <c r="G1122" s="465"/>
      <c r="H1122" s="465"/>
      <c r="I1122" s="465"/>
      <c r="J1122" s="465"/>
      <c r="K1122" s="465"/>
      <c r="L1122" s="465"/>
      <c r="M1122" s="465"/>
      <c r="N1122" s="465"/>
      <c r="O1122" s="465"/>
      <c r="P1122" s="465"/>
      <c r="Q1122" s="465"/>
      <c r="R1122" s="465"/>
      <c r="S1122" s="465"/>
      <c r="T1122" s="465"/>
      <c r="U1122" s="465"/>
      <c r="V1122" s="465"/>
      <c r="W1122" s="465"/>
      <c r="X1122" s="465"/>
      <c r="Y1122" s="465"/>
      <c r="Z1122" s="465"/>
      <c r="AA1122" s="465"/>
      <c r="AB1122" s="465"/>
      <c r="AC1122" s="465"/>
      <c r="AD1122" s="465"/>
      <c r="AE1122" s="465"/>
      <c r="AF1122" s="465"/>
      <c r="AG1122" s="465"/>
      <c r="AH1122" s="465"/>
      <c r="AI1122" s="465"/>
      <c r="AJ1122" s="465"/>
      <c r="AK1122" s="465"/>
      <c r="AL1122" s="465"/>
      <c r="AM1122" s="465"/>
      <c r="AN1122" s="465"/>
      <c r="AO1122" s="465"/>
      <c r="AP1122" s="465"/>
      <c r="AQ1122" s="465"/>
      <c r="AR1122" s="465"/>
      <c r="AS1122" s="465"/>
      <c r="AT1122" s="465"/>
      <c r="AU1122" s="465"/>
      <c r="AV1122" s="465"/>
      <c r="AW1122" s="465"/>
      <c r="AX1122" s="465"/>
      <c r="AY1122" s="465"/>
      <c r="AZ1122" s="465"/>
      <c r="BA1122" s="465"/>
      <c r="BB1122" s="465"/>
      <c r="BC1122" s="465"/>
    </row>
    <row r="1123" spans="1:55">
      <c r="A1123" s="465"/>
      <c r="B1123" s="465"/>
      <c r="C1123" s="465"/>
      <c r="D1123" s="467"/>
      <c r="E1123" s="465"/>
      <c r="F1123" s="465"/>
      <c r="G1123" s="465"/>
      <c r="H1123" s="465"/>
      <c r="I1123" s="465"/>
      <c r="J1123" s="465"/>
      <c r="K1123" s="465"/>
      <c r="L1123" s="465"/>
      <c r="M1123" s="465"/>
      <c r="N1123" s="465"/>
      <c r="O1123" s="465"/>
      <c r="P1123" s="465"/>
      <c r="Q1123" s="465"/>
      <c r="R1123" s="465"/>
      <c r="S1123" s="465"/>
      <c r="T1123" s="465"/>
      <c r="U1123" s="465"/>
      <c r="V1123" s="465"/>
      <c r="W1123" s="465"/>
      <c r="X1123" s="465"/>
      <c r="Y1123" s="465"/>
      <c r="Z1123" s="465"/>
      <c r="AA1123" s="465"/>
      <c r="AB1123" s="465"/>
      <c r="AC1123" s="465"/>
      <c r="AD1123" s="465"/>
      <c r="AE1123" s="465"/>
      <c r="AF1123" s="465"/>
      <c r="AG1123" s="465"/>
      <c r="AH1123" s="465"/>
      <c r="AI1123" s="465"/>
      <c r="AJ1123" s="465"/>
      <c r="AK1123" s="465"/>
      <c r="AL1123" s="465"/>
      <c r="AM1123" s="465"/>
      <c r="AN1123" s="465"/>
      <c r="AO1123" s="465"/>
      <c r="AP1123" s="465"/>
      <c r="AQ1123" s="465"/>
      <c r="AR1123" s="465"/>
      <c r="AS1123" s="465"/>
      <c r="AT1123" s="465"/>
      <c r="AU1123" s="465"/>
      <c r="AV1123" s="465"/>
      <c r="AW1123" s="465"/>
      <c r="AX1123" s="465"/>
      <c r="AY1123" s="465"/>
      <c r="AZ1123" s="465"/>
      <c r="BA1123" s="465"/>
      <c r="BB1123" s="465"/>
      <c r="BC1123" s="465"/>
    </row>
    <row r="1124" spans="1:55">
      <c r="A1124" s="465"/>
      <c r="B1124" s="465"/>
      <c r="C1124" s="465"/>
      <c r="D1124" s="467"/>
      <c r="E1124" s="465"/>
      <c r="F1124" s="465"/>
      <c r="G1124" s="465"/>
      <c r="H1124" s="465"/>
      <c r="I1124" s="465"/>
      <c r="J1124" s="465"/>
      <c r="K1124" s="465"/>
      <c r="L1124" s="465"/>
      <c r="M1124" s="465"/>
      <c r="N1124" s="465"/>
      <c r="O1124" s="465"/>
      <c r="P1124" s="465"/>
      <c r="Q1124" s="465"/>
      <c r="R1124" s="465"/>
      <c r="S1124" s="465"/>
      <c r="T1124" s="465"/>
      <c r="U1124" s="465"/>
      <c r="V1124" s="465"/>
      <c r="W1124" s="465"/>
      <c r="X1124" s="465"/>
      <c r="Y1124" s="465"/>
      <c r="Z1124" s="465"/>
      <c r="AA1124" s="465"/>
      <c r="AB1124" s="465"/>
      <c r="AC1124" s="465"/>
      <c r="AD1124" s="465"/>
      <c r="AE1124" s="465"/>
      <c r="AF1124" s="465"/>
      <c r="AG1124" s="465"/>
      <c r="AH1124" s="465"/>
      <c r="AI1124" s="465"/>
      <c r="AJ1124" s="465"/>
      <c r="AK1124" s="465"/>
      <c r="AL1124" s="465"/>
      <c r="AM1124" s="465"/>
      <c r="AN1124" s="465"/>
      <c r="AO1124" s="465"/>
      <c r="AP1124" s="465"/>
      <c r="AQ1124" s="465"/>
      <c r="AR1124" s="465"/>
      <c r="AS1124" s="465"/>
      <c r="AT1124" s="465"/>
      <c r="AU1124" s="465"/>
      <c r="AV1124" s="465"/>
      <c r="AW1124" s="465"/>
      <c r="AX1124" s="465"/>
      <c r="AY1124" s="465"/>
      <c r="AZ1124" s="465"/>
      <c r="BA1124" s="465"/>
      <c r="BB1124" s="465"/>
      <c r="BC1124" s="465"/>
    </row>
    <row r="1125" spans="1:55">
      <c r="A1125" s="465"/>
      <c r="B1125" s="465"/>
      <c r="C1125" s="465"/>
      <c r="D1125" s="467"/>
      <c r="E1125" s="465"/>
      <c r="F1125" s="465"/>
      <c r="G1125" s="465"/>
      <c r="H1125" s="465"/>
      <c r="I1125" s="465"/>
      <c r="J1125" s="465"/>
      <c r="K1125" s="465"/>
      <c r="L1125" s="465"/>
      <c r="M1125" s="465"/>
      <c r="N1125" s="465"/>
      <c r="O1125" s="465"/>
      <c r="P1125" s="465"/>
      <c r="Q1125" s="465"/>
      <c r="R1125" s="465"/>
      <c r="S1125" s="465"/>
      <c r="T1125" s="465"/>
      <c r="U1125" s="465"/>
      <c r="V1125" s="465"/>
      <c r="W1125" s="465"/>
      <c r="X1125" s="465"/>
      <c r="Y1125" s="465"/>
      <c r="Z1125" s="465"/>
      <c r="AA1125" s="465"/>
      <c r="AB1125" s="465"/>
      <c r="AC1125" s="465"/>
      <c r="AD1125" s="465"/>
      <c r="AE1125" s="465"/>
      <c r="AF1125" s="465"/>
      <c r="AG1125" s="465"/>
      <c r="AH1125" s="465"/>
      <c r="AI1125" s="465"/>
      <c r="AJ1125" s="465"/>
      <c r="AK1125" s="465"/>
      <c r="AL1125" s="465"/>
      <c r="AM1125" s="465"/>
      <c r="AN1125" s="465"/>
      <c r="AO1125" s="465"/>
      <c r="AP1125" s="465"/>
      <c r="AQ1125" s="465"/>
      <c r="AR1125" s="465"/>
      <c r="AS1125" s="465"/>
      <c r="AT1125" s="465"/>
      <c r="AU1125" s="465"/>
      <c r="AV1125" s="465"/>
      <c r="AW1125" s="465"/>
      <c r="AX1125" s="465"/>
      <c r="AY1125" s="465"/>
      <c r="AZ1125" s="465"/>
      <c r="BA1125" s="465"/>
      <c r="BB1125" s="465"/>
      <c r="BC1125" s="465"/>
    </row>
    <row r="1126" spans="1:55">
      <c r="A1126" s="465"/>
      <c r="B1126" s="465"/>
      <c r="C1126" s="465"/>
      <c r="D1126" s="467"/>
      <c r="E1126" s="465"/>
      <c r="F1126" s="465"/>
      <c r="G1126" s="465"/>
      <c r="H1126" s="465"/>
      <c r="I1126" s="465"/>
      <c r="J1126" s="465"/>
      <c r="K1126" s="465"/>
      <c r="L1126" s="465"/>
      <c r="M1126" s="465"/>
      <c r="N1126" s="465"/>
      <c r="O1126" s="465"/>
      <c r="P1126" s="465"/>
      <c r="Q1126" s="465"/>
      <c r="R1126" s="465"/>
      <c r="S1126" s="465"/>
      <c r="T1126" s="465"/>
      <c r="U1126" s="465"/>
      <c r="V1126" s="465"/>
      <c r="W1126" s="465"/>
      <c r="X1126" s="465"/>
      <c r="Y1126" s="465"/>
      <c r="Z1126" s="465"/>
      <c r="AA1126" s="465"/>
      <c r="AB1126" s="465"/>
      <c r="AC1126" s="465"/>
      <c r="AD1126" s="465"/>
      <c r="AE1126" s="465"/>
      <c r="AF1126" s="465"/>
      <c r="AG1126" s="465"/>
      <c r="AH1126" s="465"/>
      <c r="AI1126" s="465"/>
      <c r="AJ1126" s="465"/>
      <c r="AK1126" s="465"/>
      <c r="AL1126" s="465"/>
      <c r="AM1126" s="465"/>
      <c r="AN1126" s="465"/>
      <c r="AO1126" s="465"/>
      <c r="AP1126" s="465"/>
      <c r="AQ1126" s="465"/>
      <c r="AR1126" s="465"/>
      <c r="AS1126" s="465"/>
      <c r="AT1126" s="465"/>
      <c r="AU1126" s="465"/>
      <c r="AV1126" s="465"/>
      <c r="AW1126" s="465"/>
      <c r="AX1126" s="465"/>
      <c r="AY1126" s="465"/>
      <c r="AZ1126" s="465"/>
      <c r="BA1126" s="465"/>
      <c r="BB1126" s="465"/>
      <c r="BC1126" s="465"/>
    </row>
    <row r="1127" spans="1:55">
      <c r="A1127" s="465"/>
      <c r="B1127" s="465"/>
      <c r="C1127" s="465"/>
      <c r="D1127" s="467"/>
      <c r="E1127" s="465"/>
      <c r="F1127" s="465"/>
      <c r="G1127" s="465"/>
      <c r="H1127" s="465"/>
      <c r="I1127" s="465"/>
      <c r="J1127" s="465"/>
      <c r="K1127" s="465"/>
      <c r="L1127" s="465"/>
      <c r="M1127" s="465"/>
      <c r="N1127" s="465"/>
      <c r="O1127" s="465"/>
      <c r="P1127" s="465"/>
      <c r="Q1127" s="465"/>
      <c r="R1127" s="465"/>
      <c r="S1127" s="465"/>
      <c r="T1127" s="465"/>
      <c r="U1127" s="465"/>
      <c r="V1127" s="465"/>
      <c r="W1127" s="465"/>
      <c r="X1127" s="465"/>
      <c r="Y1127" s="465"/>
      <c r="Z1127" s="465"/>
      <c r="AA1127" s="465"/>
      <c r="AB1127" s="465"/>
      <c r="AC1127" s="465"/>
      <c r="AD1127" s="465"/>
      <c r="AE1127" s="465"/>
      <c r="AF1127" s="465"/>
      <c r="AG1127" s="465"/>
      <c r="AH1127" s="465"/>
      <c r="AI1127" s="465"/>
      <c r="AJ1127" s="465"/>
      <c r="AK1127" s="465"/>
      <c r="AL1127" s="465"/>
      <c r="AM1127" s="465"/>
      <c r="AN1127" s="465"/>
      <c r="AO1127" s="465"/>
      <c r="AP1127" s="465"/>
      <c r="AQ1127" s="465"/>
      <c r="AR1127" s="465"/>
      <c r="AS1127" s="465"/>
      <c r="AT1127" s="465"/>
      <c r="AU1127" s="465"/>
      <c r="AV1127" s="465"/>
      <c r="AW1127" s="465"/>
      <c r="AX1127" s="465"/>
      <c r="AY1127" s="465"/>
      <c r="AZ1127" s="465"/>
      <c r="BA1127" s="465"/>
      <c r="BB1127" s="465"/>
      <c r="BC1127" s="465"/>
    </row>
    <row r="1128" spans="1:55">
      <c r="A1128" s="465"/>
      <c r="B1128" s="465"/>
      <c r="C1128" s="465"/>
      <c r="D1128" s="467"/>
      <c r="E1128" s="465"/>
      <c r="F1128" s="465"/>
      <c r="G1128" s="465"/>
      <c r="H1128" s="465"/>
      <c r="I1128" s="465"/>
      <c r="J1128" s="465"/>
      <c r="K1128" s="465"/>
      <c r="L1128" s="465"/>
      <c r="M1128" s="465"/>
      <c r="N1128" s="465"/>
      <c r="O1128" s="465"/>
      <c r="P1128" s="465"/>
      <c r="Q1128" s="465"/>
      <c r="R1128" s="465"/>
      <c r="S1128" s="465"/>
      <c r="T1128" s="465"/>
      <c r="U1128" s="465"/>
      <c r="V1128" s="465"/>
      <c r="W1128" s="465"/>
      <c r="X1128" s="465"/>
      <c r="Y1128" s="465"/>
      <c r="Z1128" s="465"/>
      <c r="AA1128" s="465"/>
      <c r="AB1128" s="465"/>
      <c r="AC1128" s="465"/>
      <c r="AD1128" s="465"/>
      <c r="AE1128" s="465"/>
      <c r="AF1128" s="465"/>
      <c r="AG1128" s="465"/>
      <c r="AH1128" s="465"/>
      <c r="AI1128" s="465"/>
      <c r="AJ1128" s="465"/>
      <c r="AK1128" s="465"/>
      <c r="AL1128" s="465"/>
      <c r="AM1128" s="465"/>
      <c r="AN1128" s="465"/>
      <c r="AO1128" s="465"/>
      <c r="AP1128" s="465"/>
      <c r="AQ1128" s="465"/>
      <c r="AR1128" s="465"/>
      <c r="AS1128" s="465"/>
      <c r="AT1128" s="465"/>
      <c r="AU1128" s="465"/>
      <c r="AV1128" s="465"/>
      <c r="AW1128" s="465"/>
      <c r="AX1128" s="465"/>
      <c r="AY1128" s="465"/>
      <c r="AZ1128" s="465"/>
      <c r="BA1128" s="465"/>
      <c r="BB1128" s="465"/>
      <c r="BC1128" s="465"/>
    </row>
    <row r="1129" spans="1:55">
      <c r="A1129" s="465"/>
      <c r="B1129" s="465"/>
      <c r="C1129" s="465"/>
      <c r="D1129" s="467"/>
      <c r="E1129" s="465"/>
      <c r="F1129" s="465"/>
      <c r="G1129" s="465"/>
      <c r="H1129" s="465"/>
      <c r="I1129" s="465"/>
      <c r="J1129" s="465"/>
      <c r="K1129" s="465"/>
      <c r="L1129" s="465"/>
      <c r="M1129" s="465"/>
      <c r="N1129" s="465"/>
      <c r="O1129" s="465"/>
      <c r="P1129" s="465"/>
      <c r="Q1129" s="465"/>
      <c r="R1129" s="465"/>
      <c r="S1129" s="465"/>
      <c r="T1129" s="465"/>
      <c r="U1129" s="465"/>
      <c r="V1129" s="465"/>
      <c r="W1129" s="465"/>
      <c r="X1129" s="465"/>
      <c r="Y1129" s="465"/>
      <c r="Z1129" s="465"/>
      <c r="AA1129" s="465"/>
      <c r="AB1129" s="465"/>
      <c r="AC1129" s="465"/>
      <c r="AD1129" s="465"/>
      <c r="AE1129" s="465"/>
      <c r="AF1129" s="465"/>
      <c r="AG1129" s="465"/>
      <c r="AH1129" s="465"/>
      <c r="AI1129" s="465"/>
      <c r="AJ1129" s="465"/>
      <c r="AK1129" s="465"/>
      <c r="AL1129" s="465"/>
      <c r="AM1129" s="465"/>
      <c r="AN1129" s="465"/>
      <c r="AO1129" s="465"/>
      <c r="AP1129" s="465"/>
      <c r="AQ1129" s="465"/>
      <c r="AR1129" s="465"/>
      <c r="AS1129" s="465"/>
      <c r="AT1129" s="465"/>
      <c r="AU1129" s="465"/>
      <c r="AV1129" s="465"/>
      <c r="AW1129" s="465"/>
      <c r="AX1129" s="465"/>
      <c r="AY1129" s="465"/>
      <c r="AZ1129" s="465"/>
      <c r="BA1129" s="465"/>
      <c r="BB1129" s="465"/>
      <c r="BC1129" s="465"/>
    </row>
    <row r="1130" spans="1:55">
      <c r="A1130" s="465"/>
      <c r="B1130" s="465"/>
      <c r="C1130" s="465"/>
      <c r="D1130" s="467"/>
      <c r="E1130" s="465"/>
      <c r="F1130" s="465"/>
      <c r="G1130" s="465"/>
      <c r="H1130" s="465"/>
      <c r="I1130" s="465"/>
      <c r="J1130" s="465"/>
      <c r="K1130" s="465"/>
      <c r="L1130" s="465"/>
      <c r="M1130" s="465"/>
      <c r="N1130" s="465"/>
      <c r="O1130" s="465"/>
      <c r="P1130" s="465"/>
      <c r="Q1130" s="465"/>
      <c r="R1130" s="465"/>
      <c r="S1130" s="465"/>
      <c r="T1130" s="465"/>
      <c r="U1130" s="465"/>
      <c r="V1130" s="465"/>
      <c r="W1130" s="465"/>
      <c r="X1130" s="465"/>
      <c r="Y1130" s="465"/>
      <c r="Z1130" s="465"/>
      <c r="AA1130" s="465"/>
      <c r="AB1130" s="465"/>
      <c r="AC1130" s="465"/>
      <c r="AD1130" s="465"/>
      <c r="AE1130" s="465"/>
      <c r="AF1130" s="465"/>
      <c r="AG1130" s="465"/>
      <c r="AH1130" s="465"/>
      <c r="AI1130" s="465"/>
      <c r="AJ1130" s="465"/>
      <c r="AK1130" s="465"/>
      <c r="AL1130" s="465"/>
      <c r="AM1130" s="465"/>
      <c r="AN1130" s="465"/>
      <c r="AO1130" s="465"/>
      <c r="AP1130" s="465"/>
      <c r="AQ1130" s="465"/>
      <c r="AR1130" s="465"/>
      <c r="AS1130" s="465"/>
      <c r="AT1130" s="465"/>
      <c r="AU1130" s="465"/>
      <c r="AV1130" s="465"/>
      <c r="AW1130" s="465"/>
      <c r="AX1130" s="465"/>
      <c r="AY1130" s="465"/>
      <c r="AZ1130" s="465"/>
      <c r="BA1130" s="465"/>
      <c r="BB1130" s="465"/>
      <c r="BC1130" s="465"/>
    </row>
    <row r="1131" spans="1:55">
      <c r="A1131" s="465"/>
      <c r="B1131" s="465"/>
      <c r="C1131" s="465"/>
      <c r="D1131" s="467"/>
      <c r="E1131" s="465"/>
      <c r="F1131" s="465"/>
      <c r="G1131" s="465"/>
      <c r="H1131" s="465"/>
      <c r="I1131" s="465"/>
      <c r="J1131" s="465"/>
      <c r="K1131" s="465"/>
      <c r="L1131" s="465"/>
      <c r="M1131" s="465"/>
      <c r="N1131" s="465"/>
      <c r="O1131" s="465"/>
      <c r="P1131" s="465"/>
      <c r="Q1131" s="465"/>
      <c r="R1131" s="465"/>
      <c r="S1131" s="465"/>
      <c r="T1131" s="465"/>
      <c r="U1131" s="465"/>
      <c r="V1131" s="465"/>
      <c r="W1131" s="465"/>
      <c r="X1131" s="465"/>
      <c r="Y1131" s="465"/>
      <c r="Z1131" s="465"/>
      <c r="AA1131" s="465"/>
      <c r="AB1131" s="465"/>
      <c r="AC1131" s="465"/>
      <c r="AD1131" s="465"/>
      <c r="AE1131" s="465"/>
      <c r="AF1131" s="465"/>
      <c r="AG1131" s="465"/>
      <c r="AH1131" s="465"/>
      <c r="AI1131" s="465"/>
      <c r="AJ1131" s="465"/>
      <c r="AK1131" s="465"/>
      <c r="AL1131" s="465"/>
      <c r="AM1131" s="465"/>
      <c r="AN1131" s="465"/>
      <c r="AO1131" s="465"/>
      <c r="AP1131" s="465"/>
      <c r="AQ1131" s="465"/>
      <c r="AR1131" s="465"/>
      <c r="AS1131" s="465"/>
      <c r="AT1131" s="465"/>
      <c r="AU1131" s="465"/>
      <c r="AV1131" s="465"/>
      <c r="AW1131" s="465"/>
      <c r="AX1131" s="465"/>
      <c r="AY1131" s="465"/>
      <c r="AZ1131" s="465"/>
      <c r="BA1131" s="465"/>
      <c r="BB1131" s="465"/>
      <c r="BC1131" s="465"/>
    </row>
    <row r="1132" spans="1:55">
      <c r="A1132" s="465"/>
      <c r="B1132" s="465"/>
      <c r="C1132" s="465"/>
      <c r="D1132" s="467"/>
      <c r="E1132" s="465"/>
      <c r="F1132" s="465"/>
      <c r="G1132" s="465"/>
      <c r="H1132" s="465"/>
      <c r="I1132" s="465"/>
      <c r="J1132" s="465"/>
      <c r="K1132" s="465"/>
      <c r="L1132" s="465"/>
      <c r="M1132" s="465"/>
      <c r="N1132" s="465"/>
      <c r="O1132" s="465"/>
      <c r="P1132" s="465"/>
      <c r="Q1132" s="465"/>
      <c r="R1132" s="465"/>
      <c r="S1132" s="465"/>
      <c r="T1132" s="465"/>
      <c r="U1132" s="465"/>
      <c r="V1132" s="465"/>
      <c r="W1132" s="465"/>
      <c r="X1132" s="465"/>
      <c r="Y1132" s="465"/>
      <c r="Z1132" s="465"/>
      <c r="AA1132" s="465"/>
      <c r="AB1132" s="465"/>
      <c r="AC1132" s="465"/>
      <c r="AD1132" s="465"/>
      <c r="AE1132" s="465"/>
      <c r="AF1132" s="465"/>
      <c r="AG1132" s="465"/>
      <c r="AH1132" s="465"/>
      <c r="AI1132" s="465"/>
      <c r="AJ1132" s="465"/>
      <c r="AK1132" s="465"/>
      <c r="AL1132" s="465"/>
      <c r="AM1132" s="465"/>
      <c r="AN1132" s="465"/>
      <c r="AO1132" s="465"/>
      <c r="AP1132" s="465"/>
      <c r="AQ1132" s="465"/>
      <c r="AR1132" s="465"/>
      <c r="AS1132" s="465"/>
      <c r="AT1132" s="465"/>
      <c r="AU1132" s="465"/>
      <c r="AV1132" s="465"/>
      <c r="AW1132" s="465"/>
      <c r="AX1132" s="465"/>
      <c r="AY1132" s="465"/>
      <c r="AZ1132" s="465"/>
      <c r="BA1132" s="465"/>
      <c r="BB1132" s="465"/>
      <c r="BC1132" s="465"/>
    </row>
    <row r="1133" spans="1:55">
      <c r="A1133" s="465"/>
      <c r="B1133" s="465"/>
      <c r="C1133" s="465"/>
      <c r="D1133" s="467"/>
      <c r="E1133" s="465"/>
      <c r="F1133" s="465"/>
      <c r="G1133" s="465"/>
      <c r="H1133" s="465"/>
      <c r="I1133" s="465"/>
      <c r="J1133" s="465"/>
      <c r="K1133" s="465"/>
      <c r="L1133" s="465"/>
      <c r="M1133" s="465"/>
      <c r="N1133" s="465"/>
      <c r="O1133" s="465"/>
      <c r="P1133" s="465"/>
      <c r="Q1133" s="465"/>
      <c r="R1133" s="465"/>
      <c r="S1133" s="465"/>
      <c r="T1133" s="465"/>
      <c r="U1133" s="465"/>
      <c r="V1133" s="465"/>
      <c r="W1133" s="465"/>
      <c r="X1133" s="465"/>
      <c r="Y1133" s="465"/>
      <c r="Z1133" s="465"/>
      <c r="AA1133" s="465"/>
      <c r="AB1133" s="465"/>
      <c r="AC1133" s="465"/>
      <c r="AD1133" s="465"/>
      <c r="AE1133" s="465"/>
      <c r="AF1133" s="465"/>
      <c r="AG1133" s="465"/>
      <c r="AH1133" s="465"/>
      <c r="AI1133" s="465"/>
      <c r="AJ1133" s="465"/>
      <c r="AK1133" s="465"/>
      <c r="AL1133" s="465"/>
      <c r="AM1133" s="465"/>
      <c r="AN1133" s="465"/>
      <c r="AO1133" s="465"/>
      <c r="AP1133" s="465"/>
      <c r="AQ1133" s="465"/>
      <c r="AR1133" s="465"/>
      <c r="AS1133" s="465"/>
      <c r="AT1133" s="465"/>
      <c r="AU1133" s="465"/>
      <c r="AV1133" s="465"/>
      <c r="AW1133" s="465"/>
      <c r="AX1133" s="465"/>
      <c r="AY1133" s="465"/>
      <c r="AZ1133" s="465"/>
      <c r="BA1133" s="465"/>
      <c r="BB1133" s="465"/>
      <c r="BC1133" s="465"/>
    </row>
    <row r="1134" spans="1:55">
      <c r="A1134" s="465"/>
      <c r="B1134" s="465"/>
      <c r="C1134" s="465"/>
      <c r="D1134" s="467"/>
      <c r="E1134" s="465"/>
      <c r="F1134" s="465"/>
      <c r="G1134" s="465"/>
      <c r="H1134" s="465"/>
      <c r="I1134" s="465"/>
      <c r="J1134" s="465"/>
      <c r="K1134" s="465"/>
      <c r="L1134" s="465"/>
      <c r="M1134" s="465"/>
      <c r="N1134" s="465"/>
      <c r="O1134" s="465"/>
      <c r="P1134" s="465"/>
      <c r="Q1134" s="465"/>
      <c r="R1134" s="465"/>
      <c r="S1134" s="465"/>
      <c r="T1134" s="465"/>
      <c r="U1134" s="465"/>
      <c r="V1134" s="465"/>
      <c r="W1134" s="465"/>
      <c r="X1134" s="465"/>
      <c r="Y1134" s="465"/>
      <c r="Z1134" s="465"/>
      <c r="AA1134" s="465"/>
      <c r="AB1134" s="465"/>
      <c r="AC1134" s="465"/>
      <c r="AD1134" s="465"/>
      <c r="AE1134" s="465"/>
      <c r="AF1134" s="465"/>
      <c r="AG1134" s="465"/>
      <c r="AH1134" s="465"/>
      <c r="AI1134" s="465"/>
      <c r="AJ1134" s="465"/>
      <c r="AK1134" s="465"/>
      <c r="AL1134" s="465"/>
      <c r="AM1134" s="465"/>
      <c r="AN1134" s="465"/>
      <c r="AO1134" s="465"/>
      <c r="AP1134" s="465"/>
      <c r="AQ1134" s="465"/>
      <c r="AR1134" s="465"/>
      <c r="AS1134" s="465"/>
      <c r="AT1134" s="465"/>
      <c r="AU1134" s="465"/>
      <c r="AV1134" s="465"/>
      <c r="AW1134" s="465"/>
      <c r="AX1134" s="465"/>
      <c r="AY1134" s="465"/>
      <c r="AZ1134" s="465"/>
      <c r="BA1134" s="465"/>
      <c r="BB1134" s="465"/>
      <c r="BC1134" s="465"/>
    </row>
    <row r="1135" spans="1:55">
      <c r="A1135" s="465"/>
      <c r="B1135" s="465"/>
      <c r="C1135" s="465"/>
      <c r="D1135" s="467"/>
      <c r="E1135" s="465"/>
      <c r="F1135" s="465"/>
      <c r="G1135" s="465"/>
      <c r="H1135" s="465"/>
      <c r="I1135" s="465"/>
      <c r="J1135" s="465"/>
      <c r="K1135" s="465"/>
      <c r="L1135" s="465"/>
      <c r="M1135" s="465"/>
      <c r="N1135" s="465"/>
      <c r="O1135" s="465"/>
      <c r="P1135" s="465"/>
      <c r="Q1135" s="465"/>
      <c r="R1135" s="465"/>
      <c r="S1135" s="465"/>
      <c r="T1135" s="465"/>
      <c r="U1135" s="465"/>
      <c r="V1135" s="465"/>
      <c r="W1135" s="465"/>
      <c r="X1135" s="465"/>
      <c r="Y1135" s="465"/>
      <c r="Z1135" s="465"/>
      <c r="AA1135" s="465"/>
      <c r="AB1135" s="465"/>
      <c r="AC1135" s="465"/>
      <c r="AD1135" s="465"/>
      <c r="AE1135" s="465"/>
      <c r="AF1135" s="465"/>
      <c r="AG1135" s="465"/>
      <c r="AH1135" s="465"/>
      <c r="AI1135" s="465"/>
      <c r="AJ1135" s="465"/>
      <c r="AK1135" s="465"/>
      <c r="AL1135" s="465"/>
      <c r="AM1135" s="465"/>
      <c r="AN1135" s="465"/>
      <c r="AO1135" s="465"/>
      <c r="AP1135" s="465"/>
      <c r="AQ1135" s="465"/>
      <c r="AR1135" s="465"/>
      <c r="AS1135" s="465"/>
      <c r="AT1135" s="465"/>
      <c r="AU1135" s="465"/>
      <c r="AV1135" s="465"/>
      <c r="AW1135" s="465"/>
      <c r="AX1135" s="465"/>
      <c r="AY1135" s="465"/>
      <c r="AZ1135" s="465"/>
      <c r="BA1135" s="465"/>
      <c r="BB1135" s="465"/>
      <c r="BC1135" s="465"/>
    </row>
    <row r="1136" spans="1:55">
      <c r="A1136" s="465"/>
      <c r="B1136" s="465"/>
      <c r="C1136" s="465"/>
      <c r="D1136" s="467"/>
      <c r="E1136" s="465"/>
      <c r="F1136" s="465"/>
      <c r="G1136" s="465"/>
      <c r="H1136" s="465"/>
      <c r="I1136" s="465"/>
      <c r="J1136" s="465"/>
      <c r="K1136" s="465"/>
      <c r="L1136" s="465"/>
      <c r="M1136" s="465"/>
      <c r="N1136" s="465"/>
      <c r="O1136" s="465"/>
      <c r="P1136" s="465"/>
      <c r="Q1136" s="465"/>
      <c r="R1136" s="465"/>
      <c r="S1136" s="465"/>
      <c r="T1136" s="465"/>
      <c r="U1136" s="465"/>
      <c r="V1136" s="465"/>
      <c r="W1136" s="465"/>
      <c r="X1136" s="465"/>
      <c r="Y1136" s="465"/>
      <c r="Z1136" s="465"/>
      <c r="AA1136" s="465"/>
      <c r="AB1136" s="465"/>
      <c r="AC1136" s="465"/>
      <c r="AD1136" s="465"/>
      <c r="AE1136" s="465"/>
      <c r="AF1136" s="465"/>
      <c r="AG1136" s="465"/>
      <c r="AH1136" s="465"/>
      <c r="AI1136" s="465"/>
      <c r="AJ1136" s="465"/>
      <c r="AK1136" s="465"/>
      <c r="AL1136" s="465"/>
      <c r="AM1136" s="465"/>
      <c r="AN1136" s="465"/>
      <c r="AO1136" s="465"/>
      <c r="AP1136" s="465"/>
      <c r="AQ1136" s="465"/>
      <c r="AR1136" s="465"/>
      <c r="AS1136" s="465"/>
      <c r="AT1136" s="465"/>
      <c r="AU1136" s="465"/>
      <c r="AV1136" s="465"/>
      <c r="AW1136" s="465"/>
      <c r="AX1136" s="465"/>
      <c r="AY1136" s="465"/>
      <c r="AZ1136" s="465"/>
      <c r="BA1136" s="465"/>
      <c r="BB1136" s="465"/>
      <c r="BC1136" s="465"/>
    </row>
    <row r="1137" spans="1:55">
      <c r="A1137" s="465"/>
      <c r="B1137" s="465"/>
      <c r="C1137" s="465"/>
      <c r="D1137" s="467"/>
      <c r="E1137" s="465"/>
      <c r="F1137" s="465"/>
      <c r="G1137" s="465"/>
      <c r="H1137" s="465"/>
      <c r="I1137" s="465"/>
      <c r="J1137" s="465"/>
      <c r="K1137" s="465"/>
      <c r="L1137" s="465"/>
      <c r="M1137" s="465"/>
      <c r="N1137" s="465"/>
      <c r="O1137" s="465"/>
      <c r="P1137" s="465"/>
      <c r="Q1137" s="465"/>
      <c r="R1137" s="465"/>
      <c r="S1137" s="465"/>
      <c r="T1137" s="465"/>
      <c r="U1137" s="465"/>
      <c r="V1137" s="465"/>
      <c r="W1137" s="465"/>
      <c r="X1137" s="465"/>
      <c r="Y1137" s="465"/>
      <c r="Z1137" s="465"/>
      <c r="AA1137" s="465"/>
      <c r="AB1137" s="465"/>
      <c r="AC1137" s="465"/>
      <c r="AD1137" s="465"/>
      <c r="AE1137" s="465"/>
      <c r="AF1137" s="465"/>
      <c r="AG1137" s="465"/>
      <c r="AH1137" s="465"/>
      <c r="AI1137" s="465"/>
      <c r="AJ1137" s="465"/>
      <c r="AK1137" s="465"/>
      <c r="AL1137" s="465"/>
      <c r="AM1137" s="465"/>
      <c r="AN1137" s="465"/>
      <c r="AO1137" s="465"/>
      <c r="AP1137" s="465"/>
      <c r="AQ1137" s="465"/>
      <c r="AR1137" s="465"/>
      <c r="AS1137" s="465"/>
      <c r="AT1137" s="465"/>
      <c r="AU1137" s="465"/>
      <c r="AV1137" s="465"/>
      <c r="AW1137" s="465"/>
      <c r="AX1137" s="465"/>
      <c r="AY1137" s="465"/>
      <c r="AZ1137" s="465"/>
      <c r="BA1137" s="465"/>
      <c r="BB1137" s="465"/>
      <c r="BC1137" s="465"/>
    </row>
    <row r="1138" spans="1:55">
      <c r="A1138" s="465"/>
      <c r="B1138" s="465"/>
      <c r="C1138" s="465"/>
      <c r="D1138" s="467"/>
      <c r="E1138" s="465"/>
      <c r="F1138" s="465"/>
      <c r="G1138" s="465"/>
      <c r="H1138" s="465"/>
      <c r="I1138" s="465"/>
      <c r="J1138" s="465"/>
      <c r="K1138" s="465"/>
      <c r="L1138" s="465"/>
      <c r="M1138" s="465"/>
      <c r="N1138" s="465"/>
      <c r="O1138" s="465"/>
      <c r="P1138" s="465"/>
      <c r="Q1138" s="465"/>
      <c r="R1138" s="465"/>
      <c r="S1138" s="465"/>
      <c r="T1138" s="465"/>
      <c r="U1138" s="465"/>
      <c r="V1138" s="465"/>
      <c r="W1138" s="465"/>
      <c r="X1138" s="465"/>
      <c r="Y1138" s="465"/>
      <c r="Z1138" s="465"/>
      <c r="AA1138" s="465"/>
      <c r="AB1138" s="465"/>
      <c r="AC1138" s="465"/>
      <c r="AD1138" s="465"/>
      <c r="AE1138" s="465"/>
      <c r="AF1138" s="465"/>
      <c r="AG1138" s="465"/>
      <c r="AH1138" s="465"/>
      <c r="AI1138" s="465"/>
      <c r="AJ1138" s="465"/>
      <c r="AK1138" s="465"/>
      <c r="AL1138" s="465"/>
      <c r="AM1138" s="465"/>
      <c r="AN1138" s="465"/>
      <c r="AO1138" s="465"/>
      <c r="AP1138" s="465"/>
      <c r="AQ1138" s="465"/>
      <c r="AR1138" s="465"/>
      <c r="AS1138" s="465"/>
      <c r="AT1138" s="465"/>
      <c r="AU1138" s="465"/>
      <c r="AV1138" s="465"/>
      <c r="AW1138" s="465"/>
      <c r="AX1138" s="465"/>
      <c r="AY1138" s="465"/>
      <c r="AZ1138" s="465"/>
      <c r="BA1138" s="465"/>
      <c r="BB1138" s="465"/>
      <c r="BC1138" s="465"/>
    </row>
    <row r="1139" spans="1:55">
      <c r="A1139" s="465"/>
      <c r="B1139" s="465"/>
      <c r="C1139" s="465"/>
      <c r="D1139" s="467"/>
      <c r="E1139" s="465"/>
      <c r="F1139" s="465"/>
      <c r="G1139" s="465"/>
      <c r="H1139" s="465"/>
      <c r="I1139" s="465"/>
      <c r="J1139" s="465"/>
      <c r="K1139" s="465"/>
      <c r="L1139" s="465"/>
      <c r="M1139" s="465"/>
      <c r="N1139" s="465"/>
      <c r="O1139" s="465"/>
      <c r="P1139" s="465"/>
      <c r="Q1139" s="465"/>
      <c r="R1139" s="465"/>
      <c r="S1139" s="465"/>
      <c r="T1139" s="465"/>
      <c r="U1139" s="465"/>
      <c r="V1139" s="465"/>
      <c r="W1139" s="465"/>
      <c r="X1139" s="465"/>
      <c r="Y1139" s="465"/>
      <c r="Z1139" s="465"/>
      <c r="AA1139" s="465"/>
      <c r="AB1139" s="465"/>
      <c r="AC1139" s="465"/>
      <c r="AD1139" s="465"/>
      <c r="AE1139" s="465"/>
      <c r="AF1139" s="465"/>
      <c r="AG1139" s="465"/>
      <c r="AH1139" s="465"/>
      <c r="AI1139" s="465"/>
      <c r="AJ1139" s="465"/>
      <c r="AK1139" s="465"/>
      <c r="AL1139" s="465"/>
      <c r="AM1139" s="465"/>
      <c r="AN1139" s="465"/>
      <c r="AO1139" s="465"/>
      <c r="AP1139" s="465"/>
      <c r="AQ1139" s="465"/>
      <c r="AR1139" s="465"/>
      <c r="AS1139" s="465"/>
      <c r="AT1139" s="465"/>
      <c r="AU1139" s="465"/>
      <c r="AV1139" s="465"/>
      <c r="AW1139" s="465"/>
      <c r="AX1139" s="465"/>
      <c r="AY1139" s="465"/>
      <c r="AZ1139" s="465"/>
      <c r="BA1139" s="465"/>
      <c r="BB1139" s="465"/>
      <c r="BC1139" s="465"/>
    </row>
    <row r="1140" spans="1:55">
      <c r="A1140" s="465"/>
      <c r="B1140" s="465"/>
      <c r="C1140" s="465"/>
      <c r="D1140" s="467"/>
      <c r="E1140" s="465"/>
      <c r="F1140" s="465"/>
      <c r="G1140" s="465"/>
      <c r="H1140" s="465"/>
      <c r="I1140" s="465"/>
      <c r="J1140" s="465"/>
      <c r="K1140" s="465"/>
      <c r="L1140" s="465"/>
      <c r="M1140" s="465"/>
      <c r="N1140" s="465"/>
      <c r="O1140" s="465"/>
      <c r="P1140" s="465"/>
      <c r="Q1140" s="465"/>
      <c r="R1140" s="465"/>
      <c r="S1140" s="465"/>
      <c r="T1140" s="465"/>
      <c r="U1140" s="465"/>
      <c r="V1140" s="465"/>
      <c r="W1140" s="465"/>
      <c r="X1140" s="465"/>
      <c r="Y1140" s="465"/>
      <c r="Z1140" s="465"/>
      <c r="AA1140" s="465"/>
      <c r="AB1140" s="465"/>
      <c r="AC1140" s="465"/>
      <c r="AD1140" s="465"/>
      <c r="AE1140" s="465"/>
      <c r="AF1140" s="465"/>
      <c r="AG1140" s="465"/>
      <c r="AH1140" s="465"/>
      <c r="AI1140" s="465"/>
      <c r="AJ1140" s="465"/>
      <c r="AK1140" s="465"/>
      <c r="AL1140" s="465"/>
      <c r="AM1140" s="465"/>
      <c r="AN1140" s="465"/>
      <c r="AO1140" s="465"/>
      <c r="AP1140" s="465"/>
      <c r="AQ1140" s="465"/>
      <c r="AR1140" s="465"/>
      <c r="AS1140" s="465"/>
      <c r="AT1140" s="465"/>
      <c r="AU1140" s="465"/>
      <c r="AV1140" s="465"/>
      <c r="AW1140" s="465"/>
      <c r="AX1140" s="465"/>
      <c r="AY1140" s="465"/>
      <c r="AZ1140" s="465"/>
      <c r="BA1140" s="465"/>
      <c r="BB1140" s="465"/>
      <c r="BC1140" s="465"/>
    </row>
    <row r="1141" spans="1:55">
      <c r="A1141" s="465"/>
      <c r="B1141" s="465"/>
      <c r="C1141" s="465"/>
      <c r="D1141" s="467"/>
      <c r="E1141" s="465"/>
      <c r="F1141" s="465"/>
      <c r="G1141" s="465"/>
      <c r="H1141" s="465"/>
      <c r="I1141" s="465"/>
      <c r="J1141" s="465"/>
      <c r="K1141" s="465"/>
      <c r="L1141" s="465"/>
      <c r="M1141" s="465"/>
      <c r="N1141" s="465"/>
      <c r="O1141" s="465"/>
      <c r="P1141" s="465"/>
      <c r="Q1141" s="465"/>
      <c r="R1141" s="465"/>
      <c r="S1141" s="465"/>
      <c r="T1141" s="465"/>
      <c r="U1141" s="465"/>
      <c r="V1141" s="465"/>
      <c r="W1141" s="465"/>
      <c r="X1141" s="465"/>
      <c r="Y1141" s="465"/>
      <c r="Z1141" s="465"/>
      <c r="AA1141" s="465"/>
      <c r="AB1141" s="465"/>
      <c r="AC1141" s="465"/>
      <c r="AD1141" s="465"/>
      <c r="AE1141" s="465"/>
      <c r="AF1141" s="465"/>
      <c r="AG1141" s="465"/>
      <c r="AH1141" s="465"/>
      <c r="AI1141" s="465"/>
      <c r="AJ1141" s="465"/>
      <c r="AK1141" s="465"/>
      <c r="AL1141" s="465"/>
      <c r="AM1141" s="465"/>
      <c r="AN1141" s="465"/>
      <c r="AO1141" s="465"/>
      <c r="AP1141" s="465"/>
      <c r="AQ1141" s="465"/>
      <c r="AR1141" s="465"/>
      <c r="AS1141" s="465"/>
      <c r="AT1141" s="465"/>
      <c r="AU1141" s="465"/>
      <c r="AV1141" s="465"/>
      <c r="AW1141" s="465"/>
      <c r="AX1141" s="465"/>
      <c r="AY1141" s="465"/>
      <c r="AZ1141" s="465"/>
      <c r="BA1141" s="465"/>
      <c r="BB1141" s="465"/>
      <c r="BC1141" s="465"/>
    </row>
    <row r="1142" spans="1:55">
      <c r="A1142" s="465"/>
      <c r="B1142" s="465"/>
      <c r="C1142" s="465"/>
      <c r="D1142" s="467"/>
      <c r="E1142" s="465"/>
      <c r="F1142" s="465"/>
      <c r="G1142" s="465"/>
      <c r="H1142" s="465"/>
      <c r="I1142" s="465"/>
      <c r="J1142" s="465"/>
      <c r="K1142" s="465"/>
      <c r="L1142" s="465"/>
      <c r="M1142" s="465"/>
      <c r="N1142" s="465"/>
      <c r="O1142" s="465"/>
      <c r="P1142" s="465"/>
      <c r="Q1142" s="465"/>
      <c r="R1142" s="465"/>
      <c r="S1142" s="465"/>
      <c r="T1142" s="465"/>
      <c r="U1142" s="465"/>
      <c r="V1142" s="465"/>
      <c r="W1142" s="465"/>
      <c r="X1142" s="465"/>
      <c r="Y1142" s="465"/>
      <c r="Z1142" s="465"/>
      <c r="AA1142" s="465"/>
      <c r="AB1142" s="465"/>
      <c r="AC1142" s="465"/>
      <c r="AD1142" s="465"/>
      <c r="AE1142" s="465"/>
      <c r="AF1142" s="465"/>
      <c r="AG1142" s="465"/>
      <c r="AH1142" s="465"/>
      <c r="AI1142" s="465"/>
      <c r="AJ1142" s="465"/>
      <c r="AK1142" s="465"/>
      <c r="AL1142" s="465"/>
      <c r="AM1142" s="465"/>
      <c r="AN1142" s="465"/>
      <c r="AO1142" s="465"/>
      <c r="AP1142" s="465"/>
      <c r="AQ1142" s="465"/>
      <c r="AR1142" s="465"/>
      <c r="AS1142" s="465"/>
      <c r="AT1142" s="465"/>
      <c r="AU1142" s="465"/>
      <c r="AV1142" s="465"/>
      <c r="AW1142" s="465"/>
      <c r="AX1142" s="465"/>
      <c r="AY1142" s="465"/>
      <c r="AZ1142" s="465"/>
      <c r="BA1142" s="465"/>
      <c r="BB1142" s="465"/>
      <c r="BC1142" s="465"/>
    </row>
    <row r="1143" spans="1:55">
      <c r="A1143" s="465"/>
      <c r="B1143" s="465"/>
      <c r="C1143" s="465"/>
      <c r="D1143" s="467"/>
      <c r="E1143" s="465"/>
      <c r="F1143" s="465"/>
      <c r="G1143" s="465"/>
      <c r="H1143" s="465"/>
      <c r="I1143" s="465"/>
      <c r="J1143" s="465"/>
      <c r="K1143" s="465"/>
      <c r="L1143" s="465"/>
      <c r="M1143" s="465"/>
      <c r="N1143" s="465"/>
      <c r="O1143" s="465"/>
      <c r="P1143" s="465"/>
      <c r="Q1143" s="465"/>
      <c r="R1143" s="465"/>
      <c r="S1143" s="465"/>
      <c r="T1143" s="465"/>
      <c r="U1143" s="465"/>
      <c r="V1143" s="465"/>
      <c r="W1143" s="465"/>
      <c r="X1143" s="465"/>
      <c r="Y1143" s="465"/>
      <c r="Z1143" s="465"/>
      <c r="AA1143" s="465"/>
      <c r="AB1143" s="465"/>
      <c r="AC1143" s="465"/>
      <c r="AD1143" s="465"/>
      <c r="AE1143" s="465"/>
      <c r="AF1143" s="465"/>
      <c r="AG1143" s="465"/>
      <c r="AH1143" s="465"/>
      <c r="AI1143" s="465"/>
      <c r="AJ1143" s="465"/>
      <c r="AK1143" s="465"/>
      <c r="AL1143" s="465"/>
      <c r="AM1143" s="465"/>
      <c r="AN1143" s="465"/>
      <c r="AO1143" s="465"/>
      <c r="AP1143" s="465"/>
      <c r="AQ1143" s="465"/>
      <c r="AR1143" s="465"/>
      <c r="AS1143" s="465"/>
      <c r="AT1143" s="465"/>
      <c r="AU1143" s="465"/>
      <c r="AV1143" s="465"/>
      <c r="AW1143" s="465"/>
      <c r="AX1143" s="465"/>
      <c r="AY1143" s="465"/>
      <c r="AZ1143" s="465"/>
      <c r="BA1143" s="465"/>
      <c r="BB1143" s="465"/>
      <c r="BC1143" s="465"/>
    </row>
    <row r="1144" spans="1:55">
      <c r="A1144" s="465"/>
      <c r="B1144" s="465"/>
      <c r="C1144" s="465"/>
      <c r="D1144" s="467"/>
      <c r="E1144" s="465"/>
      <c r="F1144" s="465"/>
      <c r="G1144" s="465"/>
      <c r="H1144" s="465"/>
      <c r="I1144" s="465"/>
      <c r="J1144" s="465"/>
      <c r="K1144" s="465"/>
      <c r="L1144" s="465"/>
      <c r="M1144" s="465"/>
      <c r="N1144" s="465"/>
      <c r="O1144" s="465"/>
      <c r="P1144" s="465"/>
      <c r="Q1144" s="465"/>
      <c r="R1144" s="465"/>
      <c r="S1144" s="465"/>
      <c r="T1144" s="465"/>
      <c r="U1144" s="465"/>
      <c r="V1144" s="465"/>
      <c r="W1144" s="465"/>
      <c r="X1144" s="465"/>
      <c r="Y1144" s="465"/>
      <c r="Z1144" s="465"/>
      <c r="AA1144" s="465"/>
      <c r="AB1144" s="465"/>
      <c r="AC1144" s="465"/>
      <c r="AD1144" s="465"/>
      <c r="AE1144" s="465"/>
      <c r="AF1144" s="465"/>
      <c r="AG1144" s="465"/>
      <c r="AH1144" s="465"/>
      <c r="AI1144" s="465"/>
      <c r="AJ1144" s="465"/>
      <c r="AK1144" s="465"/>
      <c r="AL1144" s="465"/>
      <c r="AM1144" s="465"/>
      <c r="AN1144" s="465"/>
      <c r="AO1144" s="465"/>
      <c r="AP1144" s="465"/>
      <c r="AQ1144" s="465"/>
      <c r="AR1144" s="465"/>
      <c r="AS1144" s="465"/>
      <c r="AT1144" s="465"/>
      <c r="AU1144" s="465"/>
      <c r="AV1144" s="465"/>
      <c r="AW1144" s="465"/>
      <c r="AX1144" s="465"/>
      <c r="AY1144" s="465"/>
      <c r="AZ1144" s="465"/>
      <c r="BA1144" s="465"/>
      <c r="BB1144" s="465"/>
      <c r="BC1144" s="465"/>
    </row>
    <row r="1145" spans="1:55">
      <c r="A1145" s="465"/>
      <c r="B1145" s="465"/>
      <c r="C1145" s="465"/>
      <c r="D1145" s="467"/>
      <c r="E1145" s="465"/>
      <c r="F1145" s="465"/>
      <c r="G1145" s="465"/>
      <c r="H1145" s="465"/>
      <c r="I1145" s="465"/>
      <c r="J1145" s="465"/>
      <c r="K1145" s="465"/>
      <c r="L1145" s="465"/>
      <c r="M1145" s="465"/>
      <c r="N1145" s="465"/>
      <c r="O1145" s="465"/>
      <c r="P1145" s="465"/>
      <c r="Q1145" s="465"/>
      <c r="R1145" s="465"/>
      <c r="S1145" s="465"/>
      <c r="T1145" s="465"/>
      <c r="U1145" s="465"/>
      <c r="V1145" s="465"/>
      <c r="W1145" s="465"/>
      <c r="X1145" s="465"/>
      <c r="Y1145" s="465"/>
      <c r="Z1145" s="465"/>
      <c r="AA1145" s="465"/>
      <c r="AB1145" s="465"/>
      <c r="AC1145" s="465"/>
      <c r="AD1145" s="465"/>
      <c r="AE1145" s="465"/>
      <c r="AF1145" s="465"/>
      <c r="AG1145" s="465"/>
      <c r="AH1145" s="465"/>
      <c r="AI1145" s="465"/>
      <c r="AJ1145" s="465"/>
      <c r="AK1145" s="465"/>
      <c r="AL1145" s="465"/>
      <c r="AM1145" s="465"/>
      <c r="AN1145" s="465"/>
      <c r="AO1145" s="465"/>
      <c r="AP1145" s="465"/>
      <c r="AQ1145" s="465"/>
      <c r="AR1145" s="465"/>
      <c r="AS1145" s="465"/>
      <c r="AT1145" s="465"/>
      <c r="AU1145" s="465"/>
      <c r="AV1145" s="465"/>
      <c r="AW1145" s="465"/>
      <c r="AX1145" s="465"/>
      <c r="AY1145" s="465"/>
      <c r="AZ1145" s="465"/>
      <c r="BA1145" s="465"/>
      <c r="BB1145" s="465"/>
      <c r="BC1145" s="465"/>
    </row>
    <row r="1146" spans="1:55">
      <c r="A1146" s="465"/>
      <c r="B1146" s="465"/>
      <c r="C1146" s="465"/>
      <c r="D1146" s="467"/>
      <c r="E1146" s="465"/>
      <c r="F1146" s="465"/>
      <c r="G1146" s="465"/>
      <c r="H1146" s="465"/>
      <c r="I1146" s="465"/>
      <c r="J1146" s="465"/>
      <c r="K1146" s="465"/>
      <c r="L1146" s="465"/>
      <c r="M1146" s="465"/>
      <c r="N1146" s="465"/>
      <c r="O1146" s="465"/>
      <c r="P1146" s="465"/>
      <c r="Q1146" s="465"/>
      <c r="R1146" s="465"/>
      <c r="S1146" s="465"/>
      <c r="T1146" s="465"/>
      <c r="U1146" s="465"/>
      <c r="V1146" s="465"/>
      <c r="W1146" s="465"/>
      <c r="X1146" s="465"/>
      <c r="Y1146" s="465"/>
      <c r="Z1146" s="465"/>
      <c r="AA1146" s="465"/>
      <c r="AB1146" s="465"/>
      <c r="AC1146" s="465"/>
      <c r="AD1146" s="465"/>
      <c r="AE1146" s="465"/>
      <c r="AF1146" s="465"/>
      <c r="AG1146" s="465"/>
      <c r="AH1146" s="465"/>
      <c r="AI1146" s="465"/>
      <c r="AJ1146" s="465"/>
      <c r="AK1146" s="465"/>
      <c r="AL1146" s="465"/>
      <c r="AM1146" s="465"/>
      <c r="AN1146" s="465"/>
      <c r="AO1146" s="465"/>
      <c r="AP1146" s="465"/>
      <c r="AQ1146" s="465"/>
      <c r="AR1146" s="465"/>
      <c r="AS1146" s="465"/>
      <c r="AT1146" s="465"/>
      <c r="AU1146" s="465"/>
      <c r="AV1146" s="465"/>
      <c r="AW1146" s="465"/>
      <c r="AX1146" s="465"/>
      <c r="AY1146" s="465"/>
      <c r="AZ1146" s="465"/>
      <c r="BA1146" s="465"/>
      <c r="BB1146" s="465"/>
      <c r="BC1146" s="465"/>
    </row>
    <row r="1147" spans="1:55">
      <c r="A1147" s="465"/>
      <c r="B1147" s="465"/>
      <c r="C1147" s="465"/>
      <c r="D1147" s="467"/>
      <c r="E1147" s="465"/>
      <c r="F1147" s="465"/>
      <c r="G1147" s="465"/>
      <c r="H1147" s="465"/>
      <c r="I1147" s="465"/>
      <c r="J1147" s="465"/>
      <c r="K1147" s="465"/>
      <c r="L1147" s="465"/>
      <c r="M1147" s="465"/>
      <c r="N1147" s="465"/>
      <c r="O1147" s="465"/>
      <c r="P1147" s="465"/>
      <c r="Q1147" s="465"/>
      <c r="R1147" s="465"/>
      <c r="S1147" s="465"/>
      <c r="T1147" s="465"/>
      <c r="U1147" s="465"/>
      <c r="V1147" s="465"/>
      <c r="W1147" s="465"/>
      <c r="X1147" s="465"/>
      <c r="Y1147" s="465"/>
      <c r="Z1147" s="465"/>
      <c r="AA1147" s="465"/>
      <c r="AB1147" s="465"/>
      <c r="AC1147" s="465"/>
      <c r="AD1147" s="465"/>
      <c r="AE1147" s="465"/>
      <c r="AF1147" s="465"/>
      <c r="AG1147" s="465"/>
      <c r="AH1147" s="465"/>
      <c r="AI1147" s="465"/>
      <c r="AJ1147" s="465"/>
      <c r="AK1147" s="465"/>
      <c r="AL1147" s="465"/>
      <c r="AM1147" s="465"/>
      <c r="AN1147" s="465"/>
      <c r="AO1147" s="465"/>
      <c r="AP1147" s="465"/>
      <c r="AQ1147" s="465"/>
      <c r="AR1147" s="465"/>
      <c r="AS1147" s="465"/>
      <c r="AT1147" s="465"/>
      <c r="AU1147" s="465"/>
      <c r="AV1147" s="465"/>
      <c r="AW1147" s="465"/>
      <c r="AX1147" s="465"/>
      <c r="AY1147" s="465"/>
      <c r="AZ1147" s="465"/>
      <c r="BA1147" s="465"/>
      <c r="BB1147" s="465"/>
      <c r="BC1147" s="465"/>
    </row>
    <row r="1148" spans="1:55">
      <c r="A1148" s="465"/>
      <c r="B1148" s="465"/>
      <c r="C1148" s="465"/>
      <c r="D1148" s="467"/>
      <c r="E1148" s="465"/>
      <c r="F1148" s="465"/>
      <c r="G1148" s="465"/>
      <c r="H1148" s="465"/>
      <c r="I1148" s="465"/>
      <c r="J1148" s="465"/>
      <c r="K1148" s="465"/>
      <c r="L1148" s="465"/>
      <c r="M1148" s="465"/>
      <c r="N1148" s="465"/>
      <c r="O1148" s="465"/>
      <c r="P1148" s="465"/>
      <c r="Q1148" s="465"/>
      <c r="R1148" s="465"/>
      <c r="S1148" s="465"/>
      <c r="T1148" s="465"/>
      <c r="U1148" s="465"/>
      <c r="V1148" s="465"/>
      <c r="W1148" s="465"/>
      <c r="X1148" s="465"/>
      <c r="Y1148" s="465"/>
      <c r="Z1148" s="465"/>
      <c r="AA1148" s="465"/>
      <c r="AB1148" s="465"/>
      <c r="AC1148" s="465"/>
      <c r="AD1148" s="465"/>
      <c r="AE1148" s="465"/>
      <c r="AF1148" s="465"/>
      <c r="AG1148" s="465"/>
      <c r="AH1148" s="465"/>
      <c r="AI1148" s="465"/>
      <c r="AJ1148" s="465"/>
      <c r="AK1148" s="465"/>
      <c r="AL1148" s="465"/>
      <c r="AM1148" s="465"/>
      <c r="AN1148" s="465"/>
      <c r="AO1148" s="465"/>
      <c r="AP1148" s="465"/>
      <c r="AQ1148" s="465"/>
      <c r="AR1148" s="465"/>
      <c r="AS1148" s="465"/>
      <c r="AT1148" s="465"/>
      <c r="AU1148" s="465"/>
      <c r="AV1148" s="465"/>
      <c r="AW1148" s="465"/>
      <c r="AX1148" s="465"/>
      <c r="AY1148" s="465"/>
      <c r="AZ1148" s="465"/>
      <c r="BA1148" s="465"/>
      <c r="BB1148" s="465"/>
      <c r="BC1148" s="465"/>
    </row>
    <row r="1149" spans="1:55">
      <c r="A1149" s="465"/>
      <c r="B1149" s="465"/>
      <c r="C1149" s="465"/>
      <c r="D1149" s="467"/>
      <c r="E1149" s="465"/>
      <c r="F1149" s="465"/>
      <c r="G1149" s="465"/>
      <c r="H1149" s="465"/>
      <c r="I1149" s="465"/>
      <c r="J1149" s="465"/>
      <c r="K1149" s="465"/>
      <c r="L1149" s="465"/>
      <c r="M1149" s="465"/>
      <c r="N1149" s="465"/>
      <c r="O1149" s="465"/>
      <c r="P1149" s="465"/>
      <c r="Q1149" s="465"/>
      <c r="R1149" s="465"/>
      <c r="S1149" s="465"/>
      <c r="T1149" s="465"/>
      <c r="U1149" s="465"/>
      <c r="V1149" s="465"/>
      <c r="W1149" s="465"/>
      <c r="X1149" s="465"/>
      <c r="Y1149" s="465"/>
      <c r="Z1149" s="465"/>
      <c r="AA1149" s="465"/>
      <c r="AB1149" s="465"/>
      <c r="AC1149" s="465"/>
      <c r="AD1149" s="465"/>
      <c r="AE1149" s="465"/>
      <c r="AF1149" s="465"/>
      <c r="AG1149" s="465"/>
      <c r="AH1149" s="465"/>
      <c r="AI1149" s="465"/>
      <c r="AJ1149" s="465"/>
      <c r="AK1149" s="465"/>
      <c r="AL1149" s="465"/>
      <c r="AM1149" s="465"/>
      <c r="AN1149" s="465"/>
      <c r="AO1149" s="465"/>
      <c r="AP1149" s="465"/>
      <c r="AQ1149" s="465"/>
      <c r="AR1149" s="465"/>
      <c r="AS1149" s="465"/>
      <c r="AT1149" s="465"/>
      <c r="AU1149" s="465"/>
      <c r="AV1149" s="465"/>
      <c r="AW1149" s="465"/>
      <c r="AX1149" s="465"/>
      <c r="AY1149" s="465"/>
      <c r="AZ1149" s="465"/>
      <c r="BA1149" s="465"/>
      <c r="BB1149" s="465"/>
      <c r="BC1149" s="465"/>
    </row>
    <row r="1150" spans="1:55">
      <c r="A1150" s="465"/>
      <c r="B1150" s="465"/>
      <c r="C1150" s="465"/>
      <c r="D1150" s="467"/>
      <c r="E1150" s="465"/>
      <c r="F1150" s="465"/>
      <c r="G1150" s="465"/>
      <c r="H1150" s="465"/>
      <c r="I1150" s="465"/>
      <c r="J1150" s="465"/>
      <c r="K1150" s="465"/>
      <c r="L1150" s="465"/>
      <c r="M1150" s="465"/>
      <c r="N1150" s="465"/>
      <c r="O1150" s="465"/>
      <c r="P1150" s="465"/>
      <c r="Q1150" s="465"/>
      <c r="R1150" s="465"/>
      <c r="S1150" s="465"/>
      <c r="T1150" s="465"/>
      <c r="U1150" s="465"/>
      <c r="V1150" s="465"/>
      <c r="W1150" s="465"/>
      <c r="X1150" s="465"/>
      <c r="Y1150" s="465"/>
      <c r="Z1150" s="465"/>
      <c r="AA1150" s="465"/>
      <c r="AB1150" s="465"/>
      <c r="AC1150" s="465"/>
      <c r="AD1150" s="465"/>
      <c r="AE1150" s="465"/>
      <c r="AF1150" s="465"/>
      <c r="AG1150" s="465"/>
      <c r="AH1150" s="465"/>
      <c r="AI1150" s="465"/>
      <c r="AJ1150" s="465"/>
      <c r="AK1150" s="465"/>
      <c r="AL1150" s="465"/>
      <c r="AM1150" s="465"/>
      <c r="AN1150" s="465"/>
      <c r="AO1150" s="465"/>
      <c r="AP1150" s="465"/>
      <c r="AQ1150" s="465"/>
      <c r="AR1150" s="465"/>
      <c r="AS1150" s="465"/>
      <c r="AT1150" s="465"/>
      <c r="AU1150" s="465"/>
      <c r="AV1150" s="465"/>
      <c r="AW1150" s="465"/>
      <c r="AX1150" s="465"/>
      <c r="AY1150" s="465"/>
      <c r="AZ1150" s="465"/>
      <c r="BA1150" s="465"/>
      <c r="BB1150" s="465"/>
      <c r="BC1150" s="465"/>
    </row>
    <row r="1151" spans="1:55">
      <c r="A1151" s="465"/>
      <c r="B1151" s="465"/>
      <c r="C1151" s="465"/>
      <c r="D1151" s="467"/>
      <c r="E1151" s="465"/>
      <c r="F1151" s="465"/>
      <c r="G1151" s="465"/>
      <c r="H1151" s="465"/>
      <c r="I1151" s="465"/>
      <c r="J1151" s="465"/>
      <c r="K1151" s="465"/>
      <c r="L1151" s="465"/>
      <c r="M1151" s="465"/>
      <c r="N1151" s="465"/>
      <c r="O1151" s="465"/>
      <c r="P1151" s="465"/>
      <c r="Q1151" s="465"/>
      <c r="R1151" s="465"/>
      <c r="S1151" s="465"/>
      <c r="T1151" s="465"/>
      <c r="U1151" s="465"/>
      <c r="V1151" s="465"/>
      <c r="W1151" s="465"/>
      <c r="X1151" s="465"/>
      <c r="Y1151" s="465"/>
      <c r="Z1151" s="465"/>
      <c r="AA1151" s="465"/>
      <c r="AB1151" s="465"/>
      <c r="AC1151" s="465"/>
      <c r="AD1151" s="465"/>
      <c r="AE1151" s="465"/>
      <c r="AF1151" s="465"/>
      <c r="AG1151" s="465"/>
      <c r="AH1151" s="465"/>
      <c r="AI1151" s="465"/>
      <c r="AJ1151" s="465"/>
      <c r="AK1151" s="465"/>
      <c r="AL1151" s="465"/>
      <c r="AM1151" s="465"/>
      <c r="AN1151" s="465"/>
      <c r="AO1151" s="465"/>
      <c r="AP1151" s="465"/>
      <c r="AQ1151" s="465"/>
      <c r="AR1151" s="465"/>
      <c r="AS1151" s="465"/>
      <c r="AT1151" s="465"/>
      <c r="AU1151" s="465"/>
      <c r="AV1151" s="465"/>
      <c r="AW1151" s="465"/>
      <c r="AX1151" s="465"/>
      <c r="AY1151" s="465"/>
      <c r="AZ1151" s="465"/>
      <c r="BA1151" s="465"/>
      <c r="BB1151" s="465"/>
      <c r="BC1151" s="465"/>
    </row>
    <row r="1152" spans="1:55">
      <c r="A1152" s="465"/>
      <c r="B1152" s="465"/>
      <c r="C1152" s="465"/>
      <c r="D1152" s="467"/>
      <c r="E1152" s="465"/>
      <c r="F1152" s="465"/>
      <c r="G1152" s="465"/>
      <c r="H1152" s="465"/>
      <c r="I1152" s="465"/>
      <c r="J1152" s="465"/>
      <c r="K1152" s="465"/>
      <c r="L1152" s="465"/>
      <c r="M1152" s="465"/>
      <c r="N1152" s="465"/>
      <c r="O1152" s="465"/>
      <c r="P1152" s="465"/>
      <c r="Q1152" s="465"/>
      <c r="R1152" s="465"/>
      <c r="S1152" s="465"/>
      <c r="T1152" s="465"/>
      <c r="U1152" s="465"/>
      <c r="V1152" s="465"/>
      <c r="W1152" s="465"/>
      <c r="X1152" s="465"/>
      <c r="Y1152" s="465"/>
      <c r="Z1152" s="465"/>
      <c r="AA1152" s="465"/>
      <c r="AB1152" s="465"/>
      <c r="AC1152" s="465"/>
      <c r="AD1152" s="465"/>
      <c r="AE1152" s="465"/>
      <c r="AF1152" s="465"/>
      <c r="AG1152" s="465"/>
      <c r="AH1152" s="465"/>
      <c r="AI1152" s="465"/>
      <c r="AJ1152" s="465"/>
      <c r="AK1152" s="465"/>
      <c r="AL1152" s="465"/>
      <c r="AM1152" s="465"/>
      <c r="AN1152" s="465"/>
      <c r="AO1152" s="465"/>
      <c r="AP1152" s="465"/>
      <c r="AQ1152" s="465"/>
      <c r="AR1152" s="465"/>
      <c r="AS1152" s="465"/>
      <c r="AT1152" s="465"/>
      <c r="AU1152" s="465"/>
      <c r="AV1152" s="465"/>
      <c r="AW1152" s="465"/>
      <c r="AX1152" s="465"/>
      <c r="AY1152" s="465"/>
      <c r="AZ1152" s="465"/>
      <c r="BA1152" s="465"/>
      <c r="BB1152" s="465"/>
      <c r="BC1152" s="465"/>
    </row>
    <row r="1153" spans="1:55">
      <c r="A1153" s="465"/>
      <c r="B1153" s="465"/>
      <c r="C1153" s="465"/>
      <c r="D1153" s="467"/>
      <c r="E1153" s="465"/>
      <c r="F1153" s="465"/>
      <c r="G1153" s="465"/>
      <c r="H1153" s="465"/>
      <c r="I1153" s="465"/>
      <c r="J1153" s="465"/>
      <c r="K1153" s="465"/>
      <c r="L1153" s="465"/>
      <c r="M1153" s="465"/>
      <c r="N1153" s="465"/>
      <c r="O1153" s="465"/>
      <c r="P1153" s="465"/>
      <c r="Q1153" s="465"/>
      <c r="R1153" s="465"/>
      <c r="S1153" s="465"/>
      <c r="T1153" s="465"/>
      <c r="U1153" s="465"/>
      <c r="V1153" s="465"/>
      <c r="W1153" s="465"/>
      <c r="X1153" s="465"/>
      <c r="Y1153" s="465"/>
      <c r="Z1153" s="465"/>
      <c r="AA1153" s="465"/>
      <c r="AB1153" s="465"/>
      <c r="AC1153" s="465"/>
      <c r="AD1153" s="465"/>
      <c r="AE1153" s="465"/>
      <c r="AF1153" s="465"/>
      <c r="AG1153" s="465"/>
      <c r="AH1153" s="465"/>
      <c r="AI1153" s="465"/>
      <c r="AJ1153" s="465"/>
      <c r="AK1153" s="465"/>
      <c r="AL1153" s="465"/>
      <c r="AM1153" s="465"/>
      <c r="AN1153" s="465"/>
      <c r="AO1153" s="465"/>
      <c r="AP1153" s="465"/>
      <c r="AQ1153" s="465"/>
      <c r="AR1153" s="465"/>
      <c r="AS1153" s="465"/>
      <c r="AT1153" s="465"/>
      <c r="AU1153" s="465"/>
      <c r="AV1153" s="465"/>
      <c r="AW1153" s="465"/>
      <c r="AX1153" s="465"/>
      <c r="AY1153" s="465"/>
      <c r="AZ1153" s="465"/>
      <c r="BA1153" s="465"/>
      <c r="BB1153" s="465"/>
      <c r="BC1153" s="465"/>
    </row>
    <row r="1154" spans="1:55">
      <c r="A1154" s="465"/>
      <c r="B1154" s="465"/>
      <c r="C1154" s="465"/>
      <c r="D1154" s="467"/>
      <c r="E1154" s="465"/>
      <c r="F1154" s="465"/>
      <c r="G1154" s="465"/>
      <c r="H1154" s="465"/>
      <c r="I1154" s="465"/>
      <c r="J1154" s="465"/>
      <c r="K1154" s="465"/>
      <c r="L1154" s="465"/>
      <c r="M1154" s="465"/>
      <c r="N1154" s="465"/>
      <c r="O1154" s="465"/>
      <c r="P1154" s="465"/>
      <c r="Q1154" s="465"/>
      <c r="R1154" s="465"/>
      <c r="S1154" s="465"/>
      <c r="T1154" s="465"/>
      <c r="U1154" s="465"/>
      <c r="V1154" s="465"/>
      <c r="W1154" s="465"/>
      <c r="X1154" s="465"/>
      <c r="Y1154" s="465"/>
      <c r="Z1154" s="465"/>
      <c r="AA1154" s="465"/>
      <c r="AB1154" s="465"/>
      <c r="AC1154" s="465"/>
      <c r="AD1154" s="465"/>
      <c r="AE1154" s="465"/>
      <c r="AF1154" s="465"/>
      <c r="AG1154" s="465"/>
      <c r="AH1154" s="465"/>
      <c r="AI1154" s="465"/>
      <c r="AJ1154" s="465"/>
      <c r="AK1154" s="465"/>
      <c r="AL1154" s="465"/>
      <c r="AM1154" s="465"/>
      <c r="AN1154" s="465"/>
      <c r="AO1154" s="465"/>
      <c r="AP1154" s="465"/>
      <c r="AQ1154" s="465"/>
      <c r="AR1154" s="465"/>
      <c r="AS1154" s="465"/>
      <c r="AT1154" s="465"/>
      <c r="AU1154" s="465"/>
      <c r="AV1154" s="465"/>
      <c r="AW1154" s="465"/>
      <c r="AX1154" s="465"/>
      <c r="AY1154" s="465"/>
      <c r="AZ1154" s="465"/>
      <c r="BA1154" s="465"/>
      <c r="BB1154" s="465"/>
      <c r="BC1154" s="465"/>
    </row>
    <row r="1155" spans="1:55">
      <c r="A1155" s="465"/>
      <c r="B1155" s="465"/>
      <c r="C1155" s="465"/>
      <c r="D1155" s="467"/>
      <c r="E1155" s="465"/>
      <c r="F1155" s="465"/>
      <c r="G1155" s="465"/>
      <c r="H1155" s="465"/>
      <c r="I1155" s="465"/>
      <c r="J1155" s="465"/>
      <c r="K1155" s="465"/>
      <c r="L1155" s="465"/>
      <c r="M1155" s="465"/>
      <c r="N1155" s="465"/>
      <c r="O1155" s="465"/>
      <c r="P1155" s="465"/>
      <c r="Q1155" s="465"/>
      <c r="R1155" s="465"/>
      <c r="S1155" s="465"/>
      <c r="T1155" s="465"/>
      <c r="U1155" s="465"/>
      <c r="V1155" s="465"/>
      <c r="W1155" s="465"/>
      <c r="X1155" s="465"/>
      <c r="Y1155" s="465"/>
      <c r="Z1155" s="465"/>
      <c r="AA1155" s="465"/>
      <c r="AB1155" s="465"/>
      <c r="AC1155" s="465"/>
      <c r="AD1155" s="465"/>
      <c r="AE1155" s="465"/>
      <c r="AF1155" s="465"/>
      <c r="AG1155" s="465"/>
      <c r="AH1155" s="465"/>
      <c r="AI1155" s="465"/>
      <c r="AJ1155" s="465"/>
      <c r="AK1155" s="465"/>
      <c r="AL1155" s="465"/>
      <c r="AM1155" s="465"/>
      <c r="AN1155" s="465"/>
      <c r="AO1155" s="465"/>
      <c r="AP1155" s="465"/>
      <c r="AQ1155" s="465"/>
      <c r="AR1155" s="465"/>
      <c r="AS1155" s="465"/>
      <c r="AT1155" s="465"/>
      <c r="AU1155" s="465"/>
      <c r="AV1155" s="465"/>
      <c r="AW1155" s="465"/>
      <c r="AX1155" s="465"/>
      <c r="AY1155" s="465"/>
      <c r="AZ1155" s="465"/>
      <c r="BA1155" s="465"/>
      <c r="BB1155" s="465"/>
      <c r="BC1155" s="465"/>
    </row>
    <row r="1156" spans="1:55">
      <c r="A1156" s="465"/>
      <c r="B1156" s="465"/>
      <c r="C1156" s="465"/>
      <c r="D1156" s="467"/>
      <c r="E1156" s="465"/>
      <c r="F1156" s="465"/>
      <c r="G1156" s="465"/>
      <c r="H1156" s="465"/>
      <c r="I1156" s="465"/>
      <c r="J1156" s="465"/>
      <c r="K1156" s="465"/>
      <c r="L1156" s="465"/>
      <c r="M1156" s="465"/>
      <c r="N1156" s="465"/>
      <c r="O1156" s="465"/>
      <c r="P1156" s="465"/>
      <c r="Q1156" s="465"/>
      <c r="R1156" s="465"/>
      <c r="S1156" s="465"/>
      <c r="T1156" s="465"/>
      <c r="U1156" s="465"/>
      <c r="V1156" s="465"/>
      <c r="W1156" s="465"/>
      <c r="X1156" s="465"/>
      <c r="Y1156" s="465"/>
      <c r="Z1156" s="465"/>
      <c r="AA1156" s="465"/>
      <c r="AB1156" s="465"/>
      <c r="AC1156" s="465"/>
      <c r="AD1156" s="465"/>
      <c r="AE1156" s="465"/>
      <c r="AF1156" s="465"/>
      <c r="AG1156" s="465"/>
      <c r="AH1156" s="465"/>
      <c r="AI1156" s="465"/>
      <c r="AJ1156" s="465"/>
      <c r="AK1156" s="465"/>
      <c r="AL1156" s="465"/>
      <c r="AM1156" s="465"/>
      <c r="AN1156" s="465"/>
      <c r="AO1156" s="465"/>
      <c r="AP1156" s="465"/>
      <c r="AQ1156" s="465"/>
      <c r="AR1156" s="465"/>
      <c r="AS1156" s="465"/>
      <c r="AT1156" s="465"/>
      <c r="AU1156" s="465"/>
      <c r="AV1156" s="465"/>
      <c r="AW1156" s="465"/>
      <c r="AX1156" s="465"/>
      <c r="AY1156" s="465"/>
      <c r="AZ1156" s="465"/>
      <c r="BA1156" s="465"/>
      <c r="BB1156" s="465"/>
      <c r="BC1156" s="465"/>
    </row>
    <row r="1157" spans="1:55">
      <c r="A1157" s="465"/>
      <c r="B1157" s="465"/>
      <c r="C1157" s="465"/>
      <c r="D1157" s="467"/>
      <c r="E1157" s="465"/>
      <c r="F1157" s="465"/>
      <c r="G1157" s="465"/>
      <c r="H1157" s="465"/>
      <c r="I1157" s="465"/>
      <c r="J1157" s="465"/>
      <c r="K1157" s="465"/>
      <c r="L1157" s="465"/>
      <c r="M1157" s="465"/>
      <c r="N1157" s="465"/>
      <c r="O1157" s="465"/>
      <c r="P1157" s="465"/>
      <c r="Q1157" s="465"/>
      <c r="R1157" s="465"/>
      <c r="S1157" s="465"/>
      <c r="T1157" s="465"/>
      <c r="U1157" s="465"/>
      <c r="V1157" s="465"/>
      <c r="W1157" s="465"/>
      <c r="X1157" s="465"/>
      <c r="Y1157" s="465"/>
      <c r="Z1157" s="465"/>
      <c r="AA1157" s="465"/>
      <c r="AB1157" s="465"/>
      <c r="AC1157" s="465"/>
      <c r="AD1157" s="465"/>
      <c r="AE1157" s="465"/>
      <c r="AF1157" s="465"/>
      <c r="AG1157" s="465"/>
      <c r="AH1157" s="465"/>
      <c r="AI1157" s="465"/>
      <c r="AJ1157" s="465"/>
      <c r="AK1157" s="465"/>
      <c r="AL1157" s="465"/>
      <c r="AM1157" s="465"/>
      <c r="AN1157" s="465"/>
      <c r="AO1157" s="465"/>
      <c r="AP1157" s="465"/>
      <c r="AQ1157" s="465"/>
      <c r="AR1157" s="465"/>
      <c r="AS1157" s="465"/>
      <c r="AT1157" s="465"/>
      <c r="AU1157" s="465"/>
      <c r="AV1157" s="465"/>
      <c r="AW1157" s="465"/>
      <c r="AX1157" s="465"/>
      <c r="AY1157" s="465"/>
      <c r="AZ1157" s="465"/>
      <c r="BA1157" s="465"/>
      <c r="BB1157" s="465"/>
      <c r="BC1157" s="465"/>
    </row>
    <row r="1158" spans="1:55">
      <c r="A1158" s="465"/>
      <c r="B1158" s="465"/>
      <c r="C1158" s="465"/>
      <c r="D1158" s="467"/>
      <c r="E1158" s="465"/>
      <c r="F1158" s="465"/>
      <c r="G1158" s="465"/>
      <c r="H1158" s="465"/>
      <c r="I1158" s="465"/>
      <c r="J1158" s="465"/>
      <c r="K1158" s="465"/>
      <c r="L1158" s="465"/>
      <c r="M1158" s="465"/>
      <c r="N1158" s="465"/>
      <c r="O1158" s="465"/>
      <c r="P1158" s="465"/>
      <c r="Q1158" s="465"/>
      <c r="R1158" s="465"/>
      <c r="S1158" s="465"/>
      <c r="T1158" s="465"/>
      <c r="U1158" s="465"/>
      <c r="V1158" s="465"/>
      <c r="W1158" s="465"/>
      <c r="X1158" s="465"/>
      <c r="Y1158" s="465"/>
      <c r="Z1158" s="465"/>
      <c r="AA1158" s="465"/>
      <c r="AB1158" s="465"/>
      <c r="AC1158" s="465"/>
      <c r="AD1158" s="465"/>
      <c r="AE1158" s="465"/>
      <c r="AF1158" s="465"/>
      <c r="AG1158" s="465"/>
      <c r="AH1158" s="465"/>
      <c r="AI1158" s="465"/>
      <c r="AJ1158" s="465"/>
      <c r="AK1158" s="465"/>
      <c r="AL1158" s="465"/>
      <c r="AM1158" s="465"/>
      <c r="AN1158" s="465"/>
      <c r="AO1158" s="465"/>
      <c r="AP1158" s="465"/>
      <c r="AQ1158" s="465"/>
      <c r="AR1158" s="465"/>
      <c r="AS1158" s="465"/>
      <c r="AT1158" s="465"/>
      <c r="AU1158" s="465"/>
      <c r="AV1158" s="465"/>
      <c r="AW1158" s="465"/>
      <c r="AX1158" s="465"/>
      <c r="AY1158" s="465"/>
      <c r="AZ1158" s="465"/>
      <c r="BA1158" s="465"/>
      <c r="BB1158" s="465"/>
      <c r="BC1158" s="465"/>
    </row>
    <row r="1159" spans="1:55">
      <c r="A1159" s="465"/>
      <c r="B1159" s="465"/>
      <c r="C1159" s="465"/>
      <c r="D1159" s="467"/>
      <c r="E1159" s="465"/>
      <c r="F1159" s="465"/>
      <c r="G1159" s="465"/>
      <c r="H1159" s="465"/>
      <c r="I1159" s="465"/>
      <c r="J1159" s="465"/>
      <c r="K1159" s="465"/>
      <c r="L1159" s="465"/>
      <c r="M1159" s="465"/>
      <c r="N1159" s="465"/>
      <c r="O1159" s="465"/>
      <c r="P1159" s="465"/>
      <c r="Q1159" s="465"/>
      <c r="R1159" s="465"/>
      <c r="S1159" s="465"/>
      <c r="T1159" s="465"/>
      <c r="U1159" s="465"/>
      <c r="V1159" s="465"/>
      <c r="W1159" s="465"/>
      <c r="X1159" s="465"/>
      <c r="Y1159" s="465"/>
      <c r="Z1159" s="465"/>
      <c r="AA1159" s="465"/>
      <c r="AB1159" s="465"/>
      <c r="AC1159" s="465"/>
      <c r="AD1159" s="465"/>
      <c r="AE1159" s="465"/>
      <c r="AF1159" s="465"/>
      <c r="AG1159" s="465"/>
      <c r="AH1159" s="465"/>
      <c r="AI1159" s="465"/>
      <c r="AJ1159" s="465"/>
      <c r="AK1159" s="465"/>
      <c r="AL1159" s="465"/>
      <c r="AM1159" s="465"/>
      <c r="AN1159" s="465"/>
      <c r="AO1159" s="465"/>
      <c r="AP1159" s="465"/>
      <c r="AQ1159" s="465"/>
      <c r="AR1159" s="465"/>
      <c r="AS1159" s="465"/>
      <c r="AT1159" s="465"/>
      <c r="AU1159" s="465"/>
      <c r="AV1159" s="465"/>
      <c r="AW1159" s="465"/>
      <c r="AX1159" s="465"/>
      <c r="AY1159" s="465"/>
      <c r="AZ1159" s="465"/>
      <c r="BA1159" s="465"/>
      <c r="BB1159" s="465"/>
      <c r="BC1159" s="465"/>
    </row>
    <row r="1160" spans="1:55">
      <c r="A1160" s="465"/>
      <c r="B1160" s="465"/>
      <c r="C1160" s="465"/>
      <c r="D1160" s="467"/>
      <c r="E1160" s="465"/>
      <c r="F1160" s="465"/>
      <c r="G1160" s="465"/>
      <c r="H1160" s="465"/>
      <c r="I1160" s="465"/>
      <c r="J1160" s="465"/>
      <c r="K1160" s="465"/>
      <c r="L1160" s="465"/>
      <c r="M1160" s="465"/>
      <c r="N1160" s="465"/>
      <c r="O1160" s="465"/>
      <c r="P1160" s="465"/>
      <c r="Q1160" s="465"/>
      <c r="R1160" s="465"/>
      <c r="S1160" s="465"/>
      <c r="T1160" s="465"/>
      <c r="U1160" s="465"/>
      <c r="V1160" s="465"/>
      <c r="W1160" s="465"/>
      <c r="X1160" s="465"/>
      <c r="Y1160" s="465"/>
      <c r="Z1160" s="465"/>
      <c r="AA1160" s="465"/>
      <c r="AB1160" s="465"/>
      <c r="AC1160" s="465"/>
      <c r="AD1160" s="465"/>
      <c r="AE1160" s="465"/>
      <c r="AF1160" s="465"/>
      <c r="AG1160" s="465"/>
      <c r="AH1160" s="465"/>
      <c r="AI1160" s="465"/>
      <c r="AJ1160" s="465"/>
      <c r="AK1160" s="465"/>
      <c r="AL1160" s="465"/>
      <c r="AM1160" s="465"/>
      <c r="AN1160" s="465"/>
      <c r="AO1160" s="465"/>
      <c r="AP1160" s="465"/>
      <c r="AQ1160" s="465"/>
      <c r="AR1160" s="465"/>
      <c r="AS1160" s="465"/>
      <c r="AT1160" s="465"/>
      <c r="AU1160" s="465"/>
      <c r="AV1160" s="465"/>
      <c r="AW1160" s="465"/>
      <c r="AX1160" s="465"/>
      <c r="AY1160" s="465"/>
      <c r="AZ1160" s="465"/>
      <c r="BA1160" s="465"/>
      <c r="BB1160" s="465"/>
      <c r="BC1160" s="465"/>
    </row>
    <row r="1161" spans="1:55">
      <c r="A1161" s="465"/>
      <c r="B1161" s="465"/>
      <c r="C1161" s="465"/>
      <c r="D1161" s="467"/>
      <c r="E1161" s="465"/>
      <c r="F1161" s="465"/>
      <c r="G1161" s="465"/>
      <c r="H1161" s="465"/>
      <c r="I1161" s="465"/>
      <c r="J1161" s="465"/>
      <c r="K1161" s="465"/>
      <c r="L1161" s="465"/>
      <c r="M1161" s="465"/>
      <c r="N1161" s="465"/>
      <c r="O1161" s="465"/>
      <c r="P1161" s="465"/>
      <c r="Q1161" s="465"/>
      <c r="R1161" s="465"/>
      <c r="S1161" s="465"/>
      <c r="T1161" s="465"/>
      <c r="U1161" s="465"/>
      <c r="V1161" s="465"/>
      <c r="W1161" s="465"/>
      <c r="X1161" s="465"/>
      <c r="Y1161" s="465"/>
      <c r="Z1161" s="465"/>
      <c r="AA1161" s="465"/>
      <c r="AB1161" s="465"/>
      <c r="AC1161" s="465"/>
      <c r="AD1161" s="465"/>
      <c r="AE1161" s="465"/>
      <c r="AF1161" s="465"/>
      <c r="AG1161" s="465"/>
      <c r="AH1161" s="465"/>
      <c r="AI1161" s="465"/>
      <c r="AJ1161" s="465"/>
      <c r="AK1161" s="465"/>
      <c r="AL1161" s="465"/>
      <c r="AM1161" s="465"/>
      <c r="AN1161" s="465"/>
      <c r="AO1161" s="465"/>
      <c r="AP1161" s="465"/>
      <c r="AQ1161" s="465"/>
      <c r="AR1161" s="465"/>
      <c r="AS1161" s="465"/>
      <c r="AT1161" s="465"/>
      <c r="AU1161" s="465"/>
      <c r="AV1161" s="465"/>
      <c r="AW1161" s="465"/>
      <c r="AX1161" s="465"/>
      <c r="AY1161" s="465"/>
      <c r="AZ1161" s="465"/>
      <c r="BA1161" s="465"/>
      <c r="BB1161" s="465"/>
      <c r="BC1161" s="465"/>
    </row>
    <row r="1162" spans="1:55">
      <c r="A1162" s="465"/>
      <c r="B1162" s="465"/>
      <c r="C1162" s="465"/>
      <c r="D1162" s="467"/>
      <c r="E1162" s="465"/>
      <c r="F1162" s="465"/>
      <c r="G1162" s="465"/>
      <c r="H1162" s="465"/>
      <c r="I1162" s="465"/>
      <c r="J1162" s="465"/>
      <c r="K1162" s="465"/>
      <c r="L1162" s="465"/>
      <c r="M1162" s="465"/>
      <c r="N1162" s="465"/>
      <c r="O1162" s="465"/>
      <c r="P1162" s="465"/>
      <c r="Q1162" s="465"/>
      <c r="R1162" s="465"/>
      <c r="S1162" s="465"/>
      <c r="T1162" s="465"/>
      <c r="U1162" s="465"/>
      <c r="V1162" s="465"/>
      <c r="W1162" s="465"/>
      <c r="X1162" s="465"/>
      <c r="Y1162" s="465"/>
      <c r="Z1162" s="465"/>
      <c r="AA1162" s="465"/>
      <c r="AB1162" s="465"/>
      <c r="AC1162" s="465"/>
      <c r="AD1162" s="465"/>
      <c r="AE1162" s="465"/>
      <c r="AF1162" s="465"/>
      <c r="AG1162" s="465"/>
      <c r="AH1162" s="465"/>
      <c r="AI1162" s="465"/>
      <c r="AJ1162" s="465"/>
      <c r="AK1162" s="465"/>
      <c r="AL1162" s="465"/>
      <c r="AM1162" s="465"/>
      <c r="AN1162" s="465"/>
      <c r="AO1162" s="465"/>
      <c r="AP1162" s="465"/>
      <c r="AQ1162" s="465"/>
      <c r="AR1162" s="465"/>
      <c r="AS1162" s="465"/>
      <c r="AT1162" s="465"/>
      <c r="AU1162" s="465"/>
      <c r="AV1162" s="465"/>
      <c r="AW1162" s="465"/>
      <c r="AX1162" s="465"/>
      <c r="AY1162" s="465"/>
      <c r="AZ1162" s="465"/>
      <c r="BA1162" s="465"/>
      <c r="BB1162" s="465"/>
      <c r="BC1162" s="465"/>
    </row>
    <row r="1163" spans="1:55">
      <c r="A1163" s="465"/>
      <c r="B1163" s="465"/>
      <c r="C1163" s="465"/>
      <c r="D1163" s="467"/>
      <c r="E1163" s="465"/>
      <c r="F1163" s="465"/>
      <c r="G1163" s="465"/>
      <c r="H1163" s="465"/>
      <c r="I1163" s="465"/>
      <c r="J1163" s="465"/>
      <c r="K1163" s="465"/>
      <c r="L1163" s="465"/>
      <c r="M1163" s="465"/>
      <c r="N1163" s="465"/>
      <c r="O1163" s="465"/>
      <c r="P1163" s="465"/>
      <c r="Q1163" s="465"/>
      <c r="R1163" s="465"/>
      <c r="S1163" s="465"/>
      <c r="T1163" s="465"/>
      <c r="U1163" s="465"/>
      <c r="V1163" s="465"/>
      <c r="W1163" s="465"/>
      <c r="X1163" s="465"/>
      <c r="Y1163" s="465"/>
      <c r="Z1163" s="465"/>
      <c r="AA1163" s="465"/>
      <c r="AB1163" s="465"/>
      <c r="AC1163" s="465"/>
      <c r="AD1163" s="465"/>
      <c r="AE1163" s="465"/>
      <c r="AF1163" s="465"/>
      <c r="AG1163" s="465"/>
      <c r="AH1163" s="465"/>
      <c r="AI1163" s="465"/>
      <c r="AJ1163" s="465"/>
      <c r="AK1163" s="465"/>
      <c r="AL1163" s="465"/>
      <c r="AM1163" s="465"/>
      <c r="AN1163" s="465"/>
      <c r="AO1163" s="465"/>
      <c r="AP1163" s="465"/>
      <c r="AQ1163" s="465"/>
      <c r="AR1163" s="465"/>
      <c r="AS1163" s="465"/>
      <c r="AT1163" s="465"/>
      <c r="AU1163" s="465"/>
      <c r="AV1163" s="465"/>
      <c r="AW1163" s="465"/>
      <c r="AX1163" s="465"/>
      <c r="AY1163" s="465"/>
      <c r="AZ1163" s="465"/>
      <c r="BA1163" s="465"/>
      <c r="BB1163" s="465"/>
      <c r="BC1163" s="465"/>
    </row>
    <row r="1164" spans="1:55">
      <c r="A1164" s="465"/>
      <c r="B1164" s="465"/>
      <c r="C1164" s="465"/>
      <c r="D1164" s="467"/>
      <c r="E1164" s="465"/>
      <c r="F1164" s="465"/>
      <c r="G1164" s="465"/>
      <c r="H1164" s="465"/>
      <c r="I1164" s="465"/>
      <c r="J1164" s="465"/>
      <c r="K1164" s="465"/>
      <c r="L1164" s="465"/>
      <c r="M1164" s="465"/>
      <c r="N1164" s="465"/>
      <c r="O1164" s="465"/>
      <c r="P1164" s="465"/>
      <c r="Q1164" s="465"/>
      <c r="R1164" s="465"/>
      <c r="S1164" s="465"/>
      <c r="T1164" s="465"/>
      <c r="U1164" s="465"/>
      <c r="V1164" s="465"/>
      <c r="W1164" s="465"/>
      <c r="X1164" s="465"/>
      <c r="Y1164" s="465"/>
      <c r="Z1164" s="465"/>
      <c r="AA1164" s="465"/>
      <c r="AB1164" s="465"/>
      <c r="AC1164" s="465"/>
      <c r="AD1164" s="465"/>
      <c r="AE1164" s="465"/>
      <c r="AF1164" s="465"/>
      <c r="AG1164" s="465"/>
      <c r="AH1164" s="465"/>
      <c r="AI1164" s="465"/>
      <c r="AJ1164" s="465"/>
      <c r="AK1164" s="465"/>
      <c r="AL1164" s="465"/>
      <c r="AM1164" s="465"/>
      <c r="AN1164" s="465"/>
      <c r="AO1164" s="465"/>
      <c r="AP1164" s="465"/>
      <c r="AQ1164" s="465"/>
      <c r="AR1164" s="465"/>
      <c r="AS1164" s="465"/>
      <c r="AT1164" s="465"/>
      <c r="AU1164" s="465"/>
      <c r="AV1164" s="465"/>
      <c r="AW1164" s="465"/>
      <c r="AX1164" s="465"/>
      <c r="AY1164" s="465"/>
      <c r="AZ1164" s="465"/>
      <c r="BA1164" s="465"/>
      <c r="BB1164" s="465"/>
      <c r="BC1164" s="465"/>
    </row>
    <row r="1165" spans="1:55">
      <c r="A1165" s="465"/>
      <c r="B1165" s="465"/>
      <c r="C1165" s="465"/>
      <c r="D1165" s="467"/>
      <c r="E1165" s="465"/>
      <c r="F1165" s="465"/>
      <c r="G1165" s="465"/>
      <c r="H1165" s="465"/>
      <c r="I1165" s="465"/>
      <c r="J1165" s="465"/>
      <c r="K1165" s="465"/>
      <c r="L1165" s="465"/>
      <c r="M1165" s="465"/>
      <c r="N1165" s="465"/>
      <c r="O1165" s="465"/>
      <c r="P1165" s="465"/>
      <c r="Q1165" s="465"/>
      <c r="R1165" s="465"/>
      <c r="S1165" s="465"/>
      <c r="T1165" s="465"/>
      <c r="U1165" s="465"/>
      <c r="V1165" s="465"/>
      <c r="W1165" s="465"/>
      <c r="X1165" s="465"/>
      <c r="Y1165" s="465"/>
      <c r="Z1165" s="465"/>
      <c r="AA1165" s="465"/>
      <c r="AB1165" s="465"/>
      <c r="AC1165" s="465"/>
      <c r="AD1165" s="465"/>
      <c r="AE1165" s="465"/>
      <c r="AF1165" s="465"/>
      <c r="AG1165" s="465"/>
      <c r="AH1165" s="465"/>
      <c r="AI1165" s="465"/>
      <c r="AJ1165" s="465"/>
      <c r="AK1165" s="465"/>
      <c r="AL1165" s="465"/>
      <c r="AM1165" s="465"/>
      <c r="AN1165" s="465"/>
      <c r="AO1165" s="465"/>
      <c r="AP1165" s="465"/>
      <c r="AQ1165" s="465"/>
      <c r="AR1165" s="465"/>
      <c r="AS1165" s="465"/>
      <c r="AT1165" s="465"/>
      <c r="AU1165" s="465"/>
      <c r="AV1165" s="465"/>
      <c r="AW1165" s="465"/>
      <c r="AX1165" s="465"/>
      <c r="AY1165" s="465"/>
      <c r="AZ1165" s="465"/>
      <c r="BA1165" s="465"/>
      <c r="BB1165" s="465"/>
      <c r="BC1165" s="465"/>
    </row>
    <row r="1166" spans="1:55">
      <c r="A1166" s="465"/>
      <c r="B1166" s="465"/>
      <c r="C1166" s="465"/>
      <c r="D1166" s="467"/>
      <c r="E1166" s="465"/>
      <c r="F1166" s="465"/>
      <c r="G1166" s="465"/>
      <c r="H1166" s="465"/>
      <c r="I1166" s="465"/>
      <c r="J1166" s="465"/>
      <c r="K1166" s="465"/>
      <c r="L1166" s="465"/>
      <c r="M1166" s="465"/>
      <c r="N1166" s="465"/>
      <c r="O1166" s="465"/>
      <c r="P1166" s="465"/>
      <c r="Q1166" s="465"/>
      <c r="R1166" s="465"/>
      <c r="S1166" s="465"/>
      <c r="T1166" s="465"/>
      <c r="U1166" s="465"/>
      <c r="V1166" s="465"/>
      <c r="W1166" s="465"/>
      <c r="X1166" s="465"/>
      <c r="Y1166" s="465"/>
      <c r="Z1166" s="465"/>
      <c r="AA1166" s="465"/>
      <c r="AB1166" s="465"/>
      <c r="AC1166" s="465"/>
      <c r="AD1166" s="465"/>
      <c r="AE1166" s="465"/>
      <c r="AF1166" s="465"/>
      <c r="AG1166" s="465"/>
      <c r="AH1166" s="465"/>
      <c r="AI1166" s="465"/>
      <c r="AJ1166" s="465"/>
      <c r="AK1166" s="465"/>
      <c r="AL1166" s="465"/>
      <c r="AM1166" s="465"/>
      <c r="AN1166" s="465"/>
      <c r="AO1166" s="465"/>
      <c r="AP1166" s="465"/>
      <c r="AQ1166" s="465"/>
      <c r="AR1166" s="465"/>
      <c r="AS1166" s="465"/>
      <c r="AT1166" s="465"/>
      <c r="AU1166" s="465"/>
      <c r="AV1166" s="465"/>
      <c r="AW1166" s="465"/>
      <c r="AX1166" s="465"/>
      <c r="AY1166" s="465"/>
      <c r="AZ1166" s="465"/>
      <c r="BA1166" s="465"/>
      <c r="BB1166" s="465"/>
      <c r="BC1166" s="465"/>
    </row>
    <row r="1167" spans="1:55">
      <c r="A1167" s="465"/>
      <c r="B1167" s="465"/>
      <c r="C1167" s="465"/>
      <c r="D1167" s="467"/>
      <c r="E1167" s="465"/>
      <c r="F1167" s="465"/>
      <c r="G1167" s="465"/>
      <c r="H1167" s="465"/>
      <c r="I1167" s="465"/>
      <c r="J1167" s="465"/>
      <c r="K1167" s="465"/>
      <c r="L1167" s="465"/>
      <c r="M1167" s="465"/>
      <c r="N1167" s="465"/>
      <c r="O1167" s="465"/>
      <c r="P1167" s="465"/>
      <c r="Q1167" s="465"/>
      <c r="R1167" s="465"/>
      <c r="S1167" s="465"/>
      <c r="T1167" s="465"/>
      <c r="U1167" s="465"/>
      <c r="V1167" s="465"/>
      <c r="W1167" s="465"/>
      <c r="X1167" s="465"/>
      <c r="Y1167" s="465"/>
      <c r="Z1167" s="465"/>
      <c r="AA1167" s="465"/>
      <c r="AB1167" s="465"/>
      <c r="AC1167" s="465"/>
      <c r="AD1167" s="465"/>
      <c r="AE1167" s="465"/>
      <c r="AF1167" s="465"/>
      <c r="AG1167" s="465"/>
      <c r="AH1167" s="465"/>
      <c r="AI1167" s="465"/>
      <c r="AJ1167" s="465"/>
      <c r="AK1167" s="465"/>
      <c r="AL1167" s="465"/>
      <c r="AM1167" s="465"/>
      <c r="AN1167" s="465"/>
      <c r="AO1167" s="465"/>
      <c r="AP1167" s="465"/>
      <c r="AQ1167" s="465"/>
      <c r="AR1167" s="465"/>
      <c r="AS1167" s="465"/>
      <c r="AT1167" s="465"/>
      <c r="AU1167" s="465"/>
      <c r="AV1167" s="465"/>
      <c r="AW1167" s="465"/>
      <c r="AX1167" s="465"/>
      <c r="AY1167" s="465"/>
      <c r="AZ1167" s="465"/>
      <c r="BA1167" s="465"/>
      <c r="BB1167" s="465"/>
      <c r="BC1167" s="465"/>
    </row>
    <row r="1168" spans="1:55">
      <c r="A1168" s="465"/>
      <c r="B1168" s="465"/>
      <c r="C1168" s="465"/>
      <c r="D1168" s="467"/>
      <c r="E1168" s="465"/>
      <c r="F1168" s="465"/>
      <c r="G1168" s="465"/>
      <c r="H1168" s="465"/>
      <c r="I1168" s="465"/>
      <c r="J1168" s="465"/>
      <c r="K1168" s="465"/>
      <c r="L1168" s="465"/>
      <c r="M1168" s="465"/>
      <c r="N1168" s="465"/>
      <c r="O1168" s="465"/>
      <c r="P1168" s="465"/>
      <c r="Q1168" s="465"/>
      <c r="R1168" s="465"/>
      <c r="S1168" s="465"/>
      <c r="T1168" s="465"/>
      <c r="U1168" s="465"/>
      <c r="V1168" s="465"/>
      <c r="W1168" s="465"/>
      <c r="X1168" s="465"/>
      <c r="Y1168" s="465"/>
      <c r="Z1168" s="465"/>
      <c r="AA1168" s="465"/>
      <c r="AB1168" s="465"/>
      <c r="AC1168" s="465"/>
      <c r="AD1168" s="465"/>
      <c r="AE1168" s="465"/>
      <c r="AF1168" s="465"/>
      <c r="AG1168" s="465"/>
      <c r="AH1168" s="465"/>
      <c r="AI1168" s="465"/>
      <c r="AJ1168" s="465"/>
      <c r="AK1168" s="465"/>
      <c r="AL1168" s="465"/>
      <c r="AM1168" s="465"/>
      <c r="AN1168" s="465"/>
      <c r="AO1168" s="465"/>
      <c r="AP1168" s="465"/>
      <c r="AQ1168" s="465"/>
      <c r="AR1168" s="465"/>
      <c r="AS1168" s="465"/>
      <c r="AT1168" s="465"/>
      <c r="AU1168" s="465"/>
      <c r="AV1168" s="465"/>
      <c r="AW1168" s="465"/>
      <c r="AX1168" s="465"/>
      <c r="AY1168" s="465"/>
      <c r="AZ1168" s="465"/>
      <c r="BA1168" s="465"/>
      <c r="BB1168" s="465"/>
      <c r="BC1168" s="465"/>
    </row>
    <row r="1169" spans="1:55">
      <c r="A1169" s="465"/>
      <c r="B1169" s="465"/>
      <c r="C1169" s="465"/>
      <c r="D1169" s="467"/>
      <c r="E1169" s="465"/>
      <c r="F1169" s="465"/>
      <c r="G1169" s="465"/>
      <c r="H1169" s="465"/>
      <c r="I1169" s="465"/>
      <c r="J1169" s="465"/>
      <c r="K1169" s="465"/>
      <c r="L1169" s="465"/>
      <c r="M1169" s="465"/>
      <c r="N1169" s="465"/>
      <c r="O1169" s="465"/>
      <c r="P1169" s="465"/>
      <c r="Q1169" s="465"/>
      <c r="R1169" s="465"/>
      <c r="S1169" s="465"/>
      <c r="T1169" s="465"/>
      <c r="U1169" s="465"/>
      <c r="V1169" s="465"/>
      <c r="W1169" s="465"/>
      <c r="X1169" s="465"/>
      <c r="Y1169" s="465"/>
      <c r="Z1169" s="465"/>
      <c r="AA1169" s="465"/>
      <c r="AB1169" s="465"/>
      <c r="AC1169" s="465"/>
      <c r="AD1169" s="465"/>
      <c r="AE1169" s="465"/>
      <c r="AF1169" s="465"/>
      <c r="AG1169" s="465"/>
      <c r="AH1169" s="465"/>
      <c r="AI1169" s="465"/>
      <c r="AJ1169" s="465"/>
      <c r="AK1169" s="465"/>
      <c r="AL1169" s="465"/>
      <c r="AM1169" s="465"/>
      <c r="AN1169" s="465"/>
      <c r="AO1169" s="465"/>
      <c r="AP1169" s="465"/>
      <c r="AQ1169" s="465"/>
      <c r="AR1169" s="465"/>
      <c r="AS1169" s="465"/>
      <c r="AT1169" s="465"/>
      <c r="AU1169" s="465"/>
      <c r="AV1169" s="465"/>
      <c r="AW1169" s="465"/>
      <c r="AX1169" s="465"/>
      <c r="AY1169" s="465"/>
      <c r="AZ1169" s="465"/>
      <c r="BA1169" s="465"/>
      <c r="BB1169" s="465"/>
      <c r="BC1169" s="465"/>
    </row>
    <row r="1170" spans="1:55">
      <c r="A1170" s="465"/>
      <c r="B1170" s="465"/>
      <c r="C1170" s="465"/>
      <c r="D1170" s="467"/>
      <c r="E1170" s="465"/>
      <c r="F1170" s="465"/>
      <c r="G1170" s="465"/>
      <c r="H1170" s="465"/>
      <c r="I1170" s="465"/>
      <c r="J1170" s="465"/>
      <c r="K1170" s="465"/>
      <c r="L1170" s="465"/>
      <c r="M1170" s="465"/>
      <c r="N1170" s="465"/>
      <c r="O1170" s="465"/>
      <c r="P1170" s="465"/>
      <c r="Q1170" s="465"/>
      <c r="R1170" s="465"/>
      <c r="S1170" s="465"/>
      <c r="T1170" s="465"/>
      <c r="U1170" s="465"/>
      <c r="V1170" s="465"/>
      <c r="W1170" s="465"/>
      <c r="X1170" s="465"/>
      <c r="Y1170" s="465"/>
      <c r="Z1170" s="465"/>
      <c r="AA1170" s="465"/>
      <c r="AB1170" s="465"/>
      <c r="AC1170" s="465"/>
      <c r="AD1170" s="465"/>
      <c r="AE1170" s="465"/>
      <c r="AF1170" s="465"/>
      <c r="AG1170" s="465"/>
      <c r="AH1170" s="465"/>
      <c r="AI1170" s="465"/>
      <c r="AJ1170" s="465"/>
      <c r="AK1170" s="465"/>
      <c r="AL1170" s="465"/>
      <c r="AM1170" s="465"/>
      <c r="AN1170" s="465"/>
      <c r="AO1170" s="465"/>
      <c r="AP1170" s="465"/>
      <c r="AQ1170" s="465"/>
      <c r="AR1170" s="465"/>
      <c r="AS1170" s="465"/>
      <c r="AT1170" s="465"/>
      <c r="AU1170" s="465"/>
      <c r="AV1170" s="465"/>
      <c r="AW1170" s="465"/>
      <c r="AX1170" s="465"/>
      <c r="AY1170" s="465"/>
      <c r="AZ1170" s="465"/>
      <c r="BA1170" s="465"/>
      <c r="BB1170" s="465"/>
      <c r="BC1170" s="465"/>
    </row>
    <row r="1171" spans="1:55">
      <c r="A1171" s="465"/>
      <c r="B1171" s="465"/>
      <c r="C1171" s="465"/>
      <c r="D1171" s="467"/>
      <c r="E1171" s="465"/>
      <c r="F1171" s="465"/>
      <c r="G1171" s="465"/>
      <c r="H1171" s="465"/>
      <c r="I1171" s="465"/>
      <c r="J1171" s="465"/>
      <c r="K1171" s="465"/>
      <c r="L1171" s="465"/>
      <c r="M1171" s="465"/>
      <c r="N1171" s="465"/>
      <c r="O1171" s="465"/>
      <c r="P1171" s="465"/>
      <c r="Q1171" s="465"/>
      <c r="R1171" s="465"/>
      <c r="S1171" s="465"/>
      <c r="T1171" s="465"/>
      <c r="U1171" s="465"/>
      <c r="V1171" s="465"/>
      <c r="W1171" s="465"/>
      <c r="X1171" s="465"/>
      <c r="Y1171" s="465"/>
      <c r="Z1171" s="465"/>
      <c r="AA1171" s="465"/>
      <c r="AB1171" s="465"/>
      <c r="AC1171" s="465"/>
      <c r="AD1171" s="465"/>
      <c r="AE1171" s="465"/>
      <c r="AF1171" s="465"/>
      <c r="AG1171" s="465"/>
      <c r="AH1171" s="465"/>
      <c r="AI1171" s="465"/>
      <c r="AJ1171" s="465"/>
      <c r="AK1171" s="465"/>
      <c r="AL1171" s="465"/>
      <c r="AM1171" s="465"/>
      <c r="AN1171" s="465"/>
      <c r="AO1171" s="465"/>
      <c r="AP1171" s="465"/>
      <c r="AQ1171" s="465"/>
      <c r="AR1171" s="465"/>
      <c r="AS1171" s="465"/>
      <c r="AT1171" s="465"/>
      <c r="AU1171" s="465"/>
      <c r="AV1171" s="465"/>
      <c r="AW1171" s="465"/>
      <c r="AX1171" s="465"/>
      <c r="AY1171" s="465"/>
      <c r="AZ1171" s="465"/>
      <c r="BA1171" s="465"/>
      <c r="BB1171" s="465"/>
      <c r="BC1171" s="465"/>
    </row>
    <row r="1172" spans="1:55">
      <c r="A1172" s="465"/>
      <c r="B1172" s="465"/>
      <c r="C1172" s="465"/>
      <c r="D1172" s="467"/>
      <c r="E1172" s="465"/>
      <c r="F1172" s="465"/>
      <c r="G1172" s="465"/>
      <c r="H1172" s="465"/>
      <c r="I1172" s="465"/>
      <c r="J1172" s="465"/>
      <c r="K1172" s="465"/>
      <c r="L1172" s="465"/>
      <c r="M1172" s="465"/>
      <c r="N1172" s="465"/>
      <c r="O1172" s="465"/>
      <c r="P1172" s="465"/>
      <c r="Q1172" s="465"/>
      <c r="R1172" s="465"/>
      <c r="S1172" s="465"/>
      <c r="T1172" s="465"/>
      <c r="U1172" s="465"/>
      <c r="V1172" s="465"/>
      <c r="W1172" s="465"/>
      <c r="X1172" s="465"/>
      <c r="Y1172" s="465"/>
      <c r="Z1172" s="465"/>
      <c r="AA1172" s="465"/>
      <c r="AB1172" s="465"/>
      <c r="AC1172" s="465"/>
      <c r="AD1172" s="465"/>
      <c r="AE1172" s="465"/>
      <c r="AF1172" s="465"/>
      <c r="AG1172" s="465"/>
      <c r="AH1172" s="465"/>
      <c r="AI1172" s="465"/>
      <c r="AJ1172" s="465"/>
      <c r="AK1172" s="465"/>
      <c r="AL1172" s="465"/>
      <c r="AM1172" s="465"/>
      <c r="AN1172" s="465"/>
      <c r="AO1172" s="465"/>
      <c r="AP1172" s="465"/>
      <c r="AQ1172" s="465"/>
      <c r="AR1172" s="465"/>
      <c r="AS1172" s="465"/>
      <c r="AT1172" s="465"/>
      <c r="AU1172" s="465"/>
      <c r="AV1172" s="465"/>
      <c r="AW1172" s="465"/>
      <c r="AX1172" s="465"/>
      <c r="AY1172" s="465"/>
      <c r="AZ1172" s="465"/>
      <c r="BA1172" s="465"/>
      <c r="BB1172" s="465"/>
      <c r="BC1172" s="465"/>
    </row>
    <row r="1173" spans="1:55">
      <c r="A1173" s="465"/>
      <c r="B1173" s="465"/>
      <c r="C1173" s="465"/>
      <c r="D1173" s="467"/>
      <c r="E1173" s="465"/>
      <c r="F1173" s="465"/>
      <c r="G1173" s="465"/>
      <c r="H1173" s="465"/>
      <c r="I1173" s="465"/>
      <c r="J1173" s="465"/>
      <c r="K1173" s="465"/>
      <c r="L1173" s="465"/>
      <c r="M1173" s="465"/>
      <c r="N1173" s="465"/>
      <c r="O1173" s="465"/>
      <c r="P1173" s="465"/>
      <c r="Q1173" s="465"/>
      <c r="R1173" s="465"/>
      <c r="S1173" s="465"/>
      <c r="T1173" s="465"/>
      <c r="U1173" s="465"/>
      <c r="V1173" s="465"/>
      <c r="W1173" s="465"/>
      <c r="X1173" s="465"/>
      <c r="Y1173" s="465"/>
      <c r="Z1173" s="465"/>
      <c r="AA1173" s="465"/>
      <c r="AB1173" s="465"/>
      <c r="AC1173" s="465"/>
      <c r="AD1173" s="465"/>
      <c r="AE1173" s="465"/>
      <c r="AF1173" s="465"/>
      <c r="AG1173" s="465"/>
      <c r="AH1173" s="465"/>
      <c r="AI1173" s="465"/>
      <c r="AJ1173" s="465"/>
      <c r="AK1173" s="465"/>
      <c r="AL1173" s="465"/>
      <c r="AM1173" s="465"/>
      <c r="AN1173" s="465"/>
      <c r="AO1173" s="465"/>
      <c r="AP1173" s="465"/>
      <c r="AQ1173" s="465"/>
      <c r="AR1173" s="465"/>
      <c r="AS1173" s="465"/>
      <c r="AT1173" s="465"/>
      <c r="AU1173" s="465"/>
      <c r="AV1173" s="465"/>
      <c r="AW1173" s="465"/>
      <c r="AX1173" s="465"/>
      <c r="AY1173" s="465"/>
      <c r="AZ1173" s="465"/>
      <c r="BA1173" s="465"/>
      <c r="BB1173" s="465"/>
      <c r="BC1173" s="465"/>
    </row>
    <row r="1174" spans="1:55">
      <c r="A1174" s="465"/>
      <c r="B1174" s="465"/>
      <c r="C1174" s="465"/>
      <c r="D1174" s="467"/>
      <c r="E1174" s="465"/>
      <c r="F1174" s="465"/>
      <c r="G1174" s="465"/>
      <c r="H1174" s="465"/>
      <c r="I1174" s="465"/>
      <c r="J1174" s="465"/>
      <c r="K1174" s="465"/>
      <c r="L1174" s="465"/>
      <c r="M1174" s="465"/>
      <c r="N1174" s="465"/>
      <c r="O1174" s="465"/>
      <c r="P1174" s="465"/>
      <c r="Q1174" s="465"/>
      <c r="R1174" s="465"/>
      <c r="S1174" s="465"/>
      <c r="T1174" s="465"/>
      <c r="U1174" s="465"/>
      <c r="V1174" s="465"/>
      <c r="W1174" s="465"/>
      <c r="X1174" s="465"/>
      <c r="Y1174" s="465"/>
      <c r="Z1174" s="465"/>
      <c r="AA1174" s="465"/>
      <c r="AB1174" s="465"/>
      <c r="AC1174" s="465"/>
      <c r="AD1174" s="465"/>
      <c r="AE1174" s="465"/>
      <c r="AF1174" s="465"/>
      <c r="AG1174" s="465"/>
      <c r="AH1174" s="465"/>
      <c r="AI1174" s="465"/>
      <c r="AJ1174" s="465"/>
      <c r="AK1174" s="465"/>
      <c r="AL1174" s="465"/>
      <c r="AM1174" s="465"/>
      <c r="AN1174" s="465"/>
      <c r="AO1174" s="465"/>
      <c r="AP1174" s="465"/>
      <c r="AQ1174" s="465"/>
      <c r="AR1174" s="465"/>
      <c r="AS1174" s="465"/>
      <c r="AT1174" s="465"/>
      <c r="AU1174" s="465"/>
      <c r="AV1174" s="465"/>
      <c r="AW1174" s="465"/>
      <c r="AX1174" s="465"/>
      <c r="AY1174" s="465"/>
      <c r="AZ1174" s="465"/>
      <c r="BA1174" s="465"/>
      <c r="BB1174" s="465"/>
      <c r="BC1174" s="465"/>
    </row>
    <row r="1175" spans="1:55">
      <c r="A1175" s="465"/>
      <c r="B1175" s="465"/>
      <c r="C1175" s="465"/>
      <c r="D1175" s="467"/>
      <c r="E1175" s="465"/>
      <c r="F1175" s="465"/>
      <c r="G1175" s="465"/>
      <c r="H1175" s="465"/>
      <c r="I1175" s="465"/>
      <c r="J1175" s="465"/>
      <c r="K1175" s="465"/>
      <c r="L1175" s="465"/>
      <c r="M1175" s="465"/>
      <c r="N1175" s="465"/>
      <c r="O1175" s="465"/>
      <c r="P1175" s="465"/>
      <c r="Q1175" s="465"/>
      <c r="R1175" s="465"/>
      <c r="S1175" s="465"/>
      <c r="T1175" s="465"/>
      <c r="U1175" s="465"/>
      <c r="V1175" s="465"/>
      <c r="W1175" s="465"/>
      <c r="X1175" s="465"/>
      <c r="Y1175" s="465"/>
      <c r="Z1175" s="465"/>
      <c r="AA1175" s="465"/>
      <c r="AB1175" s="465"/>
      <c r="AC1175" s="465"/>
      <c r="AD1175" s="465"/>
      <c r="AE1175" s="465"/>
      <c r="AF1175" s="465"/>
      <c r="AG1175" s="465"/>
      <c r="AH1175" s="465"/>
      <c r="AI1175" s="465"/>
      <c r="AJ1175" s="465"/>
      <c r="AK1175" s="465"/>
      <c r="AL1175" s="465"/>
      <c r="AM1175" s="465"/>
      <c r="AN1175" s="465"/>
      <c r="AO1175" s="465"/>
      <c r="AP1175" s="465"/>
      <c r="AQ1175" s="465"/>
      <c r="AR1175" s="465"/>
      <c r="AS1175" s="465"/>
      <c r="AT1175" s="465"/>
      <c r="AU1175" s="465"/>
      <c r="AV1175" s="465"/>
      <c r="AW1175" s="465"/>
      <c r="AX1175" s="465"/>
      <c r="AY1175" s="465"/>
      <c r="AZ1175" s="465"/>
      <c r="BA1175" s="465"/>
      <c r="BB1175" s="465"/>
      <c r="BC1175" s="465"/>
    </row>
    <row r="1176" spans="1:55">
      <c r="A1176" s="465"/>
      <c r="B1176" s="465"/>
      <c r="C1176" s="465"/>
      <c r="D1176" s="467"/>
      <c r="E1176" s="465"/>
      <c r="F1176" s="465"/>
      <c r="G1176" s="465"/>
      <c r="H1176" s="465"/>
      <c r="I1176" s="465"/>
      <c r="J1176" s="465"/>
      <c r="K1176" s="465"/>
      <c r="L1176" s="465"/>
      <c r="M1176" s="465"/>
      <c r="N1176" s="465"/>
      <c r="O1176" s="465"/>
      <c r="P1176" s="465"/>
      <c r="Q1176" s="465"/>
      <c r="R1176" s="465"/>
      <c r="S1176" s="465"/>
      <c r="T1176" s="465"/>
      <c r="U1176" s="465"/>
      <c r="V1176" s="465"/>
      <c r="W1176" s="465"/>
      <c r="X1176" s="465"/>
      <c r="Y1176" s="465"/>
      <c r="Z1176" s="465"/>
      <c r="AA1176" s="465"/>
      <c r="AB1176" s="465"/>
      <c r="AC1176" s="465"/>
      <c r="AD1176" s="465"/>
      <c r="AE1176" s="465"/>
      <c r="AF1176" s="465"/>
      <c r="AG1176" s="465"/>
      <c r="AH1176" s="465"/>
      <c r="AI1176" s="465"/>
      <c r="AJ1176" s="465"/>
      <c r="AK1176" s="465"/>
      <c r="AL1176" s="465"/>
      <c r="AM1176" s="465"/>
      <c r="AN1176" s="465"/>
      <c r="AO1176" s="465"/>
      <c r="AP1176" s="465"/>
      <c r="AQ1176" s="465"/>
      <c r="AR1176" s="465"/>
      <c r="AS1176" s="465"/>
      <c r="AT1176" s="465"/>
      <c r="AU1176" s="465"/>
      <c r="AV1176" s="465"/>
      <c r="AW1176" s="465"/>
      <c r="AX1176" s="465"/>
      <c r="AY1176" s="465"/>
      <c r="AZ1176" s="465"/>
      <c r="BA1176" s="465"/>
      <c r="BB1176" s="465"/>
      <c r="BC1176" s="465"/>
    </row>
    <row r="1177" spans="1:55">
      <c r="A1177" s="465"/>
      <c r="B1177" s="465"/>
      <c r="C1177" s="465"/>
      <c r="D1177" s="467"/>
      <c r="E1177" s="465"/>
      <c r="F1177" s="465"/>
      <c r="G1177" s="465"/>
      <c r="H1177" s="465"/>
      <c r="I1177" s="465"/>
      <c r="J1177" s="465"/>
      <c r="K1177" s="465"/>
      <c r="L1177" s="465"/>
      <c r="M1177" s="465"/>
      <c r="N1177" s="465"/>
      <c r="O1177" s="465"/>
      <c r="P1177" s="465"/>
      <c r="Q1177" s="465"/>
      <c r="R1177" s="465"/>
      <c r="S1177" s="465"/>
      <c r="T1177" s="465"/>
      <c r="U1177" s="465"/>
      <c r="V1177" s="465"/>
      <c r="W1177" s="465"/>
      <c r="X1177" s="465"/>
      <c r="Y1177" s="465"/>
      <c r="Z1177" s="465"/>
      <c r="AA1177" s="465"/>
      <c r="AB1177" s="465"/>
      <c r="AC1177" s="465"/>
      <c r="AD1177" s="465"/>
      <c r="AE1177" s="465"/>
      <c r="AF1177" s="465"/>
      <c r="AG1177" s="465"/>
      <c r="AH1177" s="465"/>
      <c r="AI1177" s="465"/>
      <c r="AJ1177" s="465"/>
      <c r="AK1177" s="465"/>
      <c r="AL1177" s="465"/>
      <c r="AM1177" s="465"/>
      <c r="AN1177" s="465"/>
      <c r="AO1177" s="465"/>
      <c r="AP1177" s="465"/>
      <c r="AQ1177" s="465"/>
      <c r="AR1177" s="465"/>
      <c r="AS1177" s="465"/>
      <c r="AT1177" s="465"/>
      <c r="AU1177" s="465"/>
      <c r="AV1177" s="465"/>
      <c r="AW1177" s="465"/>
      <c r="AX1177" s="465"/>
      <c r="AY1177" s="465"/>
      <c r="AZ1177" s="465"/>
      <c r="BA1177" s="465"/>
      <c r="BB1177" s="465"/>
      <c r="BC1177" s="465"/>
    </row>
    <row r="1178" spans="1:55">
      <c r="A1178" s="465"/>
      <c r="B1178" s="465"/>
      <c r="C1178" s="465"/>
      <c r="D1178" s="467"/>
      <c r="E1178" s="465"/>
      <c r="F1178" s="465"/>
      <c r="G1178" s="465"/>
      <c r="H1178" s="465"/>
      <c r="I1178" s="465"/>
      <c r="J1178" s="465"/>
      <c r="K1178" s="465"/>
      <c r="L1178" s="465"/>
      <c r="M1178" s="465"/>
      <c r="N1178" s="465"/>
      <c r="O1178" s="465"/>
      <c r="P1178" s="465"/>
      <c r="Q1178" s="465"/>
      <c r="R1178" s="465"/>
      <c r="S1178" s="465"/>
      <c r="T1178" s="465"/>
      <c r="U1178" s="465"/>
      <c r="V1178" s="465"/>
      <c r="W1178" s="465"/>
      <c r="X1178" s="465"/>
      <c r="Y1178" s="465"/>
      <c r="Z1178" s="465"/>
      <c r="AA1178" s="465"/>
      <c r="AB1178" s="465"/>
      <c r="AC1178" s="465"/>
      <c r="AD1178" s="465"/>
      <c r="AE1178" s="465"/>
      <c r="AF1178" s="465"/>
      <c r="AG1178" s="465"/>
      <c r="AH1178" s="465"/>
      <c r="AI1178" s="465"/>
      <c r="AJ1178" s="465"/>
      <c r="AK1178" s="465"/>
      <c r="AL1178" s="465"/>
      <c r="AM1178" s="465"/>
      <c r="AN1178" s="465"/>
      <c r="AO1178" s="465"/>
      <c r="AP1178" s="465"/>
      <c r="AQ1178" s="465"/>
      <c r="AR1178" s="465"/>
      <c r="AS1178" s="465"/>
      <c r="AT1178" s="465"/>
      <c r="AU1178" s="465"/>
      <c r="AV1178" s="465"/>
      <c r="AW1178" s="465"/>
      <c r="AX1178" s="465"/>
      <c r="AY1178" s="465"/>
      <c r="AZ1178" s="465"/>
      <c r="BA1178" s="465"/>
      <c r="BB1178" s="465"/>
      <c r="BC1178" s="465"/>
    </row>
    <row r="1179" spans="1:55">
      <c r="A1179" s="465"/>
      <c r="B1179" s="465"/>
      <c r="C1179" s="465"/>
      <c r="D1179" s="467"/>
      <c r="E1179" s="465"/>
      <c r="F1179" s="465"/>
      <c r="G1179" s="465"/>
      <c r="H1179" s="465"/>
      <c r="I1179" s="465"/>
      <c r="J1179" s="465"/>
      <c r="K1179" s="465"/>
      <c r="L1179" s="465"/>
      <c r="M1179" s="465"/>
      <c r="N1179" s="465"/>
      <c r="O1179" s="465"/>
      <c r="P1179" s="465"/>
      <c r="Q1179" s="465"/>
      <c r="R1179" s="465"/>
      <c r="S1179" s="465"/>
      <c r="T1179" s="465"/>
      <c r="U1179" s="465"/>
      <c r="V1179" s="465"/>
      <c r="W1179" s="465"/>
      <c r="X1179" s="465"/>
      <c r="Y1179" s="465"/>
      <c r="Z1179" s="465"/>
      <c r="AA1179" s="465"/>
      <c r="AB1179" s="465"/>
      <c r="AC1179" s="465"/>
      <c r="AD1179" s="465"/>
      <c r="AE1179" s="465"/>
      <c r="AF1179" s="465"/>
      <c r="AG1179" s="465"/>
      <c r="AH1179" s="465"/>
      <c r="AI1179" s="465"/>
      <c r="AJ1179" s="465"/>
      <c r="AK1179" s="465"/>
      <c r="AL1179" s="465"/>
      <c r="AM1179" s="465"/>
      <c r="AN1179" s="465"/>
      <c r="AO1179" s="465"/>
      <c r="AP1179" s="465"/>
      <c r="AQ1179" s="465"/>
      <c r="AR1179" s="465"/>
      <c r="AS1179" s="465"/>
      <c r="AT1179" s="465"/>
      <c r="AU1179" s="465"/>
      <c r="AV1179" s="465"/>
      <c r="AW1179" s="465"/>
      <c r="AX1179" s="465"/>
      <c r="AY1179" s="465"/>
      <c r="AZ1179" s="465"/>
      <c r="BA1179" s="465"/>
      <c r="BB1179" s="465"/>
      <c r="BC1179" s="465"/>
    </row>
    <row r="1180" spans="1:55">
      <c r="A1180" s="465"/>
      <c r="B1180" s="465"/>
      <c r="C1180" s="465"/>
      <c r="D1180" s="467"/>
      <c r="E1180" s="465"/>
      <c r="F1180" s="465"/>
      <c r="G1180" s="465"/>
      <c r="H1180" s="465"/>
      <c r="I1180" s="465"/>
      <c r="J1180" s="465"/>
      <c r="K1180" s="465"/>
      <c r="L1180" s="465"/>
      <c r="M1180" s="465"/>
      <c r="N1180" s="465"/>
      <c r="O1180" s="465"/>
      <c r="P1180" s="465"/>
      <c r="Q1180" s="465"/>
      <c r="R1180" s="465"/>
      <c r="S1180" s="465"/>
      <c r="T1180" s="465"/>
      <c r="U1180" s="465"/>
      <c r="V1180" s="465"/>
      <c r="W1180" s="465"/>
      <c r="X1180" s="465"/>
      <c r="Y1180" s="465"/>
      <c r="Z1180" s="465"/>
      <c r="AA1180" s="465"/>
      <c r="AB1180" s="465"/>
      <c r="AC1180" s="465"/>
      <c r="AD1180" s="465"/>
      <c r="AE1180" s="465"/>
      <c r="AF1180" s="465"/>
      <c r="AG1180" s="465"/>
      <c r="AH1180" s="465"/>
      <c r="AI1180" s="465"/>
      <c r="AJ1180" s="465"/>
      <c r="AK1180" s="465"/>
      <c r="AL1180" s="465"/>
      <c r="AM1180" s="465"/>
      <c r="AN1180" s="465"/>
      <c r="AO1180" s="465"/>
      <c r="AP1180" s="465"/>
      <c r="AQ1180" s="465"/>
      <c r="AR1180" s="465"/>
      <c r="AS1180" s="465"/>
      <c r="AT1180" s="465"/>
      <c r="AU1180" s="465"/>
      <c r="AV1180" s="465"/>
      <c r="AW1180" s="465"/>
      <c r="AX1180" s="465"/>
      <c r="AY1180" s="465"/>
      <c r="AZ1180" s="465"/>
      <c r="BA1180" s="465"/>
      <c r="BB1180" s="465"/>
      <c r="BC1180" s="465"/>
    </row>
    <row r="1181" spans="1:55">
      <c r="A1181" s="465"/>
      <c r="B1181" s="465"/>
      <c r="C1181" s="465"/>
      <c r="D1181" s="467"/>
      <c r="E1181" s="465"/>
      <c r="F1181" s="465"/>
      <c r="G1181" s="465"/>
      <c r="H1181" s="465"/>
      <c r="I1181" s="465"/>
      <c r="J1181" s="465"/>
      <c r="K1181" s="465"/>
      <c r="L1181" s="465"/>
      <c r="M1181" s="465"/>
      <c r="N1181" s="465"/>
      <c r="O1181" s="465"/>
      <c r="P1181" s="465"/>
      <c r="Q1181" s="465"/>
      <c r="R1181" s="465"/>
      <c r="S1181" s="465"/>
      <c r="T1181" s="465"/>
      <c r="U1181" s="465"/>
      <c r="V1181" s="465"/>
      <c r="W1181" s="465"/>
      <c r="X1181" s="465"/>
      <c r="Y1181" s="465"/>
      <c r="Z1181" s="465"/>
      <c r="AA1181" s="465"/>
      <c r="AB1181" s="465"/>
      <c r="AC1181" s="465"/>
      <c r="AD1181" s="465"/>
      <c r="AE1181" s="465"/>
      <c r="AF1181" s="465"/>
      <c r="AG1181" s="465"/>
      <c r="AH1181" s="465"/>
      <c r="AI1181" s="465"/>
      <c r="AJ1181" s="465"/>
      <c r="AK1181" s="465"/>
      <c r="AL1181" s="465"/>
      <c r="AM1181" s="465"/>
      <c r="AN1181" s="465"/>
      <c r="AO1181" s="465"/>
      <c r="AP1181" s="465"/>
      <c r="AQ1181" s="465"/>
      <c r="AR1181" s="465"/>
      <c r="AS1181" s="465"/>
      <c r="AT1181" s="465"/>
      <c r="AU1181" s="465"/>
      <c r="AV1181" s="465"/>
      <c r="AW1181" s="465"/>
      <c r="AX1181" s="465"/>
      <c r="AY1181" s="465"/>
      <c r="AZ1181" s="465"/>
      <c r="BA1181" s="465"/>
      <c r="BB1181" s="465"/>
      <c r="BC1181" s="465"/>
    </row>
    <row r="1182" spans="1:55">
      <c r="A1182" s="465"/>
      <c r="B1182" s="465"/>
      <c r="C1182" s="465"/>
      <c r="D1182" s="467"/>
      <c r="E1182" s="465"/>
      <c r="F1182" s="465"/>
      <c r="G1182" s="465"/>
      <c r="H1182" s="465"/>
      <c r="I1182" s="465"/>
      <c r="J1182" s="465"/>
      <c r="K1182" s="465"/>
      <c r="L1182" s="465"/>
      <c r="M1182" s="465"/>
      <c r="N1182" s="465"/>
      <c r="O1182" s="465"/>
      <c r="P1182" s="465"/>
      <c r="Q1182" s="465"/>
      <c r="R1182" s="465"/>
      <c r="S1182" s="465"/>
      <c r="T1182" s="465"/>
      <c r="U1182" s="465"/>
      <c r="V1182" s="465"/>
      <c r="W1182" s="465"/>
      <c r="X1182" s="465"/>
      <c r="Y1182" s="465"/>
      <c r="Z1182" s="465"/>
      <c r="AA1182" s="465"/>
      <c r="AB1182" s="465"/>
      <c r="AC1182" s="465"/>
      <c r="AD1182" s="465"/>
      <c r="AE1182" s="465"/>
      <c r="AF1182" s="465"/>
      <c r="AG1182" s="465"/>
      <c r="AH1182" s="465"/>
      <c r="AI1182" s="465"/>
      <c r="AJ1182" s="465"/>
      <c r="AK1182" s="465"/>
      <c r="AL1182" s="465"/>
      <c r="AM1182" s="465"/>
      <c r="AN1182" s="465"/>
      <c r="AO1182" s="465"/>
      <c r="AP1182" s="465"/>
      <c r="AQ1182" s="465"/>
      <c r="AR1182" s="465"/>
      <c r="AS1182" s="465"/>
      <c r="AT1182" s="465"/>
      <c r="AU1182" s="465"/>
      <c r="AV1182" s="465"/>
      <c r="AW1182" s="465"/>
      <c r="AX1182" s="465"/>
      <c r="AY1182" s="465"/>
      <c r="AZ1182" s="465"/>
      <c r="BA1182" s="465"/>
      <c r="BB1182" s="465"/>
      <c r="BC1182" s="465"/>
    </row>
    <row r="1183" spans="1:55">
      <c r="A1183" s="465"/>
      <c r="B1183" s="465"/>
      <c r="C1183" s="465"/>
      <c r="D1183" s="467"/>
      <c r="E1183" s="465"/>
      <c r="F1183" s="465"/>
      <c r="G1183" s="465"/>
      <c r="H1183" s="465"/>
      <c r="I1183" s="465"/>
      <c r="J1183" s="465"/>
      <c r="K1183" s="465"/>
      <c r="L1183" s="465"/>
      <c r="M1183" s="465"/>
      <c r="N1183" s="465"/>
      <c r="O1183" s="465"/>
      <c r="P1183" s="465"/>
      <c r="Q1183" s="465"/>
      <c r="R1183" s="465"/>
      <c r="S1183" s="465"/>
      <c r="T1183" s="465"/>
      <c r="U1183" s="465"/>
      <c r="V1183" s="465"/>
      <c r="W1183" s="465"/>
      <c r="X1183" s="465"/>
      <c r="Y1183" s="465"/>
      <c r="Z1183" s="465"/>
      <c r="AA1183" s="465"/>
      <c r="AB1183" s="465"/>
      <c r="AC1183" s="465"/>
      <c r="AD1183" s="465"/>
      <c r="AE1183" s="465"/>
      <c r="AF1183" s="465"/>
      <c r="AG1183" s="465"/>
      <c r="AH1183" s="465"/>
      <c r="AI1183" s="465"/>
      <c r="AJ1183" s="465"/>
      <c r="AK1183" s="465"/>
      <c r="AL1183" s="465"/>
      <c r="AM1183" s="465"/>
      <c r="AN1183" s="465"/>
      <c r="AO1183" s="465"/>
      <c r="AP1183" s="465"/>
      <c r="AQ1183" s="465"/>
      <c r="AR1183" s="465"/>
      <c r="AS1183" s="465"/>
      <c r="AT1183" s="465"/>
      <c r="AU1183" s="465"/>
      <c r="AV1183" s="465"/>
      <c r="AW1183" s="465"/>
      <c r="AX1183" s="465"/>
      <c r="AY1183" s="465"/>
      <c r="AZ1183" s="465"/>
      <c r="BA1183" s="465"/>
      <c r="BB1183" s="465"/>
      <c r="BC1183" s="465"/>
    </row>
    <row r="1184" spans="1:55">
      <c r="A1184" s="465"/>
      <c r="B1184" s="465"/>
      <c r="C1184" s="465"/>
      <c r="D1184" s="467"/>
      <c r="E1184" s="465"/>
      <c r="F1184" s="465"/>
      <c r="G1184" s="465"/>
      <c r="H1184" s="465"/>
      <c r="I1184" s="465"/>
      <c r="J1184" s="465"/>
      <c r="K1184" s="465"/>
      <c r="L1184" s="465"/>
      <c r="M1184" s="465"/>
      <c r="N1184" s="465"/>
      <c r="O1184" s="465"/>
      <c r="P1184" s="465"/>
      <c r="Q1184" s="465"/>
      <c r="R1184" s="465"/>
      <c r="S1184" s="465"/>
      <c r="T1184" s="465"/>
      <c r="U1184" s="465"/>
      <c r="V1184" s="465"/>
      <c r="W1184" s="465"/>
      <c r="X1184" s="465"/>
      <c r="Y1184" s="465"/>
      <c r="Z1184" s="465"/>
      <c r="AA1184" s="465"/>
      <c r="AB1184" s="465"/>
      <c r="AC1184" s="465"/>
      <c r="AD1184" s="465"/>
      <c r="AE1184" s="465"/>
      <c r="AF1184" s="465"/>
      <c r="AG1184" s="465"/>
      <c r="AH1184" s="465"/>
      <c r="AI1184" s="465"/>
      <c r="AJ1184" s="465"/>
      <c r="AK1184" s="465"/>
      <c r="AL1184" s="465"/>
      <c r="AM1184" s="465"/>
      <c r="AN1184" s="465"/>
      <c r="AO1184" s="465"/>
      <c r="AP1184" s="465"/>
      <c r="AQ1184" s="465"/>
      <c r="AR1184" s="465"/>
      <c r="AS1184" s="465"/>
      <c r="AT1184" s="465"/>
      <c r="AU1184" s="465"/>
      <c r="AV1184" s="465"/>
      <c r="AW1184" s="465"/>
      <c r="AX1184" s="465"/>
      <c r="AY1184" s="465"/>
      <c r="AZ1184" s="465"/>
      <c r="BA1184" s="465"/>
      <c r="BB1184" s="465"/>
      <c r="BC1184" s="465"/>
    </row>
    <row r="1185" spans="1:55">
      <c r="A1185" s="465"/>
      <c r="B1185" s="465"/>
      <c r="C1185" s="465"/>
      <c r="D1185" s="467"/>
      <c r="E1185" s="465"/>
      <c r="F1185" s="465"/>
      <c r="G1185" s="465"/>
      <c r="H1185" s="465"/>
      <c r="I1185" s="465"/>
      <c r="J1185" s="465"/>
      <c r="K1185" s="465"/>
      <c r="L1185" s="465"/>
      <c r="M1185" s="465"/>
      <c r="N1185" s="465"/>
      <c r="O1185" s="465"/>
      <c r="P1185" s="465"/>
      <c r="Q1185" s="465"/>
      <c r="R1185" s="465"/>
      <c r="S1185" s="465"/>
      <c r="T1185" s="465"/>
      <c r="U1185" s="465"/>
      <c r="V1185" s="465"/>
      <c r="W1185" s="465"/>
      <c r="X1185" s="465"/>
      <c r="Y1185" s="465"/>
      <c r="Z1185" s="465"/>
      <c r="AA1185" s="465"/>
      <c r="AB1185" s="465"/>
      <c r="AC1185" s="465"/>
      <c r="AD1185" s="465"/>
      <c r="AE1185" s="465"/>
      <c r="AF1185" s="465"/>
      <c r="AG1185" s="465"/>
      <c r="AH1185" s="465"/>
      <c r="AI1185" s="465"/>
      <c r="AJ1185" s="465"/>
      <c r="AK1185" s="465"/>
      <c r="AL1185" s="465"/>
      <c r="AM1185" s="465"/>
      <c r="AN1185" s="465"/>
      <c r="AO1185" s="465"/>
      <c r="AP1185" s="465"/>
      <c r="AQ1185" s="465"/>
      <c r="AR1185" s="465"/>
      <c r="AS1185" s="465"/>
      <c r="AT1185" s="465"/>
      <c r="AU1185" s="465"/>
      <c r="AV1185" s="465"/>
      <c r="AW1185" s="465"/>
      <c r="AX1185" s="465"/>
      <c r="AY1185" s="465"/>
      <c r="AZ1185" s="465"/>
      <c r="BA1185" s="465"/>
      <c r="BB1185" s="465"/>
      <c r="BC1185" s="465"/>
    </row>
    <row r="1186" spans="1:55">
      <c r="A1186" s="465"/>
      <c r="B1186" s="465"/>
      <c r="C1186" s="465"/>
      <c r="D1186" s="467"/>
      <c r="E1186" s="465"/>
      <c r="F1186" s="465"/>
      <c r="G1186" s="465"/>
      <c r="H1186" s="465"/>
      <c r="I1186" s="465"/>
      <c r="J1186" s="465"/>
      <c r="K1186" s="465"/>
      <c r="L1186" s="465"/>
      <c r="M1186" s="465"/>
      <c r="N1186" s="465"/>
      <c r="O1186" s="465"/>
      <c r="P1186" s="465"/>
      <c r="Q1186" s="465"/>
      <c r="R1186" s="465"/>
      <c r="S1186" s="465"/>
      <c r="T1186" s="465"/>
      <c r="U1186" s="465"/>
      <c r="V1186" s="465"/>
      <c r="W1186" s="465"/>
      <c r="X1186" s="465"/>
      <c r="Y1186" s="465"/>
      <c r="Z1186" s="465"/>
      <c r="AA1186" s="465"/>
      <c r="AB1186" s="465"/>
      <c r="AC1186" s="465"/>
      <c r="AD1186" s="465"/>
      <c r="AE1186" s="465"/>
      <c r="AF1186" s="465"/>
      <c r="AG1186" s="465"/>
      <c r="AH1186" s="465"/>
      <c r="AI1186" s="465"/>
      <c r="AJ1186" s="465"/>
      <c r="AK1186" s="465"/>
      <c r="AL1186" s="465"/>
      <c r="AM1186" s="465"/>
      <c r="AN1186" s="465"/>
      <c r="AO1186" s="465"/>
      <c r="AP1186" s="465"/>
      <c r="AQ1186" s="465"/>
      <c r="AR1186" s="465"/>
      <c r="AS1186" s="465"/>
      <c r="AT1186" s="465"/>
      <c r="AU1186" s="465"/>
      <c r="AV1186" s="465"/>
      <c r="AW1186" s="465"/>
      <c r="AX1186" s="465"/>
      <c r="AY1186" s="465"/>
      <c r="AZ1186" s="465"/>
      <c r="BA1186" s="465"/>
      <c r="BB1186" s="465"/>
      <c r="BC1186" s="465"/>
    </row>
    <row r="1187" spans="1:55">
      <c r="A1187" s="465"/>
      <c r="B1187" s="465"/>
      <c r="C1187" s="465"/>
      <c r="D1187" s="467"/>
      <c r="E1187" s="465"/>
      <c r="F1187" s="465"/>
      <c r="G1187" s="465"/>
      <c r="H1187" s="465"/>
      <c r="I1187" s="465"/>
      <c r="J1187" s="465"/>
      <c r="K1187" s="465"/>
      <c r="L1187" s="465"/>
      <c r="M1187" s="465"/>
      <c r="N1187" s="465"/>
      <c r="O1187" s="465"/>
      <c r="P1187" s="465"/>
      <c r="Q1187" s="465"/>
      <c r="R1187" s="465"/>
      <c r="S1187" s="465"/>
      <c r="T1187" s="465"/>
      <c r="U1187" s="465"/>
      <c r="V1187" s="465"/>
      <c r="W1187" s="465"/>
      <c r="X1187" s="465"/>
      <c r="Y1187" s="465"/>
      <c r="Z1187" s="465"/>
      <c r="AA1187" s="465"/>
      <c r="AB1187" s="465"/>
      <c r="AC1187" s="465"/>
      <c r="AD1187" s="465"/>
      <c r="AE1187" s="465"/>
      <c r="AF1187" s="465"/>
      <c r="AG1187" s="465"/>
      <c r="AH1187" s="465"/>
      <c r="AI1187" s="465"/>
      <c r="AJ1187" s="465"/>
      <c r="AK1187" s="465"/>
      <c r="AL1187" s="465"/>
      <c r="AM1187" s="465"/>
      <c r="AN1187" s="465"/>
      <c r="AO1187" s="465"/>
      <c r="AP1187" s="465"/>
      <c r="AQ1187" s="465"/>
      <c r="AR1187" s="465"/>
      <c r="AS1187" s="465"/>
      <c r="AT1187" s="465"/>
      <c r="AU1187" s="465"/>
      <c r="AV1187" s="465"/>
      <c r="AW1187" s="465"/>
      <c r="AX1187" s="465"/>
      <c r="AY1187" s="465"/>
      <c r="AZ1187" s="465"/>
      <c r="BA1187" s="465"/>
      <c r="BB1187" s="465"/>
      <c r="BC1187" s="465"/>
    </row>
    <row r="1188" spans="1:55">
      <c r="A1188" s="465"/>
      <c r="B1188" s="465"/>
      <c r="C1188" s="465"/>
      <c r="D1188" s="467"/>
      <c r="E1188" s="465"/>
      <c r="F1188" s="465"/>
      <c r="G1188" s="465"/>
      <c r="H1188" s="465"/>
      <c r="I1188" s="465"/>
      <c r="J1188" s="465"/>
      <c r="K1188" s="465"/>
      <c r="L1188" s="465"/>
      <c r="M1188" s="465"/>
      <c r="N1188" s="465"/>
      <c r="O1188" s="465"/>
      <c r="P1188" s="465"/>
      <c r="Q1188" s="465"/>
      <c r="R1188" s="465"/>
      <c r="S1188" s="465"/>
      <c r="T1188" s="465"/>
      <c r="U1188" s="465"/>
      <c r="V1188" s="465"/>
      <c r="W1188" s="465"/>
      <c r="X1188" s="465"/>
      <c r="Y1188" s="465"/>
      <c r="Z1188" s="465"/>
      <c r="AA1188" s="465"/>
      <c r="AB1188" s="465"/>
      <c r="AC1188" s="465"/>
      <c r="AD1188" s="465"/>
      <c r="AE1188" s="465"/>
      <c r="AF1188" s="465"/>
      <c r="AG1188" s="465"/>
      <c r="AH1188" s="465"/>
      <c r="AI1188" s="465"/>
      <c r="AJ1188" s="465"/>
      <c r="AK1188" s="465"/>
      <c r="AL1188" s="465"/>
      <c r="AM1188" s="465"/>
      <c r="AN1188" s="465"/>
      <c r="AO1188" s="465"/>
      <c r="AP1188" s="465"/>
      <c r="AQ1188" s="465"/>
      <c r="AR1188" s="465"/>
      <c r="AS1188" s="465"/>
      <c r="AT1188" s="465"/>
      <c r="AU1188" s="465"/>
      <c r="AV1188" s="465"/>
      <c r="AW1188" s="465"/>
      <c r="AX1188" s="465"/>
      <c r="AY1188" s="465"/>
      <c r="AZ1188" s="465"/>
      <c r="BA1188" s="465"/>
      <c r="BB1188" s="465"/>
      <c r="BC1188" s="465"/>
    </row>
    <row r="1189" spans="1:55">
      <c r="A1189" s="465"/>
      <c r="B1189" s="465"/>
      <c r="C1189" s="465"/>
      <c r="D1189" s="467"/>
      <c r="E1189" s="465"/>
      <c r="F1189" s="465"/>
      <c r="G1189" s="465"/>
      <c r="H1189" s="465"/>
      <c r="I1189" s="465"/>
      <c r="J1189" s="465"/>
      <c r="K1189" s="465"/>
      <c r="L1189" s="465"/>
      <c r="M1189" s="465"/>
      <c r="N1189" s="465"/>
      <c r="O1189" s="465"/>
      <c r="P1189" s="465"/>
      <c r="Q1189" s="465"/>
      <c r="R1189" s="465"/>
      <c r="S1189" s="465"/>
      <c r="T1189" s="465"/>
      <c r="U1189" s="465"/>
      <c r="V1189" s="465"/>
      <c r="W1189" s="465"/>
      <c r="X1189" s="465"/>
      <c r="Y1189" s="465"/>
      <c r="Z1189" s="465"/>
      <c r="AA1189" s="465"/>
      <c r="AB1189" s="465"/>
      <c r="AC1189" s="465"/>
      <c r="AD1189" s="465"/>
      <c r="AE1189" s="465"/>
      <c r="AF1189" s="465"/>
      <c r="AG1189" s="465"/>
      <c r="AH1189" s="465"/>
      <c r="AI1189" s="465"/>
      <c r="AJ1189" s="465"/>
      <c r="AK1189" s="465"/>
      <c r="AL1189" s="465"/>
      <c r="AM1189" s="465"/>
      <c r="AN1189" s="465"/>
      <c r="AO1189" s="465"/>
      <c r="AP1189" s="465"/>
      <c r="AQ1189" s="465"/>
      <c r="AR1189" s="465"/>
      <c r="AS1189" s="465"/>
      <c r="AT1189" s="465"/>
      <c r="AU1189" s="465"/>
      <c r="AV1189" s="465"/>
      <c r="AW1189" s="465"/>
      <c r="AX1189" s="465"/>
      <c r="AY1189" s="465"/>
      <c r="AZ1189" s="465"/>
      <c r="BA1189" s="465"/>
      <c r="BB1189" s="465"/>
      <c r="BC1189" s="465"/>
    </row>
    <row r="1190" spans="1:55">
      <c r="A1190" s="465"/>
      <c r="B1190" s="465"/>
      <c r="C1190" s="465"/>
      <c r="D1190" s="467"/>
      <c r="E1190" s="465"/>
      <c r="F1190" s="465"/>
      <c r="G1190" s="465"/>
      <c r="H1190" s="465"/>
      <c r="I1190" s="465"/>
      <c r="J1190" s="465"/>
      <c r="K1190" s="465"/>
      <c r="L1190" s="465"/>
      <c r="M1190" s="465"/>
      <c r="N1190" s="465"/>
      <c r="O1190" s="465"/>
      <c r="P1190" s="465"/>
      <c r="Q1190" s="465"/>
      <c r="R1190" s="465"/>
      <c r="S1190" s="465"/>
      <c r="T1190" s="465"/>
      <c r="U1190" s="465"/>
      <c r="V1190" s="465"/>
      <c r="W1190" s="465"/>
      <c r="X1190" s="465"/>
      <c r="Y1190" s="465"/>
      <c r="Z1190" s="465"/>
      <c r="AA1190" s="465"/>
      <c r="AB1190" s="465"/>
      <c r="AC1190" s="465"/>
      <c r="AD1190" s="465"/>
      <c r="AE1190" s="465"/>
      <c r="AF1190" s="465"/>
      <c r="AG1190" s="465"/>
      <c r="AH1190" s="465"/>
      <c r="AI1190" s="465"/>
      <c r="AJ1190" s="465"/>
      <c r="AK1190" s="465"/>
      <c r="AL1190" s="465"/>
      <c r="AM1190" s="465"/>
      <c r="AN1190" s="465"/>
      <c r="AO1190" s="465"/>
      <c r="AP1190" s="465"/>
      <c r="AQ1190" s="465"/>
      <c r="AR1190" s="465"/>
      <c r="AS1190" s="465"/>
      <c r="AT1190" s="465"/>
      <c r="AU1190" s="465"/>
      <c r="AV1190" s="465"/>
      <c r="AW1190" s="465"/>
      <c r="AX1190" s="465"/>
      <c r="AY1190" s="465"/>
      <c r="AZ1190" s="465"/>
      <c r="BA1190" s="465"/>
      <c r="BB1190" s="465"/>
      <c r="BC1190" s="465"/>
    </row>
    <row r="1191" spans="1:55">
      <c r="A1191" s="465"/>
      <c r="B1191" s="465"/>
      <c r="C1191" s="465"/>
      <c r="D1191" s="467"/>
      <c r="E1191" s="465"/>
      <c r="F1191" s="465"/>
      <c r="G1191" s="465"/>
      <c r="H1191" s="465"/>
      <c r="I1191" s="465"/>
      <c r="J1191" s="465"/>
      <c r="K1191" s="465"/>
      <c r="L1191" s="465"/>
      <c r="M1191" s="465"/>
      <c r="N1191" s="465"/>
      <c r="O1191" s="465"/>
      <c r="P1191" s="465"/>
      <c r="Q1191" s="465"/>
      <c r="R1191" s="465"/>
      <c r="S1191" s="465"/>
      <c r="T1191" s="465"/>
      <c r="U1191" s="465"/>
      <c r="V1191" s="465"/>
      <c r="W1191" s="465"/>
      <c r="X1191" s="465"/>
      <c r="Y1191" s="465"/>
      <c r="Z1191" s="465"/>
      <c r="AA1191" s="465"/>
      <c r="AB1191" s="465"/>
      <c r="AC1191" s="465"/>
      <c r="AD1191" s="465"/>
      <c r="AE1191" s="465"/>
      <c r="AF1191" s="465"/>
      <c r="AG1191" s="465"/>
      <c r="AH1191" s="465"/>
      <c r="AI1191" s="465"/>
      <c r="AJ1191" s="465"/>
      <c r="AK1191" s="465"/>
      <c r="AL1191" s="465"/>
      <c r="AM1191" s="465"/>
      <c r="AN1191" s="465"/>
      <c r="AO1191" s="465"/>
      <c r="AP1191" s="465"/>
      <c r="AQ1191" s="465"/>
      <c r="AR1191" s="465"/>
      <c r="AS1191" s="465"/>
      <c r="AT1191" s="465"/>
      <c r="AU1191" s="465"/>
      <c r="AV1191" s="465"/>
      <c r="AW1191" s="465"/>
      <c r="AX1191" s="465"/>
      <c r="AY1191" s="465"/>
      <c r="AZ1191" s="465"/>
      <c r="BA1191" s="465"/>
      <c r="BB1191" s="465"/>
      <c r="BC1191" s="465"/>
    </row>
    <row r="1192" spans="1:55">
      <c r="A1192" s="465"/>
      <c r="B1192" s="465"/>
      <c r="C1192" s="465"/>
      <c r="D1192" s="467"/>
      <c r="E1192" s="465"/>
      <c r="F1192" s="465"/>
      <c r="G1192" s="465"/>
      <c r="H1192" s="465"/>
      <c r="I1192" s="465"/>
      <c r="J1192" s="465"/>
      <c r="K1192" s="465"/>
      <c r="L1192" s="465"/>
      <c r="M1192" s="465"/>
      <c r="N1192" s="465"/>
      <c r="O1192" s="465"/>
      <c r="P1192" s="465"/>
      <c r="Q1192" s="465"/>
      <c r="R1192" s="465"/>
      <c r="S1192" s="465"/>
      <c r="T1192" s="465"/>
      <c r="U1192" s="465"/>
      <c r="V1192" s="465"/>
      <c r="W1192" s="465"/>
      <c r="X1192" s="465"/>
      <c r="Y1192" s="465"/>
      <c r="Z1192" s="465"/>
      <c r="AA1192" s="465"/>
      <c r="AB1192" s="465"/>
      <c r="AC1192" s="465"/>
      <c r="AD1192" s="465"/>
      <c r="AE1192" s="465"/>
      <c r="AF1192" s="465"/>
      <c r="AG1192" s="465"/>
      <c r="AH1192" s="465"/>
      <c r="AI1192" s="465"/>
      <c r="AJ1192" s="465"/>
      <c r="AK1192" s="465"/>
      <c r="AL1192" s="465"/>
      <c r="AM1192" s="465"/>
      <c r="AN1192" s="465"/>
      <c r="AO1192" s="465"/>
      <c r="AP1192" s="465"/>
      <c r="AQ1192" s="465"/>
      <c r="AR1192" s="465"/>
      <c r="AS1192" s="465"/>
      <c r="AT1192" s="465"/>
      <c r="AU1192" s="465"/>
      <c r="AV1192" s="465"/>
      <c r="AW1192" s="465"/>
      <c r="AX1192" s="465"/>
      <c r="AY1192" s="465"/>
      <c r="AZ1192" s="465"/>
      <c r="BA1192" s="465"/>
      <c r="BB1192" s="465"/>
      <c r="BC1192" s="465"/>
    </row>
    <row r="1193" spans="1:55">
      <c r="A1193" s="465"/>
      <c r="B1193" s="465"/>
      <c r="C1193" s="465"/>
      <c r="D1193" s="467"/>
      <c r="E1193" s="465"/>
      <c r="F1193" s="465"/>
      <c r="G1193" s="465"/>
      <c r="H1193" s="465"/>
      <c r="I1193" s="465"/>
      <c r="J1193" s="465"/>
      <c r="K1193" s="465"/>
      <c r="L1193" s="465"/>
      <c r="M1193" s="465"/>
      <c r="N1193" s="465"/>
      <c r="O1193" s="465"/>
      <c r="P1193" s="465"/>
      <c r="Q1193" s="465"/>
      <c r="R1193" s="465"/>
      <c r="S1193" s="465"/>
      <c r="T1193" s="465"/>
      <c r="U1193" s="465"/>
      <c r="V1193" s="465"/>
      <c r="W1193" s="465"/>
      <c r="X1193" s="465"/>
      <c r="Y1193" s="465"/>
      <c r="Z1193" s="465"/>
      <c r="AA1193" s="465"/>
      <c r="AB1193" s="465"/>
      <c r="AC1193" s="465"/>
      <c r="AD1193" s="465"/>
      <c r="AE1193" s="465"/>
      <c r="AF1193" s="465"/>
      <c r="AG1193" s="465"/>
      <c r="AH1193" s="465"/>
      <c r="AI1193" s="465"/>
      <c r="AJ1193" s="465"/>
      <c r="AK1193" s="465"/>
      <c r="AL1193" s="465"/>
      <c r="AM1193" s="465"/>
      <c r="AN1193" s="465"/>
      <c r="AO1193" s="465"/>
      <c r="AP1193" s="465"/>
      <c r="AQ1193" s="465"/>
      <c r="AR1193" s="465"/>
      <c r="AS1193" s="465"/>
      <c r="AT1193" s="465"/>
      <c r="AU1193" s="465"/>
      <c r="AV1193" s="465"/>
      <c r="AW1193" s="465"/>
      <c r="AX1193" s="465"/>
      <c r="AY1193" s="465"/>
      <c r="AZ1193" s="465"/>
      <c r="BA1193" s="465"/>
      <c r="BB1193" s="465"/>
      <c r="BC1193" s="465"/>
    </row>
    <row r="1194" spans="1:55">
      <c r="A1194" s="465"/>
      <c r="B1194" s="465"/>
      <c r="C1194" s="465"/>
      <c r="D1194" s="467"/>
      <c r="E1194" s="465"/>
      <c r="F1194" s="465"/>
      <c r="G1194" s="465"/>
      <c r="H1194" s="465"/>
      <c r="I1194" s="465"/>
      <c r="J1194" s="465"/>
      <c r="K1194" s="465"/>
      <c r="L1194" s="465"/>
      <c r="M1194" s="465"/>
      <c r="N1194" s="465"/>
      <c r="O1194" s="465"/>
      <c r="P1194" s="465"/>
      <c r="Q1194" s="465"/>
      <c r="R1194" s="465"/>
      <c r="S1194" s="465"/>
      <c r="T1194" s="465"/>
      <c r="U1194" s="465"/>
      <c r="V1194" s="465"/>
      <c r="W1194" s="465"/>
      <c r="X1194" s="465"/>
      <c r="Y1194" s="465"/>
      <c r="Z1194" s="465"/>
      <c r="AA1194" s="465"/>
      <c r="AB1194" s="465"/>
      <c r="AC1194" s="465"/>
      <c r="AD1194" s="465"/>
      <c r="AE1194" s="465"/>
      <c r="AF1194" s="465"/>
      <c r="AG1194" s="465"/>
      <c r="AH1194" s="465"/>
      <c r="AI1194" s="465"/>
      <c r="AJ1194" s="465"/>
      <c r="AK1194" s="465"/>
      <c r="AL1194" s="465"/>
      <c r="AM1194" s="465"/>
      <c r="AN1194" s="465"/>
      <c r="AO1194" s="465"/>
      <c r="AP1194" s="465"/>
      <c r="AQ1194" s="465"/>
      <c r="AR1194" s="465"/>
      <c r="AS1194" s="465"/>
      <c r="AT1194" s="465"/>
      <c r="AU1194" s="465"/>
      <c r="AV1194" s="465"/>
      <c r="AW1194" s="465"/>
      <c r="AX1194" s="465"/>
      <c r="AY1194" s="465"/>
      <c r="AZ1194" s="465"/>
      <c r="BA1194" s="465"/>
      <c r="BB1194" s="465"/>
      <c r="BC1194" s="465"/>
    </row>
    <row r="1195" spans="1:55">
      <c r="A1195" s="465"/>
      <c r="B1195" s="465"/>
      <c r="C1195" s="465"/>
      <c r="D1195" s="467"/>
      <c r="E1195" s="465"/>
      <c r="F1195" s="465"/>
      <c r="G1195" s="465"/>
      <c r="H1195" s="465"/>
      <c r="I1195" s="465"/>
      <c r="J1195" s="465"/>
      <c r="K1195" s="465"/>
      <c r="L1195" s="465"/>
      <c r="M1195" s="465"/>
      <c r="N1195" s="465"/>
      <c r="O1195" s="465"/>
      <c r="P1195" s="465"/>
      <c r="Q1195" s="465"/>
      <c r="R1195" s="465"/>
      <c r="S1195" s="465"/>
      <c r="T1195" s="465"/>
      <c r="U1195" s="465"/>
      <c r="V1195" s="465"/>
      <c r="W1195" s="465"/>
      <c r="X1195" s="465"/>
      <c r="Y1195" s="465"/>
      <c r="Z1195" s="465"/>
      <c r="AA1195" s="465"/>
      <c r="AB1195" s="465"/>
      <c r="AC1195" s="465"/>
      <c r="AD1195" s="465"/>
      <c r="AE1195" s="465"/>
      <c r="AF1195" s="465"/>
      <c r="AG1195" s="465"/>
      <c r="AH1195" s="465"/>
      <c r="AI1195" s="465"/>
      <c r="AJ1195" s="465"/>
      <c r="AK1195" s="465"/>
      <c r="AL1195" s="465"/>
      <c r="AM1195" s="465"/>
      <c r="AN1195" s="465"/>
      <c r="AO1195" s="465"/>
      <c r="AP1195" s="465"/>
      <c r="AQ1195" s="465"/>
      <c r="AR1195" s="465"/>
      <c r="AS1195" s="465"/>
      <c r="AT1195" s="465"/>
      <c r="AU1195" s="465"/>
      <c r="AV1195" s="465"/>
      <c r="AW1195" s="465"/>
      <c r="AX1195" s="465"/>
      <c r="AY1195" s="465"/>
      <c r="AZ1195" s="465"/>
      <c r="BA1195" s="465"/>
      <c r="BB1195" s="465"/>
      <c r="BC1195" s="465"/>
    </row>
    <row r="1196" spans="1:55">
      <c r="A1196" s="465"/>
      <c r="B1196" s="465"/>
      <c r="C1196" s="465"/>
      <c r="D1196" s="467"/>
      <c r="E1196" s="465"/>
      <c r="F1196" s="465"/>
      <c r="G1196" s="465"/>
      <c r="H1196" s="465"/>
      <c r="I1196" s="465"/>
      <c r="J1196" s="465"/>
      <c r="K1196" s="465"/>
      <c r="L1196" s="465"/>
      <c r="M1196" s="465"/>
      <c r="N1196" s="465"/>
      <c r="O1196" s="465"/>
      <c r="P1196" s="465"/>
      <c r="Q1196" s="465"/>
      <c r="R1196" s="465"/>
      <c r="S1196" s="465"/>
      <c r="T1196" s="465"/>
      <c r="U1196" s="465"/>
      <c r="V1196" s="465"/>
      <c r="W1196" s="465"/>
      <c r="X1196" s="465"/>
      <c r="Y1196" s="465"/>
      <c r="Z1196" s="465"/>
      <c r="AA1196" s="465"/>
      <c r="AB1196" s="465"/>
      <c r="AC1196" s="465"/>
      <c r="AD1196" s="465"/>
      <c r="AE1196" s="465"/>
      <c r="AF1196" s="465"/>
      <c r="AG1196" s="465"/>
      <c r="AH1196" s="465"/>
      <c r="AI1196" s="465"/>
      <c r="AJ1196" s="465"/>
      <c r="AK1196" s="465"/>
      <c r="AL1196" s="465"/>
      <c r="AM1196" s="465"/>
      <c r="AN1196" s="465"/>
      <c r="AO1196" s="465"/>
      <c r="AP1196" s="465"/>
      <c r="AQ1196" s="465"/>
      <c r="AR1196" s="465"/>
      <c r="AS1196" s="465"/>
      <c r="AT1196" s="465"/>
      <c r="AU1196" s="465"/>
      <c r="AV1196" s="465"/>
      <c r="AW1196" s="465"/>
      <c r="AX1196" s="465"/>
      <c r="AY1196" s="465"/>
      <c r="AZ1196" s="465"/>
      <c r="BA1196" s="465"/>
      <c r="BB1196" s="465"/>
      <c r="BC1196" s="465"/>
    </row>
    <row r="1197" spans="1:55">
      <c r="A1197" s="465"/>
      <c r="B1197" s="465"/>
      <c r="C1197" s="465"/>
      <c r="D1197" s="467"/>
      <c r="E1197" s="465"/>
      <c r="F1197" s="465"/>
      <c r="G1197" s="465"/>
      <c r="H1197" s="465"/>
      <c r="I1197" s="465"/>
      <c r="J1197" s="465"/>
      <c r="K1197" s="465"/>
      <c r="L1197" s="465"/>
      <c r="M1197" s="465"/>
      <c r="N1197" s="465"/>
      <c r="O1197" s="465"/>
      <c r="P1197" s="465"/>
      <c r="Q1197" s="465"/>
      <c r="R1197" s="465"/>
      <c r="S1197" s="465"/>
      <c r="T1197" s="465"/>
      <c r="U1197" s="465"/>
      <c r="V1197" s="465"/>
      <c r="W1197" s="465"/>
      <c r="X1197" s="465"/>
      <c r="Y1197" s="465"/>
      <c r="Z1197" s="465"/>
      <c r="AA1197" s="465"/>
      <c r="AB1197" s="465"/>
      <c r="AC1197" s="465"/>
      <c r="AD1197" s="465"/>
      <c r="AE1197" s="465"/>
      <c r="AF1197" s="465"/>
      <c r="AG1197" s="465"/>
      <c r="AH1197" s="465"/>
      <c r="AI1197" s="465"/>
      <c r="AJ1197" s="465"/>
      <c r="AK1197" s="465"/>
      <c r="AL1197" s="465"/>
      <c r="AM1197" s="465"/>
      <c r="AN1197" s="465"/>
      <c r="AO1197" s="465"/>
      <c r="AP1197" s="465"/>
      <c r="AQ1197" s="465"/>
      <c r="AR1197" s="465"/>
      <c r="AS1197" s="465"/>
      <c r="AT1197" s="465"/>
      <c r="AU1197" s="465"/>
      <c r="AV1197" s="465"/>
      <c r="AW1197" s="465"/>
      <c r="AX1197" s="465"/>
      <c r="AY1197" s="465"/>
      <c r="AZ1197" s="465"/>
      <c r="BA1197" s="465"/>
      <c r="BB1197" s="465"/>
      <c r="BC1197" s="465"/>
    </row>
    <row r="1198" spans="1:55">
      <c r="A1198" s="465"/>
      <c r="B1198" s="465"/>
      <c r="C1198" s="465"/>
      <c r="D1198" s="467"/>
      <c r="E1198" s="465"/>
      <c r="F1198" s="465"/>
      <c r="G1198" s="465"/>
      <c r="H1198" s="465"/>
      <c r="I1198" s="465"/>
      <c r="J1198" s="465"/>
      <c r="K1198" s="465"/>
      <c r="L1198" s="465"/>
      <c r="M1198" s="465"/>
      <c r="N1198" s="465"/>
      <c r="O1198" s="465"/>
      <c r="P1198" s="465"/>
      <c r="Q1198" s="465"/>
      <c r="R1198" s="465"/>
      <c r="S1198" s="465"/>
      <c r="T1198" s="465"/>
      <c r="U1198" s="465"/>
      <c r="V1198" s="465"/>
      <c r="W1198" s="465"/>
      <c r="X1198" s="465"/>
      <c r="Y1198" s="465"/>
      <c r="Z1198" s="465"/>
      <c r="AA1198" s="465"/>
      <c r="AB1198" s="465"/>
      <c r="AC1198" s="465"/>
      <c r="AD1198" s="465"/>
      <c r="AE1198" s="465"/>
      <c r="AF1198" s="465"/>
      <c r="AG1198" s="465"/>
      <c r="AH1198" s="465"/>
      <c r="AI1198" s="465"/>
      <c r="AJ1198" s="465"/>
      <c r="AK1198" s="465"/>
      <c r="AL1198" s="465"/>
      <c r="AM1198" s="465"/>
      <c r="AN1198" s="465"/>
      <c r="AO1198" s="465"/>
      <c r="AP1198" s="465"/>
      <c r="AQ1198" s="465"/>
      <c r="AR1198" s="465"/>
      <c r="AS1198" s="465"/>
      <c r="AT1198" s="465"/>
      <c r="AU1198" s="465"/>
      <c r="AV1198" s="465"/>
      <c r="AW1198" s="465"/>
      <c r="AX1198" s="465"/>
      <c r="AY1198" s="465"/>
      <c r="AZ1198" s="465"/>
      <c r="BA1198" s="465"/>
      <c r="BB1198" s="465"/>
      <c r="BC1198" s="465"/>
    </row>
    <row r="1199" spans="1:55">
      <c r="A1199" s="465"/>
      <c r="B1199" s="465"/>
      <c r="C1199" s="465"/>
      <c r="D1199" s="467"/>
      <c r="E1199" s="465"/>
      <c r="F1199" s="465"/>
      <c r="G1199" s="465"/>
      <c r="H1199" s="465"/>
      <c r="I1199" s="465"/>
      <c r="J1199" s="465"/>
      <c r="K1199" s="465"/>
      <c r="L1199" s="465"/>
      <c r="M1199" s="465"/>
      <c r="N1199" s="465"/>
      <c r="O1199" s="465"/>
      <c r="P1199" s="465"/>
      <c r="Q1199" s="465"/>
      <c r="R1199" s="465"/>
      <c r="S1199" s="465"/>
      <c r="T1199" s="465"/>
      <c r="U1199" s="465"/>
      <c r="V1199" s="465"/>
      <c r="W1199" s="465"/>
      <c r="X1199" s="465"/>
      <c r="Y1199" s="465"/>
      <c r="Z1199" s="465"/>
      <c r="AA1199" s="465"/>
      <c r="AB1199" s="465"/>
      <c r="AC1199" s="465"/>
      <c r="AD1199" s="465"/>
      <c r="AE1199" s="465"/>
      <c r="AF1199" s="465"/>
      <c r="AG1199" s="465"/>
      <c r="AH1199" s="465"/>
      <c r="AI1199" s="465"/>
      <c r="AJ1199" s="465"/>
      <c r="AK1199" s="465"/>
      <c r="AL1199" s="465"/>
      <c r="AM1199" s="465"/>
      <c r="AN1199" s="465"/>
      <c r="AO1199" s="465"/>
      <c r="AP1199" s="465"/>
      <c r="AQ1199" s="465"/>
      <c r="AR1199" s="465"/>
      <c r="AS1199" s="465"/>
      <c r="AT1199" s="465"/>
      <c r="AU1199" s="465"/>
      <c r="AV1199" s="465"/>
      <c r="AW1199" s="465"/>
      <c r="AX1199" s="465"/>
      <c r="AY1199" s="465"/>
      <c r="AZ1199" s="465"/>
      <c r="BA1199" s="465"/>
      <c r="BB1199" s="465"/>
      <c r="BC1199" s="465"/>
    </row>
    <row r="1200" spans="1:55">
      <c r="A1200" s="465"/>
      <c r="B1200" s="465"/>
      <c r="C1200" s="465"/>
      <c r="D1200" s="467"/>
      <c r="E1200" s="465"/>
      <c r="F1200" s="465"/>
      <c r="G1200" s="465"/>
      <c r="H1200" s="465"/>
      <c r="I1200" s="465"/>
      <c r="J1200" s="465"/>
      <c r="K1200" s="465"/>
      <c r="L1200" s="465"/>
      <c r="M1200" s="465"/>
      <c r="N1200" s="465"/>
      <c r="O1200" s="465"/>
      <c r="P1200" s="465"/>
      <c r="Q1200" s="465"/>
      <c r="R1200" s="465"/>
      <c r="S1200" s="465"/>
      <c r="T1200" s="465"/>
      <c r="U1200" s="465"/>
      <c r="V1200" s="465"/>
      <c r="W1200" s="465"/>
      <c r="X1200" s="465"/>
      <c r="Y1200" s="465"/>
      <c r="Z1200" s="465"/>
      <c r="AA1200" s="465"/>
      <c r="AB1200" s="465"/>
      <c r="AC1200" s="465"/>
      <c r="AD1200" s="465"/>
      <c r="AE1200" s="465"/>
      <c r="AF1200" s="465"/>
      <c r="AG1200" s="465"/>
      <c r="AH1200" s="465"/>
      <c r="AI1200" s="465"/>
      <c r="AJ1200" s="465"/>
      <c r="AK1200" s="465"/>
      <c r="AL1200" s="465"/>
      <c r="AM1200" s="465"/>
      <c r="AN1200" s="465"/>
      <c r="AO1200" s="465"/>
      <c r="AP1200" s="465"/>
      <c r="AQ1200" s="465"/>
      <c r="AR1200" s="465"/>
      <c r="AS1200" s="465"/>
      <c r="AT1200" s="465"/>
      <c r="AU1200" s="465"/>
      <c r="AV1200" s="465"/>
      <c r="AW1200" s="465"/>
      <c r="AX1200" s="465"/>
      <c r="AY1200" s="465"/>
      <c r="AZ1200" s="465"/>
      <c r="BA1200" s="465"/>
      <c r="BB1200" s="465"/>
      <c r="BC1200" s="465"/>
    </row>
    <row r="1201" spans="1:55">
      <c r="A1201" s="465"/>
      <c r="B1201" s="465"/>
      <c r="C1201" s="465"/>
      <c r="D1201" s="467"/>
      <c r="E1201" s="465"/>
      <c r="F1201" s="465"/>
      <c r="G1201" s="465"/>
      <c r="H1201" s="465"/>
      <c r="I1201" s="465"/>
      <c r="J1201" s="465"/>
      <c r="K1201" s="465"/>
      <c r="L1201" s="465"/>
      <c r="M1201" s="465"/>
      <c r="N1201" s="465"/>
      <c r="O1201" s="465"/>
      <c r="P1201" s="465"/>
      <c r="Q1201" s="465"/>
      <c r="R1201" s="465"/>
      <c r="S1201" s="465"/>
      <c r="T1201" s="465"/>
      <c r="U1201" s="465"/>
      <c r="V1201" s="465"/>
      <c r="W1201" s="465"/>
      <c r="X1201" s="465"/>
      <c r="Y1201" s="465"/>
      <c r="Z1201" s="465"/>
      <c r="AA1201" s="465"/>
      <c r="AB1201" s="465"/>
      <c r="AC1201" s="465"/>
      <c r="AD1201" s="465"/>
      <c r="AE1201" s="465"/>
      <c r="AF1201" s="465"/>
      <c r="AG1201" s="465"/>
      <c r="AH1201" s="465"/>
      <c r="AI1201" s="465"/>
      <c r="AJ1201" s="465"/>
      <c r="AK1201" s="465"/>
      <c r="AL1201" s="465"/>
      <c r="AM1201" s="465"/>
      <c r="AN1201" s="465"/>
      <c r="AO1201" s="465"/>
      <c r="AP1201" s="465"/>
      <c r="AQ1201" s="465"/>
      <c r="AR1201" s="465"/>
      <c r="AS1201" s="465"/>
      <c r="AT1201" s="465"/>
      <c r="AU1201" s="465"/>
      <c r="AV1201" s="465"/>
      <c r="AW1201" s="465"/>
      <c r="AX1201" s="465"/>
      <c r="AY1201" s="465"/>
      <c r="AZ1201" s="465"/>
      <c r="BA1201" s="465"/>
      <c r="BB1201" s="465"/>
      <c r="BC1201" s="465"/>
    </row>
    <row r="1202" spans="1:55">
      <c r="A1202" s="465"/>
      <c r="B1202" s="465"/>
      <c r="C1202" s="465"/>
      <c r="D1202" s="467"/>
      <c r="E1202" s="465"/>
      <c r="F1202" s="465"/>
      <c r="G1202" s="465"/>
      <c r="H1202" s="465"/>
      <c r="I1202" s="465"/>
      <c r="J1202" s="465"/>
      <c r="K1202" s="465"/>
      <c r="L1202" s="465"/>
      <c r="M1202" s="465"/>
      <c r="N1202" s="465"/>
      <c r="O1202" s="465"/>
      <c r="P1202" s="465"/>
      <c r="Q1202" s="465"/>
      <c r="R1202" s="465"/>
      <c r="S1202" s="465"/>
      <c r="T1202" s="465"/>
      <c r="U1202" s="465"/>
      <c r="V1202" s="465"/>
      <c r="W1202" s="465"/>
      <c r="X1202" s="465"/>
      <c r="Y1202" s="465"/>
      <c r="Z1202" s="465"/>
      <c r="AA1202" s="465"/>
      <c r="AB1202" s="465"/>
      <c r="AC1202" s="465"/>
      <c r="AD1202" s="465"/>
      <c r="AE1202" s="465"/>
      <c r="AF1202" s="465"/>
      <c r="AG1202" s="465"/>
      <c r="AH1202" s="465"/>
      <c r="AI1202" s="465"/>
      <c r="AJ1202" s="465"/>
      <c r="AK1202" s="465"/>
      <c r="AL1202" s="465"/>
      <c r="AM1202" s="465"/>
      <c r="AN1202" s="465"/>
      <c r="AO1202" s="465"/>
      <c r="AP1202" s="465"/>
      <c r="AQ1202" s="465"/>
      <c r="AR1202" s="465"/>
      <c r="AS1202" s="465"/>
      <c r="AT1202" s="465"/>
      <c r="AU1202" s="465"/>
      <c r="AV1202" s="465"/>
      <c r="AW1202" s="465"/>
      <c r="AX1202" s="465"/>
      <c r="AY1202" s="465"/>
      <c r="AZ1202" s="465"/>
      <c r="BA1202" s="465"/>
      <c r="BB1202" s="465"/>
      <c r="BC1202" s="465"/>
    </row>
    <row r="1203" spans="1:55">
      <c r="A1203" s="465"/>
      <c r="B1203" s="465"/>
      <c r="C1203" s="465"/>
      <c r="D1203" s="467"/>
      <c r="E1203" s="465"/>
      <c r="F1203" s="465"/>
      <c r="G1203" s="465"/>
      <c r="H1203" s="465"/>
      <c r="I1203" s="465"/>
      <c r="J1203" s="465"/>
      <c r="K1203" s="465"/>
      <c r="L1203" s="465"/>
      <c r="M1203" s="465"/>
      <c r="N1203" s="465"/>
      <c r="O1203" s="465"/>
      <c r="P1203" s="465"/>
      <c r="Q1203" s="465"/>
      <c r="R1203" s="465"/>
      <c r="S1203" s="465"/>
      <c r="T1203" s="465"/>
      <c r="U1203" s="465"/>
      <c r="V1203" s="465"/>
      <c r="W1203" s="465"/>
      <c r="X1203" s="465"/>
      <c r="Y1203" s="465"/>
      <c r="Z1203" s="465"/>
      <c r="AA1203" s="465"/>
      <c r="AB1203" s="465"/>
      <c r="AC1203" s="465"/>
      <c r="AD1203" s="465"/>
      <c r="AE1203" s="465"/>
      <c r="AF1203" s="465"/>
      <c r="AG1203" s="465"/>
      <c r="AH1203" s="465"/>
      <c r="AI1203" s="465"/>
      <c r="AJ1203" s="465"/>
      <c r="AK1203" s="465"/>
      <c r="AL1203" s="465"/>
      <c r="AM1203" s="465"/>
      <c r="AN1203" s="465"/>
      <c r="AO1203" s="465"/>
      <c r="AP1203" s="465"/>
      <c r="AQ1203" s="465"/>
      <c r="AR1203" s="465"/>
      <c r="AS1203" s="465"/>
      <c r="AT1203" s="465"/>
      <c r="AU1203" s="465"/>
      <c r="AV1203" s="465"/>
      <c r="AW1203" s="465"/>
      <c r="AX1203" s="465"/>
      <c r="AY1203" s="465"/>
      <c r="AZ1203" s="465"/>
      <c r="BA1203" s="465"/>
      <c r="BB1203" s="465"/>
      <c r="BC1203" s="465"/>
    </row>
    <row r="1204" spans="1:55">
      <c r="A1204" s="465"/>
      <c r="B1204" s="465"/>
      <c r="C1204" s="465"/>
      <c r="D1204" s="467"/>
      <c r="E1204" s="465"/>
      <c r="F1204" s="465"/>
      <c r="G1204" s="465"/>
      <c r="H1204" s="465"/>
      <c r="I1204" s="465"/>
      <c r="J1204" s="465"/>
      <c r="K1204" s="465"/>
      <c r="L1204" s="465"/>
      <c r="M1204" s="465"/>
      <c r="N1204" s="465"/>
      <c r="O1204" s="465"/>
      <c r="P1204" s="465"/>
      <c r="Q1204" s="465"/>
      <c r="R1204" s="465"/>
      <c r="S1204" s="465"/>
      <c r="T1204" s="465"/>
      <c r="U1204" s="465"/>
      <c r="V1204" s="465"/>
      <c r="W1204" s="465"/>
      <c r="X1204" s="465"/>
      <c r="Y1204" s="465"/>
      <c r="Z1204" s="465"/>
      <c r="AA1204" s="465"/>
      <c r="AB1204" s="465"/>
      <c r="AC1204" s="465"/>
      <c r="AD1204" s="465"/>
      <c r="AE1204" s="465"/>
      <c r="AF1204" s="465"/>
      <c r="AG1204" s="465"/>
      <c r="AH1204" s="465"/>
      <c r="AI1204" s="465"/>
      <c r="AJ1204" s="465"/>
      <c r="AK1204" s="465"/>
      <c r="AL1204" s="465"/>
      <c r="AM1204" s="465"/>
      <c r="AN1204" s="465"/>
      <c r="AO1204" s="465"/>
      <c r="AP1204" s="465"/>
      <c r="AQ1204" s="465"/>
      <c r="AR1204" s="465"/>
      <c r="AS1204" s="465"/>
      <c r="AT1204" s="465"/>
      <c r="AU1204" s="465"/>
      <c r="AV1204" s="465"/>
      <c r="AW1204" s="465"/>
      <c r="AX1204" s="465"/>
      <c r="AY1204" s="465"/>
      <c r="AZ1204" s="465"/>
      <c r="BA1204" s="465"/>
      <c r="BB1204" s="465"/>
      <c r="BC1204" s="465"/>
    </row>
    <row r="1205" spans="1:55">
      <c r="A1205" s="465"/>
      <c r="B1205" s="465"/>
      <c r="C1205" s="465"/>
      <c r="D1205" s="467"/>
      <c r="E1205" s="465"/>
      <c r="F1205" s="465"/>
      <c r="G1205" s="465"/>
      <c r="H1205" s="465"/>
      <c r="I1205" s="465"/>
      <c r="J1205" s="465"/>
      <c r="K1205" s="465"/>
      <c r="L1205" s="465"/>
      <c r="M1205" s="465"/>
      <c r="N1205" s="465"/>
      <c r="O1205" s="465"/>
      <c r="P1205" s="465"/>
      <c r="Q1205" s="465"/>
      <c r="R1205" s="465"/>
      <c r="S1205" s="465"/>
      <c r="T1205" s="465"/>
      <c r="U1205" s="465"/>
      <c r="V1205" s="465"/>
      <c r="W1205" s="465"/>
      <c r="X1205" s="465"/>
      <c r="Y1205" s="465"/>
      <c r="Z1205" s="465"/>
      <c r="AA1205" s="465"/>
      <c r="AB1205" s="465"/>
      <c r="AC1205" s="465"/>
      <c r="AD1205" s="465"/>
      <c r="AE1205" s="465"/>
      <c r="AF1205" s="465"/>
      <c r="AG1205" s="465"/>
      <c r="AH1205" s="465"/>
      <c r="AI1205" s="465"/>
      <c r="AJ1205" s="465"/>
      <c r="AK1205" s="465"/>
      <c r="AL1205" s="465"/>
      <c r="AM1205" s="465"/>
      <c r="AN1205" s="465"/>
      <c r="AO1205" s="465"/>
      <c r="AP1205" s="465"/>
      <c r="AQ1205" s="465"/>
      <c r="AR1205" s="465"/>
      <c r="AS1205" s="465"/>
      <c r="AT1205" s="465"/>
      <c r="AU1205" s="465"/>
      <c r="AV1205" s="465"/>
      <c r="AW1205" s="465"/>
      <c r="AX1205" s="465"/>
      <c r="AY1205" s="465"/>
      <c r="AZ1205" s="465"/>
      <c r="BA1205" s="465"/>
      <c r="BB1205" s="465"/>
      <c r="BC1205" s="465"/>
    </row>
    <row r="1206" spans="1:55">
      <c r="A1206" s="465"/>
      <c r="B1206" s="465"/>
      <c r="C1206" s="465"/>
      <c r="D1206" s="467"/>
      <c r="E1206" s="465"/>
      <c r="F1206" s="465"/>
      <c r="G1206" s="465"/>
      <c r="H1206" s="465"/>
      <c r="I1206" s="465"/>
      <c r="J1206" s="465"/>
      <c r="K1206" s="465"/>
      <c r="L1206" s="465"/>
      <c r="M1206" s="465"/>
      <c r="N1206" s="465"/>
      <c r="O1206" s="465"/>
      <c r="P1206" s="465"/>
      <c r="Q1206" s="465"/>
      <c r="R1206" s="465"/>
      <c r="S1206" s="465"/>
      <c r="T1206" s="465"/>
      <c r="U1206" s="465"/>
      <c r="V1206" s="465"/>
      <c r="W1206" s="465"/>
      <c r="X1206" s="465"/>
      <c r="Y1206" s="465"/>
      <c r="Z1206" s="465"/>
      <c r="AA1206" s="465"/>
      <c r="AB1206" s="465"/>
      <c r="AC1206" s="465"/>
      <c r="AD1206" s="465"/>
      <c r="AE1206" s="465"/>
      <c r="AF1206" s="465"/>
      <c r="AG1206" s="465"/>
      <c r="AH1206" s="465"/>
      <c r="AI1206" s="465"/>
      <c r="AJ1206" s="465"/>
      <c r="AK1206" s="465"/>
      <c r="AL1206" s="465"/>
      <c r="AM1206" s="465"/>
      <c r="AN1206" s="465"/>
      <c r="AO1206" s="465"/>
      <c r="AP1206" s="465"/>
      <c r="AQ1206" s="465"/>
      <c r="AR1206" s="465"/>
      <c r="AS1206" s="465"/>
      <c r="AT1206" s="465"/>
      <c r="AU1206" s="465"/>
      <c r="AV1206" s="465"/>
      <c r="AW1206" s="465"/>
      <c r="AX1206" s="465"/>
      <c r="AY1206" s="465"/>
      <c r="AZ1206" s="465"/>
      <c r="BA1206" s="465"/>
      <c r="BB1206" s="465"/>
      <c r="BC1206" s="465"/>
    </row>
    <row r="1207" spans="1:55">
      <c r="A1207" s="465"/>
      <c r="B1207" s="465"/>
      <c r="C1207" s="465"/>
      <c r="D1207" s="467"/>
      <c r="E1207" s="465"/>
      <c r="F1207" s="465"/>
      <c r="G1207" s="465"/>
      <c r="H1207" s="465"/>
      <c r="I1207" s="465"/>
      <c r="J1207" s="465"/>
      <c r="K1207" s="465"/>
      <c r="L1207" s="465"/>
      <c r="M1207" s="465"/>
      <c r="N1207" s="465"/>
      <c r="O1207" s="465"/>
      <c r="P1207" s="465"/>
      <c r="Q1207" s="465"/>
      <c r="R1207" s="465"/>
      <c r="S1207" s="465"/>
      <c r="T1207" s="465"/>
      <c r="U1207" s="465"/>
      <c r="V1207" s="465"/>
      <c r="W1207" s="465"/>
      <c r="X1207" s="465"/>
      <c r="Y1207" s="465"/>
      <c r="Z1207" s="465"/>
      <c r="AA1207" s="465"/>
      <c r="AB1207" s="465"/>
      <c r="AC1207" s="465"/>
      <c r="AD1207" s="465"/>
      <c r="AE1207" s="465"/>
      <c r="AF1207" s="465"/>
      <c r="AG1207" s="465"/>
      <c r="AH1207" s="465"/>
      <c r="AI1207" s="465"/>
      <c r="AJ1207" s="465"/>
      <c r="AK1207" s="465"/>
      <c r="AL1207" s="465"/>
      <c r="AM1207" s="465"/>
      <c r="AN1207" s="465"/>
      <c r="AO1207" s="465"/>
      <c r="AP1207" s="465"/>
      <c r="AQ1207" s="465"/>
      <c r="AR1207" s="465"/>
      <c r="AS1207" s="465"/>
      <c r="AT1207" s="465"/>
      <c r="AU1207" s="465"/>
      <c r="AV1207" s="465"/>
      <c r="AW1207" s="465"/>
      <c r="AX1207" s="465"/>
      <c r="AY1207" s="465"/>
      <c r="AZ1207" s="465"/>
      <c r="BA1207" s="465"/>
      <c r="BB1207" s="465"/>
      <c r="BC1207" s="465"/>
    </row>
    <row r="1208" spans="1:55">
      <c r="A1208" s="465"/>
      <c r="B1208" s="465"/>
      <c r="C1208" s="465"/>
      <c r="D1208" s="467"/>
      <c r="E1208" s="465"/>
      <c r="F1208" s="465"/>
      <c r="G1208" s="465"/>
      <c r="H1208" s="465"/>
      <c r="I1208" s="465"/>
      <c r="J1208" s="465"/>
      <c r="K1208" s="465"/>
      <c r="L1208" s="465"/>
      <c r="M1208" s="465"/>
      <c r="N1208" s="465"/>
      <c r="O1208" s="465"/>
      <c r="P1208" s="465"/>
      <c r="Q1208" s="465"/>
      <c r="R1208" s="465"/>
      <c r="S1208" s="465"/>
      <c r="T1208" s="465"/>
      <c r="U1208" s="465"/>
      <c r="V1208" s="465"/>
      <c r="W1208" s="465"/>
      <c r="X1208" s="465"/>
      <c r="Y1208" s="465"/>
      <c r="Z1208" s="465"/>
      <c r="AA1208" s="465"/>
      <c r="AB1208" s="465"/>
      <c r="AC1208" s="465"/>
      <c r="AD1208" s="465"/>
      <c r="AE1208" s="465"/>
      <c r="AF1208" s="465"/>
      <c r="AG1208" s="465"/>
      <c r="AH1208" s="465"/>
      <c r="AI1208" s="465"/>
      <c r="AJ1208" s="465"/>
      <c r="AK1208" s="465"/>
      <c r="AL1208" s="465"/>
      <c r="AM1208" s="465"/>
      <c r="AN1208" s="465"/>
      <c r="AO1208" s="465"/>
      <c r="AP1208" s="465"/>
      <c r="AQ1208" s="465"/>
      <c r="AR1208" s="465"/>
      <c r="AS1208" s="465"/>
      <c r="AT1208" s="465"/>
      <c r="AU1208" s="465"/>
      <c r="AV1208" s="465"/>
      <c r="AW1208" s="465"/>
      <c r="AX1208" s="465"/>
      <c r="AY1208" s="465"/>
      <c r="AZ1208" s="465"/>
      <c r="BA1208" s="465"/>
      <c r="BB1208" s="465"/>
      <c r="BC1208" s="465"/>
    </row>
    <row r="1209" spans="1:55">
      <c r="A1209" s="465"/>
      <c r="B1209" s="465"/>
      <c r="C1209" s="465"/>
      <c r="D1209" s="467"/>
      <c r="E1209" s="465"/>
      <c r="F1209" s="465"/>
      <c r="G1209" s="465"/>
      <c r="H1209" s="465"/>
      <c r="I1209" s="465"/>
      <c r="J1209" s="465"/>
      <c r="K1209" s="465"/>
      <c r="L1209" s="465"/>
      <c r="M1209" s="465"/>
      <c r="N1209" s="465"/>
      <c r="O1209" s="465"/>
      <c r="P1209" s="465"/>
      <c r="Q1209" s="465"/>
      <c r="R1209" s="465"/>
      <c r="S1209" s="465"/>
      <c r="T1209" s="465"/>
      <c r="U1209" s="465"/>
      <c r="V1209" s="465"/>
      <c r="W1209" s="465"/>
      <c r="X1209" s="465"/>
      <c r="Y1209" s="465"/>
      <c r="Z1209" s="465"/>
      <c r="AA1209" s="465"/>
      <c r="AB1209" s="465"/>
      <c r="AC1209" s="465"/>
      <c r="AD1209" s="465"/>
      <c r="AE1209" s="465"/>
      <c r="AF1209" s="465"/>
      <c r="AG1209" s="465"/>
      <c r="AH1209" s="465"/>
      <c r="AI1209" s="465"/>
      <c r="AJ1209" s="465"/>
      <c r="AK1209" s="465"/>
      <c r="AL1209" s="465"/>
      <c r="AM1209" s="465"/>
      <c r="AN1209" s="465"/>
      <c r="AO1209" s="465"/>
      <c r="AP1209" s="465"/>
      <c r="AQ1209" s="465"/>
      <c r="AR1209" s="465"/>
      <c r="AS1209" s="465"/>
      <c r="AT1209" s="465"/>
      <c r="AU1209" s="465"/>
      <c r="AV1209" s="465"/>
      <c r="AW1209" s="465"/>
      <c r="AX1209" s="465"/>
      <c r="AY1209" s="465"/>
      <c r="AZ1209" s="465"/>
      <c r="BA1209" s="465"/>
      <c r="BB1209" s="465"/>
      <c r="BC1209" s="465"/>
    </row>
    <row r="1210" spans="1:55">
      <c r="A1210" s="465"/>
      <c r="B1210" s="465"/>
      <c r="C1210" s="465"/>
      <c r="D1210" s="467"/>
      <c r="E1210" s="465"/>
      <c r="F1210" s="465"/>
      <c r="G1210" s="465"/>
      <c r="H1210" s="465"/>
      <c r="I1210" s="465"/>
      <c r="J1210" s="465"/>
      <c r="K1210" s="465"/>
      <c r="L1210" s="465"/>
      <c r="M1210" s="465"/>
      <c r="N1210" s="465"/>
      <c r="O1210" s="465"/>
      <c r="P1210" s="465"/>
      <c r="Q1210" s="465"/>
      <c r="R1210" s="465"/>
      <c r="S1210" s="465"/>
      <c r="T1210" s="465"/>
      <c r="U1210" s="465"/>
      <c r="V1210" s="465"/>
      <c r="W1210" s="465"/>
      <c r="X1210" s="465"/>
      <c r="Y1210" s="465"/>
      <c r="Z1210" s="465"/>
      <c r="AA1210" s="465"/>
      <c r="AB1210" s="465"/>
      <c r="AC1210" s="465"/>
      <c r="AD1210" s="465"/>
      <c r="AE1210" s="465"/>
      <c r="AF1210" s="465"/>
      <c r="AG1210" s="465"/>
      <c r="AH1210" s="465"/>
      <c r="AI1210" s="465"/>
      <c r="AJ1210" s="465"/>
      <c r="AK1210" s="465"/>
      <c r="AL1210" s="465"/>
      <c r="AM1210" s="465"/>
      <c r="AN1210" s="465"/>
      <c r="AO1210" s="465"/>
      <c r="AP1210" s="465"/>
      <c r="AQ1210" s="465"/>
      <c r="AR1210" s="465"/>
      <c r="AS1210" s="465"/>
      <c r="AT1210" s="465"/>
      <c r="AU1210" s="465"/>
      <c r="AV1210" s="465"/>
      <c r="AW1210" s="465"/>
      <c r="AX1210" s="465"/>
      <c r="AY1210" s="465"/>
      <c r="AZ1210" s="465"/>
      <c r="BA1210" s="465"/>
      <c r="BB1210" s="465"/>
      <c r="BC1210" s="465"/>
    </row>
    <row r="1211" spans="1:55">
      <c r="A1211" s="465"/>
      <c r="B1211" s="465"/>
      <c r="C1211" s="465"/>
      <c r="D1211" s="467"/>
      <c r="E1211" s="465"/>
      <c r="F1211" s="465"/>
      <c r="G1211" s="465"/>
      <c r="H1211" s="465"/>
      <c r="I1211" s="465"/>
      <c r="J1211" s="465"/>
      <c r="K1211" s="465"/>
      <c r="L1211" s="465"/>
      <c r="M1211" s="465"/>
      <c r="N1211" s="465"/>
      <c r="O1211" s="465"/>
      <c r="P1211" s="465"/>
      <c r="Q1211" s="465"/>
      <c r="R1211" s="465"/>
      <c r="S1211" s="465"/>
      <c r="T1211" s="465"/>
      <c r="U1211" s="465"/>
      <c r="V1211" s="465"/>
      <c r="W1211" s="465"/>
      <c r="X1211" s="465"/>
      <c r="Y1211" s="465"/>
      <c r="Z1211" s="465"/>
      <c r="AA1211" s="465"/>
      <c r="AB1211" s="465"/>
      <c r="AC1211" s="465"/>
      <c r="AD1211" s="465"/>
      <c r="AE1211" s="465"/>
      <c r="AF1211" s="465"/>
      <c r="AG1211" s="465"/>
      <c r="AH1211" s="465"/>
      <c r="AI1211" s="465"/>
      <c r="AJ1211" s="465"/>
      <c r="AK1211" s="465"/>
      <c r="AL1211" s="465"/>
      <c r="AM1211" s="465"/>
      <c r="AN1211" s="465"/>
      <c r="AO1211" s="465"/>
      <c r="AP1211" s="465"/>
      <c r="AQ1211" s="465"/>
      <c r="AR1211" s="465"/>
      <c r="AS1211" s="465"/>
      <c r="AT1211" s="465"/>
      <c r="AU1211" s="465"/>
      <c r="AV1211" s="465"/>
      <c r="AW1211" s="465"/>
      <c r="AX1211" s="465"/>
      <c r="AY1211" s="465"/>
      <c r="AZ1211" s="465"/>
      <c r="BA1211" s="465"/>
      <c r="BB1211" s="465"/>
      <c r="BC1211" s="465"/>
    </row>
    <row r="1212" spans="1:55">
      <c r="A1212" s="465"/>
      <c r="B1212" s="465"/>
      <c r="C1212" s="465"/>
      <c r="D1212" s="467"/>
      <c r="E1212" s="465"/>
      <c r="F1212" s="465"/>
      <c r="G1212" s="465"/>
      <c r="H1212" s="465"/>
      <c r="I1212" s="465"/>
      <c r="J1212" s="465"/>
      <c r="K1212" s="465"/>
      <c r="L1212" s="465"/>
      <c r="M1212" s="465"/>
      <c r="N1212" s="465"/>
      <c r="O1212" s="465"/>
      <c r="P1212" s="465"/>
      <c r="Q1212" s="465"/>
      <c r="R1212" s="465"/>
      <c r="S1212" s="465"/>
      <c r="T1212" s="465"/>
      <c r="U1212" s="465"/>
      <c r="V1212" s="465"/>
      <c r="W1212" s="465"/>
      <c r="X1212" s="465"/>
      <c r="Y1212" s="465"/>
      <c r="Z1212" s="465"/>
      <c r="AA1212" s="465"/>
      <c r="AB1212" s="465"/>
      <c r="AC1212" s="465"/>
      <c r="AD1212" s="465"/>
      <c r="AE1212" s="465"/>
      <c r="AF1212" s="465"/>
      <c r="AG1212" s="465"/>
      <c r="AH1212" s="465"/>
      <c r="AI1212" s="465"/>
      <c r="AJ1212" s="465"/>
      <c r="AK1212" s="465"/>
      <c r="AL1212" s="465"/>
      <c r="AM1212" s="465"/>
      <c r="AN1212" s="465"/>
      <c r="AO1212" s="465"/>
      <c r="AP1212" s="465"/>
      <c r="AQ1212" s="465"/>
      <c r="AR1212" s="465"/>
      <c r="AS1212" s="465"/>
      <c r="AT1212" s="465"/>
      <c r="AU1212" s="465"/>
      <c r="AV1212" s="465"/>
      <c r="AW1212" s="465"/>
      <c r="AX1212" s="465"/>
      <c r="AY1212" s="465"/>
      <c r="AZ1212" s="465"/>
      <c r="BA1212" s="465"/>
      <c r="BB1212" s="465"/>
      <c r="BC1212" s="465"/>
    </row>
    <row r="1213" spans="1:55">
      <c r="A1213" s="465"/>
      <c r="B1213" s="465"/>
      <c r="C1213" s="465"/>
      <c r="D1213" s="467"/>
      <c r="E1213" s="465"/>
      <c r="F1213" s="465"/>
      <c r="G1213" s="465"/>
      <c r="H1213" s="465"/>
      <c r="I1213" s="465"/>
      <c r="J1213" s="465"/>
      <c r="K1213" s="465"/>
      <c r="L1213" s="465"/>
      <c r="M1213" s="465"/>
      <c r="N1213" s="465"/>
      <c r="O1213" s="465"/>
      <c r="P1213" s="465"/>
      <c r="Q1213" s="465"/>
      <c r="R1213" s="465"/>
      <c r="S1213" s="465"/>
      <c r="T1213" s="465"/>
      <c r="U1213" s="465"/>
      <c r="V1213" s="465"/>
      <c r="W1213" s="465"/>
      <c r="X1213" s="465"/>
      <c r="Y1213" s="465"/>
      <c r="Z1213" s="465"/>
      <c r="AA1213" s="465"/>
      <c r="AB1213" s="465"/>
      <c r="AC1213" s="465"/>
      <c r="AD1213" s="465"/>
      <c r="AE1213" s="465"/>
      <c r="AF1213" s="465"/>
      <c r="AG1213" s="465"/>
      <c r="AH1213" s="465"/>
      <c r="AI1213" s="465"/>
      <c r="AJ1213" s="465"/>
      <c r="AK1213" s="465"/>
      <c r="AL1213" s="465"/>
      <c r="AM1213" s="465"/>
      <c r="AN1213" s="465"/>
      <c r="AO1213" s="465"/>
      <c r="AP1213" s="465"/>
      <c r="AQ1213" s="465"/>
      <c r="AR1213" s="465"/>
      <c r="AS1213" s="465"/>
      <c r="AT1213" s="465"/>
      <c r="AU1213" s="465"/>
      <c r="AV1213" s="465"/>
      <c r="AW1213" s="465"/>
      <c r="AX1213" s="465"/>
      <c r="AY1213" s="465"/>
      <c r="AZ1213" s="465"/>
      <c r="BA1213" s="465"/>
      <c r="BB1213" s="465"/>
      <c r="BC1213" s="465"/>
    </row>
    <row r="1214" spans="1:55">
      <c r="A1214" s="465"/>
      <c r="B1214" s="465"/>
      <c r="C1214" s="465"/>
      <c r="D1214" s="467"/>
      <c r="E1214" s="465"/>
      <c r="F1214" s="465"/>
      <c r="G1214" s="465"/>
      <c r="H1214" s="465"/>
      <c r="I1214" s="465"/>
      <c r="J1214" s="465"/>
      <c r="K1214" s="465"/>
      <c r="L1214" s="465"/>
      <c r="M1214" s="465"/>
      <c r="N1214" s="465"/>
      <c r="O1214" s="465"/>
      <c r="P1214" s="465"/>
      <c r="Q1214" s="465"/>
      <c r="R1214" s="465"/>
      <c r="S1214" s="465"/>
      <c r="T1214" s="465"/>
      <c r="U1214" s="465"/>
      <c r="V1214" s="465"/>
      <c r="W1214" s="465"/>
      <c r="X1214" s="465"/>
      <c r="Y1214" s="465"/>
      <c r="Z1214" s="465"/>
      <c r="AA1214" s="465"/>
      <c r="AB1214" s="465"/>
      <c r="AC1214" s="465"/>
      <c r="AD1214" s="465"/>
      <c r="AE1214" s="465"/>
      <c r="AF1214" s="465"/>
      <c r="AG1214" s="465"/>
      <c r="AH1214" s="465"/>
      <c r="AI1214" s="465"/>
      <c r="AJ1214" s="465"/>
      <c r="AK1214" s="465"/>
      <c r="AL1214" s="465"/>
      <c r="AM1214" s="465"/>
      <c r="AN1214" s="465"/>
      <c r="AO1214" s="465"/>
      <c r="AP1214" s="465"/>
      <c r="AQ1214" s="465"/>
      <c r="AR1214" s="465"/>
      <c r="AS1214" s="465"/>
      <c r="AT1214" s="465"/>
      <c r="AU1214" s="465"/>
      <c r="AV1214" s="465"/>
      <c r="AW1214" s="465"/>
      <c r="AX1214" s="465"/>
      <c r="AY1214" s="465"/>
      <c r="AZ1214" s="465"/>
      <c r="BA1214" s="465"/>
      <c r="BB1214" s="465"/>
      <c r="BC1214" s="465"/>
    </row>
    <row r="1215" spans="1:55">
      <c r="A1215" s="465"/>
      <c r="B1215" s="465"/>
      <c r="C1215" s="465"/>
      <c r="D1215" s="467"/>
      <c r="E1215" s="465"/>
      <c r="F1215" s="465"/>
      <c r="G1215" s="465"/>
      <c r="H1215" s="465"/>
      <c r="I1215" s="465"/>
      <c r="J1215" s="465"/>
      <c r="K1215" s="465"/>
      <c r="L1215" s="465"/>
      <c r="M1215" s="465"/>
      <c r="N1215" s="465"/>
      <c r="O1215" s="465"/>
      <c r="P1215" s="465"/>
      <c r="Q1215" s="465"/>
      <c r="R1215" s="465"/>
      <c r="S1215" s="465"/>
      <c r="T1215" s="465"/>
      <c r="U1215" s="465"/>
      <c r="V1215" s="465"/>
      <c r="W1215" s="465"/>
      <c r="X1215" s="465"/>
      <c r="Y1215" s="465"/>
      <c r="Z1215" s="465"/>
      <c r="AA1215" s="465"/>
      <c r="AB1215" s="465"/>
      <c r="AC1215" s="465"/>
      <c r="AD1215" s="465"/>
      <c r="AE1215" s="465"/>
      <c r="AF1215" s="465"/>
      <c r="AG1215" s="465"/>
      <c r="AH1215" s="465"/>
      <c r="AI1215" s="465"/>
      <c r="AJ1215" s="465"/>
      <c r="AK1215" s="465"/>
      <c r="AL1215" s="465"/>
      <c r="AM1215" s="465"/>
      <c r="AN1215" s="465"/>
      <c r="AO1215" s="465"/>
      <c r="AP1215" s="465"/>
      <c r="AQ1215" s="465"/>
      <c r="AR1215" s="465"/>
      <c r="AS1215" s="465"/>
      <c r="AT1215" s="465"/>
      <c r="AU1215" s="465"/>
      <c r="AV1215" s="465"/>
      <c r="AW1215" s="465"/>
      <c r="AX1215" s="465"/>
      <c r="AY1215" s="465"/>
      <c r="AZ1215" s="465"/>
      <c r="BA1215" s="465"/>
      <c r="BB1215" s="465"/>
      <c r="BC1215" s="465"/>
    </row>
    <row r="1216" spans="1:55">
      <c r="A1216" s="465"/>
      <c r="B1216" s="465"/>
      <c r="C1216" s="465"/>
      <c r="D1216" s="467"/>
      <c r="E1216" s="465"/>
      <c r="F1216" s="465"/>
      <c r="G1216" s="465"/>
      <c r="H1216" s="465"/>
      <c r="I1216" s="465"/>
      <c r="J1216" s="465"/>
      <c r="K1216" s="465"/>
      <c r="L1216" s="465"/>
      <c r="M1216" s="465"/>
      <c r="N1216" s="465"/>
      <c r="O1216" s="465"/>
      <c r="P1216" s="465"/>
      <c r="Q1216" s="465"/>
      <c r="R1216" s="465"/>
      <c r="S1216" s="465"/>
      <c r="T1216" s="465"/>
      <c r="U1216" s="465"/>
      <c r="V1216" s="465"/>
      <c r="W1216" s="465"/>
      <c r="X1216" s="465"/>
      <c r="Y1216" s="465"/>
      <c r="Z1216" s="465"/>
      <c r="AA1216" s="465"/>
      <c r="AB1216" s="465"/>
      <c r="AC1216" s="465"/>
      <c r="AD1216" s="465"/>
      <c r="AE1216" s="465"/>
      <c r="AF1216" s="465"/>
      <c r="AG1216" s="465"/>
      <c r="AH1216" s="465"/>
      <c r="AI1216" s="465"/>
      <c r="AJ1216" s="465"/>
      <c r="AK1216" s="465"/>
      <c r="AL1216" s="465"/>
      <c r="AM1216" s="465"/>
      <c r="AN1216" s="465"/>
      <c r="AO1216" s="465"/>
      <c r="AP1216" s="465"/>
      <c r="AQ1216" s="465"/>
      <c r="AR1216" s="465"/>
      <c r="AS1216" s="465"/>
      <c r="AT1216" s="465"/>
      <c r="AU1216" s="465"/>
      <c r="AV1216" s="465"/>
      <c r="AW1216" s="465"/>
      <c r="AX1216" s="465"/>
      <c r="AY1216" s="465"/>
      <c r="AZ1216" s="465"/>
      <c r="BA1216" s="465"/>
      <c r="BB1216" s="465"/>
      <c r="BC1216" s="465"/>
    </row>
    <row r="1217" spans="1:55">
      <c r="A1217" s="465"/>
      <c r="B1217" s="465"/>
      <c r="C1217" s="465"/>
      <c r="D1217" s="467"/>
      <c r="E1217" s="465"/>
      <c r="F1217" s="465"/>
      <c r="G1217" s="465"/>
      <c r="H1217" s="465"/>
      <c r="I1217" s="465"/>
      <c r="J1217" s="465"/>
      <c r="K1217" s="465"/>
      <c r="L1217" s="465"/>
      <c r="M1217" s="465"/>
      <c r="N1217" s="465"/>
      <c r="O1217" s="465"/>
      <c r="P1217" s="465"/>
      <c r="Q1217" s="465"/>
      <c r="R1217" s="465"/>
      <c r="S1217" s="465"/>
      <c r="T1217" s="465"/>
      <c r="U1217" s="465"/>
      <c r="V1217" s="465"/>
      <c r="W1217" s="465"/>
      <c r="X1217" s="465"/>
      <c r="Y1217" s="465"/>
      <c r="Z1217" s="465"/>
      <c r="AA1217" s="465"/>
      <c r="AB1217" s="465"/>
      <c r="AC1217" s="465"/>
      <c r="AD1217" s="465"/>
      <c r="AE1217" s="465"/>
      <c r="AF1217" s="465"/>
      <c r="AG1217" s="465"/>
      <c r="AH1217" s="465"/>
      <c r="AI1217" s="465"/>
      <c r="AJ1217" s="465"/>
      <c r="AK1217" s="465"/>
      <c r="AL1217" s="465"/>
      <c r="AM1217" s="465"/>
      <c r="AN1217" s="465"/>
      <c r="AO1217" s="465"/>
      <c r="AP1217" s="465"/>
      <c r="AQ1217" s="465"/>
      <c r="AR1217" s="465"/>
      <c r="AS1217" s="465"/>
      <c r="AT1217" s="465"/>
      <c r="AU1217" s="465"/>
      <c r="AV1217" s="465"/>
      <c r="AW1217" s="465"/>
      <c r="AX1217" s="465"/>
      <c r="AY1217" s="465"/>
      <c r="AZ1217" s="465"/>
      <c r="BA1217" s="465"/>
      <c r="BB1217" s="465"/>
      <c r="BC1217" s="465"/>
    </row>
    <row r="1218" spans="1:55">
      <c r="A1218" s="465"/>
      <c r="B1218" s="465"/>
      <c r="C1218" s="465"/>
      <c r="D1218" s="467"/>
      <c r="E1218" s="465"/>
      <c r="F1218" s="465"/>
      <c r="G1218" s="465"/>
      <c r="H1218" s="465"/>
      <c r="I1218" s="465"/>
      <c r="J1218" s="465"/>
      <c r="K1218" s="465"/>
      <c r="L1218" s="465"/>
      <c r="M1218" s="465"/>
      <c r="N1218" s="465"/>
      <c r="O1218" s="465"/>
      <c r="P1218" s="465"/>
      <c r="Q1218" s="465"/>
      <c r="R1218" s="465"/>
      <c r="S1218" s="465"/>
      <c r="T1218" s="465"/>
      <c r="U1218" s="465"/>
      <c r="V1218" s="465"/>
      <c r="W1218" s="465"/>
      <c r="X1218" s="465"/>
      <c r="Y1218" s="465"/>
      <c r="Z1218" s="465"/>
      <c r="AA1218" s="465"/>
      <c r="AB1218" s="465"/>
      <c r="AC1218" s="465"/>
      <c r="AD1218" s="465"/>
      <c r="AE1218" s="465"/>
      <c r="AF1218" s="465"/>
      <c r="AG1218" s="465"/>
      <c r="AH1218" s="465"/>
      <c r="AI1218" s="465"/>
      <c r="AJ1218" s="465"/>
      <c r="AK1218" s="465"/>
      <c r="AL1218" s="465"/>
      <c r="AM1218" s="465"/>
      <c r="AN1218" s="465"/>
      <c r="AO1218" s="465"/>
      <c r="AP1218" s="465"/>
      <c r="AQ1218" s="465"/>
      <c r="AR1218" s="465"/>
      <c r="AS1218" s="465"/>
      <c r="AT1218" s="465"/>
      <c r="AU1218" s="465"/>
      <c r="AV1218" s="465"/>
      <c r="AW1218" s="465"/>
      <c r="AX1218" s="465"/>
      <c r="AY1218" s="465"/>
      <c r="AZ1218" s="465"/>
      <c r="BA1218" s="465"/>
      <c r="BB1218" s="465"/>
      <c r="BC1218" s="465"/>
    </row>
    <row r="1219" spans="1:55">
      <c r="A1219" s="465"/>
      <c r="B1219" s="465"/>
      <c r="C1219" s="465"/>
      <c r="D1219" s="467"/>
      <c r="E1219" s="465"/>
      <c r="F1219" s="465"/>
      <c r="G1219" s="465"/>
      <c r="H1219" s="465"/>
      <c r="I1219" s="465"/>
      <c r="J1219" s="465"/>
      <c r="K1219" s="465"/>
      <c r="L1219" s="465"/>
      <c r="M1219" s="465"/>
      <c r="N1219" s="465"/>
      <c r="O1219" s="465"/>
      <c r="P1219" s="465"/>
      <c r="Q1219" s="465"/>
      <c r="R1219" s="465"/>
      <c r="S1219" s="465"/>
      <c r="T1219" s="465"/>
      <c r="U1219" s="465"/>
      <c r="V1219" s="465"/>
      <c r="W1219" s="465"/>
      <c r="X1219" s="465"/>
      <c r="Y1219" s="465"/>
      <c r="Z1219" s="465"/>
      <c r="AA1219" s="465"/>
      <c r="AB1219" s="465"/>
      <c r="AC1219" s="465"/>
      <c r="AD1219" s="465"/>
      <c r="AE1219" s="465"/>
      <c r="AF1219" s="465"/>
      <c r="AG1219" s="465"/>
      <c r="AH1219" s="465"/>
      <c r="AI1219" s="465"/>
      <c r="AJ1219" s="465"/>
      <c r="AK1219" s="465"/>
      <c r="AL1219" s="465"/>
      <c r="AM1219" s="465"/>
      <c r="AN1219" s="465"/>
      <c r="AO1219" s="465"/>
      <c r="AP1219" s="465"/>
      <c r="AQ1219" s="465"/>
      <c r="AR1219" s="465"/>
      <c r="AS1219" s="465"/>
      <c r="AT1219" s="465"/>
      <c r="AU1219" s="465"/>
      <c r="AV1219" s="465"/>
      <c r="AW1219" s="465"/>
      <c r="AX1219" s="465"/>
      <c r="AY1219" s="465"/>
      <c r="AZ1219" s="465"/>
      <c r="BA1219" s="465"/>
      <c r="BB1219" s="465"/>
      <c r="BC1219" s="465"/>
    </row>
    <row r="1220" spans="1:55">
      <c r="A1220" s="465"/>
      <c r="B1220" s="465"/>
      <c r="C1220" s="465"/>
      <c r="D1220" s="467"/>
      <c r="E1220" s="465"/>
      <c r="F1220" s="465"/>
      <c r="G1220" s="465"/>
      <c r="H1220" s="465"/>
      <c r="I1220" s="465"/>
      <c r="J1220" s="465"/>
      <c r="K1220" s="465"/>
      <c r="L1220" s="465"/>
      <c r="M1220" s="465"/>
      <c r="N1220" s="465"/>
      <c r="O1220" s="465"/>
      <c r="P1220" s="465"/>
      <c r="Q1220" s="465"/>
      <c r="R1220" s="465"/>
      <c r="S1220" s="465"/>
      <c r="T1220" s="465"/>
      <c r="U1220" s="465"/>
      <c r="V1220" s="465"/>
      <c r="W1220" s="465"/>
      <c r="X1220" s="465"/>
      <c r="Y1220" s="465"/>
      <c r="Z1220" s="465"/>
      <c r="AA1220" s="465"/>
      <c r="AB1220" s="465"/>
      <c r="AC1220" s="465"/>
      <c r="AD1220" s="465"/>
      <c r="AE1220" s="465"/>
      <c r="AF1220" s="465"/>
      <c r="AG1220" s="465"/>
      <c r="AH1220" s="465"/>
      <c r="AI1220" s="465"/>
      <c r="AJ1220" s="465"/>
      <c r="AK1220" s="465"/>
      <c r="AL1220" s="465"/>
      <c r="AM1220" s="465"/>
      <c r="AN1220" s="465"/>
      <c r="AO1220" s="465"/>
      <c r="AP1220" s="465"/>
      <c r="AQ1220" s="465"/>
      <c r="AR1220" s="465"/>
      <c r="AS1220" s="465"/>
      <c r="AT1220" s="465"/>
      <c r="AU1220" s="465"/>
      <c r="AV1220" s="465"/>
      <c r="AW1220" s="465"/>
      <c r="AX1220" s="465"/>
      <c r="AY1220" s="465"/>
      <c r="AZ1220" s="465"/>
      <c r="BA1220" s="465"/>
      <c r="BB1220" s="465"/>
      <c r="BC1220" s="465"/>
    </row>
    <row r="1221" spans="1:55">
      <c r="A1221" s="465"/>
      <c r="B1221" s="465"/>
      <c r="C1221" s="465"/>
      <c r="D1221" s="467"/>
      <c r="E1221" s="465"/>
      <c r="F1221" s="465"/>
      <c r="G1221" s="465"/>
      <c r="H1221" s="465"/>
      <c r="I1221" s="465"/>
      <c r="J1221" s="465"/>
      <c r="K1221" s="465"/>
      <c r="L1221" s="465"/>
      <c r="M1221" s="465"/>
      <c r="N1221" s="465"/>
      <c r="O1221" s="465"/>
      <c r="P1221" s="465"/>
      <c r="Q1221" s="465"/>
      <c r="R1221" s="465"/>
      <c r="S1221" s="465"/>
      <c r="T1221" s="465"/>
      <c r="U1221" s="465"/>
      <c r="V1221" s="465"/>
      <c r="W1221" s="465"/>
      <c r="X1221" s="465"/>
      <c r="Y1221" s="465"/>
      <c r="Z1221" s="465"/>
      <c r="AA1221" s="465"/>
      <c r="AB1221" s="465"/>
      <c r="AC1221" s="465"/>
      <c r="AD1221" s="465"/>
      <c r="AE1221" s="465"/>
      <c r="AF1221" s="465"/>
      <c r="AG1221" s="465"/>
      <c r="AH1221" s="465"/>
      <c r="AI1221" s="465"/>
      <c r="AJ1221" s="465"/>
      <c r="AK1221" s="465"/>
      <c r="AL1221" s="465"/>
      <c r="AM1221" s="465"/>
      <c r="AN1221" s="465"/>
      <c r="AO1221" s="465"/>
      <c r="AP1221" s="465"/>
      <c r="AQ1221" s="465"/>
      <c r="AR1221" s="465"/>
      <c r="AS1221" s="465"/>
      <c r="AT1221" s="465"/>
      <c r="AU1221" s="465"/>
      <c r="AV1221" s="465"/>
      <c r="AW1221" s="465"/>
      <c r="AX1221" s="465"/>
      <c r="AY1221" s="465"/>
      <c r="AZ1221" s="465"/>
      <c r="BA1221" s="465"/>
      <c r="BB1221" s="465"/>
      <c r="BC1221" s="465"/>
    </row>
    <row r="1222" spans="1:55">
      <c r="A1222" s="465"/>
      <c r="B1222" s="465"/>
      <c r="C1222" s="465"/>
      <c r="D1222" s="467"/>
      <c r="E1222" s="465"/>
      <c r="F1222" s="465"/>
      <c r="G1222" s="465"/>
      <c r="H1222" s="465"/>
      <c r="I1222" s="465"/>
      <c r="J1222" s="465"/>
      <c r="K1222" s="465"/>
      <c r="L1222" s="465"/>
      <c r="M1222" s="465"/>
      <c r="N1222" s="465"/>
      <c r="O1222" s="465"/>
      <c r="P1222" s="465"/>
      <c r="Q1222" s="465"/>
      <c r="R1222" s="465"/>
      <c r="S1222" s="465"/>
      <c r="T1222" s="465"/>
      <c r="U1222" s="465"/>
      <c r="V1222" s="465"/>
      <c r="W1222" s="465"/>
      <c r="X1222" s="465"/>
      <c r="Y1222" s="465"/>
      <c r="Z1222" s="465"/>
      <c r="AA1222" s="465"/>
      <c r="AB1222" s="465"/>
      <c r="AC1222" s="465"/>
      <c r="AD1222" s="465"/>
      <c r="AE1222" s="465"/>
      <c r="AF1222" s="465"/>
      <c r="AG1222" s="465"/>
      <c r="AH1222" s="465"/>
      <c r="AI1222" s="465"/>
      <c r="AJ1222" s="465"/>
      <c r="AK1222" s="465"/>
      <c r="AL1222" s="465"/>
      <c r="AM1222" s="465"/>
      <c r="AN1222" s="465"/>
      <c r="AO1222" s="465"/>
      <c r="AP1222" s="465"/>
      <c r="AQ1222" s="465"/>
      <c r="AR1222" s="465"/>
      <c r="AS1222" s="465"/>
      <c r="AT1222" s="465"/>
      <c r="AU1222" s="465"/>
      <c r="AV1222" s="465"/>
      <c r="AW1222" s="465"/>
      <c r="AX1222" s="465"/>
      <c r="AY1222" s="465"/>
      <c r="AZ1222" s="465"/>
      <c r="BA1222" s="465"/>
      <c r="BB1222" s="465"/>
      <c r="BC1222" s="465"/>
    </row>
    <row r="1223" spans="1:55">
      <c r="A1223" s="465"/>
      <c r="B1223" s="465"/>
      <c r="C1223" s="465"/>
      <c r="D1223" s="467"/>
      <c r="E1223" s="465"/>
      <c r="F1223" s="465"/>
      <c r="G1223" s="465"/>
      <c r="H1223" s="465"/>
      <c r="I1223" s="465"/>
      <c r="J1223" s="465"/>
      <c r="K1223" s="465"/>
      <c r="L1223" s="465"/>
      <c r="M1223" s="465"/>
      <c r="N1223" s="465"/>
      <c r="O1223" s="465"/>
      <c r="P1223" s="465"/>
      <c r="Q1223" s="465"/>
      <c r="R1223" s="465"/>
      <c r="S1223" s="465"/>
      <c r="T1223" s="465"/>
      <c r="U1223" s="465"/>
      <c r="V1223" s="465"/>
      <c r="W1223" s="465"/>
      <c r="X1223" s="465"/>
      <c r="Y1223" s="465"/>
      <c r="Z1223" s="465"/>
      <c r="AA1223" s="465"/>
      <c r="AB1223" s="465"/>
      <c r="AC1223" s="465"/>
      <c r="AD1223" s="465"/>
      <c r="AE1223" s="465"/>
      <c r="AF1223" s="465"/>
      <c r="AG1223" s="465"/>
      <c r="AH1223" s="465"/>
      <c r="AI1223" s="465"/>
      <c r="AJ1223" s="465"/>
      <c r="AK1223" s="465"/>
      <c r="AL1223" s="465"/>
      <c r="AM1223" s="465"/>
      <c r="AN1223" s="465"/>
      <c r="AO1223" s="465"/>
      <c r="AP1223" s="465"/>
      <c r="AQ1223" s="465"/>
      <c r="AR1223" s="465"/>
      <c r="AS1223" s="465"/>
      <c r="AT1223" s="465"/>
      <c r="AU1223" s="465"/>
      <c r="AV1223" s="465"/>
      <c r="AW1223" s="465"/>
      <c r="AX1223" s="465"/>
      <c r="AY1223" s="465"/>
      <c r="AZ1223" s="465"/>
      <c r="BA1223" s="465"/>
      <c r="BB1223" s="465"/>
      <c r="BC1223" s="465"/>
    </row>
    <row r="1224" spans="1:55">
      <c r="A1224" s="465"/>
      <c r="B1224" s="465"/>
      <c r="C1224" s="465"/>
      <c r="D1224" s="467"/>
      <c r="E1224" s="465"/>
      <c r="F1224" s="465"/>
      <c r="G1224" s="465"/>
      <c r="H1224" s="465"/>
      <c r="I1224" s="465"/>
      <c r="J1224" s="465"/>
      <c r="K1224" s="465"/>
      <c r="L1224" s="465"/>
      <c r="M1224" s="465"/>
      <c r="N1224" s="465"/>
      <c r="O1224" s="465"/>
      <c r="P1224" s="465"/>
      <c r="Q1224" s="465"/>
      <c r="R1224" s="465"/>
      <c r="S1224" s="465"/>
      <c r="T1224" s="465"/>
      <c r="U1224" s="465"/>
      <c r="V1224" s="465"/>
      <c r="W1224" s="465"/>
      <c r="X1224" s="465"/>
      <c r="Y1224" s="465"/>
      <c r="Z1224" s="465"/>
      <c r="AA1224" s="465"/>
      <c r="AB1224" s="465"/>
      <c r="AC1224" s="465"/>
      <c r="AD1224" s="465"/>
      <c r="AE1224" s="465"/>
      <c r="AF1224" s="465"/>
      <c r="AG1224" s="465"/>
      <c r="AH1224" s="465"/>
      <c r="AI1224" s="465"/>
      <c r="AJ1224" s="465"/>
      <c r="AK1224" s="465"/>
      <c r="AL1224" s="465"/>
      <c r="AM1224" s="465"/>
      <c r="AN1224" s="465"/>
      <c r="AO1224" s="465"/>
      <c r="AP1224" s="465"/>
      <c r="AQ1224" s="465"/>
      <c r="AR1224" s="465"/>
      <c r="AS1224" s="465"/>
      <c r="AT1224" s="465"/>
      <c r="AU1224" s="465"/>
      <c r="AV1224" s="465"/>
      <c r="AW1224" s="465"/>
      <c r="AX1224" s="465"/>
      <c r="AY1224" s="465"/>
      <c r="AZ1224" s="465"/>
      <c r="BA1224" s="465"/>
      <c r="BB1224" s="465"/>
      <c r="BC1224" s="465"/>
    </row>
    <row r="1225" spans="1:55">
      <c r="A1225" s="465"/>
      <c r="B1225" s="465"/>
      <c r="C1225" s="465"/>
      <c r="D1225" s="467"/>
      <c r="E1225" s="465"/>
      <c r="F1225" s="465"/>
      <c r="G1225" s="465"/>
      <c r="H1225" s="465"/>
      <c r="I1225" s="465"/>
      <c r="J1225" s="465"/>
      <c r="K1225" s="465"/>
      <c r="L1225" s="465"/>
      <c r="M1225" s="465"/>
      <c r="N1225" s="465"/>
      <c r="O1225" s="465"/>
      <c r="P1225" s="465"/>
      <c r="Q1225" s="465"/>
      <c r="R1225" s="465"/>
      <c r="S1225" s="465"/>
      <c r="T1225" s="465"/>
      <c r="U1225" s="465"/>
      <c r="V1225" s="465"/>
      <c r="W1225" s="465"/>
      <c r="X1225" s="465"/>
      <c r="Y1225" s="465"/>
      <c r="Z1225" s="465"/>
      <c r="AA1225" s="465"/>
      <c r="AB1225" s="465"/>
      <c r="AC1225" s="465"/>
      <c r="AD1225" s="465"/>
      <c r="AE1225" s="465"/>
      <c r="AF1225" s="465"/>
      <c r="AG1225" s="465"/>
      <c r="AH1225" s="465"/>
      <c r="AI1225" s="465"/>
      <c r="AJ1225" s="465"/>
      <c r="AK1225" s="465"/>
      <c r="AL1225" s="465"/>
      <c r="AM1225" s="465"/>
      <c r="AN1225" s="465"/>
      <c r="AO1225" s="465"/>
      <c r="AP1225" s="465"/>
      <c r="AQ1225" s="465"/>
      <c r="AR1225" s="465"/>
      <c r="AS1225" s="465"/>
      <c r="AT1225" s="465"/>
      <c r="AU1225" s="465"/>
      <c r="AV1225" s="465"/>
      <c r="AW1225" s="465"/>
      <c r="AX1225" s="465"/>
      <c r="AY1225" s="465"/>
      <c r="AZ1225" s="465"/>
      <c r="BA1225" s="465"/>
      <c r="BB1225" s="465"/>
      <c r="BC1225" s="465"/>
    </row>
    <row r="1226" spans="1:55">
      <c r="A1226" s="465"/>
      <c r="B1226" s="465"/>
      <c r="C1226" s="465"/>
      <c r="D1226" s="467"/>
      <c r="E1226" s="465"/>
      <c r="F1226" s="465"/>
      <c r="G1226" s="465"/>
      <c r="H1226" s="465"/>
      <c r="I1226" s="465"/>
      <c r="J1226" s="465"/>
      <c r="K1226" s="465"/>
      <c r="L1226" s="465"/>
      <c r="M1226" s="465"/>
      <c r="N1226" s="465"/>
      <c r="O1226" s="465"/>
      <c r="P1226" s="465"/>
      <c r="Q1226" s="465"/>
      <c r="R1226" s="465"/>
      <c r="S1226" s="465"/>
      <c r="T1226" s="465"/>
      <c r="U1226" s="465"/>
      <c r="V1226" s="465"/>
      <c r="W1226" s="465"/>
      <c r="X1226" s="465"/>
      <c r="Y1226" s="465"/>
      <c r="Z1226" s="465"/>
      <c r="AA1226" s="465"/>
      <c r="AB1226" s="465"/>
      <c r="AC1226" s="465"/>
      <c r="AD1226" s="465"/>
      <c r="AE1226" s="465"/>
      <c r="AF1226" s="465"/>
      <c r="AG1226" s="465"/>
      <c r="AH1226" s="465"/>
      <c r="AI1226" s="465"/>
      <c r="AJ1226" s="465"/>
      <c r="AK1226" s="465"/>
      <c r="AL1226" s="465"/>
      <c r="AM1226" s="465"/>
      <c r="AN1226" s="465"/>
      <c r="AO1226" s="465"/>
      <c r="AP1226" s="465"/>
      <c r="AQ1226" s="465"/>
      <c r="AR1226" s="465"/>
      <c r="AS1226" s="465"/>
      <c r="AT1226" s="465"/>
      <c r="AU1226" s="465"/>
      <c r="AV1226" s="465"/>
      <c r="AW1226" s="465"/>
      <c r="AX1226" s="465"/>
      <c r="AY1226" s="465"/>
      <c r="AZ1226" s="465"/>
      <c r="BA1226" s="465"/>
      <c r="BB1226" s="465"/>
      <c r="BC1226" s="465"/>
    </row>
    <row r="1227" spans="1:55">
      <c r="A1227" s="465"/>
      <c r="B1227" s="465"/>
      <c r="C1227" s="465"/>
      <c r="D1227" s="467"/>
      <c r="E1227" s="465"/>
      <c r="F1227" s="465"/>
      <c r="G1227" s="465"/>
      <c r="H1227" s="465"/>
      <c r="I1227" s="465"/>
      <c r="J1227" s="465"/>
      <c r="K1227" s="465"/>
      <c r="L1227" s="465"/>
      <c r="M1227" s="465"/>
      <c r="N1227" s="465"/>
      <c r="O1227" s="465"/>
      <c r="P1227" s="465"/>
      <c r="Q1227" s="465"/>
      <c r="R1227" s="465"/>
      <c r="S1227" s="465"/>
      <c r="T1227" s="465"/>
      <c r="U1227" s="465"/>
      <c r="V1227" s="465"/>
      <c r="W1227" s="465"/>
      <c r="X1227" s="465"/>
      <c r="Y1227" s="465"/>
      <c r="Z1227" s="465"/>
      <c r="AA1227" s="465"/>
      <c r="AB1227" s="465"/>
      <c r="AC1227" s="465"/>
      <c r="AD1227" s="465"/>
      <c r="AE1227" s="465"/>
      <c r="AF1227" s="465"/>
      <c r="AG1227" s="465"/>
      <c r="AH1227" s="465"/>
      <c r="AI1227" s="465"/>
      <c r="AJ1227" s="465"/>
      <c r="AK1227" s="465"/>
      <c r="AL1227" s="465"/>
      <c r="AM1227" s="465"/>
      <c r="AN1227" s="465"/>
      <c r="AO1227" s="465"/>
      <c r="AP1227" s="465"/>
      <c r="AQ1227" s="465"/>
      <c r="AR1227" s="465"/>
      <c r="AS1227" s="465"/>
      <c r="AT1227" s="465"/>
      <c r="AU1227" s="465"/>
      <c r="AV1227" s="465"/>
      <c r="AW1227" s="465"/>
      <c r="AX1227" s="465"/>
      <c r="AY1227" s="465"/>
      <c r="AZ1227" s="465"/>
      <c r="BA1227" s="465"/>
      <c r="BB1227" s="465"/>
      <c r="BC1227" s="465"/>
    </row>
    <row r="1228" spans="1:55">
      <c r="A1228" s="465"/>
      <c r="B1228" s="465"/>
      <c r="C1228" s="465"/>
      <c r="D1228" s="467"/>
      <c r="E1228" s="465"/>
      <c r="F1228" s="465"/>
      <c r="G1228" s="465"/>
      <c r="H1228" s="465"/>
      <c r="I1228" s="465"/>
      <c r="J1228" s="465"/>
      <c r="K1228" s="465"/>
      <c r="L1228" s="465"/>
      <c r="M1228" s="465"/>
      <c r="N1228" s="465"/>
      <c r="O1228" s="465"/>
      <c r="P1228" s="465"/>
      <c r="Q1228" s="465"/>
      <c r="R1228" s="465"/>
      <c r="S1228" s="465"/>
      <c r="T1228" s="465"/>
      <c r="U1228" s="465"/>
      <c r="V1228" s="465"/>
      <c r="W1228" s="465"/>
      <c r="X1228" s="465"/>
      <c r="Y1228" s="465"/>
      <c r="Z1228" s="465"/>
      <c r="AA1228" s="465"/>
      <c r="AB1228" s="465"/>
      <c r="AC1228" s="465"/>
      <c r="AD1228" s="465"/>
      <c r="AE1228" s="465"/>
      <c r="AF1228" s="465"/>
      <c r="AG1228" s="465"/>
      <c r="AH1228" s="465"/>
      <c r="AI1228" s="465"/>
      <c r="AJ1228" s="465"/>
      <c r="AK1228" s="465"/>
      <c r="AL1228" s="465"/>
      <c r="AM1228" s="465"/>
      <c r="AN1228" s="465"/>
      <c r="AO1228" s="465"/>
      <c r="AP1228" s="465"/>
      <c r="AQ1228" s="465"/>
      <c r="AR1228" s="465"/>
      <c r="AS1228" s="465"/>
      <c r="AT1228" s="465"/>
      <c r="AU1228" s="465"/>
      <c r="AV1228" s="465"/>
      <c r="AW1228" s="465"/>
      <c r="AX1228" s="465"/>
      <c r="AY1228" s="465"/>
      <c r="AZ1228" s="465"/>
      <c r="BA1228" s="465"/>
      <c r="BB1228" s="465"/>
      <c r="BC1228" s="465"/>
    </row>
    <row r="1229" spans="1:55">
      <c r="A1229" s="465"/>
      <c r="B1229" s="465"/>
      <c r="C1229" s="465"/>
      <c r="D1229" s="467"/>
      <c r="E1229" s="465"/>
      <c r="F1229" s="465"/>
      <c r="G1229" s="465"/>
      <c r="H1229" s="465"/>
      <c r="I1229" s="465"/>
      <c r="J1229" s="465"/>
      <c r="K1229" s="465"/>
      <c r="L1229" s="465"/>
      <c r="M1229" s="465"/>
      <c r="N1229" s="465"/>
      <c r="O1229" s="465"/>
      <c r="P1229" s="465"/>
      <c r="Q1229" s="465"/>
      <c r="R1229" s="465"/>
      <c r="S1229" s="465"/>
      <c r="T1229" s="465"/>
      <c r="U1229" s="465"/>
      <c r="V1229" s="465"/>
      <c r="W1229" s="465"/>
      <c r="X1229" s="465"/>
      <c r="Y1229" s="465"/>
      <c r="Z1229" s="465"/>
      <c r="AA1229" s="465"/>
      <c r="AB1229" s="465"/>
      <c r="AC1229" s="465"/>
      <c r="AD1229" s="465"/>
      <c r="AE1229" s="465"/>
      <c r="AF1229" s="465"/>
      <c r="AG1229" s="465"/>
      <c r="AH1229" s="465"/>
      <c r="AI1229" s="465"/>
      <c r="AJ1229" s="465"/>
      <c r="AK1229" s="465"/>
      <c r="AL1229" s="465"/>
      <c r="AM1229" s="465"/>
      <c r="AN1229" s="465"/>
      <c r="AO1229" s="465"/>
      <c r="AP1229" s="465"/>
      <c r="AQ1229" s="465"/>
      <c r="AR1229" s="465"/>
      <c r="AS1229" s="465"/>
      <c r="AT1229" s="465"/>
      <c r="AU1229" s="465"/>
      <c r="AV1229" s="465"/>
      <c r="AW1229" s="465"/>
      <c r="AX1229" s="465"/>
      <c r="AY1229" s="465"/>
      <c r="AZ1229" s="465"/>
      <c r="BA1229" s="465"/>
      <c r="BB1229" s="465"/>
      <c r="BC1229" s="465"/>
    </row>
    <row r="1230" spans="1:55">
      <c r="A1230" s="465"/>
      <c r="B1230" s="465"/>
      <c r="C1230" s="465"/>
      <c r="D1230" s="467"/>
      <c r="E1230" s="465"/>
      <c r="F1230" s="465"/>
      <c r="G1230" s="465"/>
      <c r="H1230" s="465"/>
      <c r="I1230" s="465"/>
      <c r="J1230" s="465"/>
      <c r="K1230" s="465"/>
      <c r="L1230" s="465"/>
      <c r="M1230" s="465"/>
      <c r="N1230" s="465"/>
      <c r="O1230" s="465"/>
      <c r="P1230" s="465"/>
      <c r="Q1230" s="465"/>
      <c r="R1230" s="465"/>
      <c r="S1230" s="465"/>
      <c r="T1230" s="465"/>
      <c r="U1230" s="465"/>
      <c r="V1230" s="465"/>
      <c r="W1230" s="465"/>
      <c r="X1230" s="465"/>
      <c r="Y1230" s="465"/>
      <c r="Z1230" s="465"/>
      <c r="AA1230" s="465"/>
      <c r="AB1230" s="465"/>
      <c r="AC1230" s="465"/>
      <c r="AD1230" s="465"/>
      <c r="AE1230" s="465"/>
      <c r="AF1230" s="465"/>
      <c r="AG1230" s="465"/>
      <c r="AH1230" s="465"/>
      <c r="AI1230" s="465"/>
      <c r="AJ1230" s="465"/>
      <c r="AK1230" s="465"/>
      <c r="AL1230" s="465"/>
      <c r="AM1230" s="465"/>
      <c r="AN1230" s="465"/>
      <c r="AO1230" s="465"/>
      <c r="AP1230" s="465"/>
      <c r="AQ1230" s="465"/>
      <c r="AR1230" s="465"/>
      <c r="AS1230" s="465"/>
      <c r="AT1230" s="465"/>
      <c r="AU1230" s="465"/>
      <c r="AV1230" s="465"/>
      <c r="AW1230" s="465"/>
      <c r="AX1230" s="465"/>
      <c r="AY1230" s="465"/>
      <c r="AZ1230" s="465"/>
      <c r="BA1230" s="465"/>
      <c r="BB1230" s="465"/>
      <c r="BC1230" s="465"/>
    </row>
    <row r="1231" spans="1:55">
      <c r="A1231" s="465"/>
      <c r="B1231" s="465"/>
      <c r="C1231" s="465"/>
      <c r="D1231" s="467"/>
      <c r="E1231" s="465"/>
      <c r="F1231" s="465"/>
      <c r="G1231" s="465"/>
      <c r="H1231" s="465"/>
      <c r="I1231" s="465"/>
      <c r="J1231" s="465"/>
      <c r="K1231" s="465"/>
      <c r="L1231" s="465"/>
      <c r="M1231" s="465"/>
      <c r="N1231" s="465"/>
      <c r="O1231" s="465"/>
      <c r="P1231" s="465"/>
      <c r="Q1231" s="465"/>
      <c r="R1231" s="465"/>
      <c r="S1231" s="465"/>
      <c r="T1231" s="465"/>
      <c r="U1231" s="465"/>
      <c r="V1231" s="465"/>
      <c r="W1231" s="465"/>
      <c r="X1231" s="465"/>
      <c r="Y1231" s="465"/>
      <c r="Z1231" s="465"/>
      <c r="AA1231" s="465"/>
      <c r="AB1231" s="465"/>
      <c r="AC1231" s="465"/>
      <c r="AD1231" s="465"/>
      <c r="AE1231" s="465"/>
      <c r="AF1231" s="465"/>
      <c r="AG1231" s="465"/>
      <c r="AH1231" s="465"/>
      <c r="AI1231" s="465"/>
      <c r="AJ1231" s="465"/>
      <c r="AK1231" s="465"/>
      <c r="AL1231" s="465"/>
      <c r="AM1231" s="465"/>
      <c r="AN1231" s="465"/>
      <c r="AO1231" s="465"/>
      <c r="AP1231" s="465"/>
      <c r="AQ1231" s="465"/>
      <c r="AR1231" s="465"/>
      <c r="AS1231" s="465"/>
      <c r="AT1231" s="465"/>
      <c r="AU1231" s="465"/>
      <c r="AV1231" s="465"/>
      <c r="AW1231" s="465"/>
      <c r="AX1231" s="465"/>
      <c r="AY1231" s="465"/>
      <c r="AZ1231" s="465"/>
      <c r="BA1231" s="465"/>
      <c r="BB1231" s="465"/>
      <c r="BC1231" s="465"/>
    </row>
    <row r="1232" spans="1:55">
      <c r="A1232" s="465"/>
      <c r="B1232" s="465"/>
      <c r="C1232" s="465"/>
      <c r="D1232" s="467"/>
      <c r="E1232" s="465"/>
      <c r="F1232" s="465"/>
      <c r="G1232" s="465"/>
      <c r="H1232" s="465"/>
      <c r="I1232" s="465"/>
      <c r="J1232" s="465"/>
      <c r="K1232" s="465"/>
      <c r="L1232" s="465"/>
      <c r="M1232" s="465"/>
      <c r="N1232" s="465"/>
      <c r="O1232" s="465"/>
      <c r="P1232" s="465"/>
      <c r="Q1232" s="465"/>
      <c r="R1232" s="465"/>
      <c r="S1232" s="465"/>
      <c r="T1232" s="465"/>
      <c r="U1232" s="465"/>
      <c r="V1232" s="465"/>
      <c r="W1232" s="465"/>
      <c r="X1232" s="465"/>
      <c r="Y1232" s="465"/>
      <c r="Z1232" s="465"/>
      <c r="AA1232" s="465"/>
      <c r="AB1232" s="465"/>
      <c r="AC1232" s="465"/>
      <c r="AD1232" s="465"/>
      <c r="AE1232" s="465"/>
      <c r="AF1232" s="465"/>
      <c r="AG1232" s="465"/>
      <c r="AH1232" s="465"/>
      <c r="AI1232" s="465"/>
      <c r="AJ1232" s="465"/>
      <c r="AK1232" s="465"/>
      <c r="AL1232" s="465"/>
      <c r="AM1232" s="465"/>
      <c r="AN1232" s="465"/>
      <c r="AO1232" s="465"/>
      <c r="AP1232" s="465"/>
      <c r="AQ1232" s="465"/>
      <c r="AR1232" s="465"/>
      <c r="AS1232" s="465"/>
      <c r="AT1232" s="465"/>
      <c r="AU1232" s="465"/>
      <c r="AV1232" s="465"/>
      <c r="AW1232" s="465"/>
      <c r="AX1232" s="465"/>
      <c r="AY1232" s="465"/>
      <c r="AZ1232" s="465"/>
      <c r="BA1232" s="465"/>
      <c r="BB1232" s="465"/>
      <c r="BC1232" s="465"/>
    </row>
    <row r="1233" spans="1:55">
      <c r="A1233" s="465"/>
      <c r="B1233" s="465"/>
      <c r="C1233" s="465"/>
      <c r="D1233" s="467"/>
      <c r="E1233" s="465"/>
      <c r="F1233" s="465"/>
      <c r="G1233" s="465"/>
      <c r="H1233" s="465"/>
      <c r="I1233" s="465"/>
      <c r="J1233" s="465"/>
      <c r="K1233" s="465"/>
      <c r="L1233" s="465"/>
      <c r="M1233" s="465"/>
      <c r="N1233" s="465"/>
      <c r="O1233" s="465"/>
      <c r="P1233" s="465"/>
      <c r="Q1233" s="465"/>
      <c r="R1233" s="465"/>
      <c r="S1233" s="465"/>
      <c r="T1233" s="465"/>
      <c r="U1233" s="465"/>
      <c r="V1233" s="465"/>
      <c r="W1233" s="465"/>
      <c r="X1233" s="465"/>
      <c r="Y1233" s="465"/>
      <c r="Z1233" s="465"/>
      <c r="AA1233" s="465"/>
      <c r="AB1233" s="465"/>
      <c r="AC1233" s="465"/>
      <c r="AD1233" s="465"/>
      <c r="AE1233" s="465"/>
      <c r="AF1233" s="465"/>
      <c r="AG1233" s="465"/>
      <c r="AH1233" s="465"/>
      <c r="AI1233" s="465"/>
      <c r="AJ1233" s="465"/>
      <c r="AK1233" s="465"/>
      <c r="AL1233" s="465"/>
      <c r="AM1233" s="465"/>
      <c r="AN1233" s="465"/>
      <c r="AO1233" s="465"/>
      <c r="AP1233" s="465"/>
      <c r="AQ1233" s="465"/>
      <c r="AR1233" s="465"/>
      <c r="AS1233" s="465"/>
      <c r="AT1233" s="465"/>
      <c r="AU1233" s="465"/>
      <c r="AV1233" s="465"/>
      <c r="AW1233" s="465"/>
      <c r="AX1233" s="465"/>
      <c r="AY1233" s="465"/>
      <c r="AZ1233" s="465"/>
      <c r="BA1233" s="465"/>
      <c r="BB1233" s="465"/>
      <c r="BC1233" s="465"/>
    </row>
    <row r="1234" spans="1:55">
      <c r="A1234" s="465"/>
      <c r="B1234" s="465"/>
      <c r="C1234" s="465"/>
      <c r="D1234" s="467"/>
      <c r="E1234" s="465"/>
      <c r="F1234" s="465"/>
      <c r="G1234" s="465"/>
      <c r="H1234" s="465"/>
      <c r="I1234" s="465"/>
      <c r="J1234" s="465"/>
      <c r="K1234" s="465"/>
      <c r="L1234" s="465"/>
      <c r="M1234" s="465"/>
      <c r="N1234" s="465"/>
      <c r="O1234" s="465"/>
      <c r="P1234" s="465"/>
      <c r="Q1234" s="465"/>
      <c r="R1234" s="465"/>
      <c r="S1234" s="465"/>
      <c r="T1234" s="465"/>
      <c r="U1234" s="465"/>
      <c r="V1234" s="465"/>
      <c r="W1234" s="465"/>
      <c r="X1234" s="465"/>
      <c r="Y1234" s="465"/>
      <c r="Z1234" s="465"/>
      <c r="AA1234" s="465"/>
      <c r="AB1234" s="465"/>
      <c r="AC1234" s="465"/>
      <c r="AD1234" s="465"/>
      <c r="AE1234" s="465"/>
      <c r="AF1234" s="465"/>
      <c r="AG1234" s="465"/>
      <c r="AH1234" s="465"/>
      <c r="AI1234" s="465"/>
      <c r="AJ1234" s="465"/>
      <c r="AK1234" s="465"/>
      <c r="AL1234" s="465"/>
      <c r="AM1234" s="465"/>
      <c r="AN1234" s="465"/>
      <c r="AO1234" s="465"/>
      <c r="AP1234" s="465"/>
      <c r="AQ1234" s="465"/>
      <c r="AR1234" s="465"/>
      <c r="AS1234" s="465"/>
      <c r="AT1234" s="465"/>
      <c r="AU1234" s="465"/>
      <c r="AV1234" s="465"/>
      <c r="AW1234" s="465"/>
      <c r="AX1234" s="465"/>
      <c r="AY1234" s="465"/>
      <c r="AZ1234" s="465"/>
      <c r="BA1234" s="465"/>
      <c r="BB1234" s="465"/>
      <c r="BC1234" s="465"/>
    </row>
    <row r="1235" spans="1:55">
      <c r="A1235" s="465"/>
      <c r="B1235" s="465"/>
      <c r="C1235" s="465"/>
      <c r="D1235" s="467"/>
      <c r="E1235" s="465"/>
      <c r="F1235" s="465"/>
      <c r="G1235" s="465"/>
      <c r="H1235" s="465"/>
      <c r="I1235" s="465"/>
      <c r="J1235" s="465"/>
      <c r="K1235" s="465"/>
      <c r="L1235" s="465"/>
      <c r="M1235" s="465"/>
      <c r="N1235" s="465"/>
      <c r="O1235" s="465"/>
      <c r="P1235" s="465"/>
      <c r="Q1235" s="465"/>
      <c r="R1235" s="465"/>
      <c r="S1235" s="465"/>
      <c r="T1235" s="465"/>
      <c r="U1235" s="465"/>
      <c r="V1235" s="465"/>
      <c r="W1235" s="465"/>
      <c r="X1235" s="465"/>
      <c r="Y1235" s="465"/>
      <c r="Z1235" s="465"/>
      <c r="AA1235" s="465"/>
      <c r="AB1235" s="465"/>
      <c r="AC1235" s="465"/>
      <c r="AD1235" s="465"/>
      <c r="AE1235" s="465"/>
      <c r="AF1235" s="465"/>
      <c r="AG1235" s="465"/>
      <c r="AH1235" s="465"/>
      <c r="AI1235" s="465"/>
      <c r="AJ1235" s="465"/>
      <c r="AK1235" s="465"/>
      <c r="AL1235" s="465"/>
      <c r="AM1235" s="465"/>
      <c r="AN1235" s="465"/>
      <c r="AO1235" s="465"/>
      <c r="AP1235" s="465"/>
      <c r="AQ1235" s="465"/>
      <c r="AR1235" s="465"/>
      <c r="AS1235" s="465"/>
      <c r="AT1235" s="465"/>
      <c r="AU1235" s="465"/>
      <c r="AV1235" s="465"/>
      <c r="AW1235" s="465"/>
      <c r="AX1235" s="465"/>
      <c r="AY1235" s="465"/>
      <c r="AZ1235" s="465"/>
      <c r="BA1235" s="465"/>
      <c r="BB1235" s="465"/>
      <c r="BC1235" s="465"/>
    </row>
    <row r="1236" spans="1:55">
      <c r="A1236" s="465"/>
      <c r="B1236" s="465"/>
      <c r="C1236" s="465"/>
      <c r="D1236" s="467"/>
      <c r="E1236" s="465"/>
      <c r="F1236" s="465"/>
      <c r="G1236" s="465"/>
      <c r="H1236" s="465"/>
      <c r="I1236" s="465"/>
      <c r="J1236" s="465"/>
      <c r="K1236" s="465"/>
      <c r="L1236" s="465"/>
      <c r="M1236" s="465"/>
      <c r="N1236" s="465"/>
      <c r="O1236" s="465"/>
      <c r="P1236" s="465"/>
      <c r="Q1236" s="465"/>
      <c r="R1236" s="465"/>
      <c r="S1236" s="465"/>
      <c r="T1236" s="465"/>
      <c r="U1236" s="465"/>
      <c r="V1236" s="465"/>
      <c r="W1236" s="465"/>
      <c r="X1236" s="465"/>
      <c r="Y1236" s="465"/>
      <c r="Z1236" s="465"/>
      <c r="AA1236" s="465"/>
      <c r="AB1236" s="465"/>
      <c r="AC1236" s="465"/>
      <c r="AD1236" s="465"/>
      <c r="AE1236" s="465"/>
      <c r="AF1236" s="465"/>
      <c r="AG1236" s="465"/>
      <c r="AH1236" s="465"/>
      <c r="AI1236" s="465"/>
      <c r="AJ1236" s="465"/>
      <c r="AK1236" s="465"/>
      <c r="AL1236" s="465"/>
      <c r="AM1236" s="465"/>
      <c r="AN1236" s="465"/>
      <c r="AO1236" s="465"/>
      <c r="AP1236" s="465"/>
      <c r="AQ1236" s="465"/>
      <c r="AR1236" s="465"/>
      <c r="AS1236" s="465"/>
      <c r="AT1236" s="465"/>
      <c r="AU1236" s="465"/>
      <c r="AV1236" s="465"/>
      <c r="AW1236" s="465"/>
      <c r="AX1236" s="465"/>
      <c r="AY1236" s="465"/>
      <c r="AZ1236" s="465"/>
      <c r="BA1236" s="465"/>
      <c r="BB1236" s="465"/>
      <c r="BC1236" s="465"/>
    </row>
    <row r="1237" spans="1:55">
      <c r="A1237" s="465"/>
      <c r="B1237" s="465"/>
      <c r="C1237" s="465"/>
      <c r="D1237" s="467"/>
      <c r="E1237" s="465"/>
      <c r="F1237" s="465"/>
      <c r="G1237" s="465"/>
      <c r="H1237" s="465"/>
      <c r="I1237" s="465"/>
      <c r="J1237" s="465"/>
      <c r="K1237" s="465"/>
      <c r="L1237" s="465"/>
      <c r="M1237" s="465"/>
      <c r="N1237" s="465"/>
      <c r="O1237" s="465"/>
      <c r="P1237" s="465"/>
      <c r="Q1237" s="465"/>
      <c r="R1237" s="465"/>
      <c r="S1237" s="465"/>
      <c r="T1237" s="465"/>
      <c r="U1237" s="465"/>
      <c r="V1237" s="465"/>
      <c r="W1237" s="465"/>
      <c r="X1237" s="465"/>
      <c r="Y1237" s="465"/>
      <c r="Z1237" s="465"/>
      <c r="AA1237" s="465"/>
      <c r="AB1237" s="465"/>
      <c r="AC1237" s="465"/>
      <c r="AD1237" s="465"/>
      <c r="AE1237" s="465"/>
      <c r="AF1237" s="465"/>
      <c r="AG1237" s="465"/>
      <c r="AH1237" s="465"/>
      <c r="AI1237" s="465"/>
      <c r="AJ1237" s="465"/>
      <c r="AK1237" s="465"/>
      <c r="AL1237" s="465"/>
      <c r="AM1237" s="465"/>
      <c r="AN1237" s="465"/>
      <c r="AO1237" s="465"/>
      <c r="AP1237" s="465"/>
      <c r="AQ1237" s="465"/>
      <c r="AR1237" s="465"/>
      <c r="AS1237" s="465"/>
      <c r="AT1237" s="465"/>
      <c r="AU1237" s="465"/>
      <c r="AV1237" s="465"/>
      <c r="AW1237" s="465"/>
      <c r="AX1237" s="465"/>
      <c r="AY1237" s="465"/>
      <c r="AZ1237" s="465"/>
      <c r="BA1237" s="465"/>
      <c r="BB1237" s="465"/>
      <c r="BC1237" s="465"/>
    </row>
    <row r="1238" spans="1:55">
      <c r="A1238" s="465"/>
      <c r="B1238" s="465"/>
      <c r="C1238" s="465"/>
      <c r="D1238" s="467"/>
      <c r="E1238" s="465"/>
      <c r="F1238" s="465"/>
      <c r="G1238" s="465"/>
      <c r="H1238" s="465"/>
      <c r="I1238" s="465"/>
      <c r="J1238" s="465"/>
      <c r="K1238" s="465"/>
      <c r="L1238" s="465"/>
      <c r="M1238" s="465"/>
      <c r="N1238" s="465"/>
      <c r="O1238" s="465"/>
      <c r="P1238" s="465"/>
      <c r="Q1238" s="465"/>
      <c r="R1238" s="465"/>
      <c r="S1238" s="465"/>
      <c r="T1238" s="465"/>
      <c r="U1238" s="465"/>
      <c r="V1238" s="465"/>
      <c r="W1238" s="465"/>
      <c r="X1238" s="465"/>
      <c r="Y1238" s="465"/>
      <c r="Z1238" s="465"/>
      <c r="AA1238" s="465"/>
      <c r="AB1238" s="465"/>
      <c r="AC1238" s="465"/>
      <c r="AD1238" s="465"/>
      <c r="AE1238" s="465"/>
      <c r="AF1238" s="465"/>
      <c r="AG1238" s="465"/>
      <c r="AH1238" s="465"/>
      <c r="AI1238" s="465"/>
      <c r="AJ1238" s="465"/>
      <c r="AK1238" s="465"/>
      <c r="AL1238" s="465"/>
      <c r="AM1238" s="465"/>
      <c r="AN1238" s="465"/>
      <c r="AO1238" s="465"/>
      <c r="AP1238" s="465"/>
      <c r="AQ1238" s="465"/>
      <c r="AR1238" s="465"/>
      <c r="AS1238" s="465"/>
      <c r="AT1238" s="465"/>
      <c r="AU1238" s="465"/>
      <c r="AV1238" s="465"/>
      <c r="AW1238" s="465"/>
      <c r="AX1238" s="465"/>
      <c r="AY1238" s="465"/>
      <c r="AZ1238" s="465"/>
      <c r="BA1238" s="465"/>
      <c r="BB1238" s="465"/>
      <c r="BC1238" s="465"/>
    </row>
    <row r="1239" spans="1:55">
      <c r="A1239" s="465"/>
      <c r="B1239" s="465"/>
      <c r="C1239" s="465"/>
      <c r="D1239" s="467"/>
      <c r="E1239" s="465"/>
      <c r="F1239" s="465"/>
      <c r="G1239" s="465"/>
      <c r="H1239" s="465"/>
      <c r="I1239" s="465"/>
      <c r="J1239" s="465"/>
      <c r="K1239" s="465"/>
      <c r="L1239" s="465"/>
      <c r="M1239" s="465"/>
      <c r="N1239" s="465"/>
      <c r="O1239" s="465"/>
      <c r="P1239" s="465"/>
      <c r="Q1239" s="465"/>
      <c r="R1239" s="465"/>
      <c r="S1239" s="465"/>
      <c r="T1239" s="465"/>
      <c r="U1239" s="465"/>
      <c r="V1239" s="465"/>
      <c r="W1239" s="465"/>
      <c r="X1239" s="465"/>
      <c r="Y1239" s="465"/>
      <c r="Z1239" s="465"/>
      <c r="AA1239" s="465"/>
      <c r="AB1239" s="465"/>
      <c r="AC1239" s="465"/>
      <c r="AD1239" s="465"/>
      <c r="AE1239" s="465"/>
      <c r="AF1239" s="465"/>
      <c r="AG1239" s="465"/>
      <c r="AH1239" s="465"/>
      <c r="AI1239" s="465"/>
      <c r="AJ1239" s="465"/>
      <c r="AK1239" s="465"/>
      <c r="AL1239" s="465"/>
      <c r="AM1239" s="465"/>
      <c r="AN1239" s="465"/>
      <c r="AO1239" s="465"/>
      <c r="AP1239" s="465"/>
      <c r="AQ1239" s="465"/>
      <c r="AR1239" s="465"/>
      <c r="AS1239" s="465"/>
      <c r="AT1239" s="465"/>
      <c r="AU1239" s="465"/>
      <c r="AV1239" s="465"/>
      <c r="AW1239" s="465"/>
      <c r="AX1239" s="465"/>
      <c r="AY1239" s="465"/>
      <c r="AZ1239" s="465"/>
      <c r="BA1239" s="465"/>
      <c r="BB1239" s="465"/>
      <c r="BC1239" s="465"/>
    </row>
    <row r="1240" spans="1:55">
      <c r="A1240" s="465"/>
      <c r="B1240" s="465"/>
      <c r="C1240" s="465"/>
      <c r="D1240" s="467"/>
      <c r="E1240" s="465"/>
      <c r="F1240" s="465"/>
      <c r="G1240" s="465"/>
      <c r="H1240" s="465"/>
      <c r="I1240" s="465"/>
      <c r="J1240" s="465"/>
      <c r="K1240" s="465"/>
      <c r="L1240" s="465"/>
      <c r="M1240" s="465"/>
      <c r="N1240" s="465"/>
      <c r="O1240" s="465"/>
      <c r="P1240" s="465"/>
      <c r="Q1240" s="465"/>
      <c r="R1240" s="465"/>
      <c r="S1240" s="465"/>
      <c r="T1240" s="465"/>
      <c r="U1240" s="465"/>
      <c r="V1240" s="465"/>
      <c r="W1240" s="465"/>
      <c r="X1240" s="465"/>
      <c r="Y1240" s="465"/>
      <c r="Z1240" s="465"/>
      <c r="AA1240" s="465"/>
      <c r="AB1240" s="465"/>
      <c r="AC1240" s="465"/>
      <c r="AD1240" s="465"/>
      <c r="AE1240" s="465"/>
      <c r="AF1240" s="465"/>
      <c r="AG1240" s="465"/>
      <c r="AH1240" s="465"/>
      <c r="AI1240" s="465"/>
      <c r="AJ1240" s="465"/>
      <c r="AK1240" s="465"/>
      <c r="AL1240" s="465"/>
      <c r="AM1240" s="465"/>
      <c r="AN1240" s="465"/>
      <c r="AO1240" s="465"/>
      <c r="AP1240" s="465"/>
      <c r="AQ1240" s="465"/>
      <c r="AR1240" s="465"/>
      <c r="AS1240" s="465"/>
      <c r="AT1240" s="465"/>
      <c r="AU1240" s="465"/>
      <c r="AV1240" s="465"/>
      <c r="AW1240" s="465"/>
      <c r="AX1240" s="465"/>
      <c r="AY1240" s="465"/>
      <c r="AZ1240" s="465"/>
      <c r="BA1240" s="465"/>
      <c r="BB1240" s="465"/>
      <c r="BC1240" s="465"/>
    </row>
    <row r="1241" spans="1:55">
      <c r="A1241" s="465"/>
      <c r="B1241" s="465"/>
      <c r="C1241" s="465"/>
      <c r="D1241" s="467"/>
      <c r="E1241" s="465"/>
      <c r="F1241" s="465"/>
      <c r="G1241" s="465"/>
      <c r="H1241" s="465"/>
      <c r="I1241" s="465"/>
      <c r="J1241" s="465"/>
      <c r="K1241" s="465"/>
      <c r="L1241" s="465"/>
      <c r="M1241" s="465"/>
      <c r="N1241" s="465"/>
      <c r="O1241" s="465"/>
      <c r="P1241" s="465"/>
      <c r="Q1241" s="465"/>
      <c r="R1241" s="465"/>
      <c r="S1241" s="465"/>
      <c r="T1241" s="465"/>
      <c r="U1241" s="465"/>
      <c r="V1241" s="465"/>
      <c r="W1241" s="465"/>
      <c r="X1241" s="465"/>
      <c r="Y1241" s="465"/>
      <c r="Z1241" s="465"/>
      <c r="AA1241" s="465"/>
      <c r="AB1241" s="465"/>
      <c r="AC1241" s="465"/>
      <c r="AD1241" s="465"/>
      <c r="AE1241" s="465"/>
      <c r="AF1241" s="465"/>
      <c r="AG1241" s="465"/>
      <c r="AH1241" s="465"/>
      <c r="AI1241" s="465"/>
      <c r="AJ1241" s="465"/>
      <c r="AK1241" s="465"/>
      <c r="AL1241" s="465"/>
      <c r="AM1241" s="465"/>
      <c r="AN1241" s="465"/>
      <c r="AO1241" s="465"/>
      <c r="AP1241" s="465"/>
      <c r="AQ1241" s="465"/>
      <c r="AR1241" s="465"/>
      <c r="AS1241" s="465"/>
      <c r="AT1241" s="465"/>
      <c r="AU1241" s="465"/>
      <c r="AV1241" s="465"/>
      <c r="AW1241" s="465"/>
      <c r="AX1241" s="465"/>
      <c r="AY1241" s="465"/>
      <c r="AZ1241" s="465"/>
      <c r="BA1241" s="465"/>
      <c r="BB1241" s="465"/>
      <c r="BC1241" s="465"/>
    </row>
    <row r="1242" spans="1:55">
      <c r="A1242" s="465"/>
      <c r="B1242" s="465"/>
      <c r="C1242" s="465"/>
      <c r="D1242" s="467"/>
      <c r="E1242" s="465"/>
      <c r="F1242" s="465"/>
      <c r="G1242" s="465"/>
      <c r="H1242" s="465"/>
      <c r="I1242" s="465"/>
      <c r="J1242" s="465"/>
      <c r="K1242" s="465"/>
      <c r="L1242" s="465"/>
      <c r="M1242" s="465"/>
      <c r="N1242" s="465"/>
      <c r="O1242" s="465"/>
      <c r="P1242" s="465"/>
      <c r="Q1242" s="465"/>
      <c r="R1242" s="465"/>
      <c r="S1242" s="465"/>
      <c r="T1242" s="465"/>
      <c r="U1242" s="465"/>
      <c r="V1242" s="465"/>
      <c r="W1242" s="465"/>
      <c r="X1242" s="465"/>
      <c r="Y1242" s="465"/>
      <c r="Z1242" s="465"/>
      <c r="AA1242" s="465"/>
      <c r="AB1242" s="465"/>
      <c r="AC1242" s="465"/>
      <c r="AD1242" s="465"/>
      <c r="AE1242" s="465"/>
      <c r="AF1242" s="465"/>
      <c r="AG1242" s="465"/>
      <c r="AH1242" s="465"/>
      <c r="AI1242" s="465"/>
      <c r="AJ1242" s="465"/>
      <c r="AK1242" s="465"/>
      <c r="AL1242" s="465"/>
      <c r="AM1242" s="465"/>
      <c r="AN1242" s="465"/>
      <c r="AO1242" s="465"/>
      <c r="AP1242" s="465"/>
      <c r="AQ1242" s="465"/>
      <c r="AR1242" s="465"/>
      <c r="AS1242" s="465"/>
      <c r="AT1242" s="465"/>
      <c r="AU1242" s="465"/>
      <c r="AV1242" s="465"/>
      <c r="AW1242" s="465"/>
      <c r="AX1242" s="465"/>
      <c r="AY1242" s="465"/>
      <c r="AZ1242" s="465"/>
      <c r="BA1242" s="465"/>
      <c r="BB1242" s="465"/>
      <c r="BC1242" s="465"/>
    </row>
    <row r="1243" spans="1:55">
      <c r="A1243" s="465"/>
      <c r="B1243" s="465"/>
      <c r="C1243" s="465"/>
      <c r="D1243" s="467"/>
      <c r="E1243" s="465"/>
      <c r="F1243" s="465"/>
      <c r="G1243" s="465"/>
      <c r="H1243" s="465"/>
      <c r="I1243" s="465"/>
      <c r="J1243" s="465"/>
      <c r="K1243" s="465"/>
      <c r="L1243" s="465"/>
      <c r="M1243" s="465"/>
      <c r="N1243" s="465"/>
      <c r="O1243" s="465"/>
      <c r="P1243" s="465"/>
      <c r="Q1243" s="465"/>
      <c r="R1243" s="465"/>
      <c r="S1243" s="465"/>
      <c r="T1243" s="465"/>
      <c r="U1243" s="465"/>
      <c r="V1243" s="465"/>
      <c r="W1243" s="465"/>
      <c r="X1243" s="465"/>
      <c r="Y1243" s="465"/>
      <c r="Z1243" s="465"/>
      <c r="AA1243" s="465"/>
      <c r="AB1243" s="465"/>
      <c r="AC1243" s="465"/>
      <c r="AD1243" s="465"/>
      <c r="AE1243" s="465"/>
      <c r="AF1243" s="465"/>
      <c r="AG1243" s="465"/>
      <c r="AH1243" s="465"/>
      <c r="AI1243" s="465"/>
      <c r="AJ1243" s="465"/>
      <c r="AK1243" s="465"/>
      <c r="AL1243" s="465"/>
      <c r="AM1243" s="465"/>
      <c r="AN1243" s="465"/>
      <c r="AO1243" s="465"/>
      <c r="AP1243" s="465"/>
      <c r="AQ1243" s="465"/>
      <c r="AR1243" s="465"/>
      <c r="AS1243" s="465"/>
      <c r="AT1243" s="465"/>
      <c r="AU1243" s="465"/>
      <c r="AV1243" s="465"/>
      <c r="AW1243" s="465"/>
      <c r="AX1243" s="465"/>
      <c r="AY1243" s="465"/>
      <c r="AZ1243" s="465"/>
      <c r="BA1243" s="465"/>
      <c r="BB1243" s="465"/>
      <c r="BC1243" s="465"/>
    </row>
    <row r="1244" spans="1:55">
      <c r="A1244" s="465"/>
      <c r="B1244" s="465"/>
      <c r="C1244" s="465"/>
      <c r="D1244" s="467"/>
      <c r="E1244" s="465"/>
      <c r="F1244" s="465"/>
      <c r="G1244" s="465"/>
      <c r="H1244" s="465"/>
      <c r="I1244" s="465"/>
      <c r="J1244" s="465"/>
      <c r="K1244" s="465"/>
      <c r="L1244" s="465"/>
      <c r="M1244" s="465"/>
      <c r="N1244" s="465"/>
      <c r="O1244" s="465"/>
      <c r="P1244" s="465"/>
      <c r="Q1244" s="465"/>
      <c r="R1244" s="465"/>
      <c r="S1244" s="465"/>
      <c r="T1244" s="465"/>
      <c r="U1244" s="465"/>
      <c r="V1244" s="465"/>
      <c r="W1244" s="465"/>
      <c r="X1244" s="465"/>
      <c r="Y1244" s="465"/>
      <c r="Z1244" s="465"/>
      <c r="AA1244" s="465"/>
      <c r="AB1244" s="465"/>
      <c r="AC1244" s="465"/>
      <c r="AD1244" s="465"/>
      <c r="AE1244" s="465"/>
      <c r="AF1244" s="465"/>
      <c r="AG1244" s="465"/>
      <c r="AH1244" s="465"/>
      <c r="AI1244" s="465"/>
      <c r="AJ1244" s="465"/>
      <c r="AK1244" s="465"/>
      <c r="AL1244" s="465"/>
      <c r="AM1244" s="465"/>
      <c r="AN1244" s="465"/>
      <c r="AO1244" s="465"/>
      <c r="AP1244" s="465"/>
      <c r="AQ1244" s="465"/>
      <c r="AR1244" s="465"/>
      <c r="AS1244" s="465"/>
      <c r="AT1244" s="465"/>
      <c r="AU1244" s="465"/>
      <c r="AV1244" s="465"/>
      <c r="AW1244" s="465"/>
      <c r="AX1244" s="465"/>
      <c r="AY1244" s="465"/>
      <c r="AZ1244" s="465"/>
      <c r="BA1244" s="465"/>
      <c r="BB1244" s="465"/>
      <c r="BC1244" s="465"/>
    </row>
    <row r="1245" spans="1:55">
      <c r="A1245" s="465"/>
      <c r="B1245" s="465"/>
      <c r="C1245" s="465"/>
      <c r="D1245" s="467"/>
      <c r="E1245" s="465"/>
      <c r="F1245" s="465"/>
      <c r="G1245" s="465"/>
      <c r="H1245" s="465"/>
      <c r="I1245" s="465"/>
      <c r="J1245" s="465"/>
      <c r="K1245" s="465"/>
      <c r="L1245" s="465"/>
      <c r="M1245" s="465"/>
      <c r="N1245" s="465"/>
      <c r="O1245" s="465"/>
      <c r="P1245" s="465"/>
      <c r="Q1245" s="465"/>
      <c r="R1245" s="465"/>
      <c r="S1245" s="465"/>
      <c r="T1245" s="465"/>
      <c r="U1245" s="465"/>
      <c r="V1245" s="465"/>
      <c r="W1245" s="465"/>
      <c r="X1245" s="465"/>
      <c r="Y1245" s="465"/>
      <c r="Z1245" s="465"/>
      <c r="AA1245" s="465"/>
      <c r="AB1245" s="465"/>
      <c r="AC1245" s="465"/>
      <c r="AD1245" s="465"/>
      <c r="AE1245" s="465"/>
      <c r="AF1245" s="465"/>
      <c r="AG1245" s="465"/>
      <c r="AH1245" s="465"/>
      <c r="AI1245" s="465"/>
      <c r="AJ1245" s="465"/>
      <c r="AK1245" s="465"/>
      <c r="AL1245" s="465"/>
      <c r="AM1245" s="465"/>
      <c r="AN1245" s="465"/>
      <c r="AO1245" s="465"/>
      <c r="AP1245" s="465"/>
      <c r="AQ1245" s="465"/>
      <c r="AR1245" s="465"/>
      <c r="AS1245" s="465"/>
      <c r="AT1245" s="465"/>
      <c r="AU1245" s="465"/>
      <c r="AV1245" s="465"/>
      <c r="AW1245" s="465"/>
      <c r="AX1245" s="465"/>
      <c r="AY1245" s="465"/>
      <c r="AZ1245" s="465"/>
      <c r="BA1245" s="465"/>
      <c r="BB1245" s="465"/>
      <c r="BC1245" s="465"/>
    </row>
    <row r="1246" spans="1:55">
      <c r="A1246" s="465"/>
      <c r="B1246" s="465"/>
      <c r="C1246" s="465"/>
      <c r="D1246" s="467"/>
      <c r="E1246" s="465"/>
      <c r="F1246" s="465"/>
      <c r="G1246" s="465"/>
      <c r="H1246" s="465"/>
      <c r="I1246" s="465"/>
      <c r="J1246" s="465"/>
      <c r="K1246" s="465"/>
      <c r="L1246" s="465"/>
      <c r="M1246" s="465"/>
      <c r="N1246" s="465"/>
      <c r="O1246" s="465"/>
      <c r="P1246" s="465"/>
      <c r="Q1246" s="465"/>
      <c r="R1246" s="465"/>
      <c r="S1246" s="465"/>
      <c r="T1246" s="465"/>
      <c r="U1246" s="465"/>
      <c r="V1246" s="465"/>
      <c r="W1246" s="465"/>
      <c r="X1246" s="465"/>
      <c r="Y1246" s="465"/>
      <c r="Z1246" s="465"/>
      <c r="AA1246" s="465"/>
      <c r="AB1246" s="465"/>
      <c r="AC1246" s="465"/>
      <c r="AD1246" s="465"/>
      <c r="AE1246" s="465"/>
      <c r="AF1246" s="465"/>
      <c r="AG1246" s="465"/>
      <c r="AH1246" s="465"/>
      <c r="AI1246" s="465"/>
      <c r="AJ1246" s="465"/>
      <c r="AK1246" s="465"/>
      <c r="AL1246" s="465"/>
      <c r="AM1246" s="465"/>
      <c r="AN1246" s="465"/>
      <c r="AO1246" s="465"/>
      <c r="AP1246" s="465"/>
      <c r="AQ1246" s="465"/>
      <c r="AR1246" s="465"/>
      <c r="AS1246" s="465"/>
      <c r="AT1246" s="465"/>
      <c r="AU1246" s="465"/>
      <c r="AV1246" s="465"/>
      <c r="AW1246" s="465"/>
      <c r="AX1246" s="465"/>
      <c r="AY1246" s="465"/>
      <c r="AZ1246" s="465"/>
      <c r="BA1246" s="465"/>
      <c r="BB1246" s="465"/>
      <c r="BC1246" s="465"/>
    </row>
    <row r="1247" spans="1:55">
      <c r="A1247" s="465"/>
      <c r="B1247" s="465"/>
      <c r="C1247" s="465"/>
      <c r="D1247" s="467"/>
      <c r="E1247" s="465"/>
      <c r="F1247" s="465"/>
      <c r="G1247" s="465"/>
      <c r="H1247" s="465"/>
      <c r="I1247" s="465"/>
      <c r="J1247" s="465"/>
      <c r="K1247" s="465"/>
      <c r="L1247" s="465"/>
      <c r="M1247" s="465"/>
      <c r="N1247" s="465"/>
      <c r="O1247" s="465"/>
      <c r="P1247" s="465"/>
      <c r="Q1247" s="465"/>
      <c r="R1247" s="465"/>
      <c r="S1247" s="465"/>
      <c r="T1247" s="465"/>
      <c r="U1247" s="465"/>
      <c r="V1247" s="465"/>
      <c r="W1247" s="465"/>
      <c r="X1247" s="465"/>
      <c r="Y1247" s="465"/>
      <c r="Z1247" s="465"/>
      <c r="AA1247" s="465"/>
      <c r="AB1247" s="465"/>
      <c r="AC1247" s="465"/>
      <c r="AD1247" s="465"/>
      <c r="AE1247" s="465"/>
      <c r="AF1247" s="465"/>
      <c r="AG1247" s="465"/>
      <c r="AH1247" s="465"/>
      <c r="AI1247" s="465"/>
      <c r="AJ1247" s="465"/>
      <c r="AK1247" s="465"/>
      <c r="AL1247" s="465"/>
      <c r="AM1247" s="465"/>
      <c r="AN1247" s="465"/>
      <c r="AO1247" s="465"/>
      <c r="AP1247" s="465"/>
      <c r="AQ1247" s="465"/>
      <c r="AR1247" s="465"/>
      <c r="AS1247" s="465"/>
      <c r="AT1247" s="465"/>
      <c r="AU1247" s="465"/>
      <c r="AV1247" s="465"/>
      <c r="AW1247" s="465"/>
      <c r="AX1247" s="465"/>
      <c r="AY1247" s="465"/>
      <c r="AZ1247" s="465"/>
      <c r="BA1247" s="465"/>
      <c r="BB1247" s="465"/>
      <c r="BC1247" s="465"/>
    </row>
    <row r="1248" spans="1:55">
      <c r="A1248" s="465"/>
      <c r="B1248" s="465"/>
      <c r="C1248" s="465"/>
      <c r="D1248" s="467"/>
      <c r="E1248" s="465"/>
      <c r="F1248" s="465"/>
      <c r="G1248" s="465"/>
      <c r="H1248" s="465"/>
      <c r="I1248" s="465"/>
      <c r="J1248" s="465"/>
      <c r="K1248" s="465"/>
      <c r="L1248" s="465"/>
      <c r="M1248" s="465"/>
      <c r="N1248" s="465"/>
      <c r="O1248" s="465"/>
      <c r="P1248" s="465"/>
      <c r="Q1248" s="465"/>
      <c r="R1248" s="465"/>
      <c r="S1248" s="465"/>
      <c r="T1248" s="465"/>
      <c r="U1248" s="465"/>
      <c r="V1248" s="465"/>
      <c r="W1248" s="465"/>
      <c r="X1248" s="465"/>
      <c r="Y1248" s="465"/>
      <c r="Z1248" s="465"/>
      <c r="AA1248" s="465"/>
      <c r="AB1248" s="465"/>
      <c r="AC1248" s="465"/>
      <c r="AD1248" s="465"/>
      <c r="AE1248" s="465"/>
      <c r="AF1248" s="465"/>
      <c r="AG1248" s="465"/>
      <c r="AH1248" s="465"/>
      <c r="AI1248" s="465"/>
      <c r="AJ1248" s="465"/>
      <c r="AK1248" s="465"/>
      <c r="AL1248" s="465"/>
      <c r="AM1248" s="465"/>
      <c r="AN1248" s="465"/>
      <c r="AO1248" s="465"/>
      <c r="AP1248" s="465"/>
      <c r="AQ1248" s="465"/>
      <c r="AR1248" s="465"/>
      <c r="AS1248" s="465"/>
      <c r="AT1248" s="465"/>
      <c r="AU1248" s="465"/>
      <c r="AV1248" s="465"/>
      <c r="AW1248" s="465"/>
      <c r="AX1248" s="465"/>
      <c r="AY1248" s="465"/>
      <c r="AZ1248" s="465"/>
      <c r="BA1248" s="465"/>
      <c r="BB1248" s="465"/>
      <c r="BC1248" s="465"/>
    </row>
    <row r="1249" spans="1:55">
      <c r="A1249" s="465"/>
      <c r="B1249" s="465"/>
      <c r="C1249" s="465"/>
      <c r="D1249" s="467"/>
      <c r="E1249" s="465"/>
      <c r="F1249" s="465"/>
      <c r="G1249" s="465"/>
      <c r="H1249" s="465"/>
      <c r="I1249" s="465"/>
      <c r="J1249" s="465"/>
      <c r="K1249" s="465"/>
      <c r="L1249" s="465"/>
      <c r="M1249" s="465"/>
      <c r="N1249" s="465"/>
      <c r="O1249" s="465"/>
      <c r="P1249" s="465"/>
      <c r="Q1249" s="465"/>
      <c r="R1249" s="465"/>
      <c r="S1249" s="465"/>
      <c r="T1249" s="465"/>
      <c r="U1249" s="465"/>
      <c r="V1249" s="465"/>
      <c r="W1249" s="465"/>
      <c r="X1249" s="465"/>
      <c r="Y1249" s="465"/>
      <c r="Z1249" s="465"/>
      <c r="AA1249" s="465"/>
      <c r="AB1249" s="465"/>
      <c r="AC1249" s="465"/>
      <c r="AD1249" s="465"/>
      <c r="AE1249" s="465"/>
      <c r="AF1249" s="465"/>
      <c r="AG1249" s="465"/>
      <c r="AH1249" s="465"/>
      <c r="AI1249" s="465"/>
      <c r="AJ1249" s="465"/>
      <c r="AK1249" s="465"/>
      <c r="AL1249" s="465"/>
      <c r="AM1249" s="465"/>
      <c r="AN1249" s="465"/>
      <c r="AO1249" s="465"/>
      <c r="AP1249" s="465"/>
      <c r="AQ1249" s="465"/>
      <c r="AR1249" s="465"/>
      <c r="AS1249" s="465"/>
      <c r="AT1249" s="465"/>
      <c r="AU1249" s="465"/>
      <c r="AV1249" s="465"/>
      <c r="AW1249" s="465"/>
      <c r="AX1249" s="465"/>
      <c r="AY1249" s="465"/>
      <c r="AZ1249" s="465"/>
      <c r="BA1249" s="465"/>
      <c r="BB1249" s="465"/>
      <c r="BC1249" s="465"/>
    </row>
    <row r="1250" spans="1:55">
      <c r="A1250" s="465"/>
      <c r="B1250" s="465"/>
      <c r="C1250" s="465"/>
      <c r="D1250" s="467"/>
      <c r="E1250" s="465"/>
      <c r="F1250" s="465"/>
      <c r="G1250" s="465"/>
      <c r="H1250" s="465"/>
      <c r="I1250" s="465"/>
      <c r="J1250" s="465"/>
      <c r="K1250" s="465"/>
      <c r="L1250" s="465"/>
      <c r="M1250" s="465"/>
      <c r="N1250" s="465"/>
      <c r="O1250" s="465"/>
      <c r="P1250" s="465"/>
      <c r="Q1250" s="465"/>
      <c r="R1250" s="465"/>
      <c r="S1250" s="465"/>
      <c r="T1250" s="465"/>
      <c r="U1250" s="465"/>
      <c r="V1250" s="465"/>
      <c r="W1250" s="465"/>
      <c r="X1250" s="465"/>
      <c r="Y1250" s="465"/>
      <c r="Z1250" s="465"/>
      <c r="AA1250" s="465"/>
      <c r="AB1250" s="465"/>
      <c r="AC1250" s="465"/>
      <c r="AD1250" s="465"/>
      <c r="AE1250" s="465"/>
      <c r="AF1250" s="465"/>
      <c r="AG1250" s="465"/>
      <c r="AH1250" s="465"/>
      <c r="AI1250" s="465"/>
      <c r="AJ1250" s="465"/>
      <c r="AK1250" s="465"/>
      <c r="AL1250" s="465"/>
      <c r="AM1250" s="465"/>
      <c r="AN1250" s="465"/>
      <c r="AO1250" s="465"/>
      <c r="AP1250" s="465"/>
      <c r="AQ1250" s="465"/>
      <c r="AR1250" s="465"/>
      <c r="AS1250" s="465"/>
      <c r="AT1250" s="465"/>
      <c r="AU1250" s="465"/>
      <c r="AV1250" s="465"/>
      <c r="AW1250" s="465"/>
      <c r="AX1250" s="465"/>
      <c r="AY1250" s="465"/>
      <c r="AZ1250" s="465"/>
      <c r="BA1250" s="465"/>
      <c r="BB1250" s="465"/>
      <c r="BC1250" s="465"/>
    </row>
    <row r="1251" spans="1:55">
      <c r="A1251" s="465"/>
      <c r="B1251" s="465"/>
      <c r="C1251" s="465"/>
      <c r="D1251" s="467"/>
      <c r="E1251" s="465"/>
      <c r="F1251" s="465"/>
      <c r="G1251" s="465"/>
      <c r="H1251" s="465"/>
      <c r="I1251" s="465"/>
      <c r="J1251" s="465"/>
      <c r="K1251" s="465"/>
      <c r="L1251" s="465"/>
      <c r="M1251" s="465"/>
      <c r="N1251" s="465"/>
      <c r="O1251" s="465"/>
      <c r="P1251" s="465"/>
      <c r="Q1251" s="465"/>
      <c r="R1251" s="465"/>
      <c r="S1251" s="465"/>
      <c r="T1251" s="465"/>
      <c r="U1251" s="465"/>
      <c r="V1251" s="465"/>
      <c r="W1251" s="465"/>
      <c r="X1251" s="465"/>
      <c r="Y1251" s="465"/>
      <c r="Z1251" s="465"/>
      <c r="AA1251" s="465"/>
      <c r="AB1251" s="465"/>
      <c r="AC1251" s="465"/>
      <c r="AD1251" s="465"/>
      <c r="AE1251" s="465"/>
      <c r="AF1251" s="465"/>
      <c r="AG1251" s="465"/>
      <c r="AH1251" s="465"/>
      <c r="AI1251" s="465"/>
      <c r="AJ1251" s="465"/>
      <c r="AK1251" s="465"/>
      <c r="AL1251" s="465"/>
      <c r="AM1251" s="465"/>
      <c r="AN1251" s="465"/>
      <c r="AO1251" s="465"/>
      <c r="AP1251" s="465"/>
      <c r="AQ1251" s="465"/>
      <c r="AR1251" s="465"/>
      <c r="AS1251" s="465"/>
      <c r="AT1251" s="465"/>
      <c r="AU1251" s="465"/>
      <c r="AV1251" s="465"/>
      <c r="AW1251" s="465"/>
      <c r="AX1251" s="465"/>
      <c r="AY1251" s="465"/>
      <c r="AZ1251" s="465"/>
      <c r="BA1251" s="465"/>
      <c r="BB1251" s="465"/>
      <c r="BC1251" s="465"/>
    </row>
    <row r="1252" spans="1:55">
      <c r="A1252" s="465"/>
      <c r="B1252" s="465"/>
      <c r="C1252" s="465"/>
      <c r="D1252" s="467"/>
      <c r="E1252" s="465"/>
      <c r="F1252" s="465"/>
      <c r="G1252" s="465"/>
      <c r="H1252" s="465"/>
      <c r="I1252" s="465"/>
      <c r="J1252" s="465"/>
      <c r="K1252" s="465"/>
      <c r="L1252" s="465"/>
      <c r="M1252" s="465"/>
      <c r="N1252" s="465"/>
      <c r="O1252" s="465"/>
      <c r="P1252" s="465"/>
      <c r="Q1252" s="465"/>
      <c r="R1252" s="465"/>
      <c r="S1252" s="465"/>
      <c r="T1252" s="465"/>
      <c r="U1252" s="465"/>
      <c r="V1252" s="465"/>
      <c r="W1252" s="465"/>
      <c r="X1252" s="465"/>
      <c r="Y1252" s="465"/>
      <c r="Z1252" s="465"/>
      <c r="AA1252" s="465"/>
      <c r="AB1252" s="465"/>
      <c r="AC1252" s="465"/>
      <c r="AD1252" s="465"/>
      <c r="AE1252" s="465"/>
      <c r="AF1252" s="465"/>
      <c r="AG1252" s="465"/>
      <c r="AH1252" s="465"/>
      <c r="AI1252" s="465"/>
      <c r="AJ1252" s="465"/>
      <c r="AK1252" s="465"/>
      <c r="AL1252" s="465"/>
      <c r="AM1252" s="465"/>
      <c r="AN1252" s="465"/>
      <c r="AO1252" s="465"/>
      <c r="AP1252" s="465"/>
      <c r="AQ1252" s="465"/>
      <c r="AR1252" s="465"/>
      <c r="AS1252" s="465"/>
      <c r="AT1252" s="465"/>
      <c r="AU1252" s="465"/>
      <c r="AV1252" s="465"/>
      <c r="AW1252" s="465"/>
      <c r="AX1252" s="465"/>
      <c r="AY1252" s="465"/>
      <c r="AZ1252" s="465"/>
      <c r="BA1252" s="465"/>
      <c r="BB1252" s="465"/>
      <c r="BC1252" s="465"/>
    </row>
    <row r="1253" spans="1:55">
      <c r="A1253" s="465"/>
      <c r="B1253" s="465"/>
      <c r="C1253" s="465"/>
      <c r="D1253" s="467"/>
      <c r="E1253" s="465"/>
      <c r="F1253" s="465"/>
      <c r="G1253" s="465"/>
      <c r="H1253" s="465"/>
      <c r="I1253" s="465"/>
      <c r="J1253" s="465"/>
      <c r="K1253" s="465"/>
      <c r="L1253" s="465"/>
      <c r="M1253" s="465"/>
      <c r="N1253" s="465"/>
      <c r="O1253" s="465"/>
      <c r="P1253" s="465"/>
      <c r="Q1253" s="465"/>
      <c r="R1253" s="465"/>
      <c r="S1253" s="465"/>
      <c r="T1253" s="465"/>
      <c r="U1253" s="465"/>
      <c r="V1253" s="465"/>
      <c r="W1253" s="465"/>
      <c r="X1253" s="465"/>
      <c r="Y1253" s="465"/>
      <c r="Z1253" s="465"/>
      <c r="AA1253" s="465"/>
      <c r="AB1253" s="465"/>
      <c r="AC1253" s="465"/>
      <c r="AD1253" s="465"/>
      <c r="AE1253" s="465"/>
      <c r="AF1253" s="465"/>
      <c r="AG1253" s="465"/>
      <c r="AH1253" s="465"/>
      <c r="AI1253" s="465"/>
      <c r="AJ1253" s="465"/>
      <c r="AK1253" s="465"/>
      <c r="AL1253" s="465"/>
      <c r="AM1253" s="465"/>
      <c r="AN1253" s="465"/>
      <c r="AO1253" s="465"/>
      <c r="AP1253" s="465"/>
      <c r="AQ1253" s="465"/>
      <c r="AR1253" s="465"/>
      <c r="AS1253" s="465"/>
      <c r="AT1253" s="465"/>
      <c r="AU1253" s="465"/>
      <c r="AV1253" s="465"/>
      <c r="AW1253" s="465"/>
      <c r="AX1253" s="465"/>
      <c r="AY1253" s="465"/>
      <c r="AZ1253" s="465"/>
      <c r="BA1253" s="465"/>
      <c r="BB1253" s="465"/>
      <c r="BC1253" s="465"/>
    </row>
    <row r="1254" spans="1:55">
      <c r="A1254" s="465"/>
      <c r="B1254" s="465"/>
      <c r="C1254" s="465"/>
      <c r="D1254" s="467"/>
      <c r="E1254" s="465"/>
      <c r="F1254" s="465"/>
      <c r="G1254" s="465"/>
      <c r="H1254" s="465"/>
      <c r="I1254" s="465"/>
      <c r="J1254" s="465"/>
      <c r="K1254" s="465"/>
      <c r="L1254" s="465"/>
      <c r="M1254" s="465"/>
      <c r="N1254" s="465"/>
      <c r="O1254" s="465"/>
      <c r="P1254" s="465"/>
      <c r="Q1254" s="465"/>
      <c r="R1254" s="465"/>
      <c r="S1254" s="465"/>
      <c r="T1254" s="465"/>
      <c r="U1254" s="465"/>
      <c r="V1254" s="465"/>
      <c r="W1254" s="465"/>
      <c r="X1254" s="465"/>
      <c r="Y1254" s="465"/>
      <c r="Z1254" s="465"/>
      <c r="AA1254" s="465"/>
      <c r="AB1254" s="465"/>
      <c r="AC1254" s="465"/>
      <c r="AD1254" s="465"/>
      <c r="AE1254" s="465"/>
      <c r="AF1254" s="465"/>
      <c r="AG1254" s="465"/>
      <c r="AH1254" s="465"/>
      <c r="AI1254" s="465"/>
      <c r="AJ1254" s="465"/>
      <c r="AK1254" s="465"/>
      <c r="AL1254" s="465"/>
      <c r="AM1254" s="465"/>
      <c r="AN1254" s="465"/>
      <c r="AO1254" s="465"/>
      <c r="AP1254" s="465"/>
      <c r="AQ1254" s="465"/>
      <c r="AR1254" s="465"/>
      <c r="AS1254" s="465"/>
      <c r="AT1254" s="465"/>
      <c r="AU1254" s="465"/>
      <c r="AV1254" s="465"/>
      <c r="AW1254" s="465"/>
      <c r="AX1254" s="465"/>
      <c r="AY1254" s="465"/>
      <c r="AZ1254" s="465"/>
      <c r="BA1254" s="465"/>
      <c r="BB1254" s="465"/>
      <c r="BC1254" s="465"/>
    </row>
    <row r="1255" spans="1:55">
      <c r="A1255" s="465"/>
      <c r="B1255" s="465"/>
      <c r="C1255" s="465"/>
      <c r="D1255" s="467"/>
      <c r="E1255" s="465"/>
      <c r="F1255" s="465"/>
      <c r="G1255" s="465"/>
      <c r="H1255" s="465"/>
      <c r="I1255" s="465"/>
      <c r="J1255" s="465"/>
      <c r="K1255" s="465"/>
      <c r="L1255" s="465"/>
      <c r="M1255" s="465"/>
      <c r="N1255" s="465"/>
      <c r="O1255" s="465"/>
      <c r="P1255" s="465"/>
      <c r="Q1255" s="465"/>
      <c r="R1255" s="465"/>
      <c r="S1255" s="465"/>
      <c r="T1255" s="465"/>
      <c r="U1255" s="465"/>
      <c r="V1255" s="465"/>
      <c r="W1255" s="465"/>
      <c r="X1255" s="465"/>
      <c r="Y1255" s="465"/>
      <c r="Z1255" s="465"/>
      <c r="AA1255" s="465"/>
      <c r="AB1255" s="465"/>
      <c r="AC1255" s="465"/>
      <c r="AD1255" s="465"/>
      <c r="AE1255" s="465"/>
      <c r="AF1255" s="465"/>
      <c r="AG1255" s="465"/>
      <c r="AH1255" s="465"/>
      <c r="AI1255" s="465"/>
      <c r="AJ1255" s="465"/>
      <c r="AK1255" s="465"/>
      <c r="AL1255" s="465"/>
      <c r="AM1255" s="465"/>
      <c r="AN1255" s="465"/>
      <c r="AO1255" s="465"/>
      <c r="AP1255" s="465"/>
      <c r="AQ1255" s="465"/>
      <c r="AR1255" s="465"/>
      <c r="AS1255" s="465"/>
      <c r="AT1255" s="465"/>
      <c r="AU1255" s="465"/>
      <c r="AV1255" s="465"/>
      <c r="AW1255" s="465"/>
      <c r="AX1255" s="465"/>
      <c r="AY1255" s="465"/>
      <c r="AZ1255" s="465"/>
      <c r="BA1255" s="465"/>
      <c r="BB1255" s="465"/>
      <c r="BC1255" s="465"/>
    </row>
    <row r="1256" spans="1:55">
      <c r="A1256" s="465"/>
      <c r="B1256" s="465"/>
      <c r="C1256" s="465"/>
      <c r="D1256" s="467"/>
      <c r="E1256" s="465"/>
      <c r="F1256" s="465"/>
      <c r="G1256" s="465"/>
      <c r="H1256" s="465"/>
      <c r="I1256" s="465"/>
      <c r="J1256" s="465"/>
      <c r="K1256" s="465"/>
      <c r="L1256" s="465"/>
      <c r="M1256" s="465"/>
      <c r="N1256" s="465"/>
      <c r="O1256" s="465"/>
      <c r="P1256" s="465"/>
      <c r="Q1256" s="465"/>
      <c r="R1256" s="465"/>
      <c r="S1256" s="465"/>
      <c r="T1256" s="465"/>
      <c r="U1256" s="465"/>
      <c r="V1256" s="465"/>
      <c r="W1256" s="465"/>
      <c r="X1256" s="465"/>
      <c r="Y1256" s="465"/>
      <c r="Z1256" s="465"/>
      <c r="AA1256" s="465"/>
      <c r="AB1256" s="465"/>
      <c r="AC1256" s="465"/>
      <c r="AD1256" s="465"/>
      <c r="AE1256" s="465"/>
      <c r="AF1256" s="465"/>
      <c r="AG1256" s="465"/>
      <c r="AH1256" s="465"/>
      <c r="AI1256" s="465"/>
      <c r="AJ1256" s="465"/>
      <c r="AK1256" s="465"/>
      <c r="AL1256" s="465"/>
      <c r="AM1256" s="465"/>
      <c r="AN1256" s="465"/>
      <c r="AO1256" s="465"/>
      <c r="AP1256" s="465"/>
      <c r="AQ1256" s="465"/>
      <c r="AR1256" s="465"/>
      <c r="AS1256" s="465"/>
      <c r="AT1256" s="465"/>
      <c r="AU1256" s="465"/>
      <c r="AV1256" s="465"/>
      <c r="AW1256" s="465"/>
      <c r="AX1256" s="465"/>
      <c r="AY1256" s="465"/>
      <c r="AZ1256" s="465"/>
      <c r="BA1256" s="465"/>
      <c r="BB1256" s="465"/>
      <c r="BC1256" s="465"/>
    </row>
    <row r="1257" spans="1:55">
      <c r="A1257" s="465"/>
      <c r="B1257" s="465"/>
      <c r="C1257" s="465"/>
      <c r="D1257" s="467"/>
      <c r="E1257" s="465"/>
      <c r="F1257" s="465"/>
      <c r="G1257" s="465"/>
      <c r="H1257" s="465"/>
      <c r="I1257" s="465"/>
      <c r="J1257" s="465"/>
      <c r="K1257" s="465"/>
      <c r="L1257" s="465"/>
      <c r="M1257" s="465"/>
      <c r="N1257" s="465"/>
      <c r="O1257" s="465"/>
      <c r="P1257" s="465"/>
      <c r="Q1257" s="465"/>
      <c r="R1257" s="465"/>
      <c r="S1257" s="465"/>
      <c r="T1257" s="465"/>
      <c r="U1257" s="465"/>
      <c r="V1257" s="465"/>
      <c r="W1257" s="465"/>
      <c r="X1257" s="465"/>
      <c r="Y1257" s="465"/>
      <c r="Z1257" s="465"/>
      <c r="AA1257" s="465"/>
      <c r="AB1257" s="465"/>
      <c r="AC1257" s="465"/>
      <c r="AD1257" s="465"/>
      <c r="AE1257" s="465"/>
      <c r="AF1257" s="465"/>
      <c r="AG1257" s="465"/>
      <c r="AH1257" s="465"/>
      <c r="AI1257" s="465"/>
      <c r="AJ1257" s="465"/>
      <c r="AK1257" s="465"/>
      <c r="AL1257" s="465"/>
      <c r="AM1257" s="465"/>
      <c r="AN1257" s="465"/>
      <c r="AO1257" s="465"/>
      <c r="AP1257" s="465"/>
      <c r="AQ1257" s="465"/>
      <c r="AR1257" s="465"/>
      <c r="AS1257" s="465"/>
      <c r="AT1257" s="465"/>
      <c r="AU1257" s="465"/>
      <c r="AV1257" s="465"/>
      <c r="AW1257" s="465"/>
      <c r="AX1257" s="465"/>
      <c r="AY1257" s="465"/>
      <c r="AZ1257" s="465"/>
      <c r="BA1257" s="465"/>
      <c r="BB1257" s="465"/>
      <c r="BC1257" s="465"/>
    </row>
    <row r="1258" spans="1:55">
      <c r="A1258" s="465"/>
      <c r="B1258" s="465"/>
      <c r="C1258" s="465"/>
      <c r="D1258" s="467"/>
      <c r="E1258" s="465"/>
      <c r="F1258" s="465"/>
      <c r="G1258" s="465"/>
      <c r="H1258" s="465"/>
      <c r="I1258" s="465"/>
      <c r="J1258" s="465"/>
      <c r="K1258" s="465"/>
      <c r="L1258" s="465"/>
      <c r="M1258" s="465"/>
      <c r="N1258" s="465"/>
      <c r="O1258" s="465"/>
      <c r="P1258" s="465"/>
      <c r="Q1258" s="465"/>
      <c r="R1258" s="465"/>
      <c r="S1258" s="465"/>
      <c r="T1258" s="465"/>
      <c r="U1258" s="465"/>
      <c r="V1258" s="465"/>
      <c r="W1258" s="465"/>
      <c r="X1258" s="465"/>
      <c r="Y1258" s="465"/>
      <c r="Z1258" s="465"/>
      <c r="AA1258" s="465"/>
      <c r="AB1258" s="465"/>
      <c r="AC1258" s="465"/>
      <c r="AD1258" s="465"/>
      <c r="AE1258" s="465"/>
      <c r="AF1258" s="465"/>
      <c r="AG1258" s="465"/>
      <c r="AH1258" s="465"/>
      <c r="AI1258" s="465"/>
      <c r="AJ1258" s="465"/>
      <c r="AK1258" s="465"/>
      <c r="AL1258" s="465"/>
      <c r="AM1258" s="465"/>
      <c r="AN1258" s="465"/>
      <c r="AO1258" s="465"/>
      <c r="AP1258" s="465"/>
      <c r="AQ1258" s="465"/>
      <c r="AR1258" s="465"/>
      <c r="AS1258" s="465"/>
      <c r="AT1258" s="465"/>
      <c r="AU1258" s="465"/>
      <c r="AV1258" s="465"/>
      <c r="AW1258" s="465"/>
      <c r="AX1258" s="465"/>
      <c r="AY1258" s="465"/>
      <c r="AZ1258" s="465"/>
      <c r="BA1258" s="465"/>
      <c r="BB1258" s="465"/>
      <c r="BC1258" s="465"/>
    </row>
    <row r="1259" spans="1:55">
      <c r="A1259" s="465"/>
      <c r="B1259" s="465"/>
      <c r="C1259" s="465"/>
      <c r="D1259" s="467"/>
      <c r="E1259" s="465"/>
      <c r="F1259" s="465"/>
      <c r="G1259" s="465"/>
      <c r="H1259" s="465"/>
      <c r="I1259" s="465"/>
      <c r="J1259" s="465"/>
      <c r="K1259" s="465"/>
      <c r="L1259" s="465"/>
      <c r="M1259" s="465"/>
      <c r="N1259" s="465"/>
      <c r="O1259" s="465"/>
      <c r="P1259" s="465"/>
      <c r="Q1259" s="465"/>
      <c r="R1259" s="465"/>
      <c r="S1259" s="465"/>
      <c r="T1259" s="465"/>
      <c r="U1259" s="465"/>
      <c r="V1259" s="465"/>
      <c r="W1259" s="465"/>
      <c r="X1259" s="465"/>
      <c r="Y1259" s="465"/>
      <c r="Z1259" s="465"/>
      <c r="AA1259" s="465"/>
      <c r="AB1259" s="465"/>
      <c r="AC1259" s="465"/>
      <c r="AD1259" s="465"/>
      <c r="AE1259" s="465"/>
      <c r="AF1259" s="465"/>
      <c r="AG1259" s="465"/>
      <c r="AH1259" s="465"/>
      <c r="AI1259" s="465"/>
      <c r="AJ1259" s="465"/>
      <c r="AK1259" s="465"/>
      <c r="AL1259" s="465"/>
      <c r="AM1259" s="465"/>
      <c r="AN1259" s="465"/>
      <c r="AO1259" s="465"/>
      <c r="AP1259" s="465"/>
      <c r="AQ1259" s="465"/>
      <c r="AR1259" s="465"/>
      <c r="AS1259" s="465"/>
      <c r="AT1259" s="465"/>
      <c r="AU1259" s="465"/>
      <c r="AV1259" s="465"/>
      <c r="AW1259" s="465"/>
      <c r="AX1259" s="465"/>
      <c r="AY1259" s="465"/>
      <c r="AZ1259" s="465"/>
      <c r="BA1259" s="465"/>
      <c r="BB1259" s="465"/>
      <c r="BC1259" s="465"/>
    </row>
    <row r="1260" spans="1:55">
      <c r="A1260" s="465"/>
      <c r="B1260" s="465"/>
      <c r="C1260" s="465"/>
      <c r="D1260" s="467"/>
      <c r="E1260" s="465"/>
      <c r="F1260" s="465"/>
      <c r="G1260" s="465"/>
      <c r="H1260" s="465"/>
      <c r="I1260" s="465"/>
      <c r="J1260" s="465"/>
      <c r="K1260" s="465"/>
      <c r="L1260" s="465"/>
      <c r="M1260" s="465"/>
      <c r="N1260" s="465"/>
      <c r="O1260" s="465"/>
      <c r="P1260" s="465"/>
      <c r="Q1260" s="465"/>
      <c r="R1260" s="465"/>
      <c r="S1260" s="465"/>
      <c r="T1260" s="465"/>
      <c r="U1260" s="465"/>
      <c r="V1260" s="465"/>
      <c r="W1260" s="465"/>
      <c r="X1260" s="465"/>
      <c r="Y1260" s="465"/>
      <c r="Z1260" s="465"/>
      <c r="AA1260" s="465"/>
      <c r="AB1260" s="465"/>
      <c r="AC1260" s="465"/>
      <c r="AD1260" s="465"/>
      <c r="AE1260" s="465"/>
      <c r="AF1260" s="465"/>
      <c r="AG1260" s="465"/>
      <c r="AH1260" s="465"/>
      <c r="AI1260" s="465"/>
      <c r="AJ1260" s="465"/>
      <c r="AK1260" s="465"/>
      <c r="AL1260" s="465"/>
      <c r="AM1260" s="465"/>
      <c r="AN1260" s="465"/>
      <c r="AO1260" s="465"/>
      <c r="AP1260" s="465"/>
      <c r="AQ1260" s="465"/>
      <c r="AR1260" s="465"/>
      <c r="AS1260" s="465"/>
      <c r="AT1260" s="465"/>
      <c r="AU1260" s="465"/>
      <c r="AV1260" s="465"/>
      <c r="AW1260" s="465"/>
      <c r="AX1260" s="465"/>
      <c r="AY1260" s="465"/>
      <c r="AZ1260" s="465"/>
      <c r="BA1260" s="465"/>
      <c r="BB1260" s="465"/>
      <c r="BC1260" s="465"/>
    </row>
    <row r="1261" spans="1:55">
      <c r="A1261" s="465"/>
      <c r="B1261" s="465"/>
      <c r="C1261" s="465"/>
      <c r="D1261" s="467"/>
      <c r="E1261" s="465"/>
      <c r="F1261" s="465"/>
      <c r="G1261" s="465"/>
      <c r="H1261" s="465"/>
      <c r="I1261" s="465"/>
      <c r="J1261" s="465"/>
      <c r="K1261" s="465"/>
      <c r="L1261" s="465"/>
      <c r="M1261" s="465"/>
      <c r="N1261" s="465"/>
      <c r="O1261" s="465"/>
      <c r="P1261" s="465"/>
      <c r="Q1261" s="465"/>
      <c r="R1261" s="465"/>
      <c r="S1261" s="465"/>
      <c r="T1261" s="465"/>
      <c r="U1261" s="465"/>
      <c r="V1261" s="465"/>
      <c r="W1261" s="465"/>
      <c r="X1261" s="465"/>
      <c r="Y1261" s="465"/>
      <c r="Z1261" s="465"/>
      <c r="AA1261" s="465"/>
      <c r="AB1261" s="465"/>
      <c r="AC1261" s="465"/>
      <c r="AD1261" s="465"/>
      <c r="AE1261" s="465"/>
      <c r="AF1261" s="465"/>
      <c r="AG1261" s="465"/>
      <c r="AH1261" s="465"/>
      <c r="AI1261" s="465"/>
      <c r="AJ1261" s="465"/>
      <c r="AK1261" s="465"/>
      <c r="AL1261" s="465"/>
      <c r="AM1261" s="465"/>
      <c r="AN1261" s="465"/>
      <c r="AO1261" s="465"/>
      <c r="AP1261" s="465"/>
      <c r="AQ1261" s="465"/>
      <c r="AR1261" s="465"/>
      <c r="AS1261" s="465"/>
      <c r="AT1261" s="465"/>
      <c r="AU1261" s="465"/>
      <c r="AV1261" s="465"/>
      <c r="AW1261" s="465"/>
      <c r="AX1261" s="465"/>
      <c r="AY1261" s="465"/>
      <c r="AZ1261" s="465"/>
      <c r="BA1261" s="465"/>
      <c r="BB1261" s="465"/>
      <c r="BC1261" s="465"/>
    </row>
    <row r="1262" spans="1:55">
      <c r="A1262" s="465"/>
      <c r="B1262" s="465"/>
      <c r="C1262" s="465"/>
      <c r="D1262" s="467"/>
      <c r="E1262" s="465"/>
      <c r="F1262" s="465"/>
      <c r="G1262" s="465"/>
      <c r="H1262" s="465"/>
      <c r="I1262" s="465"/>
      <c r="J1262" s="465"/>
      <c r="K1262" s="465"/>
      <c r="L1262" s="465"/>
      <c r="M1262" s="465"/>
      <c r="N1262" s="465"/>
      <c r="O1262" s="465"/>
      <c r="P1262" s="465"/>
      <c r="Q1262" s="465"/>
      <c r="R1262" s="465"/>
      <c r="S1262" s="465"/>
      <c r="T1262" s="465"/>
      <c r="U1262" s="465"/>
      <c r="V1262" s="465"/>
      <c r="W1262" s="465"/>
      <c r="X1262" s="465"/>
      <c r="Y1262" s="465"/>
      <c r="Z1262" s="465"/>
      <c r="AA1262" s="465"/>
      <c r="AB1262" s="465"/>
      <c r="AC1262" s="465"/>
      <c r="AD1262" s="465"/>
      <c r="AE1262" s="465"/>
      <c r="AF1262" s="465"/>
      <c r="AG1262" s="465"/>
      <c r="AH1262" s="465"/>
      <c r="AI1262" s="465"/>
      <c r="AJ1262" s="465"/>
      <c r="AK1262" s="465"/>
      <c r="AL1262" s="465"/>
      <c r="AM1262" s="465"/>
      <c r="AN1262" s="465"/>
      <c r="AO1262" s="465"/>
      <c r="AP1262" s="465"/>
      <c r="AQ1262" s="465"/>
      <c r="AR1262" s="465"/>
      <c r="AS1262" s="465"/>
      <c r="AT1262" s="465"/>
      <c r="AU1262" s="465"/>
      <c r="AV1262" s="465"/>
      <c r="AW1262" s="465"/>
      <c r="AX1262" s="465"/>
      <c r="AY1262" s="465"/>
      <c r="AZ1262" s="465"/>
      <c r="BA1262" s="465"/>
      <c r="BB1262" s="465"/>
      <c r="BC1262" s="465"/>
    </row>
    <row r="1263" spans="1:55">
      <c r="A1263" s="465"/>
      <c r="B1263" s="465"/>
      <c r="C1263" s="465"/>
      <c r="D1263" s="467"/>
      <c r="E1263" s="465"/>
      <c r="F1263" s="465"/>
      <c r="G1263" s="465"/>
      <c r="H1263" s="465"/>
      <c r="I1263" s="465"/>
      <c r="J1263" s="465"/>
      <c r="K1263" s="465"/>
      <c r="L1263" s="465"/>
      <c r="M1263" s="465"/>
      <c r="N1263" s="465"/>
      <c r="O1263" s="465"/>
      <c r="P1263" s="465"/>
      <c r="Q1263" s="465"/>
      <c r="R1263" s="465"/>
      <c r="S1263" s="465"/>
      <c r="T1263" s="465"/>
      <c r="U1263" s="465"/>
      <c r="V1263" s="465"/>
      <c r="W1263" s="465"/>
      <c r="X1263" s="465"/>
      <c r="Y1263" s="465"/>
      <c r="Z1263" s="465"/>
      <c r="AA1263" s="465"/>
      <c r="AB1263" s="465"/>
      <c r="AC1263" s="465"/>
      <c r="AD1263" s="465"/>
      <c r="AE1263" s="465"/>
      <c r="AF1263" s="465"/>
      <c r="AG1263" s="465"/>
      <c r="AH1263" s="465"/>
      <c r="AI1263" s="465"/>
      <c r="AJ1263" s="465"/>
      <c r="AK1263" s="465"/>
      <c r="AL1263" s="465"/>
      <c r="AM1263" s="465"/>
      <c r="AN1263" s="465"/>
      <c r="AO1263" s="465"/>
      <c r="AP1263" s="465"/>
      <c r="AQ1263" s="465"/>
      <c r="AR1263" s="465"/>
      <c r="AS1263" s="465"/>
      <c r="AT1263" s="465"/>
      <c r="AU1263" s="465"/>
      <c r="AV1263" s="465"/>
      <c r="AW1263" s="465"/>
      <c r="AX1263" s="465"/>
      <c r="AY1263" s="465"/>
      <c r="AZ1263" s="465"/>
      <c r="BA1263" s="465"/>
      <c r="BB1263" s="465"/>
      <c r="BC1263" s="465"/>
    </row>
    <row r="1264" spans="1:55">
      <c r="A1264" s="465"/>
      <c r="B1264" s="465"/>
      <c r="C1264" s="465"/>
      <c r="D1264" s="467"/>
      <c r="E1264" s="465"/>
      <c r="F1264" s="465"/>
      <c r="G1264" s="465"/>
      <c r="H1264" s="465"/>
      <c r="I1264" s="465"/>
      <c r="J1264" s="465"/>
      <c r="K1264" s="465"/>
      <c r="L1264" s="465"/>
      <c r="M1264" s="465"/>
      <c r="N1264" s="465"/>
      <c r="O1264" s="465"/>
      <c r="P1264" s="465"/>
      <c r="Q1264" s="465"/>
      <c r="R1264" s="465"/>
      <c r="S1264" s="465"/>
      <c r="T1264" s="465"/>
      <c r="U1264" s="465"/>
      <c r="V1264" s="465"/>
      <c r="W1264" s="465"/>
      <c r="X1264" s="465"/>
      <c r="Y1264" s="465"/>
      <c r="Z1264" s="465"/>
      <c r="AA1264" s="465"/>
      <c r="AB1264" s="465"/>
      <c r="AC1264" s="465"/>
      <c r="AD1264" s="465"/>
      <c r="AE1264" s="465"/>
      <c r="AF1264" s="465"/>
      <c r="AG1264" s="465"/>
      <c r="AH1264" s="465"/>
      <c r="AI1264" s="465"/>
      <c r="AJ1264" s="465"/>
      <c r="AK1264" s="465"/>
      <c r="AL1264" s="465"/>
      <c r="AM1264" s="465"/>
      <c r="AN1264" s="465"/>
      <c r="AO1264" s="465"/>
      <c r="AP1264" s="465"/>
      <c r="AQ1264" s="465"/>
      <c r="AR1264" s="465"/>
      <c r="AS1264" s="465"/>
      <c r="AT1264" s="465"/>
      <c r="AU1264" s="465"/>
      <c r="AV1264" s="465"/>
      <c r="AW1264" s="465"/>
      <c r="AX1264" s="465"/>
      <c r="AY1264" s="465"/>
      <c r="AZ1264" s="465"/>
      <c r="BA1264" s="465"/>
      <c r="BB1264" s="465"/>
      <c r="BC1264" s="465"/>
    </row>
    <row r="1265" spans="1:55">
      <c r="A1265" s="465"/>
      <c r="B1265" s="465"/>
      <c r="C1265" s="465"/>
      <c r="D1265" s="467"/>
      <c r="E1265" s="465"/>
      <c r="F1265" s="465"/>
      <c r="G1265" s="465"/>
      <c r="H1265" s="465"/>
      <c r="I1265" s="465"/>
      <c r="J1265" s="465"/>
      <c r="K1265" s="465"/>
      <c r="L1265" s="465"/>
      <c r="M1265" s="465"/>
      <c r="N1265" s="465"/>
      <c r="O1265" s="465"/>
      <c r="P1265" s="465"/>
      <c r="Q1265" s="465"/>
      <c r="R1265" s="465"/>
      <c r="S1265" s="465"/>
      <c r="T1265" s="465"/>
      <c r="U1265" s="465"/>
      <c r="V1265" s="465"/>
      <c r="W1265" s="465"/>
      <c r="X1265" s="465"/>
      <c r="Y1265" s="465"/>
      <c r="Z1265" s="465"/>
      <c r="AA1265" s="465"/>
      <c r="AB1265" s="465"/>
      <c r="AC1265" s="465"/>
      <c r="AD1265" s="465"/>
      <c r="AE1265" s="465"/>
      <c r="AF1265" s="465"/>
      <c r="AG1265" s="465"/>
      <c r="AH1265" s="465"/>
      <c r="AI1265" s="465"/>
      <c r="AJ1265" s="465"/>
      <c r="AK1265" s="465"/>
      <c r="AL1265" s="465"/>
      <c r="AM1265" s="465"/>
      <c r="AN1265" s="465"/>
      <c r="AO1265" s="465"/>
      <c r="AP1265" s="465"/>
      <c r="AQ1265" s="465"/>
      <c r="AR1265" s="465"/>
      <c r="AS1265" s="465"/>
      <c r="AT1265" s="465"/>
      <c r="AU1265" s="465"/>
      <c r="AV1265" s="465"/>
      <c r="AW1265" s="465"/>
      <c r="AX1265" s="465"/>
      <c r="AY1265" s="465"/>
      <c r="AZ1265" s="465"/>
      <c r="BA1265" s="465"/>
      <c r="BB1265" s="465"/>
      <c r="BC1265" s="465"/>
    </row>
    <row r="1266" spans="1:55">
      <c r="A1266" s="465"/>
      <c r="B1266" s="465"/>
      <c r="C1266" s="465"/>
      <c r="D1266" s="467"/>
      <c r="E1266" s="465"/>
      <c r="F1266" s="465"/>
      <c r="G1266" s="465"/>
      <c r="H1266" s="465"/>
      <c r="I1266" s="465"/>
      <c r="J1266" s="465"/>
      <c r="K1266" s="465"/>
      <c r="L1266" s="465"/>
      <c r="M1266" s="465"/>
      <c r="N1266" s="465"/>
      <c r="O1266" s="465"/>
      <c r="P1266" s="465"/>
      <c r="Q1266" s="465"/>
      <c r="R1266" s="465"/>
      <c r="S1266" s="465"/>
      <c r="T1266" s="465"/>
      <c r="U1266" s="465"/>
      <c r="V1266" s="465"/>
      <c r="W1266" s="465"/>
      <c r="X1266" s="465"/>
      <c r="Y1266" s="465"/>
      <c r="Z1266" s="465"/>
      <c r="AA1266" s="465"/>
      <c r="AB1266" s="465"/>
      <c r="AC1266" s="465"/>
      <c r="AD1266" s="465"/>
      <c r="AE1266" s="465"/>
      <c r="AF1266" s="465"/>
      <c r="AG1266" s="465"/>
      <c r="AH1266" s="465"/>
      <c r="AI1266" s="465"/>
      <c r="AJ1266" s="465"/>
      <c r="AK1266" s="465"/>
      <c r="AL1266" s="465"/>
      <c r="AM1266" s="465"/>
      <c r="AN1266" s="465"/>
      <c r="AO1266" s="465"/>
      <c r="AP1266" s="465"/>
      <c r="AQ1266" s="465"/>
      <c r="AR1266" s="465"/>
      <c r="AS1266" s="465"/>
      <c r="AT1266" s="465"/>
      <c r="AU1266" s="465"/>
      <c r="AV1266" s="465"/>
      <c r="AW1266" s="465"/>
      <c r="AX1266" s="465"/>
      <c r="AY1266" s="465"/>
      <c r="AZ1266" s="465"/>
      <c r="BA1266" s="465"/>
      <c r="BB1266" s="465"/>
      <c r="BC1266" s="465"/>
    </row>
    <row r="1267" spans="1:55">
      <c r="A1267" s="465"/>
      <c r="B1267" s="465"/>
      <c r="C1267" s="465"/>
      <c r="D1267" s="467"/>
      <c r="E1267" s="465"/>
      <c r="F1267" s="465"/>
      <c r="G1267" s="465"/>
      <c r="H1267" s="465"/>
      <c r="I1267" s="465"/>
      <c r="J1267" s="465"/>
      <c r="K1267" s="465"/>
      <c r="L1267" s="465"/>
      <c r="M1267" s="465"/>
      <c r="N1267" s="465"/>
      <c r="O1267" s="465"/>
      <c r="P1267" s="465"/>
      <c r="Q1267" s="465"/>
      <c r="R1267" s="465"/>
      <c r="S1267" s="465"/>
      <c r="T1267" s="465"/>
      <c r="U1267" s="465"/>
      <c r="V1267" s="465"/>
      <c r="W1267" s="465"/>
      <c r="X1267" s="465"/>
      <c r="Y1267" s="465"/>
      <c r="Z1267" s="465"/>
      <c r="AA1267" s="465"/>
      <c r="AB1267" s="465"/>
      <c r="AC1267" s="465"/>
      <c r="AD1267" s="465"/>
      <c r="AE1267" s="465"/>
      <c r="AF1267" s="465"/>
      <c r="AG1267" s="465"/>
      <c r="AH1267" s="465"/>
      <c r="AI1267" s="465"/>
      <c r="AJ1267" s="465"/>
      <c r="AK1267" s="465"/>
      <c r="AL1267" s="465"/>
      <c r="AM1267" s="465"/>
      <c r="AN1267" s="465"/>
      <c r="AO1267" s="465"/>
      <c r="AP1267" s="465"/>
      <c r="AQ1267" s="465"/>
      <c r="AR1267" s="465"/>
      <c r="AS1267" s="465"/>
      <c r="AT1267" s="465"/>
      <c r="AU1267" s="465"/>
      <c r="AV1267" s="465"/>
      <c r="AW1267" s="465"/>
      <c r="AX1267" s="465"/>
      <c r="AY1267" s="465"/>
      <c r="AZ1267" s="465"/>
      <c r="BA1267" s="465"/>
      <c r="BB1267" s="465"/>
      <c r="BC1267" s="465"/>
    </row>
    <row r="1268" spans="1:55">
      <c r="A1268" s="465"/>
      <c r="B1268" s="465"/>
      <c r="C1268" s="465"/>
      <c r="D1268" s="467"/>
      <c r="E1268" s="465"/>
      <c r="F1268" s="465"/>
      <c r="G1268" s="465"/>
      <c r="H1268" s="465"/>
      <c r="I1268" s="465"/>
      <c r="J1268" s="465"/>
      <c r="K1268" s="465"/>
      <c r="L1268" s="465"/>
      <c r="M1268" s="465"/>
      <c r="N1268" s="465"/>
      <c r="O1268" s="465"/>
      <c r="P1268" s="465"/>
      <c r="Q1268" s="465"/>
      <c r="R1268" s="465"/>
      <c r="S1268" s="465"/>
      <c r="T1268" s="465"/>
      <c r="U1268" s="465"/>
      <c r="V1268" s="465"/>
      <c r="W1268" s="465"/>
      <c r="X1268" s="465"/>
      <c r="Y1268" s="465"/>
      <c r="Z1268" s="465"/>
      <c r="AA1268" s="465"/>
      <c r="AB1268" s="465"/>
      <c r="AC1268" s="465"/>
      <c r="AD1268" s="465"/>
      <c r="AE1268" s="465"/>
      <c r="AF1268" s="465"/>
      <c r="AG1268" s="465"/>
      <c r="AH1268" s="465"/>
      <c r="AI1268" s="465"/>
      <c r="AJ1268" s="465"/>
      <c r="AK1268" s="465"/>
      <c r="AL1268" s="465"/>
      <c r="AM1268" s="465"/>
      <c r="AN1268" s="465"/>
      <c r="AO1268" s="465"/>
      <c r="AP1268" s="465"/>
      <c r="AQ1268" s="465"/>
      <c r="AR1268" s="465"/>
      <c r="AS1268" s="465"/>
      <c r="AT1268" s="465"/>
      <c r="AU1268" s="465"/>
      <c r="AV1268" s="465"/>
      <c r="AW1268" s="465"/>
      <c r="AX1268" s="465"/>
      <c r="AY1268" s="465"/>
      <c r="AZ1268" s="465"/>
      <c r="BA1268" s="465"/>
      <c r="BB1268" s="465"/>
      <c r="BC1268" s="465"/>
    </row>
    <row r="1269" spans="1:55">
      <c r="A1269" s="465"/>
      <c r="B1269" s="465"/>
      <c r="C1269" s="465"/>
      <c r="D1269" s="467"/>
      <c r="E1269" s="465"/>
      <c r="F1269" s="465"/>
      <c r="G1269" s="465"/>
      <c r="H1269" s="465"/>
      <c r="I1269" s="465"/>
      <c r="J1269" s="465"/>
      <c r="K1269" s="465"/>
      <c r="L1269" s="465"/>
      <c r="M1269" s="465"/>
      <c r="N1269" s="465"/>
      <c r="O1269" s="465"/>
      <c r="P1269" s="465"/>
      <c r="Q1269" s="465"/>
      <c r="R1269" s="465"/>
      <c r="S1269" s="465"/>
      <c r="T1269" s="465"/>
      <c r="U1269" s="465"/>
      <c r="V1269" s="465"/>
      <c r="W1269" s="465"/>
      <c r="X1269" s="465"/>
      <c r="Y1269" s="465"/>
      <c r="Z1269" s="465"/>
      <c r="AA1269" s="465"/>
      <c r="AB1269" s="465"/>
      <c r="AC1269" s="465"/>
      <c r="AD1269" s="465"/>
      <c r="AE1269" s="465"/>
      <c r="AF1269" s="465"/>
      <c r="AG1269" s="465"/>
      <c r="AH1269" s="465"/>
      <c r="AI1269" s="465"/>
      <c r="AJ1269" s="465"/>
      <c r="AK1269" s="465"/>
      <c r="AL1269" s="465"/>
      <c r="AM1269" s="465"/>
      <c r="AN1269" s="465"/>
      <c r="AO1269" s="465"/>
      <c r="AP1269" s="465"/>
      <c r="AQ1269" s="465"/>
      <c r="AR1269" s="465"/>
      <c r="AS1269" s="465"/>
      <c r="AT1269" s="465"/>
      <c r="AU1269" s="465"/>
      <c r="AV1269" s="465"/>
      <c r="AW1269" s="465"/>
      <c r="AX1269" s="465"/>
      <c r="AY1269" s="465"/>
      <c r="AZ1269" s="465"/>
      <c r="BA1269" s="465"/>
      <c r="BB1269" s="465"/>
      <c r="BC1269" s="465"/>
    </row>
    <row r="1270" spans="1:55">
      <c r="A1270" s="465"/>
      <c r="B1270" s="465"/>
      <c r="C1270" s="465"/>
      <c r="D1270" s="467"/>
      <c r="E1270" s="465"/>
      <c r="F1270" s="465"/>
      <c r="G1270" s="465"/>
      <c r="H1270" s="465"/>
      <c r="I1270" s="465"/>
      <c r="J1270" s="465"/>
      <c r="K1270" s="465"/>
      <c r="L1270" s="465"/>
      <c r="M1270" s="465"/>
      <c r="N1270" s="465"/>
      <c r="O1270" s="465"/>
      <c r="P1270" s="465"/>
      <c r="Q1270" s="465"/>
      <c r="R1270" s="465"/>
      <c r="S1270" s="465"/>
      <c r="T1270" s="465"/>
      <c r="U1270" s="465"/>
      <c r="V1270" s="465"/>
      <c r="W1270" s="465"/>
      <c r="X1270" s="465"/>
      <c r="Y1270" s="465"/>
      <c r="Z1270" s="465"/>
      <c r="AA1270" s="465"/>
      <c r="AB1270" s="465"/>
      <c r="AC1270" s="465"/>
      <c r="AD1270" s="465"/>
      <c r="AE1270" s="465"/>
      <c r="AF1270" s="465"/>
      <c r="AG1270" s="465"/>
      <c r="AH1270" s="465"/>
      <c r="AI1270" s="465"/>
      <c r="AJ1270" s="465"/>
      <c r="AK1270" s="465"/>
      <c r="AL1270" s="465"/>
      <c r="AM1270" s="465"/>
      <c r="AN1270" s="465"/>
      <c r="AO1270" s="465"/>
      <c r="AP1270" s="465"/>
      <c r="AQ1270" s="465"/>
      <c r="AR1270" s="465"/>
      <c r="AS1270" s="465"/>
      <c r="AT1270" s="465"/>
      <c r="AU1270" s="465"/>
      <c r="AV1270" s="465"/>
      <c r="AW1270" s="465"/>
      <c r="AX1270" s="465"/>
      <c r="AY1270" s="465"/>
      <c r="AZ1270" s="465"/>
      <c r="BA1270" s="465"/>
      <c r="BB1270" s="465"/>
      <c r="BC1270" s="465"/>
    </row>
    <row r="1271" spans="1:55">
      <c r="A1271" s="465"/>
      <c r="B1271" s="465"/>
      <c r="C1271" s="465"/>
      <c r="D1271" s="467"/>
      <c r="E1271" s="465"/>
      <c r="F1271" s="465"/>
      <c r="G1271" s="465"/>
      <c r="H1271" s="465"/>
      <c r="I1271" s="465"/>
      <c r="J1271" s="465"/>
      <c r="K1271" s="465"/>
      <c r="L1271" s="465"/>
      <c r="M1271" s="465"/>
      <c r="N1271" s="465"/>
      <c r="O1271" s="465"/>
      <c r="P1271" s="465"/>
      <c r="Q1271" s="465"/>
      <c r="R1271" s="465"/>
      <c r="S1271" s="465"/>
      <c r="T1271" s="465"/>
      <c r="U1271" s="465"/>
      <c r="V1271" s="465"/>
      <c r="W1271" s="465"/>
      <c r="X1271" s="465"/>
      <c r="Y1271" s="465"/>
      <c r="Z1271" s="465"/>
      <c r="AA1271" s="465"/>
      <c r="AB1271" s="465"/>
      <c r="AC1271" s="465"/>
      <c r="AD1271" s="465"/>
      <c r="AE1271" s="465"/>
      <c r="AF1271" s="465"/>
      <c r="AG1271" s="465"/>
      <c r="AH1271" s="465"/>
      <c r="AI1271" s="465"/>
      <c r="AJ1271" s="465"/>
      <c r="AK1271" s="465"/>
      <c r="AL1271" s="465"/>
      <c r="AM1271" s="465"/>
      <c r="AN1271" s="465"/>
      <c r="AO1271" s="465"/>
      <c r="AP1271" s="465"/>
      <c r="AQ1271" s="465"/>
      <c r="AR1271" s="465"/>
      <c r="AS1271" s="465"/>
      <c r="AT1271" s="465"/>
      <c r="AU1271" s="465"/>
      <c r="AV1271" s="465"/>
      <c r="AW1271" s="465"/>
      <c r="AX1271" s="465"/>
      <c r="AY1271" s="465"/>
      <c r="AZ1271" s="465"/>
      <c r="BA1271" s="465"/>
      <c r="BB1271" s="465"/>
      <c r="BC1271" s="465"/>
    </row>
    <row r="1272" spans="1:55">
      <c r="A1272" s="465"/>
      <c r="B1272" s="465"/>
      <c r="C1272" s="465"/>
      <c r="D1272" s="467"/>
      <c r="E1272" s="465"/>
      <c r="F1272" s="465"/>
      <c r="G1272" s="465"/>
      <c r="H1272" s="465"/>
      <c r="I1272" s="465"/>
      <c r="J1272" s="465"/>
      <c r="K1272" s="465"/>
      <c r="L1272" s="465"/>
      <c r="M1272" s="465"/>
      <c r="N1272" s="465"/>
      <c r="O1272" s="465"/>
      <c r="P1272" s="465"/>
      <c r="Q1272" s="465"/>
      <c r="R1272" s="465"/>
      <c r="S1272" s="465"/>
      <c r="T1272" s="465"/>
      <c r="U1272" s="465"/>
      <c r="V1272" s="465"/>
      <c r="W1272" s="465"/>
      <c r="X1272" s="465"/>
      <c r="Y1272" s="465"/>
      <c r="Z1272" s="465"/>
      <c r="AA1272" s="465"/>
      <c r="AB1272" s="465"/>
      <c r="AC1272" s="465"/>
      <c r="AD1272" s="465"/>
      <c r="AE1272" s="465"/>
      <c r="AF1272" s="465"/>
      <c r="AG1272" s="465"/>
      <c r="AH1272" s="465"/>
      <c r="AI1272" s="465"/>
      <c r="AJ1272" s="465"/>
      <c r="AK1272" s="465"/>
      <c r="AL1272" s="465"/>
      <c r="AM1272" s="465"/>
      <c r="AN1272" s="465"/>
      <c r="AO1272" s="465"/>
      <c r="AP1272" s="465"/>
      <c r="AQ1272" s="465"/>
      <c r="AR1272" s="465"/>
      <c r="AS1272" s="465"/>
      <c r="AT1272" s="465"/>
      <c r="AU1272" s="465"/>
      <c r="AV1272" s="465"/>
      <c r="AW1272" s="465"/>
      <c r="AX1272" s="465"/>
      <c r="AY1272" s="465"/>
      <c r="AZ1272" s="465"/>
      <c r="BA1272" s="465"/>
      <c r="BB1272" s="465"/>
      <c r="BC1272" s="465"/>
    </row>
    <row r="1273" spans="1:55">
      <c r="A1273" s="465"/>
      <c r="B1273" s="465"/>
      <c r="C1273" s="465"/>
      <c r="D1273" s="467"/>
      <c r="E1273" s="465"/>
      <c r="F1273" s="465"/>
      <c r="G1273" s="465"/>
      <c r="H1273" s="465"/>
      <c r="I1273" s="465"/>
      <c r="J1273" s="465"/>
      <c r="K1273" s="465"/>
      <c r="L1273" s="465"/>
      <c r="M1273" s="465"/>
      <c r="N1273" s="465"/>
      <c r="O1273" s="465"/>
      <c r="P1273" s="465"/>
      <c r="Q1273" s="465"/>
      <c r="R1273" s="465"/>
      <c r="S1273" s="465"/>
      <c r="T1273" s="465"/>
      <c r="U1273" s="465"/>
      <c r="V1273" s="465"/>
      <c r="W1273" s="465"/>
      <c r="X1273" s="465"/>
      <c r="Y1273" s="465"/>
      <c r="Z1273" s="465"/>
      <c r="AA1273" s="465"/>
      <c r="AB1273" s="465"/>
      <c r="AC1273" s="465"/>
      <c r="AD1273" s="465"/>
      <c r="AE1273" s="465"/>
      <c r="AF1273" s="465"/>
      <c r="AG1273" s="465"/>
      <c r="AH1273" s="465"/>
      <c r="AI1273" s="465"/>
      <c r="AJ1273" s="465"/>
      <c r="AK1273" s="465"/>
      <c r="AL1273" s="465"/>
      <c r="AM1273" s="465"/>
      <c r="AN1273" s="465"/>
      <c r="AO1273" s="465"/>
      <c r="AP1273" s="465"/>
      <c r="AQ1273" s="465"/>
      <c r="AR1273" s="465"/>
      <c r="AS1273" s="465"/>
      <c r="AT1273" s="465"/>
      <c r="AU1273" s="465"/>
      <c r="AV1273" s="465"/>
      <c r="AW1273" s="465"/>
      <c r="AX1273" s="465"/>
      <c r="AY1273" s="465"/>
      <c r="AZ1273" s="465"/>
      <c r="BA1273" s="465"/>
      <c r="BB1273" s="465"/>
      <c r="BC1273" s="465"/>
    </row>
    <row r="1274" spans="1:55">
      <c r="A1274" s="465"/>
      <c r="B1274" s="465"/>
      <c r="C1274" s="465"/>
      <c r="D1274" s="467"/>
      <c r="E1274" s="465"/>
      <c r="F1274" s="465"/>
      <c r="G1274" s="465"/>
      <c r="H1274" s="465"/>
      <c r="I1274" s="465"/>
      <c r="J1274" s="465"/>
      <c r="K1274" s="465"/>
      <c r="L1274" s="465"/>
      <c r="M1274" s="465"/>
      <c r="N1274" s="465"/>
      <c r="O1274" s="465"/>
      <c r="P1274" s="465"/>
      <c r="Q1274" s="465"/>
      <c r="R1274" s="465"/>
      <c r="S1274" s="465"/>
      <c r="T1274" s="465"/>
      <c r="U1274" s="465"/>
      <c r="V1274" s="465"/>
      <c r="W1274" s="465"/>
      <c r="X1274" s="465"/>
      <c r="Y1274" s="465"/>
      <c r="Z1274" s="465"/>
      <c r="AA1274" s="465"/>
      <c r="AB1274" s="465"/>
      <c r="AC1274" s="465"/>
      <c r="AD1274" s="465"/>
      <c r="AE1274" s="465"/>
      <c r="AF1274" s="465"/>
      <c r="AG1274" s="465"/>
      <c r="AH1274" s="465"/>
      <c r="AI1274" s="465"/>
      <c r="AJ1274" s="465"/>
      <c r="AK1274" s="465"/>
      <c r="AL1274" s="465"/>
      <c r="AM1274" s="465"/>
      <c r="AN1274" s="465"/>
      <c r="AO1274" s="465"/>
      <c r="AP1274" s="465"/>
      <c r="AQ1274" s="465"/>
      <c r="AR1274" s="465"/>
      <c r="AS1274" s="465"/>
      <c r="AT1274" s="465"/>
      <c r="AU1274" s="465"/>
      <c r="AV1274" s="465"/>
      <c r="AW1274" s="465"/>
      <c r="AX1274" s="465"/>
      <c r="AY1274" s="465"/>
      <c r="AZ1274" s="465"/>
      <c r="BA1274" s="465"/>
      <c r="BB1274" s="465"/>
      <c r="BC1274" s="465"/>
    </row>
    <row r="1275" spans="1:55">
      <c r="A1275" s="465"/>
      <c r="B1275" s="465"/>
      <c r="C1275" s="465"/>
      <c r="D1275" s="467"/>
      <c r="E1275" s="465"/>
      <c r="F1275" s="465"/>
      <c r="G1275" s="465"/>
      <c r="H1275" s="465"/>
      <c r="I1275" s="465"/>
      <c r="J1275" s="465"/>
      <c r="K1275" s="465"/>
      <c r="L1275" s="465"/>
      <c r="M1275" s="465"/>
      <c r="N1275" s="465"/>
      <c r="O1275" s="465"/>
      <c r="P1275" s="465"/>
      <c r="Q1275" s="465"/>
      <c r="R1275" s="465"/>
      <c r="S1275" s="465"/>
      <c r="T1275" s="465"/>
      <c r="U1275" s="465"/>
      <c r="V1275" s="465"/>
      <c r="W1275" s="465"/>
      <c r="X1275" s="465"/>
      <c r="Y1275" s="465"/>
      <c r="Z1275" s="465"/>
      <c r="AA1275" s="465"/>
      <c r="AB1275" s="465"/>
      <c r="AC1275" s="465"/>
      <c r="AD1275" s="465"/>
      <c r="AE1275" s="465"/>
      <c r="AF1275" s="465"/>
      <c r="AG1275" s="465"/>
      <c r="AH1275" s="465"/>
      <c r="AI1275" s="465"/>
      <c r="AJ1275" s="465"/>
      <c r="AK1275" s="465"/>
      <c r="AL1275" s="465"/>
      <c r="AM1275" s="465"/>
      <c r="AN1275" s="465"/>
      <c r="AO1275" s="465"/>
      <c r="AP1275" s="465"/>
      <c r="AQ1275" s="465"/>
      <c r="AR1275" s="465"/>
      <c r="AS1275" s="465"/>
      <c r="AT1275" s="465"/>
      <c r="AU1275" s="465"/>
      <c r="AV1275" s="465"/>
      <c r="AW1275" s="465"/>
      <c r="AX1275" s="465"/>
      <c r="AY1275" s="465"/>
      <c r="AZ1275" s="465"/>
      <c r="BA1275" s="465"/>
      <c r="BB1275" s="465"/>
      <c r="BC1275" s="465"/>
    </row>
    <row r="1276" spans="1:55">
      <c r="A1276" s="465"/>
      <c r="B1276" s="465"/>
      <c r="C1276" s="465"/>
      <c r="D1276" s="467"/>
      <c r="E1276" s="465"/>
      <c r="F1276" s="465"/>
      <c r="G1276" s="465"/>
      <c r="H1276" s="465"/>
      <c r="I1276" s="465"/>
      <c r="J1276" s="465"/>
      <c r="K1276" s="465"/>
      <c r="L1276" s="465"/>
      <c r="M1276" s="465"/>
      <c r="N1276" s="465"/>
      <c r="O1276" s="465"/>
      <c r="P1276" s="465"/>
      <c r="Q1276" s="465"/>
      <c r="R1276" s="465"/>
      <c r="S1276" s="465"/>
      <c r="T1276" s="465"/>
      <c r="U1276" s="465"/>
      <c r="V1276" s="465"/>
      <c r="W1276" s="465"/>
      <c r="X1276" s="465"/>
      <c r="Y1276" s="465"/>
      <c r="Z1276" s="465"/>
      <c r="AA1276" s="465"/>
      <c r="AB1276" s="465"/>
      <c r="AC1276" s="465"/>
      <c r="AD1276" s="465"/>
      <c r="AE1276" s="465"/>
      <c r="AF1276" s="465"/>
      <c r="AG1276" s="465"/>
      <c r="AH1276" s="465"/>
      <c r="AI1276" s="465"/>
      <c r="AJ1276" s="465"/>
      <c r="AK1276" s="465"/>
      <c r="AL1276" s="465"/>
      <c r="AM1276" s="465"/>
      <c r="AN1276" s="465"/>
      <c r="AO1276" s="465"/>
      <c r="AP1276" s="465"/>
      <c r="AQ1276" s="465"/>
      <c r="AR1276" s="465"/>
      <c r="AS1276" s="465"/>
      <c r="AT1276" s="465"/>
      <c r="AU1276" s="465"/>
      <c r="AV1276" s="465"/>
      <c r="AW1276" s="465"/>
      <c r="AX1276" s="465"/>
      <c r="AY1276" s="465"/>
      <c r="AZ1276" s="465"/>
      <c r="BA1276" s="465"/>
      <c r="BB1276" s="465"/>
      <c r="BC1276" s="465"/>
    </row>
    <row r="1277" spans="1:55">
      <c r="A1277" s="465"/>
      <c r="B1277" s="465"/>
      <c r="C1277" s="465"/>
      <c r="D1277" s="467"/>
      <c r="E1277" s="465"/>
      <c r="F1277" s="465"/>
      <c r="G1277" s="465"/>
      <c r="H1277" s="465"/>
      <c r="I1277" s="465"/>
      <c r="J1277" s="465"/>
      <c r="K1277" s="465"/>
      <c r="L1277" s="465"/>
      <c r="M1277" s="465"/>
      <c r="N1277" s="465"/>
      <c r="O1277" s="465"/>
      <c r="P1277" s="465"/>
      <c r="Q1277" s="465"/>
      <c r="R1277" s="465"/>
      <c r="S1277" s="465"/>
      <c r="T1277" s="465"/>
      <c r="U1277" s="465"/>
      <c r="V1277" s="465"/>
      <c r="W1277" s="465"/>
      <c r="X1277" s="465"/>
      <c r="Y1277" s="465"/>
      <c r="Z1277" s="465"/>
      <c r="AA1277" s="465"/>
      <c r="AB1277" s="465"/>
      <c r="AC1277" s="465"/>
      <c r="AD1277" s="465"/>
      <c r="AE1277" s="465"/>
      <c r="AF1277" s="465"/>
      <c r="AG1277" s="465"/>
      <c r="AH1277" s="465"/>
      <c r="AI1277" s="465"/>
      <c r="AJ1277" s="465"/>
      <c r="AK1277" s="465"/>
      <c r="AL1277" s="465"/>
      <c r="AM1277" s="465"/>
      <c r="AN1277" s="465"/>
      <c r="AO1277" s="465"/>
      <c r="AP1277" s="465"/>
      <c r="AQ1277" s="465"/>
      <c r="AR1277" s="465"/>
      <c r="AS1277" s="465"/>
      <c r="AT1277" s="465"/>
      <c r="AU1277" s="465"/>
      <c r="AV1277" s="465"/>
      <c r="AW1277" s="465"/>
      <c r="AX1277" s="465"/>
      <c r="AY1277" s="465"/>
      <c r="AZ1277" s="465"/>
      <c r="BA1277" s="465"/>
      <c r="BB1277" s="465"/>
      <c r="BC1277" s="465"/>
    </row>
    <row r="1278" spans="1:55">
      <c r="A1278" s="465"/>
      <c r="B1278" s="465"/>
      <c r="C1278" s="465"/>
      <c r="D1278" s="467"/>
      <c r="E1278" s="465"/>
      <c r="F1278" s="465"/>
      <c r="G1278" s="465"/>
      <c r="H1278" s="465"/>
      <c r="I1278" s="465"/>
      <c r="J1278" s="465"/>
      <c r="K1278" s="465"/>
      <c r="L1278" s="465"/>
      <c r="M1278" s="465"/>
      <c r="N1278" s="465"/>
      <c r="O1278" s="465"/>
      <c r="P1278" s="465"/>
      <c r="Q1278" s="465"/>
      <c r="R1278" s="465"/>
      <c r="S1278" s="465"/>
      <c r="T1278" s="465"/>
      <c r="U1278" s="465"/>
      <c r="V1278" s="465"/>
      <c r="W1278" s="465"/>
      <c r="X1278" s="465"/>
      <c r="Y1278" s="465"/>
      <c r="Z1278" s="465"/>
      <c r="AA1278" s="465"/>
      <c r="AB1278" s="465"/>
      <c r="AC1278" s="465"/>
      <c r="AD1278" s="465"/>
      <c r="AE1278" s="465"/>
      <c r="AF1278" s="465"/>
      <c r="AG1278" s="465"/>
      <c r="AH1278" s="465"/>
      <c r="AI1278" s="465"/>
      <c r="AJ1278" s="465"/>
      <c r="AK1278" s="465"/>
      <c r="AL1278" s="465"/>
      <c r="AM1278" s="465"/>
      <c r="AN1278" s="465"/>
      <c r="AO1278" s="465"/>
      <c r="AP1278" s="465"/>
      <c r="AQ1278" s="465"/>
      <c r="AR1278" s="465"/>
      <c r="AS1278" s="465"/>
      <c r="AT1278" s="465"/>
      <c r="AU1278" s="465"/>
      <c r="AV1278" s="465"/>
      <c r="AW1278" s="465"/>
      <c r="AX1278" s="465"/>
      <c r="AY1278" s="465"/>
      <c r="AZ1278" s="465"/>
      <c r="BA1278" s="465"/>
      <c r="BB1278" s="465"/>
      <c r="BC1278" s="465"/>
    </row>
    <row r="1279" spans="1:55">
      <c r="A1279" s="465"/>
      <c r="B1279" s="465"/>
      <c r="C1279" s="465"/>
      <c r="D1279" s="467"/>
      <c r="E1279" s="465"/>
      <c r="F1279" s="465"/>
      <c r="G1279" s="465"/>
      <c r="H1279" s="465"/>
      <c r="I1279" s="465"/>
      <c r="J1279" s="465"/>
      <c r="K1279" s="465"/>
      <c r="L1279" s="465"/>
      <c r="M1279" s="465"/>
      <c r="N1279" s="465"/>
      <c r="O1279" s="465"/>
      <c r="P1279" s="465"/>
      <c r="Q1279" s="465"/>
      <c r="R1279" s="465"/>
      <c r="S1279" s="465"/>
      <c r="T1279" s="465"/>
      <c r="U1279" s="465"/>
      <c r="V1279" s="465"/>
      <c r="W1279" s="465"/>
      <c r="X1279" s="465"/>
      <c r="Y1279" s="465"/>
      <c r="Z1279" s="465"/>
      <c r="AA1279" s="465"/>
      <c r="AB1279" s="465"/>
      <c r="AC1279" s="465"/>
      <c r="AD1279" s="465"/>
      <c r="AE1279" s="465"/>
      <c r="AF1279" s="465"/>
      <c r="AG1279" s="465"/>
      <c r="AH1279" s="465"/>
      <c r="AI1279" s="465"/>
      <c r="AJ1279" s="465"/>
      <c r="AK1279" s="465"/>
      <c r="AL1279" s="465"/>
      <c r="AM1279" s="465"/>
      <c r="AN1279" s="465"/>
      <c r="AO1279" s="465"/>
      <c r="AP1279" s="465"/>
      <c r="AQ1279" s="465"/>
      <c r="AR1279" s="465"/>
      <c r="AS1279" s="465"/>
      <c r="AT1279" s="465"/>
      <c r="AU1279" s="465"/>
      <c r="AV1279" s="465"/>
      <c r="AW1279" s="465"/>
      <c r="AX1279" s="465"/>
      <c r="AY1279" s="465"/>
      <c r="AZ1279" s="465"/>
      <c r="BA1279" s="465"/>
      <c r="BB1279" s="465"/>
      <c r="BC1279" s="465"/>
    </row>
    <row r="1280" spans="1:55">
      <c r="A1280" s="465"/>
      <c r="B1280" s="465"/>
      <c r="C1280" s="465"/>
      <c r="D1280" s="467"/>
      <c r="E1280" s="465"/>
      <c r="F1280" s="465"/>
      <c r="G1280" s="465"/>
      <c r="H1280" s="465"/>
      <c r="I1280" s="465"/>
      <c r="J1280" s="465"/>
      <c r="K1280" s="465"/>
      <c r="L1280" s="465"/>
      <c r="M1280" s="465"/>
      <c r="N1280" s="465"/>
      <c r="O1280" s="465"/>
      <c r="P1280" s="465"/>
      <c r="Q1280" s="465"/>
      <c r="R1280" s="465"/>
      <c r="S1280" s="465"/>
      <c r="T1280" s="465"/>
      <c r="U1280" s="465"/>
      <c r="V1280" s="465"/>
      <c r="W1280" s="465"/>
      <c r="X1280" s="465"/>
      <c r="Y1280" s="465"/>
      <c r="Z1280" s="465"/>
      <c r="AA1280" s="465"/>
      <c r="AB1280" s="465"/>
      <c r="AC1280" s="465"/>
      <c r="AD1280" s="465"/>
      <c r="AE1280" s="465"/>
      <c r="AF1280" s="465"/>
      <c r="AG1280" s="465"/>
      <c r="AH1280" s="465"/>
      <c r="AI1280" s="465"/>
      <c r="AJ1280" s="465"/>
      <c r="AK1280" s="465"/>
      <c r="AL1280" s="465"/>
      <c r="AM1280" s="465"/>
      <c r="AN1280" s="465"/>
      <c r="AO1280" s="465"/>
      <c r="AP1280" s="465"/>
      <c r="AQ1280" s="465"/>
      <c r="AR1280" s="465"/>
      <c r="AS1280" s="465"/>
      <c r="AT1280" s="465"/>
      <c r="AU1280" s="465"/>
      <c r="AV1280" s="465"/>
      <c r="AW1280" s="465"/>
      <c r="AX1280" s="465"/>
      <c r="AY1280" s="465"/>
      <c r="AZ1280" s="465"/>
      <c r="BA1280" s="465"/>
      <c r="BB1280" s="465"/>
      <c r="BC1280" s="465"/>
    </row>
    <row r="1281" spans="1:55">
      <c r="A1281" s="465"/>
      <c r="B1281" s="465"/>
      <c r="C1281" s="465"/>
      <c r="D1281" s="467"/>
      <c r="E1281" s="465"/>
      <c r="F1281" s="465"/>
      <c r="G1281" s="465"/>
      <c r="H1281" s="465"/>
      <c r="I1281" s="465"/>
      <c r="J1281" s="465"/>
      <c r="K1281" s="465"/>
      <c r="L1281" s="465"/>
      <c r="M1281" s="465"/>
      <c r="N1281" s="465"/>
      <c r="O1281" s="465"/>
      <c r="P1281" s="465"/>
      <c r="Q1281" s="465"/>
      <c r="R1281" s="465"/>
      <c r="S1281" s="465"/>
      <c r="T1281" s="465"/>
      <c r="U1281" s="465"/>
      <c r="V1281" s="465"/>
      <c r="W1281" s="465"/>
      <c r="X1281" s="465"/>
      <c r="Y1281" s="465"/>
      <c r="Z1281" s="465"/>
      <c r="AA1281" s="465"/>
      <c r="AB1281" s="465"/>
      <c r="AC1281" s="465"/>
      <c r="AD1281" s="465"/>
      <c r="AE1281" s="465"/>
      <c r="AF1281" s="465"/>
      <c r="AG1281" s="465"/>
      <c r="AH1281" s="465"/>
      <c r="AI1281" s="465"/>
      <c r="AJ1281" s="465"/>
      <c r="AK1281" s="465"/>
      <c r="AL1281" s="465"/>
      <c r="AM1281" s="465"/>
      <c r="AN1281" s="465"/>
      <c r="AO1281" s="465"/>
      <c r="AP1281" s="465"/>
      <c r="AQ1281" s="465"/>
      <c r="AR1281" s="465"/>
      <c r="AS1281" s="465"/>
      <c r="AT1281" s="465"/>
      <c r="AU1281" s="465"/>
      <c r="AV1281" s="465"/>
      <c r="AW1281" s="465"/>
      <c r="AX1281" s="465"/>
      <c r="AY1281" s="465"/>
      <c r="AZ1281" s="465"/>
      <c r="BA1281" s="465"/>
      <c r="BB1281" s="465"/>
      <c r="BC1281" s="465"/>
    </row>
    <row r="1282" spans="1:55">
      <c r="A1282" s="465"/>
      <c r="B1282" s="465"/>
      <c r="C1282" s="465"/>
      <c r="D1282" s="467"/>
      <c r="E1282" s="465"/>
      <c r="F1282" s="465"/>
      <c r="G1282" s="465"/>
      <c r="H1282" s="465"/>
      <c r="I1282" s="465"/>
      <c r="J1282" s="465"/>
      <c r="K1282" s="465"/>
      <c r="L1282" s="465"/>
      <c r="M1282" s="465"/>
      <c r="N1282" s="465"/>
      <c r="O1282" s="465"/>
      <c r="P1282" s="465"/>
      <c r="Q1282" s="465"/>
      <c r="R1282" s="465"/>
      <c r="S1282" s="465"/>
      <c r="T1282" s="465"/>
      <c r="U1282" s="465"/>
      <c r="V1282" s="465"/>
      <c r="W1282" s="465"/>
      <c r="X1282" s="465"/>
      <c r="Y1282" s="465"/>
      <c r="Z1282" s="465"/>
      <c r="AA1282" s="465"/>
      <c r="AB1282" s="465"/>
      <c r="AC1282" s="465"/>
      <c r="AD1282" s="465"/>
      <c r="AE1282" s="465"/>
      <c r="AF1282" s="465"/>
      <c r="AG1282" s="465"/>
      <c r="AH1282" s="465"/>
      <c r="AI1282" s="465"/>
      <c r="AJ1282" s="465"/>
      <c r="AK1282" s="465"/>
      <c r="AL1282" s="465"/>
      <c r="AM1282" s="465"/>
      <c r="AN1282" s="465"/>
      <c r="AO1282" s="465"/>
      <c r="AP1282" s="465"/>
      <c r="AQ1282" s="465"/>
      <c r="AR1282" s="465"/>
      <c r="AS1282" s="465"/>
      <c r="AT1282" s="465"/>
      <c r="AU1282" s="465"/>
      <c r="AV1282" s="465"/>
      <c r="AW1282" s="465"/>
      <c r="AX1282" s="465"/>
      <c r="AY1282" s="465"/>
      <c r="AZ1282" s="465"/>
      <c r="BA1282" s="465"/>
      <c r="BB1282" s="465"/>
      <c r="BC1282" s="465"/>
    </row>
    <row r="1283" spans="1:55">
      <c r="A1283" s="465"/>
      <c r="B1283" s="465"/>
      <c r="C1283" s="465"/>
      <c r="D1283" s="467"/>
      <c r="E1283" s="465"/>
      <c r="F1283" s="465"/>
      <c r="G1283" s="465"/>
      <c r="H1283" s="465"/>
      <c r="I1283" s="465"/>
      <c r="J1283" s="465"/>
      <c r="K1283" s="465"/>
      <c r="L1283" s="465"/>
      <c r="M1283" s="465"/>
      <c r="N1283" s="465"/>
      <c r="O1283" s="465"/>
      <c r="P1283" s="465"/>
      <c r="Q1283" s="465"/>
      <c r="R1283" s="465"/>
      <c r="S1283" s="465"/>
      <c r="T1283" s="465"/>
      <c r="U1283" s="465"/>
      <c r="V1283" s="465"/>
      <c r="W1283" s="465"/>
      <c r="X1283" s="465"/>
      <c r="Y1283" s="465"/>
      <c r="Z1283" s="465"/>
      <c r="AA1283" s="465"/>
      <c r="AB1283" s="465"/>
      <c r="AC1283" s="465"/>
      <c r="AD1283" s="465"/>
      <c r="AE1283" s="465"/>
      <c r="AF1283" s="465"/>
      <c r="AG1283" s="465"/>
      <c r="AH1283" s="465"/>
      <c r="AI1283" s="465"/>
      <c r="AJ1283" s="465"/>
      <c r="AK1283" s="465"/>
      <c r="AL1283" s="465"/>
      <c r="AM1283" s="465"/>
      <c r="AN1283" s="465"/>
      <c r="AO1283" s="465"/>
      <c r="AP1283" s="465"/>
      <c r="AQ1283" s="465"/>
      <c r="AR1283" s="465"/>
      <c r="AS1283" s="465"/>
      <c r="AT1283" s="465"/>
      <c r="AU1283" s="465"/>
      <c r="AV1283" s="465"/>
      <c r="AW1283" s="465"/>
      <c r="AX1283" s="465"/>
      <c r="AY1283" s="465"/>
      <c r="AZ1283" s="465"/>
      <c r="BA1283" s="465"/>
      <c r="BB1283" s="465"/>
      <c r="BC1283" s="465"/>
    </row>
    <row r="1284" spans="1:55">
      <c r="A1284" s="465"/>
      <c r="B1284" s="465"/>
      <c r="C1284" s="465"/>
      <c r="D1284" s="467"/>
      <c r="E1284" s="465"/>
      <c r="F1284" s="465"/>
      <c r="G1284" s="465"/>
      <c r="H1284" s="465"/>
      <c r="I1284" s="465"/>
      <c r="J1284" s="465"/>
      <c r="K1284" s="465"/>
      <c r="L1284" s="465"/>
      <c r="M1284" s="465"/>
      <c r="N1284" s="465"/>
      <c r="O1284" s="465"/>
      <c r="P1284" s="465"/>
      <c r="Q1284" s="465"/>
      <c r="R1284" s="465"/>
      <c r="S1284" s="465"/>
      <c r="T1284" s="465"/>
      <c r="U1284" s="465"/>
      <c r="V1284" s="465"/>
      <c r="W1284" s="465"/>
      <c r="X1284" s="465"/>
      <c r="Y1284" s="465"/>
      <c r="Z1284" s="465"/>
      <c r="AA1284" s="465"/>
      <c r="AB1284" s="465"/>
      <c r="AC1284" s="465"/>
      <c r="AD1284" s="465"/>
      <c r="AE1284" s="465"/>
      <c r="AF1284" s="465"/>
      <c r="AG1284" s="465"/>
      <c r="AH1284" s="465"/>
      <c r="AI1284" s="465"/>
      <c r="AJ1284" s="465"/>
      <c r="AK1284" s="465"/>
      <c r="AL1284" s="465"/>
      <c r="AM1284" s="465"/>
      <c r="AN1284" s="465"/>
      <c r="AO1284" s="465"/>
      <c r="AP1284" s="465"/>
      <c r="AQ1284" s="465"/>
      <c r="AR1284" s="465"/>
      <c r="AS1284" s="465"/>
      <c r="AT1284" s="465"/>
      <c r="AU1284" s="465"/>
      <c r="AV1284" s="465"/>
      <c r="AW1284" s="465"/>
      <c r="AX1284" s="465"/>
      <c r="AY1284" s="465"/>
      <c r="AZ1284" s="465"/>
      <c r="BA1284" s="465"/>
      <c r="BB1284" s="465"/>
      <c r="BC1284" s="465"/>
    </row>
    <row r="1285" spans="1:55">
      <c r="A1285" s="465"/>
      <c r="B1285" s="465"/>
      <c r="C1285" s="465"/>
      <c r="D1285" s="467"/>
      <c r="E1285" s="465"/>
      <c r="F1285" s="465"/>
      <c r="G1285" s="465"/>
      <c r="H1285" s="465"/>
      <c r="I1285" s="465"/>
      <c r="J1285" s="465"/>
      <c r="K1285" s="465"/>
      <c r="L1285" s="465"/>
      <c r="M1285" s="465"/>
      <c r="N1285" s="465"/>
      <c r="O1285" s="465"/>
      <c r="P1285" s="465"/>
      <c r="Q1285" s="465"/>
      <c r="R1285" s="465"/>
      <c r="S1285" s="465"/>
      <c r="T1285" s="465"/>
      <c r="U1285" s="465"/>
      <c r="V1285" s="465"/>
      <c r="W1285" s="465"/>
      <c r="X1285" s="465"/>
      <c r="Y1285" s="465"/>
      <c r="Z1285" s="465"/>
      <c r="AA1285" s="465"/>
      <c r="AB1285" s="465"/>
      <c r="AC1285" s="465"/>
      <c r="AD1285" s="465"/>
      <c r="AE1285" s="465"/>
      <c r="AF1285" s="465"/>
      <c r="AG1285" s="465"/>
      <c r="AH1285" s="465"/>
      <c r="AI1285" s="465"/>
      <c r="AJ1285" s="465"/>
      <c r="AK1285" s="465"/>
      <c r="AL1285" s="465"/>
      <c r="AM1285" s="465"/>
      <c r="AN1285" s="465"/>
      <c r="AO1285" s="465"/>
      <c r="AP1285" s="465"/>
      <c r="AQ1285" s="465"/>
      <c r="AR1285" s="465"/>
      <c r="AS1285" s="465"/>
      <c r="AT1285" s="465"/>
      <c r="AU1285" s="465"/>
      <c r="AV1285" s="465"/>
      <c r="AW1285" s="465"/>
      <c r="AX1285" s="465"/>
      <c r="AY1285" s="465"/>
      <c r="AZ1285" s="465"/>
      <c r="BA1285" s="465"/>
      <c r="BB1285" s="465"/>
      <c r="BC1285" s="465"/>
    </row>
    <row r="1286" spans="1:55">
      <c r="A1286" s="465"/>
      <c r="B1286" s="465"/>
      <c r="C1286" s="465"/>
      <c r="D1286" s="467"/>
      <c r="E1286" s="465"/>
      <c r="F1286" s="465"/>
      <c r="G1286" s="465"/>
      <c r="H1286" s="465"/>
      <c r="I1286" s="465"/>
      <c r="J1286" s="465"/>
      <c r="K1286" s="465"/>
      <c r="L1286" s="465"/>
      <c r="M1286" s="465"/>
      <c r="N1286" s="465"/>
      <c r="O1286" s="465"/>
      <c r="P1286" s="465"/>
      <c r="Q1286" s="465"/>
      <c r="R1286" s="465"/>
      <c r="S1286" s="465"/>
      <c r="T1286" s="465"/>
      <c r="U1286" s="465"/>
      <c r="V1286" s="465"/>
      <c r="W1286" s="465"/>
      <c r="X1286" s="465"/>
      <c r="Y1286" s="465"/>
      <c r="Z1286" s="465"/>
      <c r="AA1286" s="465"/>
      <c r="AB1286" s="465"/>
      <c r="AC1286" s="465"/>
      <c r="AD1286" s="465"/>
      <c r="AE1286" s="465"/>
      <c r="AF1286" s="465"/>
      <c r="AG1286" s="465"/>
      <c r="AH1286" s="465"/>
      <c r="AI1286" s="465"/>
      <c r="AJ1286" s="465"/>
      <c r="AK1286" s="465"/>
      <c r="AL1286" s="465"/>
      <c r="AM1286" s="465"/>
      <c r="AN1286" s="465"/>
      <c r="AO1286" s="465"/>
      <c r="AP1286" s="465"/>
      <c r="AQ1286" s="465"/>
      <c r="AR1286" s="465"/>
      <c r="AS1286" s="465"/>
      <c r="AT1286" s="465"/>
      <c r="AU1286" s="465"/>
      <c r="AV1286" s="465"/>
      <c r="AW1286" s="465"/>
      <c r="AX1286" s="465"/>
      <c r="AY1286" s="465"/>
      <c r="AZ1286" s="465"/>
      <c r="BA1286" s="465"/>
      <c r="BB1286" s="465"/>
      <c r="BC1286" s="465"/>
    </row>
    <row r="1287" spans="1:55">
      <c r="A1287" s="465"/>
      <c r="B1287" s="465"/>
      <c r="C1287" s="465"/>
      <c r="D1287" s="467"/>
      <c r="E1287" s="465"/>
      <c r="F1287" s="465"/>
      <c r="G1287" s="465"/>
      <c r="H1287" s="465"/>
      <c r="I1287" s="465"/>
      <c r="J1287" s="465"/>
      <c r="K1287" s="465"/>
      <c r="L1287" s="465"/>
      <c r="M1287" s="465"/>
      <c r="N1287" s="465"/>
      <c r="O1287" s="465"/>
      <c r="P1287" s="465"/>
      <c r="Q1287" s="465"/>
      <c r="R1287" s="465"/>
      <c r="S1287" s="465"/>
      <c r="T1287" s="465"/>
      <c r="U1287" s="465"/>
      <c r="V1287" s="465"/>
      <c r="W1287" s="465"/>
      <c r="X1287" s="465"/>
      <c r="Y1287" s="465"/>
      <c r="Z1287" s="465"/>
      <c r="AA1287" s="465"/>
      <c r="AB1287" s="465"/>
      <c r="AC1287" s="465"/>
      <c r="AD1287" s="465"/>
      <c r="AE1287" s="465"/>
      <c r="AF1287" s="465"/>
      <c r="AG1287" s="465"/>
      <c r="AH1287" s="465"/>
      <c r="AI1287" s="465"/>
      <c r="AJ1287" s="465"/>
      <c r="AK1287" s="465"/>
      <c r="AL1287" s="465"/>
      <c r="AM1287" s="465"/>
      <c r="AN1287" s="465"/>
      <c r="AO1287" s="465"/>
      <c r="AP1287" s="465"/>
      <c r="AQ1287" s="465"/>
      <c r="AR1287" s="465"/>
      <c r="AS1287" s="465"/>
      <c r="AT1287" s="465"/>
      <c r="AU1287" s="465"/>
      <c r="AV1287" s="465"/>
      <c r="AW1287" s="465"/>
      <c r="AX1287" s="465"/>
      <c r="AY1287" s="465"/>
      <c r="AZ1287" s="465"/>
      <c r="BA1287" s="465"/>
      <c r="BB1287" s="465"/>
      <c r="BC1287" s="465"/>
    </row>
    <row r="1288" spans="1:55">
      <c r="A1288" s="465"/>
      <c r="B1288" s="465"/>
      <c r="C1288" s="465"/>
      <c r="D1288" s="467"/>
      <c r="E1288" s="465"/>
      <c r="F1288" s="465"/>
      <c r="G1288" s="465"/>
      <c r="H1288" s="465"/>
      <c r="I1288" s="465"/>
      <c r="J1288" s="465"/>
      <c r="K1288" s="465"/>
      <c r="L1288" s="465"/>
      <c r="M1288" s="465"/>
      <c r="N1288" s="465"/>
      <c r="O1288" s="465"/>
      <c r="P1288" s="465"/>
      <c r="Q1288" s="465"/>
      <c r="R1288" s="465"/>
      <c r="S1288" s="465"/>
      <c r="T1288" s="465"/>
      <c r="U1288" s="465"/>
      <c r="V1288" s="465"/>
      <c r="W1288" s="465"/>
      <c r="X1288" s="465"/>
      <c r="Y1288" s="465"/>
      <c r="Z1288" s="465"/>
      <c r="AA1288" s="465"/>
      <c r="AB1288" s="465"/>
      <c r="AC1288" s="465"/>
      <c r="AD1288" s="465"/>
      <c r="AE1288" s="465"/>
      <c r="AF1288" s="465"/>
      <c r="AG1288" s="465"/>
      <c r="AH1288" s="465"/>
      <c r="AI1288" s="465"/>
      <c r="AJ1288" s="465"/>
      <c r="AK1288" s="465"/>
      <c r="AL1288" s="465"/>
      <c r="AM1288" s="465"/>
      <c r="AN1288" s="465"/>
      <c r="AO1288" s="465"/>
      <c r="AP1288" s="465"/>
      <c r="AQ1288" s="465"/>
      <c r="AR1288" s="465"/>
      <c r="AS1288" s="465"/>
      <c r="AT1288" s="465"/>
      <c r="AU1288" s="465"/>
      <c r="AV1288" s="465"/>
      <c r="AW1288" s="465"/>
      <c r="AX1288" s="465"/>
      <c r="AY1288" s="465"/>
      <c r="AZ1288" s="465"/>
      <c r="BA1288" s="465"/>
      <c r="BB1288" s="465"/>
      <c r="BC1288" s="465"/>
    </row>
    <row r="1289" spans="1:55">
      <c r="A1289" s="465"/>
      <c r="B1289" s="465"/>
      <c r="C1289" s="465"/>
      <c r="D1289" s="467"/>
      <c r="E1289" s="465"/>
      <c r="F1289" s="465"/>
      <c r="G1289" s="465"/>
      <c r="H1289" s="465"/>
      <c r="I1289" s="465"/>
      <c r="J1289" s="465"/>
      <c r="K1289" s="465"/>
      <c r="L1289" s="465"/>
      <c r="M1289" s="465"/>
      <c r="N1289" s="465"/>
      <c r="O1289" s="465"/>
      <c r="P1289" s="465"/>
      <c r="Q1289" s="465"/>
      <c r="R1289" s="465"/>
      <c r="S1289" s="465"/>
      <c r="T1289" s="465"/>
      <c r="U1289" s="465"/>
      <c r="V1289" s="465"/>
      <c r="W1289" s="465"/>
      <c r="X1289" s="465"/>
      <c r="Y1289" s="465"/>
      <c r="Z1289" s="465"/>
      <c r="AA1289" s="465"/>
      <c r="AB1289" s="465"/>
      <c r="AC1289" s="465"/>
      <c r="AD1289" s="465"/>
      <c r="AE1289" s="465"/>
      <c r="AF1289" s="465"/>
      <c r="AG1289" s="465"/>
      <c r="AH1289" s="465"/>
      <c r="AI1289" s="465"/>
      <c r="AJ1289" s="465"/>
      <c r="AK1289" s="465"/>
      <c r="AL1289" s="465"/>
      <c r="AM1289" s="465"/>
      <c r="AN1289" s="465"/>
      <c r="AO1289" s="465"/>
      <c r="AP1289" s="465"/>
      <c r="AQ1289" s="465"/>
      <c r="AR1289" s="465"/>
      <c r="AS1289" s="465"/>
      <c r="AT1289" s="465"/>
      <c r="AU1289" s="465"/>
      <c r="AV1289" s="465"/>
      <c r="AW1289" s="465"/>
      <c r="AX1289" s="465"/>
      <c r="AY1289" s="465"/>
      <c r="AZ1289" s="465"/>
      <c r="BA1289" s="465"/>
      <c r="BB1289" s="465"/>
      <c r="BC1289" s="465"/>
    </row>
    <row r="1290" spans="1:55">
      <c r="A1290" s="465"/>
      <c r="B1290" s="465"/>
      <c r="C1290" s="465"/>
      <c r="D1290" s="467"/>
      <c r="E1290" s="465"/>
      <c r="F1290" s="465"/>
      <c r="G1290" s="465"/>
      <c r="H1290" s="465"/>
      <c r="I1290" s="465"/>
      <c r="J1290" s="465"/>
      <c r="K1290" s="465"/>
      <c r="L1290" s="465"/>
      <c r="M1290" s="465"/>
      <c r="N1290" s="465"/>
      <c r="O1290" s="465"/>
      <c r="P1290" s="465"/>
      <c r="Q1290" s="465"/>
      <c r="R1290" s="465"/>
      <c r="S1290" s="465"/>
      <c r="T1290" s="465"/>
      <c r="U1290" s="465"/>
      <c r="V1290" s="465"/>
      <c r="W1290" s="465"/>
      <c r="X1290" s="465"/>
      <c r="Y1290" s="465"/>
      <c r="Z1290" s="465"/>
      <c r="AA1290" s="465"/>
      <c r="AB1290" s="465"/>
      <c r="AC1290" s="465"/>
      <c r="AD1290" s="465"/>
      <c r="AE1290" s="465"/>
      <c r="AF1290" s="465"/>
      <c r="AG1290" s="465"/>
      <c r="AH1290" s="465"/>
      <c r="AI1290" s="465"/>
      <c r="AJ1290" s="465"/>
      <c r="AK1290" s="465"/>
      <c r="AL1290" s="465"/>
      <c r="AM1290" s="465"/>
      <c r="AN1290" s="465"/>
      <c r="AO1290" s="465"/>
      <c r="AP1290" s="465"/>
      <c r="AQ1290" s="465"/>
      <c r="AR1290" s="465"/>
      <c r="AS1290" s="465"/>
      <c r="AT1290" s="465"/>
      <c r="AU1290" s="465"/>
      <c r="AV1290" s="465"/>
      <c r="AW1290" s="465"/>
      <c r="AX1290" s="465"/>
      <c r="AY1290" s="465"/>
      <c r="AZ1290" s="465"/>
      <c r="BA1290" s="465"/>
      <c r="BB1290" s="465"/>
      <c r="BC1290" s="465"/>
    </row>
    <row r="1291" spans="1:55">
      <c r="A1291" s="465"/>
      <c r="B1291" s="465"/>
      <c r="C1291" s="465"/>
      <c r="D1291" s="467"/>
      <c r="E1291" s="465"/>
      <c r="F1291" s="465"/>
      <c r="G1291" s="465"/>
      <c r="H1291" s="465"/>
      <c r="I1291" s="465"/>
      <c r="J1291" s="465"/>
      <c r="K1291" s="465"/>
      <c r="L1291" s="465"/>
      <c r="M1291" s="465"/>
      <c r="N1291" s="465"/>
      <c r="O1291" s="465"/>
      <c r="P1291" s="465"/>
      <c r="Q1291" s="465"/>
      <c r="R1291" s="465"/>
      <c r="S1291" s="465"/>
      <c r="T1291" s="465"/>
      <c r="U1291" s="465"/>
      <c r="V1291" s="465"/>
      <c r="W1291" s="465"/>
      <c r="X1291" s="465"/>
      <c r="Y1291" s="465"/>
      <c r="Z1291" s="465"/>
      <c r="AA1291" s="465"/>
      <c r="AB1291" s="465"/>
      <c r="AC1291" s="465"/>
      <c r="AD1291" s="465"/>
      <c r="AE1291" s="465"/>
      <c r="AF1291" s="465"/>
      <c r="AG1291" s="465"/>
      <c r="AH1291" s="465"/>
      <c r="AI1291" s="465"/>
      <c r="AJ1291" s="465"/>
      <c r="AK1291" s="465"/>
      <c r="AL1291" s="465"/>
      <c r="AM1291" s="465"/>
      <c r="AN1291" s="465"/>
      <c r="AO1291" s="465"/>
      <c r="AP1291" s="465"/>
      <c r="AQ1291" s="465"/>
      <c r="AR1291" s="465"/>
      <c r="AS1291" s="465"/>
      <c r="AT1291" s="465"/>
      <c r="AU1291" s="465"/>
      <c r="AV1291" s="465"/>
      <c r="AW1291" s="465"/>
      <c r="AX1291" s="465"/>
      <c r="AY1291" s="465"/>
      <c r="AZ1291" s="465"/>
      <c r="BA1291" s="465"/>
      <c r="BB1291" s="465"/>
      <c r="BC1291" s="465"/>
    </row>
    <row r="1292" spans="1:55">
      <c r="A1292" s="465"/>
      <c r="B1292" s="465"/>
      <c r="C1292" s="465"/>
      <c r="D1292" s="467"/>
      <c r="E1292" s="465"/>
      <c r="F1292" s="465"/>
      <c r="G1292" s="465"/>
      <c r="H1292" s="465"/>
      <c r="I1292" s="465"/>
      <c r="J1292" s="465"/>
      <c r="K1292" s="465"/>
      <c r="L1292" s="465"/>
      <c r="M1292" s="465"/>
      <c r="N1292" s="465"/>
      <c r="O1292" s="465"/>
      <c r="P1292" s="465"/>
      <c r="Q1292" s="465"/>
      <c r="R1292" s="465"/>
      <c r="S1292" s="465"/>
      <c r="T1292" s="465"/>
      <c r="U1292" s="465"/>
      <c r="V1292" s="465"/>
      <c r="W1292" s="465"/>
      <c r="X1292" s="465"/>
      <c r="Y1292" s="465"/>
      <c r="Z1292" s="465"/>
      <c r="AA1292" s="465"/>
      <c r="AB1292" s="465"/>
      <c r="AC1292" s="465"/>
      <c r="AD1292" s="465"/>
      <c r="AE1292" s="465"/>
      <c r="AF1292" s="465"/>
      <c r="AG1292" s="465"/>
      <c r="AH1292" s="465"/>
      <c r="AI1292" s="465"/>
      <c r="AJ1292" s="465"/>
      <c r="AK1292" s="465"/>
      <c r="AL1292" s="465"/>
      <c r="AM1292" s="465"/>
      <c r="AN1292" s="465"/>
      <c r="AO1292" s="465"/>
      <c r="AP1292" s="465"/>
      <c r="AQ1292" s="465"/>
      <c r="AR1292" s="465"/>
      <c r="AS1292" s="465"/>
      <c r="AT1292" s="465"/>
      <c r="AU1292" s="465"/>
      <c r="AV1292" s="465"/>
      <c r="AW1292" s="465"/>
      <c r="AX1292" s="465"/>
      <c r="AY1292" s="465"/>
      <c r="AZ1292" s="465"/>
      <c r="BA1292" s="465"/>
      <c r="BB1292" s="465"/>
      <c r="BC1292" s="465"/>
    </row>
    <row r="1293" spans="1:55">
      <c r="A1293" s="465"/>
      <c r="B1293" s="465"/>
      <c r="C1293" s="465"/>
      <c r="D1293" s="467"/>
      <c r="E1293" s="465"/>
      <c r="F1293" s="465"/>
      <c r="G1293" s="465"/>
      <c r="H1293" s="465"/>
      <c r="I1293" s="465"/>
      <c r="J1293" s="465"/>
      <c r="K1293" s="465"/>
      <c r="L1293" s="465"/>
      <c r="M1293" s="465"/>
      <c r="N1293" s="465"/>
      <c r="O1293" s="465"/>
      <c r="P1293" s="465"/>
      <c r="Q1293" s="465"/>
      <c r="R1293" s="465"/>
      <c r="S1293" s="465"/>
      <c r="T1293" s="465"/>
      <c r="U1293" s="465"/>
      <c r="V1293" s="465"/>
      <c r="W1293" s="465"/>
      <c r="X1293" s="465"/>
      <c r="Y1293" s="465"/>
      <c r="Z1293" s="465"/>
      <c r="AA1293" s="465"/>
      <c r="AB1293" s="465"/>
      <c r="AC1293" s="465"/>
      <c r="AD1293" s="465"/>
      <c r="AE1293" s="465"/>
      <c r="AF1293" s="465"/>
      <c r="AG1293" s="465"/>
      <c r="AH1293" s="465"/>
      <c r="AI1293" s="465"/>
      <c r="AJ1293" s="465"/>
      <c r="AK1293" s="465"/>
      <c r="AL1293" s="465"/>
      <c r="AM1293" s="465"/>
      <c r="AN1293" s="465"/>
      <c r="AO1293" s="465"/>
      <c r="AP1293" s="465"/>
      <c r="AQ1293" s="465"/>
      <c r="AR1293" s="465"/>
      <c r="AS1293" s="465"/>
      <c r="AT1293" s="465"/>
      <c r="AU1293" s="465"/>
      <c r="AV1293" s="465"/>
      <c r="AW1293" s="465"/>
      <c r="AX1293" s="465"/>
      <c r="AY1293" s="465"/>
      <c r="AZ1293" s="465"/>
      <c r="BA1293" s="465"/>
      <c r="BB1293" s="465"/>
      <c r="BC1293" s="465"/>
    </row>
    <row r="1294" spans="1:55">
      <c r="A1294" s="465"/>
      <c r="B1294" s="465"/>
      <c r="C1294" s="465"/>
      <c r="D1294" s="467"/>
      <c r="E1294" s="465"/>
      <c r="F1294" s="465"/>
      <c r="G1294" s="465"/>
      <c r="H1294" s="465"/>
      <c r="I1294" s="465"/>
      <c r="J1294" s="465"/>
      <c r="K1294" s="465"/>
      <c r="L1294" s="465"/>
      <c r="M1294" s="465"/>
      <c r="N1294" s="465"/>
      <c r="O1294" s="465"/>
      <c r="P1294" s="465"/>
      <c r="Q1294" s="465"/>
      <c r="R1294" s="465"/>
      <c r="S1294" s="465"/>
      <c r="T1294" s="465"/>
      <c r="U1294" s="465"/>
      <c r="V1294" s="465"/>
      <c r="W1294" s="465"/>
      <c r="X1294" s="465"/>
      <c r="Y1294" s="465"/>
      <c r="Z1294" s="465"/>
      <c r="AA1294" s="465"/>
      <c r="AB1294" s="465"/>
      <c r="AC1294" s="465"/>
      <c r="AD1294" s="465"/>
      <c r="AE1294" s="465"/>
      <c r="AF1294" s="465"/>
      <c r="AG1294" s="465"/>
      <c r="AH1294" s="465"/>
      <c r="AI1294" s="465"/>
      <c r="AJ1294" s="465"/>
      <c r="AK1294" s="465"/>
      <c r="AL1294" s="465"/>
      <c r="AM1294" s="465"/>
      <c r="AN1294" s="465"/>
      <c r="AO1294" s="465"/>
      <c r="AP1294" s="465"/>
      <c r="AQ1294" s="465"/>
      <c r="AR1294" s="465"/>
      <c r="AS1294" s="465"/>
      <c r="AT1294" s="465"/>
      <c r="AU1294" s="465"/>
      <c r="AV1294" s="465"/>
      <c r="AW1294" s="465"/>
      <c r="AX1294" s="465"/>
      <c r="AY1294" s="465"/>
      <c r="AZ1294" s="465"/>
      <c r="BA1294" s="465"/>
      <c r="BB1294" s="465"/>
      <c r="BC1294" s="465"/>
    </row>
    <row r="1295" spans="1:55">
      <c r="A1295" s="465"/>
      <c r="B1295" s="465"/>
      <c r="C1295" s="465"/>
      <c r="D1295" s="467"/>
      <c r="E1295" s="465"/>
      <c r="F1295" s="465"/>
      <c r="G1295" s="465"/>
      <c r="H1295" s="465"/>
      <c r="I1295" s="465"/>
      <c r="J1295" s="465"/>
      <c r="K1295" s="465"/>
      <c r="L1295" s="465"/>
      <c r="M1295" s="465"/>
      <c r="N1295" s="465"/>
      <c r="O1295" s="465"/>
      <c r="P1295" s="465"/>
      <c r="Q1295" s="465"/>
      <c r="R1295" s="465"/>
      <c r="S1295" s="465"/>
      <c r="T1295" s="465"/>
      <c r="U1295" s="465"/>
      <c r="V1295" s="465"/>
      <c r="W1295" s="465"/>
      <c r="X1295" s="465"/>
      <c r="Y1295" s="465"/>
      <c r="Z1295" s="465"/>
      <c r="AA1295" s="465"/>
      <c r="AB1295" s="465"/>
      <c r="AC1295" s="465"/>
      <c r="AD1295" s="465"/>
      <c r="AE1295" s="465"/>
      <c r="AF1295" s="465"/>
      <c r="AG1295" s="465"/>
      <c r="AH1295" s="465"/>
      <c r="AI1295" s="465"/>
      <c r="AJ1295" s="465"/>
      <c r="AK1295" s="465"/>
      <c r="AL1295" s="465"/>
      <c r="AM1295" s="465"/>
      <c r="AN1295" s="465"/>
      <c r="AO1295" s="465"/>
      <c r="AP1295" s="465"/>
      <c r="AQ1295" s="465"/>
      <c r="AR1295" s="465"/>
      <c r="AS1295" s="465"/>
      <c r="AT1295" s="465"/>
      <c r="AU1295" s="465"/>
      <c r="AV1295" s="465"/>
      <c r="AW1295" s="465"/>
      <c r="AX1295" s="465"/>
      <c r="AY1295" s="465"/>
      <c r="AZ1295" s="465"/>
      <c r="BA1295" s="465"/>
      <c r="BB1295" s="465"/>
      <c r="BC1295" s="465"/>
    </row>
    <row r="1296" spans="1:55">
      <c r="A1296" s="465"/>
      <c r="B1296" s="465"/>
      <c r="C1296" s="465"/>
      <c r="D1296" s="467"/>
      <c r="E1296" s="465"/>
      <c r="F1296" s="465"/>
      <c r="G1296" s="465"/>
      <c r="H1296" s="465"/>
      <c r="I1296" s="465"/>
      <c r="J1296" s="465"/>
      <c r="K1296" s="465"/>
      <c r="L1296" s="465"/>
      <c r="M1296" s="465"/>
      <c r="N1296" s="465"/>
      <c r="O1296" s="465"/>
      <c r="P1296" s="465"/>
      <c r="Q1296" s="465"/>
      <c r="R1296" s="465"/>
      <c r="S1296" s="465"/>
      <c r="T1296" s="465"/>
      <c r="U1296" s="465"/>
      <c r="V1296" s="465"/>
      <c r="W1296" s="465"/>
      <c r="X1296" s="465"/>
      <c r="Y1296" s="465"/>
      <c r="Z1296" s="465"/>
      <c r="AA1296" s="465"/>
      <c r="AB1296" s="465"/>
      <c r="AC1296" s="465"/>
      <c r="AD1296" s="465"/>
      <c r="AE1296" s="465"/>
      <c r="AF1296" s="465"/>
      <c r="AG1296" s="465"/>
      <c r="AH1296" s="465"/>
      <c r="AI1296" s="465"/>
      <c r="AJ1296" s="465"/>
      <c r="AK1296" s="465"/>
      <c r="AL1296" s="465"/>
      <c r="AM1296" s="465"/>
      <c r="AN1296" s="465"/>
      <c r="AO1296" s="465"/>
      <c r="AP1296" s="465"/>
      <c r="AQ1296" s="465"/>
      <c r="AR1296" s="465"/>
      <c r="AS1296" s="465"/>
      <c r="AT1296" s="465"/>
      <c r="AU1296" s="465"/>
      <c r="AV1296" s="465"/>
      <c r="AW1296" s="465"/>
      <c r="AX1296" s="465"/>
      <c r="AY1296" s="465"/>
      <c r="AZ1296" s="465"/>
      <c r="BA1296" s="465"/>
      <c r="BB1296" s="465"/>
      <c r="BC1296" s="465"/>
    </row>
    <row r="1297" spans="1:55">
      <c r="A1297" s="465"/>
      <c r="B1297" s="465"/>
      <c r="C1297" s="465"/>
      <c r="D1297" s="467"/>
      <c r="E1297" s="465"/>
      <c r="F1297" s="465"/>
      <c r="G1297" s="465"/>
      <c r="H1297" s="465"/>
      <c r="I1297" s="465"/>
      <c r="J1297" s="465"/>
      <c r="K1297" s="465"/>
      <c r="L1297" s="465"/>
      <c r="M1297" s="465"/>
      <c r="N1297" s="465"/>
      <c r="O1297" s="465"/>
      <c r="P1297" s="465"/>
      <c r="Q1297" s="465"/>
      <c r="R1297" s="465"/>
      <c r="S1297" s="465"/>
      <c r="T1297" s="465"/>
      <c r="U1297" s="465"/>
      <c r="V1297" s="465"/>
      <c r="W1297" s="465"/>
      <c r="X1297" s="465"/>
      <c r="Y1297" s="465"/>
      <c r="Z1297" s="465"/>
      <c r="AA1297" s="465"/>
      <c r="AB1297" s="465"/>
      <c r="AC1297" s="465"/>
      <c r="AD1297" s="465"/>
      <c r="AE1297" s="465"/>
      <c r="AF1297" s="465"/>
      <c r="AG1297" s="465"/>
      <c r="AH1297" s="465"/>
      <c r="AI1297" s="465"/>
      <c r="AJ1297" s="465"/>
      <c r="AK1297" s="465"/>
      <c r="AL1297" s="465"/>
      <c r="AM1297" s="465"/>
      <c r="AN1297" s="465"/>
      <c r="AO1297" s="465"/>
      <c r="AP1297" s="465"/>
      <c r="AQ1297" s="465"/>
      <c r="AR1297" s="465"/>
      <c r="AS1297" s="465"/>
      <c r="AT1297" s="465"/>
      <c r="AU1297" s="465"/>
      <c r="AV1297" s="465"/>
      <c r="AW1297" s="465"/>
      <c r="AX1297" s="465"/>
      <c r="AY1297" s="465"/>
      <c r="AZ1297" s="465"/>
      <c r="BA1297" s="465"/>
      <c r="BB1297" s="465"/>
      <c r="BC1297" s="465"/>
    </row>
    <row r="1298" spans="1:55">
      <c r="A1298" s="465"/>
      <c r="B1298" s="465"/>
      <c r="C1298" s="465"/>
      <c r="D1298" s="467"/>
      <c r="E1298" s="465"/>
      <c r="F1298" s="465"/>
      <c r="G1298" s="465"/>
      <c r="H1298" s="465"/>
      <c r="I1298" s="465"/>
      <c r="J1298" s="465"/>
      <c r="K1298" s="465"/>
      <c r="L1298" s="465"/>
      <c r="M1298" s="465"/>
      <c r="N1298" s="465"/>
      <c r="O1298" s="465"/>
      <c r="P1298" s="465"/>
      <c r="Q1298" s="465"/>
      <c r="R1298" s="465"/>
      <c r="S1298" s="465"/>
      <c r="T1298" s="465"/>
      <c r="U1298" s="465"/>
      <c r="V1298" s="465"/>
      <c r="W1298" s="465"/>
      <c r="X1298" s="465"/>
      <c r="Y1298" s="465"/>
      <c r="Z1298" s="465"/>
      <c r="AA1298" s="465"/>
      <c r="AB1298" s="465"/>
      <c r="AC1298" s="465"/>
      <c r="AD1298" s="465"/>
      <c r="AE1298" s="465"/>
      <c r="AF1298" s="465"/>
      <c r="AG1298" s="465"/>
      <c r="AH1298" s="465"/>
      <c r="AI1298" s="465"/>
      <c r="AJ1298" s="465"/>
      <c r="AK1298" s="465"/>
      <c r="AL1298" s="465"/>
      <c r="AM1298" s="465"/>
      <c r="AN1298" s="465"/>
      <c r="AO1298" s="465"/>
      <c r="AP1298" s="465"/>
      <c r="AQ1298" s="465"/>
      <c r="AR1298" s="465"/>
      <c r="AS1298" s="465"/>
      <c r="AT1298" s="465"/>
      <c r="AU1298" s="465"/>
      <c r="AV1298" s="465"/>
      <c r="AW1298" s="465"/>
      <c r="AX1298" s="465"/>
      <c r="AY1298" s="465"/>
      <c r="AZ1298" s="465"/>
      <c r="BA1298" s="465"/>
      <c r="BB1298" s="465"/>
      <c r="BC1298" s="465"/>
    </row>
    <row r="1299" spans="1:55">
      <c r="A1299" s="465"/>
      <c r="B1299" s="465"/>
      <c r="C1299" s="465"/>
      <c r="D1299" s="467"/>
      <c r="E1299" s="465"/>
      <c r="F1299" s="465"/>
      <c r="G1299" s="465"/>
      <c r="H1299" s="465"/>
      <c r="I1299" s="465"/>
      <c r="J1299" s="465"/>
      <c r="K1299" s="465"/>
      <c r="L1299" s="465"/>
      <c r="M1299" s="465"/>
      <c r="N1299" s="465"/>
      <c r="O1299" s="465"/>
      <c r="P1299" s="465"/>
      <c r="Q1299" s="465"/>
      <c r="R1299" s="465"/>
      <c r="S1299" s="465"/>
      <c r="T1299" s="465"/>
      <c r="U1299" s="465"/>
      <c r="V1299" s="465"/>
      <c r="W1299" s="465"/>
      <c r="X1299" s="465"/>
      <c r="Y1299" s="465"/>
      <c r="Z1299" s="465"/>
      <c r="AA1299" s="465"/>
      <c r="AB1299" s="465"/>
      <c r="AC1299" s="465"/>
      <c r="AD1299" s="465"/>
      <c r="AE1299" s="465"/>
      <c r="AF1299" s="465"/>
      <c r="AG1299" s="465"/>
      <c r="AH1299" s="465"/>
      <c r="AI1299" s="465"/>
      <c r="AJ1299" s="465"/>
      <c r="AK1299" s="465"/>
      <c r="AL1299" s="465"/>
      <c r="AM1299" s="465"/>
      <c r="AN1299" s="465"/>
      <c r="AO1299" s="465"/>
      <c r="AP1299" s="465"/>
      <c r="AQ1299" s="465"/>
      <c r="AR1299" s="465"/>
      <c r="AS1299" s="465"/>
      <c r="AT1299" s="465"/>
      <c r="AU1299" s="465"/>
      <c r="AV1299" s="465"/>
      <c r="AW1299" s="465"/>
      <c r="AX1299" s="465"/>
      <c r="AY1299" s="465"/>
      <c r="AZ1299" s="465"/>
      <c r="BA1299" s="465"/>
      <c r="BB1299" s="465"/>
      <c r="BC1299" s="465"/>
    </row>
    <row r="1300" spans="1:55">
      <c r="A1300" s="465"/>
      <c r="B1300" s="465"/>
      <c r="C1300" s="465"/>
      <c r="D1300" s="467"/>
      <c r="E1300" s="465"/>
      <c r="F1300" s="465"/>
      <c r="G1300" s="465"/>
      <c r="H1300" s="465"/>
      <c r="I1300" s="465"/>
      <c r="J1300" s="465"/>
      <c r="K1300" s="465"/>
      <c r="L1300" s="465"/>
      <c r="M1300" s="465"/>
      <c r="N1300" s="465"/>
      <c r="O1300" s="465"/>
      <c r="P1300" s="465"/>
      <c r="Q1300" s="465"/>
      <c r="R1300" s="465"/>
      <c r="S1300" s="465"/>
      <c r="T1300" s="465"/>
      <c r="U1300" s="465"/>
      <c r="V1300" s="465"/>
      <c r="W1300" s="465"/>
      <c r="X1300" s="465"/>
      <c r="Y1300" s="465"/>
      <c r="Z1300" s="465"/>
      <c r="AA1300" s="465"/>
      <c r="AB1300" s="465"/>
      <c r="AC1300" s="465"/>
      <c r="AD1300" s="465"/>
      <c r="AE1300" s="465"/>
      <c r="AF1300" s="465"/>
      <c r="AG1300" s="465"/>
      <c r="AH1300" s="465"/>
      <c r="AI1300" s="465"/>
      <c r="AJ1300" s="465"/>
      <c r="AK1300" s="465"/>
      <c r="AL1300" s="465"/>
      <c r="AM1300" s="465"/>
      <c r="AN1300" s="465"/>
      <c r="AO1300" s="465"/>
      <c r="AP1300" s="465"/>
      <c r="AQ1300" s="465"/>
      <c r="AR1300" s="465"/>
      <c r="AS1300" s="465"/>
      <c r="AT1300" s="465"/>
      <c r="AU1300" s="465"/>
      <c r="AV1300" s="465"/>
      <c r="AW1300" s="465"/>
      <c r="AX1300" s="465"/>
      <c r="AY1300" s="465"/>
      <c r="AZ1300" s="465"/>
      <c r="BA1300" s="465"/>
      <c r="BB1300" s="465"/>
      <c r="BC1300" s="465"/>
    </row>
    <row r="1301" spans="1:55">
      <c r="A1301" s="465"/>
      <c r="B1301" s="465"/>
      <c r="C1301" s="465"/>
      <c r="D1301" s="467"/>
      <c r="E1301" s="465"/>
      <c r="F1301" s="465"/>
      <c r="G1301" s="465"/>
      <c r="H1301" s="465"/>
      <c r="I1301" s="465"/>
      <c r="J1301" s="465"/>
      <c r="K1301" s="465"/>
      <c r="L1301" s="465"/>
      <c r="M1301" s="465"/>
      <c r="N1301" s="465"/>
      <c r="O1301" s="465"/>
      <c r="P1301" s="465"/>
      <c r="Q1301" s="465"/>
      <c r="R1301" s="465"/>
      <c r="S1301" s="465"/>
      <c r="T1301" s="465"/>
      <c r="U1301" s="465"/>
      <c r="V1301" s="465"/>
      <c r="W1301" s="465"/>
      <c r="X1301" s="465"/>
      <c r="Y1301" s="465"/>
      <c r="Z1301" s="465"/>
      <c r="AA1301" s="465"/>
      <c r="AB1301" s="465"/>
      <c r="AC1301" s="465"/>
      <c r="AD1301" s="465"/>
      <c r="AE1301" s="465"/>
      <c r="AF1301" s="465"/>
      <c r="AG1301" s="465"/>
      <c r="AH1301" s="465"/>
      <c r="AI1301" s="465"/>
      <c r="AJ1301" s="465"/>
      <c r="AK1301" s="465"/>
      <c r="AL1301" s="465"/>
      <c r="AM1301" s="465"/>
      <c r="AN1301" s="465"/>
      <c r="AO1301" s="465"/>
      <c r="AP1301" s="465"/>
      <c r="AQ1301" s="465"/>
      <c r="AR1301" s="465"/>
      <c r="AS1301" s="465"/>
      <c r="AT1301" s="465"/>
      <c r="AU1301" s="465"/>
      <c r="AV1301" s="465"/>
      <c r="AW1301" s="465"/>
      <c r="AX1301" s="465"/>
      <c r="AY1301" s="465"/>
      <c r="AZ1301" s="465"/>
      <c r="BA1301" s="465"/>
      <c r="BB1301" s="465"/>
      <c r="BC1301" s="465"/>
    </row>
    <row r="1302" spans="1:55">
      <c r="A1302" s="465"/>
      <c r="B1302" s="465"/>
      <c r="C1302" s="465"/>
      <c r="D1302" s="467"/>
      <c r="E1302" s="465"/>
      <c r="F1302" s="465"/>
      <c r="G1302" s="465"/>
      <c r="H1302" s="465"/>
      <c r="I1302" s="465"/>
      <c r="J1302" s="465"/>
      <c r="K1302" s="465"/>
      <c r="L1302" s="465"/>
      <c r="M1302" s="465"/>
      <c r="N1302" s="465"/>
      <c r="O1302" s="465"/>
      <c r="P1302" s="465"/>
      <c r="Q1302" s="465"/>
      <c r="R1302" s="465"/>
      <c r="S1302" s="465"/>
      <c r="T1302" s="465"/>
      <c r="U1302" s="465"/>
      <c r="V1302" s="465"/>
      <c r="W1302" s="465"/>
      <c r="X1302" s="465"/>
      <c r="Y1302" s="465"/>
      <c r="Z1302" s="465"/>
      <c r="AA1302" s="465"/>
      <c r="AB1302" s="465"/>
      <c r="AC1302" s="465"/>
      <c r="AD1302" s="465"/>
      <c r="AE1302" s="465"/>
      <c r="AF1302" s="465"/>
      <c r="AG1302" s="465"/>
      <c r="AH1302" s="465"/>
      <c r="AI1302" s="465"/>
      <c r="AJ1302" s="465"/>
      <c r="AK1302" s="465"/>
      <c r="AL1302" s="465"/>
      <c r="AM1302" s="465"/>
      <c r="AN1302" s="465"/>
      <c r="AO1302" s="465"/>
      <c r="AP1302" s="465"/>
      <c r="AQ1302" s="465"/>
      <c r="AR1302" s="465"/>
      <c r="AS1302" s="465"/>
      <c r="AT1302" s="465"/>
      <c r="AU1302" s="465"/>
      <c r="AV1302" s="465"/>
      <c r="AW1302" s="465"/>
      <c r="AX1302" s="465"/>
      <c r="AY1302" s="465"/>
      <c r="AZ1302" s="465"/>
      <c r="BA1302" s="465"/>
      <c r="BB1302" s="465"/>
      <c r="BC1302" s="465"/>
    </row>
    <row r="1303" spans="1:55">
      <c r="A1303" s="465"/>
      <c r="B1303" s="465"/>
      <c r="C1303" s="465"/>
      <c r="D1303" s="467"/>
      <c r="E1303" s="465"/>
      <c r="F1303" s="465"/>
      <c r="G1303" s="465"/>
      <c r="H1303" s="465"/>
      <c r="I1303" s="465"/>
      <c r="J1303" s="465"/>
      <c r="K1303" s="465"/>
      <c r="L1303" s="465"/>
      <c r="M1303" s="465"/>
      <c r="N1303" s="465"/>
      <c r="O1303" s="465"/>
      <c r="P1303" s="465"/>
      <c r="Q1303" s="465"/>
      <c r="R1303" s="465"/>
      <c r="S1303" s="465"/>
      <c r="T1303" s="465"/>
      <c r="U1303" s="465"/>
      <c r="V1303" s="465"/>
      <c r="W1303" s="465"/>
      <c r="X1303" s="465"/>
      <c r="Y1303" s="465"/>
      <c r="Z1303" s="465"/>
      <c r="AA1303" s="465"/>
      <c r="AB1303" s="465"/>
      <c r="AC1303" s="465"/>
      <c r="AD1303" s="465"/>
      <c r="AE1303" s="465"/>
      <c r="AF1303" s="465"/>
      <c r="AG1303" s="465"/>
      <c r="AH1303" s="465"/>
      <c r="AI1303" s="465"/>
      <c r="AJ1303" s="465"/>
      <c r="AK1303" s="465"/>
      <c r="AL1303" s="465"/>
      <c r="AM1303" s="465"/>
      <c r="AN1303" s="465"/>
      <c r="AO1303" s="465"/>
      <c r="AP1303" s="465"/>
      <c r="AQ1303" s="465"/>
      <c r="AR1303" s="465"/>
      <c r="AS1303" s="465"/>
      <c r="AT1303" s="465"/>
      <c r="AU1303" s="465"/>
      <c r="AV1303" s="465"/>
      <c r="AW1303" s="465"/>
      <c r="AX1303" s="465"/>
      <c r="AY1303" s="465"/>
      <c r="AZ1303" s="465"/>
      <c r="BA1303" s="465"/>
      <c r="BB1303" s="465"/>
      <c r="BC1303" s="465"/>
    </row>
    <row r="1304" spans="1:55">
      <c r="A1304" s="465"/>
      <c r="B1304" s="465"/>
      <c r="C1304" s="465"/>
      <c r="D1304" s="467"/>
      <c r="E1304" s="465"/>
      <c r="F1304" s="465"/>
      <c r="G1304" s="465"/>
      <c r="H1304" s="465"/>
      <c r="I1304" s="465"/>
      <c r="J1304" s="465"/>
      <c r="K1304" s="465"/>
      <c r="L1304" s="465"/>
      <c r="M1304" s="465"/>
      <c r="N1304" s="465"/>
      <c r="O1304" s="465"/>
      <c r="P1304" s="465"/>
      <c r="Q1304" s="465"/>
      <c r="R1304" s="465"/>
      <c r="S1304" s="465"/>
      <c r="T1304" s="465"/>
      <c r="U1304" s="465"/>
      <c r="V1304" s="465"/>
      <c r="W1304" s="465"/>
      <c r="X1304" s="465"/>
      <c r="Y1304" s="465"/>
      <c r="Z1304" s="465"/>
      <c r="AA1304" s="465"/>
      <c r="AB1304" s="465"/>
      <c r="AC1304" s="465"/>
      <c r="AD1304" s="465"/>
      <c r="AE1304" s="465"/>
      <c r="AF1304" s="465"/>
      <c r="AG1304" s="465"/>
      <c r="AH1304" s="465"/>
      <c r="AI1304" s="465"/>
      <c r="AJ1304" s="465"/>
      <c r="AK1304" s="465"/>
      <c r="AL1304" s="465"/>
      <c r="AM1304" s="465"/>
      <c r="AN1304" s="465"/>
      <c r="AO1304" s="465"/>
      <c r="AP1304" s="465"/>
      <c r="AQ1304" s="465"/>
      <c r="AR1304" s="465"/>
      <c r="AS1304" s="465"/>
      <c r="AT1304" s="465"/>
      <c r="AU1304" s="465"/>
      <c r="AV1304" s="465"/>
      <c r="AW1304" s="465"/>
      <c r="AX1304" s="465"/>
      <c r="AY1304" s="465"/>
      <c r="AZ1304" s="465"/>
      <c r="BA1304" s="465"/>
      <c r="BB1304" s="465"/>
      <c r="BC1304" s="465"/>
    </row>
    <row r="1305" spans="1:55">
      <c r="A1305" s="465"/>
      <c r="B1305" s="465"/>
      <c r="C1305" s="465"/>
      <c r="D1305" s="467"/>
      <c r="E1305" s="465"/>
      <c r="F1305" s="465"/>
      <c r="G1305" s="465"/>
      <c r="H1305" s="465"/>
      <c r="I1305" s="465"/>
      <c r="J1305" s="465"/>
      <c r="K1305" s="465"/>
      <c r="L1305" s="465"/>
      <c r="M1305" s="465"/>
      <c r="N1305" s="465"/>
      <c r="O1305" s="465"/>
      <c r="P1305" s="465"/>
      <c r="Q1305" s="465"/>
      <c r="R1305" s="465"/>
      <c r="S1305" s="465"/>
      <c r="T1305" s="465"/>
      <c r="U1305" s="465"/>
      <c r="V1305" s="465"/>
      <c r="W1305" s="465"/>
      <c r="X1305" s="465"/>
      <c r="Y1305" s="465"/>
      <c r="Z1305" s="465"/>
      <c r="AA1305" s="465"/>
      <c r="AB1305" s="465"/>
      <c r="AC1305" s="465"/>
      <c r="AD1305" s="465"/>
      <c r="AE1305" s="465"/>
      <c r="AF1305" s="465"/>
      <c r="AG1305" s="465"/>
      <c r="AH1305" s="465"/>
      <c r="AI1305" s="465"/>
      <c r="AJ1305" s="465"/>
      <c r="AK1305" s="465"/>
      <c r="AL1305" s="465"/>
      <c r="AM1305" s="465"/>
      <c r="AN1305" s="465"/>
      <c r="AO1305" s="465"/>
      <c r="AP1305" s="465"/>
      <c r="AQ1305" s="465"/>
      <c r="AR1305" s="465"/>
      <c r="AS1305" s="465"/>
      <c r="AT1305" s="465"/>
      <c r="AU1305" s="465"/>
      <c r="AV1305" s="465"/>
      <c r="AW1305" s="465"/>
      <c r="AX1305" s="465"/>
      <c r="AY1305" s="465"/>
      <c r="AZ1305" s="465"/>
      <c r="BA1305" s="465"/>
      <c r="BB1305" s="465"/>
      <c r="BC1305" s="465"/>
    </row>
    <row r="1306" spans="1:55">
      <c r="A1306" s="465"/>
      <c r="B1306" s="465"/>
      <c r="C1306" s="465"/>
      <c r="D1306" s="467"/>
      <c r="E1306" s="465"/>
      <c r="F1306" s="465"/>
      <c r="G1306" s="465"/>
      <c r="H1306" s="465"/>
      <c r="I1306" s="465"/>
      <c r="J1306" s="465"/>
      <c r="K1306" s="465"/>
      <c r="L1306" s="465"/>
      <c r="M1306" s="465"/>
      <c r="N1306" s="465"/>
      <c r="O1306" s="465"/>
      <c r="P1306" s="465"/>
      <c r="Q1306" s="465"/>
      <c r="R1306" s="465"/>
      <c r="S1306" s="465"/>
      <c r="T1306" s="465"/>
      <c r="U1306" s="465"/>
      <c r="V1306" s="465"/>
      <c r="W1306" s="465"/>
      <c r="X1306" s="465"/>
      <c r="Y1306" s="465"/>
      <c r="Z1306" s="465"/>
      <c r="AA1306" s="465"/>
      <c r="AB1306" s="465"/>
      <c r="AC1306" s="465"/>
      <c r="AD1306" s="465"/>
      <c r="AE1306" s="465"/>
      <c r="AF1306" s="465"/>
      <c r="AG1306" s="465"/>
      <c r="AH1306" s="465"/>
      <c r="AI1306" s="465"/>
      <c r="AJ1306" s="465"/>
      <c r="AK1306" s="465"/>
      <c r="AL1306" s="465"/>
      <c r="AM1306" s="465"/>
      <c r="AN1306" s="465"/>
      <c r="AO1306" s="465"/>
      <c r="AP1306" s="465"/>
      <c r="AQ1306" s="465"/>
      <c r="AR1306" s="465"/>
      <c r="AS1306" s="465"/>
      <c r="AT1306" s="465"/>
      <c r="AU1306" s="465"/>
      <c r="AV1306" s="465"/>
      <c r="AW1306" s="465"/>
      <c r="AX1306" s="465"/>
      <c r="AY1306" s="465"/>
      <c r="AZ1306" s="465"/>
      <c r="BA1306" s="465"/>
      <c r="BB1306" s="465"/>
      <c r="BC1306" s="465"/>
    </row>
    <row r="1307" spans="1:55">
      <c r="A1307" s="465"/>
      <c r="B1307" s="465"/>
      <c r="C1307" s="465"/>
      <c r="D1307" s="467"/>
      <c r="E1307" s="465"/>
      <c r="F1307" s="465"/>
      <c r="G1307" s="465"/>
      <c r="H1307" s="465"/>
      <c r="I1307" s="465"/>
      <c r="J1307" s="465"/>
      <c r="K1307" s="465"/>
      <c r="L1307" s="465"/>
      <c r="M1307" s="465"/>
      <c r="N1307" s="465"/>
      <c r="O1307" s="465"/>
      <c r="P1307" s="465"/>
      <c r="Q1307" s="465"/>
      <c r="R1307" s="465"/>
      <c r="S1307" s="465"/>
      <c r="T1307" s="465"/>
      <c r="U1307" s="465"/>
      <c r="V1307" s="465"/>
      <c r="W1307" s="465"/>
      <c r="X1307" s="465"/>
      <c r="Y1307" s="465"/>
      <c r="Z1307" s="465"/>
      <c r="AA1307" s="465"/>
      <c r="AB1307" s="465"/>
      <c r="AC1307" s="465"/>
      <c r="AD1307" s="465"/>
      <c r="AE1307" s="465"/>
      <c r="AF1307" s="465"/>
      <c r="AG1307" s="465"/>
      <c r="AH1307" s="465"/>
      <c r="AI1307" s="465"/>
      <c r="AJ1307" s="465"/>
      <c r="AK1307" s="465"/>
      <c r="AL1307" s="465"/>
      <c r="AM1307" s="465"/>
      <c r="AN1307" s="465"/>
      <c r="AO1307" s="465"/>
      <c r="AP1307" s="465"/>
      <c r="AQ1307" s="465"/>
      <c r="AR1307" s="465"/>
      <c r="AS1307" s="465"/>
      <c r="AT1307" s="465"/>
      <c r="AU1307" s="465"/>
      <c r="AV1307" s="465"/>
      <c r="AW1307" s="465"/>
      <c r="AX1307" s="465"/>
      <c r="AY1307" s="465"/>
      <c r="AZ1307" s="465"/>
      <c r="BA1307" s="465"/>
      <c r="BB1307" s="465"/>
      <c r="BC1307" s="465"/>
    </row>
    <row r="1308" spans="1:55">
      <c r="A1308" s="465"/>
      <c r="B1308" s="465"/>
      <c r="C1308" s="465"/>
      <c r="D1308" s="467"/>
      <c r="E1308" s="465"/>
      <c r="F1308" s="465"/>
      <c r="G1308" s="465"/>
      <c r="H1308" s="465"/>
      <c r="I1308" s="465"/>
      <c r="J1308" s="465"/>
      <c r="K1308" s="465"/>
      <c r="L1308" s="465"/>
      <c r="M1308" s="465"/>
      <c r="N1308" s="465"/>
      <c r="O1308" s="465"/>
      <c r="P1308" s="465"/>
      <c r="Q1308" s="465"/>
      <c r="R1308" s="465"/>
      <c r="S1308" s="465"/>
      <c r="T1308" s="465"/>
      <c r="U1308" s="465"/>
      <c r="V1308" s="465"/>
      <c r="W1308" s="465"/>
      <c r="X1308" s="465"/>
      <c r="Y1308" s="465"/>
      <c r="Z1308" s="465"/>
      <c r="AA1308" s="465"/>
      <c r="AB1308" s="465"/>
      <c r="AC1308" s="465"/>
      <c r="AD1308" s="465"/>
      <c r="AE1308" s="465"/>
      <c r="AF1308" s="465"/>
      <c r="AG1308" s="465"/>
      <c r="AH1308" s="465"/>
      <c r="AI1308" s="465"/>
      <c r="AJ1308" s="465"/>
      <c r="AK1308" s="465"/>
      <c r="AL1308" s="465"/>
      <c r="AM1308" s="465"/>
      <c r="AN1308" s="465"/>
      <c r="AO1308" s="465"/>
      <c r="AP1308" s="465"/>
      <c r="AQ1308" s="465"/>
      <c r="AR1308" s="465"/>
      <c r="AS1308" s="465"/>
      <c r="AT1308" s="465"/>
      <c r="AU1308" s="465"/>
      <c r="AV1308" s="465"/>
      <c r="AW1308" s="465"/>
      <c r="AX1308" s="465"/>
      <c r="AY1308" s="465"/>
      <c r="AZ1308" s="465"/>
      <c r="BA1308" s="465"/>
      <c r="BB1308" s="465"/>
      <c r="BC1308" s="465"/>
    </row>
    <row r="1309" spans="1:55">
      <c r="A1309" s="465"/>
      <c r="B1309" s="465"/>
      <c r="C1309" s="465"/>
      <c r="D1309" s="467"/>
      <c r="E1309" s="465"/>
      <c r="F1309" s="465"/>
      <c r="G1309" s="465"/>
      <c r="H1309" s="465"/>
      <c r="I1309" s="465"/>
      <c r="J1309" s="465"/>
      <c r="K1309" s="465"/>
      <c r="L1309" s="465"/>
      <c r="M1309" s="465"/>
      <c r="N1309" s="465"/>
      <c r="O1309" s="465"/>
      <c r="P1309" s="465"/>
      <c r="Q1309" s="465"/>
      <c r="R1309" s="465"/>
      <c r="S1309" s="465"/>
      <c r="T1309" s="465"/>
      <c r="U1309" s="465"/>
      <c r="V1309" s="465"/>
      <c r="W1309" s="465"/>
      <c r="X1309" s="465"/>
      <c r="Y1309" s="465"/>
      <c r="Z1309" s="465"/>
      <c r="AA1309" s="465"/>
      <c r="AB1309" s="465"/>
      <c r="AC1309" s="465"/>
      <c r="AD1309" s="465"/>
      <c r="AE1309" s="465"/>
      <c r="AF1309" s="465"/>
      <c r="AG1309" s="465"/>
      <c r="AH1309" s="465"/>
      <c r="AI1309" s="465"/>
      <c r="AJ1309" s="465"/>
      <c r="AK1309" s="465"/>
      <c r="AL1309" s="465"/>
      <c r="AM1309" s="465"/>
      <c r="AN1309" s="465"/>
      <c r="AO1309" s="465"/>
      <c r="AP1309" s="465"/>
      <c r="AQ1309" s="465"/>
      <c r="AR1309" s="465"/>
      <c r="AS1309" s="465"/>
      <c r="AT1309" s="465"/>
      <c r="AU1309" s="465"/>
      <c r="AV1309" s="465"/>
      <c r="AW1309" s="465"/>
      <c r="AX1309" s="465"/>
      <c r="AY1309" s="465"/>
      <c r="AZ1309" s="465"/>
      <c r="BA1309" s="465"/>
      <c r="BB1309" s="465"/>
      <c r="BC1309" s="465"/>
    </row>
    <row r="1310" spans="1:55">
      <c r="A1310" s="465"/>
      <c r="B1310" s="465"/>
      <c r="C1310" s="465"/>
      <c r="D1310" s="467"/>
      <c r="E1310" s="465"/>
      <c r="F1310" s="465"/>
      <c r="G1310" s="465"/>
      <c r="H1310" s="465"/>
      <c r="I1310" s="465"/>
      <c r="J1310" s="465"/>
      <c r="K1310" s="465"/>
      <c r="L1310" s="465"/>
      <c r="M1310" s="465"/>
      <c r="N1310" s="465"/>
      <c r="O1310" s="465"/>
      <c r="P1310" s="465"/>
      <c r="Q1310" s="465"/>
      <c r="R1310" s="465"/>
      <c r="S1310" s="465"/>
      <c r="T1310" s="465"/>
      <c r="U1310" s="465"/>
      <c r="V1310" s="465"/>
      <c r="W1310" s="465"/>
      <c r="X1310" s="465"/>
      <c r="Y1310" s="465"/>
      <c r="Z1310" s="465"/>
      <c r="AA1310" s="465"/>
      <c r="AB1310" s="465"/>
      <c r="AC1310" s="465"/>
      <c r="AD1310" s="465"/>
      <c r="AE1310" s="465"/>
      <c r="AF1310" s="465"/>
      <c r="AG1310" s="465"/>
      <c r="AH1310" s="465"/>
      <c r="AI1310" s="465"/>
      <c r="AJ1310" s="465"/>
      <c r="AK1310" s="465"/>
      <c r="AL1310" s="465"/>
      <c r="AM1310" s="465"/>
      <c r="AN1310" s="465"/>
      <c r="AO1310" s="465"/>
      <c r="AP1310" s="465"/>
      <c r="AQ1310" s="465"/>
      <c r="AR1310" s="465"/>
      <c r="AS1310" s="465"/>
      <c r="AT1310" s="465"/>
      <c r="AU1310" s="465"/>
      <c r="AV1310" s="465"/>
      <c r="AW1310" s="465"/>
      <c r="AX1310" s="465"/>
      <c r="AY1310" s="465"/>
      <c r="AZ1310" s="465"/>
      <c r="BA1310" s="465"/>
      <c r="BB1310" s="465"/>
      <c r="BC1310" s="465"/>
    </row>
    <row r="1311" spans="1:55">
      <c r="A1311" s="465"/>
      <c r="B1311" s="465"/>
      <c r="C1311" s="465"/>
      <c r="D1311" s="467"/>
      <c r="E1311" s="465"/>
      <c r="F1311" s="465"/>
      <c r="G1311" s="465"/>
      <c r="H1311" s="465"/>
      <c r="I1311" s="465"/>
      <c r="J1311" s="465"/>
      <c r="K1311" s="465"/>
      <c r="L1311" s="465"/>
      <c r="M1311" s="465"/>
      <c r="N1311" s="465"/>
      <c r="O1311" s="465"/>
      <c r="P1311" s="465"/>
      <c r="Q1311" s="465"/>
      <c r="R1311" s="465"/>
      <c r="S1311" s="465"/>
      <c r="T1311" s="465"/>
      <c r="U1311" s="465"/>
      <c r="V1311" s="465"/>
      <c r="W1311" s="465"/>
      <c r="X1311" s="465"/>
      <c r="Y1311" s="465"/>
      <c r="Z1311" s="465"/>
      <c r="AA1311" s="465"/>
      <c r="AB1311" s="465"/>
      <c r="AC1311" s="465"/>
      <c r="AD1311" s="465"/>
      <c r="AE1311" s="465"/>
      <c r="AF1311" s="465"/>
      <c r="AG1311" s="465"/>
      <c r="AH1311" s="465"/>
      <c r="AI1311" s="465"/>
      <c r="AJ1311" s="465"/>
      <c r="AK1311" s="465"/>
      <c r="AL1311" s="465"/>
      <c r="AM1311" s="465"/>
      <c r="AN1311" s="465"/>
      <c r="AO1311" s="465"/>
      <c r="AP1311" s="465"/>
      <c r="AQ1311" s="465"/>
      <c r="AR1311" s="465"/>
      <c r="AS1311" s="465"/>
      <c r="AT1311" s="465"/>
      <c r="AU1311" s="465"/>
      <c r="AV1311" s="465"/>
      <c r="AW1311" s="465"/>
      <c r="AX1311" s="465"/>
      <c r="AY1311" s="465"/>
      <c r="AZ1311" s="465"/>
      <c r="BA1311" s="465"/>
      <c r="BB1311" s="465"/>
      <c r="BC1311" s="465"/>
    </row>
    <row r="1312" spans="1:55">
      <c r="A1312" s="465"/>
      <c r="B1312" s="465"/>
      <c r="C1312" s="465"/>
      <c r="D1312" s="467"/>
      <c r="E1312" s="465"/>
      <c r="F1312" s="465"/>
      <c r="G1312" s="465"/>
      <c r="H1312" s="465"/>
      <c r="I1312" s="465"/>
      <c r="J1312" s="465"/>
      <c r="K1312" s="465"/>
      <c r="L1312" s="465"/>
      <c r="M1312" s="465"/>
      <c r="N1312" s="465"/>
      <c r="O1312" s="465"/>
      <c r="P1312" s="465"/>
      <c r="Q1312" s="465"/>
      <c r="R1312" s="465"/>
      <c r="S1312" s="465"/>
      <c r="T1312" s="465"/>
      <c r="U1312" s="465"/>
      <c r="V1312" s="465"/>
      <c r="W1312" s="465"/>
      <c r="X1312" s="465"/>
      <c r="Y1312" s="465"/>
      <c r="Z1312" s="465"/>
      <c r="AA1312" s="465"/>
      <c r="AB1312" s="465"/>
      <c r="AC1312" s="465"/>
      <c r="AD1312" s="465"/>
      <c r="AE1312" s="465"/>
      <c r="AF1312" s="465"/>
      <c r="AG1312" s="465"/>
      <c r="AH1312" s="465"/>
      <c r="AI1312" s="465"/>
      <c r="AJ1312" s="465"/>
      <c r="AK1312" s="465"/>
      <c r="AL1312" s="465"/>
      <c r="AM1312" s="465"/>
      <c r="AN1312" s="465"/>
      <c r="AO1312" s="465"/>
      <c r="AP1312" s="465"/>
      <c r="AQ1312" s="465"/>
      <c r="AR1312" s="465"/>
      <c r="AS1312" s="465"/>
      <c r="AT1312" s="465"/>
      <c r="AU1312" s="465"/>
      <c r="AV1312" s="465"/>
      <c r="AW1312" s="465"/>
      <c r="AX1312" s="465"/>
      <c r="AY1312" s="465"/>
      <c r="AZ1312" s="465"/>
      <c r="BA1312" s="465"/>
      <c r="BB1312" s="465"/>
      <c r="BC1312" s="465"/>
    </row>
    <row r="1313" spans="1:55">
      <c r="A1313" s="465"/>
      <c r="B1313" s="465"/>
      <c r="C1313" s="465"/>
      <c r="D1313" s="467"/>
      <c r="E1313" s="465"/>
      <c r="F1313" s="465"/>
      <c r="G1313" s="465"/>
      <c r="H1313" s="465"/>
      <c r="I1313" s="465"/>
      <c r="J1313" s="465"/>
      <c r="K1313" s="465"/>
      <c r="L1313" s="465"/>
      <c r="M1313" s="465"/>
      <c r="N1313" s="465"/>
      <c r="O1313" s="465"/>
      <c r="P1313" s="465"/>
      <c r="Q1313" s="465"/>
      <c r="R1313" s="465"/>
      <c r="S1313" s="465"/>
      <c r="T1313" s="465"/>
      <c r="U1313" s="465"/>
      <c r="V1313" s="465"/>
      <c r="W1313" s="465"/>
      <c r="X1313" s="465"/>
      <c r="Y1313" s="465"/>
      <c r="Z1313" s="465"/>
      <c r="AA1313" s="465"/>
      <c r="AB1313" s="465"/>
      <c r="AC1313" s="465"/>
      <c r="AD1313" s="465"/>
      <c r="AE1313" s="465"/>
      <c r="AF1313" s="465"/>
      <c r="AG1313" s="465"/>
      <c r="AH1313" s="465"/>
      <c r="AI1313" s="465"/>
      <c r="AJ1313" s="465"/>
      <c r="AK1313" s="465"/>
      <c r="AL1313" s="465"/>
      <c r="AM1313" s="465"/>
      <c r="AN1313" s="465"/>
      <c r="AO1313" s="465"/>
      <c r="AP1313" s="465"/>
      <c r="AQ1313" s="465"/>
      <c r="AR1313" s="465"/>
      <c r="AS1313" s="465"/>
      <c r="AT1313" s="465"/>
      <c r="AU1313" s="465"/>
      <c r="AV1313" s="465"/>
      <c r="AW1313" s="465"/>
      <c r="AX1313" s="465"/>
      <c r="AY1313" s="465"/>
      <c r="AZ1313" s="465"/>
      <c r="BA1313" s="465"/>
      <c r="BB1313" s="465"/>
      <c r="BC1313" s="465"/>
    </row>
    <row r="1314" spans="1:55">
      <c r="A1314" s="465"/>
      <c r="B1314" s="465"/>
      <c r="C1314" s="465"/>
      <c r="D1314" s="467"/>
      <c r="E1314" s="465"/>
      <c r="F1314" s="465"/>
      <c r="G1314" s="465"/>
      <c r="H1314" s="465"/>
      <c r="I1314" s="465"/>
      <c r="J1314" s="465"/>
      <c r="K1314" s="465"/>
      <c r="L1314" s="465"/>
      <c r="M1314" s="465"/>
      <c r="N1314" s="465"/>
      <c r="O1314" s="465"/>
      <c r="P1314" s="465"/>
      <c r="Q1314" s="465"/>
      <c r="R1314" s="465"/>
      <c r="S1314" s="465"/>
      <c r="T1314" s="465"/>
      <c r="U1314" s="465"/>
      <c r="V1314" s="465"/>
      <c r="W1314" s="465"/>
      <c r="X1314" s="465"/>
      <c r="Y1314" s="465"/>
      <c r="Z1314" s="465"/>
      <c r="AA1314" s="465"/>
      <c r="AB1314" s="465"/>
      <c r="AC1314" s="465"/>
      <c r="AD1314" s="465"/>
      <c r="AE1314" s="465"/>
      <c r="AF1314" s="465"/>
      <c r="AG1314" s="465"/>
      <c r="AH1314" s="465"/>
      <c r="AI1314" s="465"/>
      <c r="AJ1314" s="465"/>
      <c r="AK1314" s="465"/>
      <c r="AL1314" s="465"/>
      <c r="AM1314" s="465"/>
      <c r="AN1314" s="465"/>
      <c r="AO1314" s="465"/>
      <c r="AP1314" s="465"/>
      <c r="AQ1314" s="465"/>
      <c r="AR1314" s="465"/>
      <c r="AS1314" s="465"/>
      <c r="AT1314" s="465"/>
      <c r="AU1314" s="465"/>
      <c r="AV1314" s="465"/>
      <c r="AW1314" s="465"/>
      <c r="AX1314" s="465"/>
      <c r="AY1314" s="465"/>
      <c r="AZ1314" s="465"/>
      <c r="BA1314" s="465"/>
      <c r="BB1314" s="465"/>
      <c r="BC1314" s="465"/>
    </row>
    <row r="1315" spans="1:55">
      <c r="A1315" s="465"/>
      <c r="B1315" s="465"/>
      <c r="C1315" s="465"/>
      <c r="D1315" s="467"/>
      <c r="E1315" s="465"/>
      <c r="F1315" s="465"/>
      <c r="G1315" s="465"/>
      <c r="H1315" s="465"/>
      <c r="I1315" s="465"/>
      <c r="J1315" s="465"/>
      <c r="K1315" s="465"/>
      <c r="L1315" s="465"/>
      <c r="M1315" s="465"/>
      <c r="N1315" s="465"/>
      <c r="O1315" s="465"/>
      <c r="P1315" s="465"/>
      <c r="Q1315" s="465"/>
      <c r="R1315" s="465"/>
      <c r="S1315" s="465"/>
      <c r="T1315" s="465"/>
      <c r="U1315" s="465"/>
      <c r="V1315" s="465"/>
      <c r="W1315" s="465"/>
      <c r="X1315" s="465"/>
      <c r="Y1315" s="465"/>
      <c r="Z1315" s="465"/>
      <c r="AA1315" s="465"/>
      <c r="AB1315" s="465"/>
      <c r="AC1315" s="465"/>
      <c r="AD1315" s="465"/>
      <c r="AE1315" s="465"/>
      <c r="AF1315" s="465"/>
      <c r="AG1315" s="465"/>
      <c r="AH1315" s="465"/>
      <c r="AI1315" s="465"/>
      <c r="AJ1315" s="465"/>
      <c r="AK1315" s="465"/>
      <c r="AL1315" s="465"/>
      <c r="AM1315" s="465"/>
      <c r="AN1315" s="465"/>
      <c r="AO1315" s="465"/>
      <c r="AP1315" s="465"/>
      <c r="AQ1315" s="465"/>
      <c r="AR1315" s="465"/>
      <c r="AS1315" s="465"/>
      <c r="AT1315" s="465"/>
      <c r="AU1315" s="465"/>
      <c r="AV1315" s="465"/>
      <c r="AW1315" s="465"/>
      <c r="AX1315" s="465"/>
      <c r="AY1315" s="465"/>
      <c r="AZ1315" s="465"/>
      <c r="BA1315" s="465"/>
      <c r="BB1315" s="465"/>
      <c r="BC1315" s="465"/>
    </row>
    <row r="1316" spans="1:55">
      <c r="A1316" s="465"/>
      <c r="B1316" s="465"/>
      <c r="C1316" s="465"/>
      <c r="D1316" s="467"/>
      <c r="E1316" s="465"/>
      <c r="F1316" s="465"/>
      <c r="G1316" s="465"/>
      <c r="H1316" s="465"/>
      <c r="I1316" s="465"/>
      <c r="J1316" s="465"/>
      <c r="K1316" s="465"/>
      <c r="L1316" s="465"/>
      <c r="M1316" s="465"/>
      <c r="N1316" s="465"/>
      <c r="O1316" s="465"/>
      <c r="P1316" s="465"/>
      <c r="Q1316" s="465"/>
      <c r="R1316" s="465"/>
      <c r="S1316" s="465"/>
      <c r="T1316" s="465"/>
      <c r="U1316" s="465"/>
      <c r="V1316" s="465"/>
      <c r="W1316" s="465"/>
      <c r="X1316" s="465"/>
      <c r="Y1316" s="465"/>
      <c r="Z1316" s="465"/>
      <c r="AA1316" s="465"/>
      <c r="AB1316" s="465"/>
      <c r="AC1316" s="465"/>
      <c r="AD1316" s="465"/>
      <c r="AE1316" s="465"/>
      <c r="AF1316" s="465"/>
      <c r="AG1316" s="465"/>
      <c r="AH1316" s="465"/>
      <c r="AI1316" s="465"/>
      <c r="AJ1316" s="465"/>
      <c r="AK1316" s="465"/>
      <c r="AL1316" s="465"/>
      <c r="AM1316" s="465"/>
      <c r="AN1316" s="465"/>
      <c r="AO1316" s="465"/>
      <c r="AP1316" s="465"/>
      <c r="AQ1316" s="465"/>
      <c r="AR1316" s="465"/>
      <c r="AS1316" s="465"/>
      <c r="AT1316" s="465"/>
      <c r="AU1316" s="465"/>
      <c r="AV1316" s="465"/>
      <c r="AW1316" s="465"/>
      <c r="AX1316" s="465"/>
      <c r="AY1316" s="465"/>
      <c r="AZ1316" s="465"/>
      <c r="BA1316" s="465"/>
      <c r="BB1316" s="465"/>
      <c r="BC1316" s="465"/>
    </row>
    <row r="1317" spans="1:55">
      <c r="A1317" s="465"/>
      <c r="B1317" s="465"/>
      <c r="C1317" s="465"/>
      <c r="D1317" s="467"/>
      <c r="E1317" s="465"/>
      <c r="F1317" s="465"/>
      <c r="G1317" s="465"/>
      <c r="H1317" s="465"/>
      <c r="I1317" s="465"/>
      <c r="J1317" s="465"/>
      <c r="K1317" s="465"/>
      <c r="L1317" s="465"/>
      <c r="M1317" s="465"/>
      <c r="N1317" s="465"/>
      <c r="O1317" s="465"/>
      <c r="P1317" s="465"/>
      <c r="Q1317" s="465"/>
      <c r="R1317" s="465"/>
      <c r="S1317" s="465"/>
      <c r="T1317" s="465"/>
      <c r="U1317" s="465"/>
      <c r="V1317" s="465"/>
      <c r="W1317" s="465"/>
      <c r="X1317" s="465"/>
      <c r="Y1317" s="465"/>
      <c r="Z1317" s="465"/>
      <c r="AA1317" s="465"/>
      <c r="AB1317" s="465"/>
      <c r="AC1317" s="465"/>
      <c r="AD1317" s="465"/>
      <c r="AE1317" s="465"/>
      <c r="AF1317" s="465"/>
      <c r="AG1317" s="465"/>
      <c r="AH1317" s="465"/>
      <c r="AI1317" s="465"/>
      <c r="AJ1317" s="465"/>
      <c r="AK1317" s="465"/>
      <c r="AL1317" s="465"/>
      <c r="AM1317" s="465"/>
      <c r="AN1317" s="465"/>
      <c r="AO1317" s="465"/>
      <c r="AP1317" s="465"/>
      <c r="AQ1317" s="465"/>
      <c r="AR1317" s="465"/>
      <c r="AS1317" s="465"/>
      <c r="AT1317" s="465"/>
      <c r="AU1317" s="465"/>
      <c r="AV1317" s="465"/>
      <c r="AW1317" s="465"/>
      <c r="AX1317" s="465"/>
      <c r="AY1317" s="465"/>
      <c r="AZ1317" s="465"/>
      <c r="BA1317" s="465"/>
      <c r="BB1317" s="465"/>
      <c r="BC1317" s="465"/>
    </row>
    <row r="1318" spans="1:55">
      <c r="A1318" s="465"/>
      <c r="B1318" s="465"/>
      <c r="C1318" s="465"/>
      <c r="D1318" s="467"/>
      <c r="E1318" s="465"/>
      <c r="F1318" s="465"/>
      <c r="G1318" s="465"/>
      <c r="H1318" s="465"/>
      <c r="I1318" s="465"/>
      <c r="J1318" s="465"/>
      <c r="K1318" s="465"/>
      <c r="L1318" s="465"/>
      <c r="M1318" s="465"/>
      <c r="N1318" s="465"/>
      <c r="O1318" s="465"/>
      <c r="P1318" s="465"/>
      <c r="Q1318" s="465"/>
      <c r="R1318" s="465"/>
      <c r="S1318" s="465"/>
      <c r="T1318" s="465"/>
      <c r="U1318" s="465"/>
      <c r="V1318" s="465"/>
      <c r="W1318" s="465"/>
      <c r="X1318" s="465"/>
      <c r="Y1318" s="465"/>
      <c r="Z1318" s="465"/>
      <c r="AA1318" s="465"/>
      <c r="AB1318" s="465"/>
      <c r="AC1318" s="465"/>
      <c r="AD1318" s="465"/>
      <c r="AE1318" s="465"/>
      <c r="AF1318" s="465"/>
      <c r="AG1318" s="465"/>
      <c r="AH1318" s="465"/>
      <c r="AI1318" s="465"/>
      <c r="AJ1318" s="465"/>
      <c r="AK1318" s="465"/>
      <c r="AL1318" s="465"/>
      <c r="AM1318" s="465"/>
      <c r="AN1318" s="465"/>
      <c r="AO1318" s="465"/>
      <c r="AP1318" s="465"/>
      <c r="AQ1318" s="465"/>
      <c r="AR1318" s="465"/>
      <c r="AS1318" s="465"/>
      <c r="AT1318" s="465"/>
      <c r="AU1318" s="465"/>
      <c r="AV1318" s="465"/>
      <c r="AW1318" s="465"/>
      <c r="AX1318" s="465"/>
      <c r="AY1318" s="465"/>
      <c r="AZ1318" s="465"/>
      <c r="BA1318" s="465"/>
      <c r="BB1318" s="465"/>
      <c r="BC1318" s="465"/>
    </row>
    <row r="1319" spans="1:55">
      <c r="A1319" s="465"/>
      <c r="B1319" s="465"/>
      <c r="C1319" s="465"/>
      <c r="D1319" s="467"/>
      <c r="E1319" s="465"/>
      <c r="F1319" s="465"/>
      <c r="G1319" s="465"/>
      <c r="H1319" s="465"/>
      <c r="I1319" s="465"/>
      <c r="J1319" s="465"/>
      <c r="K1319" s="465"/>
      <c r="L1319" s="465"/>
      <c r="M1319" s="465"/>
      <c r="N1319" s="465"/>
      <c r="O1319" s="465"/>
      <c r="P1319" s="465"/>
      <c r="Q1319" s="465"/>
      <c r="R1319" s="465"/>
      <c r="S1319" s="465"/>
      <c r="T1319" s="465"/>
      <c r="U1319" s="465"/>
      <c r="V1319" s="465"/>
      <c r="W1319" s="465"/>
      <c r="X1319" s="465"/>
      <c r="Y1319" s="465"/>
      <c r="Z1319" s="465"/>
      <c r="AA1319" s="465"/>
      <c r="AB1319" s="465"/>
      <c r="AC1319" s="465"/>
      <c r="AD1319" s="465"/>
      <c r="AE1319" s="465"/>
      <c r="AF1319" s="465"/>
      <c r="AG1319" s="465"/>
      <c r="AH1319" s="465"/>
      <c r="AI1319" s="465"/>
      <c r="AJ1319" s="465"/>
      <c r="AK1319" s="465"/>
      <c r="AL1319" s="465"/>
      <c r="AM1319" s="465"/>
      <c r="AN1319" s="465"/>
      <c r="AO1319" s="465"/>
      <c r="AP1319" s="465"/>
      <c r="AQ1319" s="465"/>
      <c r="AR1319" s="465"/>
      <c r="AS1319" s="465"/>
      <c r="AT1319" s="465"/>
      <c r="AU1319" s="465"/>
      <c r="AV1319" s="465"/>
      <c r="AW1319" s="465"/>
      <c r="AX1319" s="465"/>
      <c r="AY1319" s="465"/>
      <c r="AZ1319" s="465"/>
      <c r="BA1319" s="465"/>
      <c r="BB1319" s="465"/>
      <c r="BC1319" s="465"/>
    </row>
    <row r="1320" spans="1:55">
      <c r="A1320" s="465"/>
      <c r="B1320" s="465"/>
      <c r="C1320" s="465"/>
      <c r="D1320" s="467"/>
      <c r="E1320" s="465"/>
      <c r="F1320" s="465"/>
      <c r="G1320" s="465"/>
      <c r="H1320" s="465"/>
      <c r="I1320" s="465"/>
      <c r="J1320" s="465"/>
      <c r="K1320" s="465"/>
      <c r="L1320" s="465"/>
      <c r="M1320" s="465"/>
      <c r="N1320" s="465"/>
      <c r="O1320" s="465"/>
      <c r="P1320" s="465"/>
      <c r="Q1320" s="465"/>
      <c r="R1320" s="465"/>
      <c r="S1320" s="465"/>
      <c r="T1320" s="465"/>
      <c r="U1320" s="465"/>
      <c r="V1320" s="465"/>
      <c r="W1320" s="465"/>
      <c r="X1320" s="465"/>
      <c r="Y1320" s="465"/>
      <c r="Z1320" s="465"/>
      <c r="AA1320" s="465"/>
      <c r="AB1320" s="465"/>
      <c r="AC1320" s="465"/>
      <c r="AD1320" s="465"/>
      <c r="AE1320" s="465"/>
      <c r="AF1320" s="465"/>
      <c r="AG1320" s="465"/>
      <c r="AH1320" s="465"/>
      <c r="AI1320" s="465"/>
      <c r="AJ1320" s="465"/>
      <c r="AK1320" s="465"/>
      <c r="AL1320" s="465"/>
      <c r="AM1320" s="465"/>
      <c r="AN1320" s="465"/>
      <c r="AO1320" s="465"/>
      <c r="AP1320" s="465"/>
      <c r="AQ1320" s="465"/>
      <c r="AR1320" s="465"/>
      <c r="AS1320" s="465"/>
      <c r="AT1320" s="465"/>
      <c r="AU1320" s="465"/>
      <c r="AV1320" s="465"/>
      <c r="AW1320" s="465"/>
      <c r="AX1320" s="465"/>
      <c r="AY1320" s="465"/>
      <c r="AZ1320" s="465"/>
      <c r="BA1320" s="465"/>
      <c r="BB1320" s="465"/>
      <c r="BC1320" s="465"/>
    </row>
    <row r="1321" spans="1:55">
      <c r="A1321" s="465"/>
      <c r="B1321" s="465"/>
      <c r="C1321" s="465"/>
      <c r="D1321" s="467"/>
      <c r="E1321" s="465"/>
      <c r="F1321" s="465"/>
      <c r="G1321" s="465"/>
      <c r="H1321" s="465"/>
      <c r="I1321" s="465"/>
      <c r="J1321" s="465"/>
      <c r="K1321" s="465"/>
      <c r="L1321" s="465"/>
      <c r="M1321" s="465"/>
      <c r="N1321" s="465"/>
      <c r="O1321" s="465"/>
      <c r="P1321" s="465"/>
      <c r="Q1321" s="465"/>
      <c r="R1321" s="465"/>
      <c r="S1321" s="465"/>
      <c r="T1321" s="465"/>
      <c r="U1321" s="465"/>
      <c r="V1321" s="465"/>
      <c r="W1321" s="465"/>
      <c r="X1321" s="465"/>
      <c r="Y1321" s="465"/>
      <c r="Z1321" s="465"/>
      <c r="AA1321" s="465"/>
      <c r="AB1321" s="465"/>
      <c r="AC1321" s="465"/>
      <c r="AD1321" s="465"/>
      <c r="AE1321" s="465"/>
      <c r="AF1321" s="465"/>
      <c r="AG1321" s="465"/>
      <c r="AH1321" s="465"/>
      <c r="AI1321" s="465"/>
      <c r="AJ1321" s="465"/>
      <c r="AK1321" s="465"/>
      <c r="AL1321" s="465"/>
      <c r="AM1321" s="465"/>
      <c r="AN1321" s="465"/>
      <c r="AO1321" s="465"/>
      <c r="AP1321" s="465"/>
      <c r="AQ1321" s="465"/>
      <c r="AR1321" s="465"/>
      <c r="AS1321" s="465"/>
      <c r="AT1321" s="465"/>
      <c r="AU1321" s="465"/>
      <c r="AV1321" s="465"/>
      <c r="AW1321" s="465"/>
      <c r="AX1321" s="465"/>
      <c r="AY1321" s="465"/>
      <c r="AZ1321" s="465"/>
      <c r="BA1321" s="465"/>
      <c r="BB1321" s="465"/>
      <c r="BC1321" s="465"/>
    </row>
    <row r="1322" spans="1:55">
      <c r="A1322" s="465"/>
      <c r="B1322" s="465"/>
      <c r="C1322" s="465"/>
      <c r="D1322" s="467"/>
      <c r="E1322" s="465"/>
      <c r="F1322" s="465"/>
      <c r="G1322" s="465"/>
      <c r="H1322" s="465"/>
      <c r="I1322" s="465"/>
      <c r="J1322" s="465"/>
      <c r="K1322" s="465"/>
      <c r="L1322" s="465"/>
      <c r="M1322" s="465"/>
      <c r="N1322" s="465"/>
      <c r="O1322" s="465"/>
      <c r="P1322" s="465"/>
      <c r="Q1322" s="465"/>
      <c r="R1322" s="465"/>
      <c r="S1322" s="465"/>
      <c r="T1322" s="465"/>
      <c r="U1322" s="465"/>
      <c r="V1322" s="465"/>
      <c r="W1322" s="465"/>
      <c r="X1322" s="465"/>
      <c r="Y1322" s="465"/>
      <c r="Z1322" s="465"/>
      <c r="AA1322" s="465"/>
      <c r="AB1322" s="465"/>
      <c r="AC1322" s="465"/>
      <c r="AD1322" s="465"/>
      <c r="AE1322" s="465"/>
      <c r="AF1322" s="465"/>
      <c r="AG1322" s="465"/>
      <c r="AH1322" s="465"/>
      <c r="AI1322" s="465"/>
      <c r="AJ1322" s="465"/>
      <c r="AK1322" s="465"/>
      <c r="AL1322" s="465"/>
      <c r="AM1322" s="465"/>
      <c r="AN1322" s="465"/>
      <c r="AO1322" s="465"/>
      <c r="AP1322" s="465"/>
      <c r="AQ1322" s="465"/>
      <c r="AR1322" s="465"/>
      <c r="AS1322" s="465"/>
      <c r="AT1322" s="465"/>
      <c r="AU1322" s="465"/>
      <c r="AV1322" s="465"/>
      <c r="AW1322" s="465"/>
      <c r="AX1322" s="465"/>
      <c r="AY1322" s="465"/>
      <c r="AZ1322" s="465"/>
      <c r="BA1322" s="465"/>
      <c r="BB1322" s="465"/>
      <c r="BC1322" s="465"/>
    </row>
    <row r="1323" spans="1:55">
      <c r="A1323" s="465"/>
      <c r="B1323" s="465"/>
      <c r="C1323" s="465"/>
      <c r="D1323" s="467"/>
      <c r="E1323" s="465"/>
      <c r="F1323" s="465"/>
      <c r="G1323" s="465"/>
      <c r="H1323" s="465"/>
      <c r="I1323" s="465"/>
      <c r="J1323" s="465"/>
      <c r="K1323" s="465"/>
      <c r="L1323" s="465"/>
      <c r="M1323" s="465"/>
      <c r="N1323" s="465"/>
      <c r="O1323" s="465"/>
      <c r="P1323" s="465"/>
      <c r="Q1323" s="465"/>
      <c r="R1323" s="465"/>
      <c r="S1323" s="465"/>
      <c r="T1323" s="465"/>
      <c r="U1323" s="465"/>
      <c r="V1323" s="465"/>
      <c r="W1323" s="465"/>
      <c r="X1323" s="465"/>
      <c r="Y1323" s="465"/>
      <c r="Z1323" s="465"/>
      <c r="AA1323" s="465"/>
      <c r="AB1323" s="465"/>
      <c r="AC1323" s="465"/>
      <c r="AD1323" s="465"/>
      <c r="AE1323" s="465"/>
      <c r="AF1323" s="465"/>
      <c r="AG1323" s="465"/>
      <c r="AH1323" s="465"/>
      <c r="AI1323" s="465"/>
      <c r="AJ1323" s="465"/>
      <c r="AK1323" s="465"/>
      <c r="AL1323" s="465"/>
      <c r="AM1323" s="465"/>
      <c r="AN1323" s="465"/>
      <c r="AO1323" s="465"/>
      <c r="AP1323" s="465"/>
      <c r="AQ1323" s="465"/>
      <c r="AR1323" s="465"/>
      <c r="AS1323" s="465"/>
      <c r="AT1323" s="465"/>
      <c r="AU1323" s="465"/>
      <c r="AV1323" s="465"/>
      <c r="AW1323" s="465"/>
      <c r="AX1323" s="465"/>
      <c r="AY1323" s="465"/>
      <c r="AZ1323" s="465"/>
      <c r="BA1323" s="465"/>
      <c r="BB1323" s="465"/>
      <c r="BC1323" s="465"/>
    </row>
    <row r="1324" spans="1:55">
      <c r="A1324" s="465"/>
      <c r="B1324" s="465"/>
      <c r="C1324" s="465"/>
      <c r="D1324" s="467"/>
      <c r="E1324" s="465"/>
      <c r="F1324" s="465"/>
      <c r="G1324" s="465"/>
      <c r="H1324" s="465"/>
      <c r="I1324" s="465"/>
      <c r="J1324" s="465"/>
      <c r="K1324" s="465"/>
      <c r="L1324" s="465"/>
      <c r="M1324" s="465"/>
      <c r="N1324" s="465"/>
      <c r="O1324" s="465"/>
      <c r="P1324" s="465"/>
      <c r="Q1324" s="465"/>
      <c r="R1324" s="465"/>
      <c r="S1324" s="465"/>
      <c r="T1324" s="465"/>
      <c r="U1324" s="465"/>
      <c r="V1324" s="465"/>
      <c r="W1324" s="465"/>
      <c r="X1324" s="465"/>
      <c r="Y1324" s="465"/>
      <c r="Z1324" s="465"/>
      <c r="AA1324" s="465"/>
      <c r="AB1324" s="465"/>
      <c r="AC1324" s="465"/>
      <c r="AD1324" s="465"/>
      <c r="AE1324" s="465"/>
      <c r="AF1324" s="465"/>
      <c r="AG1324" s="465"/>
      <c r="AH1324" s="465"/>
      <c r="AI1324" s="465"/>
      <c r="AJ1324" s="465"/>
      <c r="AK1324" s="465"/>
      <c r="AL1324" s="465"/>
      <c r="AM1324" s="465"/>
      <c r="AN1324" s="465"/>
      <c r="AO1324" s="465"/>
      <c r="AP1324" s="465"/>
      <c r="AQ1324" s="465"/>
      <c r="AR1324" s="465"/>
      <c r="AS1324" s="465"/>
      <c r="AT1324" s="465"/>
      <c r="AU1324" s="465"/>
      <c r="AV1324" s="465"/>
      <c r="AW1324" s="465"/>
      <c r="AX1324" s="465"/>
      <c r="AY1324" s="465"/>
      <c r="AZ1324" s="465"/>
      <c r="BA1324" s="465"/>
      <c r="BB1324" s="465"/>
      <c r="BC1324" s="465"/>
    </row>
    <row r="1325" spans="1:55">
      <c r="A1325" s="465"/>
      <c r="B1325" s="465"/>
      <c r="C1325" s="465"/>
      <c r="D1325" s="467"/>
      <c r="E1325" s="465"/>
      <c r="F1325" s="465"/>
      <c r="G1325" s="465"/>
      <c r="H1325" s="465"/>
      <c r="I1325" s="465"/>
      <c r="J1325" s="465"/>
      <c r="K1325" s="465"/>
      <c r="L1325" s="465"/>
      <c r="M1325" s="465"/>
      <c r="N1325" s="465"/>
      <c r="O1325" s="465"/>
      <c r="P1325" s="465"/>
      <c r="Q1325" s="465"/>
      <c r="R1325" s="465"/>
      <c r="S1325" s="465"/>
      <c r="T1325" s="465"/>
      <c r="U1325" s="465"/>
      <c r="V1325" s="465"/>
      <c r="W1325" s="465"/>
      <c r="X1325" s="465"/>
      <c r="Y1325" s="465"/>
      <c r="Z1325" s="465"/>
      <c r="AA1325" s="465"/>
      <c r="AB1325" s="465"/>
      <c r="AC1325" s="465"/>
      <c r="AD1325" s="465"/>
      <c r="AE1325" s="465"/>
      <c r="AF1325" s="465"/>
      <c r="AG1325" s="465"/>
      <c r="AH1325" s="465"/>
      <c r="AI1325" s="465"/>
      <c r="AJ1325" s="465"/>
      <c r="AK1325" s="465"/>
      <c r="AL1325" s="465"/>
      <c r="AM1325" s="465"/>
      <c r="AN1325" s="465"/>
      <c r="AO1325" s="465"/>
      <c r="AP1325" s="465"/>
      <c r="AQ1325" s="465"/>
      <c r="AR1325" s="465"/>
      <c r="AS1325" s="465"/>
      <c r="AT1325" s="465"/>
      <c r="AU1325" s="465"/>
      <c r="AV1325" s="465"/>
      <c r="AW1325" s="465"/>
      <c r="AX1325" s="465"/>
      <c r="AY1325" s="465"/>
      <c r="AZ1325" s="465"/>
      <c r="BA1325" s="465"/>
      <c r="BB1325" s="465"/>
      <c r="BC1325" s="465"/>
    </row>
    <row r="1326" spans="1:55">
      <c r="A1326" s="465"/>
      <c r="B1326" s="465"/>
      <c r="C1326" s="465"/>
      <c r="D1326" s="467"/>
      <c r="E1326" s="465"/>
      <c r="F1326" s="465"/>
      <c r="G1326" s="465"/>
      <c r="H1326" s="465"/>
      <c r="I1326" s="465"/>
      <c r="J1326" s="465"/>
      <c r="K1326" s="465"/>
      <c r="L1326" s="465"/>
      <c r="M1326" s="465"/>
      <c r="N1326" s="465"/>
      <c r="O1326" s="465"/>
      <c r="P1326" s="465"/>
      <c r="Q1326" s="465"/>
      <c r="R1326" s="465"/>
      <c r="S1326" s="465"/>
      <c r="T1326" s="465"/>
      <c r="U1326" s="465"/>
      <c r="V1326" s="465"/>
      <c r="W1326" s="465"/>
      <c r="X1326" s="465"/>
      <c r="Y1326" s="465"/>
      <c r="Z1326" s="465"/>
      <c r="AA1326" s="465"/>
      <c r="AB1326" s="465"/>
      <c r="AC1326" s="465"/>
      <c r="AD1326" s="465"/>
      <c r="AE1326" s="465"/>
      <c r="AF1326" s="465"/>
      <c r="AG1326" s="465"/>
      <c r="AH1326" s="465"/>
      <c r="AI1326" s="465"/>
      <c r="AJ1326" s="465"/>
      <c r="AK1326" s="465"/>
      <c r="AL1326" s="465"/>
      <c r="AM1326" s="465"/>
      <c r="AN1326" s="465"/>
      <c r="AO1326" s="465"/>
      <c r="AP1326" s="465"/>
      <c r="AQ1326" s="465"/>
      <c r="AR1326" s="465"/>
      <c r="AS1326" s="465"/>
      <c r="AT1326" s="465"/>
      <c r="AU1326" s="465"/>
      <c r="AV1326" s="465"/>
      <c r="AW1326" s="465"/>
      <c r="AX1326" s="465"/>
      <c r="AY1326" s="465"/>
      <c r="AZ1326" s="465"/>
      <c r="BA1326" s="465"/>
      <c r="BB1326" s="465"/>
      <c r="BC1326" s="465"/>
    </row>
    <row r="1327" spans="1:55">
      <c r="A1327" s="465"/>
      <c r="B1327" s="465"/>
      <c r="C1327" s="465"/>
      <c r="D1327" s="467"/>
      <c r="E1327" s="465"/>
      <c r="F1327" s="465"/>
      <c r="G1327" s="465"/>
      <c r="H1327" s="465"/>
      <c r="I1327" s="465"/>
      <c r="J1327" s="465"/>
      <c r="K1327" s="465"/>
      <c r="L1327" s="465"/>
      <c r="M1327" s="465"/>
      <c r="N1327" s="465"/>
      <c r="O1327" s="465"/>
      <c r="P1327" s="465"/>
      <c r="Q1327" s="465"/>
      <c r="R1327" s="465"/>
      <c r="S1327" s="465"/>
      <c r="T1327" s="465"/>
      <c r="U1327" s="465"/>
      <c r="V1327" s="465"/>
      <c r="W1327" s="465"/>
      <c r="X1327" s="465"/>
      <c r="Y1327" s="465"/>
      <c r="Z1327" s="465"/>
      <c r="AA1327" s="465"/>
      <c r="AB1327" s="465"/>
      <c r="AC1327" s="465"/>
      <c r="AD1327" s="465"/>
      <c r="AE1327" s="465"/>
      <c r="AF1327" s="465"/>
      <c r="AG1327" s="465"/>
      <c r="AH1327" s="465"/>
      <c r="AI1327" s="465"/>
      <c r="AJ1327" s="465"/>
      <c r="AK1327" s="465"/>
      <c r="AL1327" s="465"/>
      <c r="AM1327" s="465"/>
      <c r="AN1327" s="465"/>
      <c r="AO1327" s="465"/>
      <c r="AP1327" s="465"/>
      <c r="AQ1327" s="465"/>
      <c r="AR1327" s="465"/>
      <c r="AS1327" s="465"/>
      <c r="AT1327" s="465"/>
      <c r="AU1327" s="465"/>
      <c r="AV1327" s="465"/>
      <c r="AW1327" s="465"/>
      <c r="AX1327" s="465"/>
      <c r="AY1327" s="465"/>
      <c r="AZ1327" s="465"/>
      <c r="BA1327" s="465"/>
      <c r="BB1327" s="465"/>
      <c r="BC1327" s="465"/>
    </row>
    <row r="1328" spans="1:55">
      <c r="A1328" s="465"/>
      <c r="B1328" s="465"/>
      <c r="C1328" s="465"/>
      <c r="D1328" s="467"/>
      <c r="E1328" s="465"/>
      <c r="F1328" s="465"/>
      <c r="G1328" s="465"/>
      <c r="H1328" s="465"/>
      <c r="I1328" s="465"/>
      <c r="J1328" s="465"/>
      <c r="K1328" s="465"/>
      <c r="L1328" s="465"/>
      <c r="M1328" s="465"/>
      <c r="N1328" s="465"/>
      <c r="O1328" s="465"/>
      <c r="P1328" s="465"/>
      <c r="Q1328" s="465"/>
      <c r="R1328" s="465"/>
      <c r="S1328" s="465"/>
      <c r="T1328" s="465"/>
      <c r="U1328" s="465"/>
      <c r="V1328" s="465"/>
      <c r="W1328" s="465"/>
      <c r="X1328" s="465"/>
      <c r="Y1328" s="465"/>
      <c r="Z1328" s="465"/>
      <c r="AA1328" s="465"/>
      <c r="AB1328" s="465"/>
      <c r="AC1328" s="465"/>
      <c r="AD1328" s="465"/>
      <c r="AE1328" s="465"/>
      <c r="AF1328" s="465"/>
      <c r="AG1328" s="465"/>
      <c r="AH1328" s="465"/>
      <c r="AI1328" s="465"/>
      <c r="AJ1328" s="465"/>
      <c r="AK1328" s="465"/>
      <c r="AL1328" s="465"/>
      <c r="AM1328" s="465"/>
      <c r="AN1328" s="465"/>
      <c r="AO1328" s="465"/>
      <c r="AP1328" s="465"/>
      <c r="AQ1328" s="465"/>
      <c r="AR1328" s="465"/>
      <c r="AS1328" s="465"/>
      <c r="AT1328" s="465"/>
      <c r="AU1328" s="465"/>
      <c r="AV1328" s="465"/>
      <c r="AW1328" s="465"/>
      <c r="AX1328" s="465"/>
      <c r="AY1328" s="465"/>
      <c r="AZ1328" s="465"/>
      <c r="BA1328" s="465"/>
      <c r="BB1328" s="465"/>
      <c r="BC1328" s="465"/>
    </row>
    <row r="1329" spans="1:55">
      <c r="A1329" s="465"/>
      <c r="B1329" s="465"/>
      <c r="C1329" s="465"/>
      <c r="D1329" s="467"/>
      <c r="E1329" s="465"/>
      <c r="F1329" s="465"/>
      <c r="G1329" s="465"/>
      <c r="H1329" s="465"/>
      <c r="I1329" s="465"/>
      <c r="J1329" s="465"/>
      <c r="K1329" s="465"/>
      <c r="L1329" s="465"/>
      <c r="M1329" s="465"/>
      <c r="N1329" s="465"/>
      <c r="O1329" s="465"/>
      <c r="P1329" s="465"/>
      <c r="Q1329" s="465"/>
      <c r="R1329" s="465"/>
      <c r="S1329" s="465"/>
      <c r="T1329" s="465"/>
      <c r="U1329" s="465"/>
      <c r="V1329" s="465"/>
      <c r="W1329" s="465"/>
      <c r="X1329" s="465"/>
      <c r="Y1329" s="465"/>
      <c r="Z1329" s="465"/>
      <c r="AA1329" s="465"/>
      <c r="AB1329" s="465"/>
      <c r="AC1329" s="465"/>
      <c r="AD1329" s="465"/>
      <c r="AE1329" s="465"/>
      <c r="AF1329" s="465"/>
      <c r="AG1329" s="465"/>
      <c r="AH1329" s="465"/>
      <c r="AI1329" s="465"/>
      <c r="AJ1329" s="465"/>
      <c r="AK1329" s="465"/>
      <c r="AL1329" s="465"/>
      <c r="AM1329" s="465"/>
      <c r="AN1329" s="465"/>
      <c r="AO1329" s="465"/>
      <c r="AP1329" s="465"/>
      <c r="AQ1329" s="465"/>
      <c r="AR1329" s="465"/>
      <c r="AS1329" s="465"/>
      <c r="AT1329" s="465"/>
      <c r="AU1329" s="465"/>
      <c r="AV1329" s="465"/>
      <c r="AW1329" s="465"/>
      <c r="AX1329" s="465"/>
      <c r="AY1329" s="465"/>
      <c r="AZ1329" s="465"/>
      <c r="BA1329" s="465"/>
      <c r="BB1329" s="465"/>
      <c r="BC1329" s="465"/>
    </row>
    <row r="1330" spans="1:55">
      <c r="A1330" s="465"/>
      <c r="B1330" s="465"/>
      <c r="C1330" s="465"/>
      <c r="D1330" s="467"/>
      <c r="E1330" s="465"/>
      <c r="F1330" s="465"/>
      <c r="G1330" s="465"/>
      <c r="H1330" s="465"/>
      <c r="I1330" s="465"/>
      <c r="J1330" s="465"/>
      <c r="K1330" s="465"/>
      <c r="L1330" s="465"/>
      <c r="M1330" s="465"/>
      <c r="N1330" s="465"/>
      <c r="O1330" s="465"/>
      <c r="P1330" s="465"/>
      <c r="Q1330" s="465"/>
      <c r="R1330" s="465"/>
      <c r="S1330" s="465"/>
      <c r="T1330" s="465"/>
      <c r="U1330" s="465"/>
      <c r="V1330" s="465"/>
      <c r="W1330" s="465"/>
      <c r="X1330" s="465"/>
      <c r="Y1330" s="465"/>
      <c r="Z1330" s="465"/>
      <c r="AA1330" s="465"/>
      <c r="AB1330" s="465"/>
      <c r="AC1330" s="465"/>
      <c r="AD1330" s="465"/>
      <c r="AE1330" s="465"/>
      <c r="AF1330" s="465"/>
      <c r="AG1330" s="465"/>
      <c r="AH1330" s="465"/>
      <c r="AI1330" s="465"/>
      <c r="AJ1330" s="465"/>
      <c r="AK1330" s="465"/>
      <c r="AL1330" s="465"/>
      <c r="AM1330" s="465"/>
      <c r="AN1330" s="465"/>
      <c r="AO1330" s="465"/>
      <c r="AP1330" s="465"/>
      <c r="AQ1330" s="465"/>
      <c r="AR1330" s="465"/>
      <c r="AS1330" s="465"/>
      <c r="AT1330" s="465"/>
      <c r="AU1330" s="465"/>
      <c r="AV1330" s="465"/>
      <c r="AW1330" s="465"/>
      <c r="AX1330" s="465"/>
      <c r="AY1330" s="465"/>
      <c r="AZ1330" s="465"/>
      <c r="BA1330" s="465"/>
      <c r="BB1330" s="465"/>
      <c r="BC1330" s="465"/>
    </row>
    <row r="1331" spans="1:55">
      <c r="A1331" s="465"/>
      <c r="B1331" s="465"/>
      <c r="C1331" s="465"/>
      <c r="D1331" s="467"/>
      <c r="E1331" s="465"/>
      <c r="F1331" s="465"/>
      <c r="G1331" s="465"/>
      <c r="H1331" s="465"/>
      <c r="I1331" s="465"/>
      <c r="J1331" s="465"/>
      <c r="K1331" s="465"/>
      <c r="L1331" s="465"/>
      <c r="M1331" s="465"/>
      <c r="N1331" s="465"/>
      <c r="O1331" s="465"/>
      <c r="P1331" s="465"/>
      <c r="Q1331" s="465"/>
      <c r="R1331" s="465"/>
      <c r="S1331" s="465"/>
      <c r="T1331" s="465"/>
      <c r="U1331" s="465"/>
      <c r="V1331" s="465"/>
      <c r="W1331" s="465"/>
      <c r="X1331" s="465"/>
      <c r="Y1331" s="465"/>
      <c r="Z1331" s="465"/>
      <c r="AA1331" s="465"/>
      <c r="AB1331" s="465"/>
      <c r="AC1331" s="465"/>
      <c r="AD1331" s="465"/>
      <c r="AE1331" s="465"/>
      <c r="AF1331" s="465"/>
      <c r="AG1331" s="465"/>
      <c r="AH1331" s="465"/>
      <c r="AI1331" s="465"/>
      <c r="AJ1331" s="465"/>
      <c r="AK1331" s="465"/>
      <c r="AL1331" s="465"/>
      <c r="AM1331" s="465"/>
      <c r="AN1331" s="465"/>
      <c r="AO1331" s="465"/>
      <c r="AP1331" s="465"/>
      <c r="AQ1331" s="465"/>
      <c r="AR1331" s="465"/>
      <c r="AS1331" s="465"/>
      <c r="AT1331" s="465"/>
      <c r="AU1331" s="465"/>
      <c r="AV1331" s="465"/>
      <c r="AW1331" s="465"/>
      <c r="AX1331" s="465"/>
      <c r="AY1331" s="465"/>
      <c r="AZ1331" s="465"/>
      <c r="BA1331" s="465"/>
      <c r="BB1331" s="465"/>
      <c r="BC1331" s="465"/>
    </row>
    <row r="1332" spans="1:55">
      <c r="A1332" s="465"/>
      <c r="B1332" s="465"/>
      <c r="C1332" s="465"/>
      <c r="D1332" s="467"/>
      <c r="E1332" s="465"/>
      <c r="F1332" s="465"/>
      <c r="G1332" s="465"/>
      <c r="H1332" s="465"/>
      <c r="I1332" s="465"/>
      <c r="J1332" s="465"/>
      <c r="K1332" s="465"/>
      <c r="L1332" s="465"/>
      <c r="M1332" s="465"/>
      <c r="N1332" s="465"/>
      <c r="O1332" s="465"/>
      <c r="P1332" s="465"/>
      <c r="Q1332" s="465"/>
      <c r="R1332" s="465"/>
      <c r="S1332" s="465"/>
      <c r="T1332" s="465"/>
      <c r="U1332" s="465"/>
      <c r="V1332" s="465"/>
      <c r="W1332" s="465"/>
      <c r="X1332" s="465"/>
      <c r="Y1332" s="465"/>
      <c r="Z1332" s="465"/>
      <c r="AA1332" s="465"/>
      <c r="AB1332" s="465"/>
      <c r="AC1332" s="465"/>
      <c r="AD1332" s="465"/>
      <c r="AE1332" s="465"/>
      <c r="AF1332" s="465"/>
      <c r="AG1332" s="465"/>
      <c r="AH1332" s="465"/>
      <c r="AI1332" s="465"/>
      <c r="AJ1332" s="465"/>
      <c r="AK1332" s="465"/>
      <c r="AL1332" s="465"/>
      <c r="AM1332" s="465"/>
      <c r="AN1332" s="465"/>
      <c r="AO1332" s="465"/>
      <c r="AP1332" s="465"/>
      <c r="AQ1332" s="465"/>
      <c r="AR1332" s="465"/>
      <c r="AS1332" s="465"/>
      <c r="AT1332" s="465"/>
      <c r="AU1332" s="465"/>
      <c r="AV1332" s="465"/>
      <c r="AW1332" s="465"/>
      <c r="AX1332" s="465"/>
      <c r="AY1332" s="465"/>
      <c r="AZ1332" s="465"/>
      <c r="BA1332" s="465"/>
      <c r="BB1332" s="465"/>
      <c r="BC1332" s="465"/>
    </row>
    <row r="1333" spans="1:55">
      <c r="A1333" s="465"/>
      <c r="B1333" s="465"/>
      <c r="C1333" s="465"/>
      <c r="D1333" s="467"/>
      <c r="E1333" s="465"/>
      <c r="F1333" s="465"/>
      <c r="G1333" s="465"/>
      <c r="H1333" s="465"/>
      <c r="I1333" s="465"/>
      <c r="J1333" s="465"/>
      <c r="K1333" s="465"/>
      <c r="L1333" s="465"/>
      <c r="M1333" s="465"/>
      <c r="N1333" s="465"/>
      <c r="O1333" s="465"/>
      <c r="P1333" s="465"/>
      <c r="Q1333" s="465"/>
      <c r="R1333" s="465"/>
      <c r="S1333" s="465"/>
      <c r="T1333" s="465"/>
      <c r="U1333" s="465"/>
      <c r="V1333" s="465"/>
      <c r="W1333" s="465"/>
      <c r="X1333" s="465"/>
      <c r="Y1333" s="465"/>
      <c r="Z1333" s="465"/>
      <c r="AA1333" s="465"/>
      <c r="AB1333" s="465"/>
      <c r="AC1333" s="465"/>
      <c r="AD1333" s="465"/>
      <c r="AE1333" s="465"/>
      <c r="AF1333" s="465"/>
      <c r="AG1333" s="465"/>
      <c r="AH1333" s="465"/>
      <c r="AI1333" s="465"/>
      <c r="AJ1333" s="465"/>
      <c r="AK1333" s="465"/>
      <c r="AL1333" s="465"/>
      <c r="AM1333" s="465"/>
      <c r="AN1333" s="465"/>
      <c r="AO1333" s="465"/>
      <c r="AP1333" s="465"/>
      <c r="AQ1333" s="465"/>
      <c r="AR1333" s="465"/>
      <c r="AS1333" s="465"/>
      <c r="AT1333" s="465"/>
      <c r="AU1333" s="465"/>
      <c r="AV1333" s="465"/>
      <c r="AW1333" s="465"/>
      <c r="AX1333" s="465"/>
      <c r="AY1333" s="465"/>
      <c r="AZ1333" s="465"/>
      <c r="BA1333" s="465"/>
      <c r="BB1333" s="465"/>
      <c r="BC1333" s="465"/>
    </row>
    <row r="1334" spans="1:55">
      <c r="A1334" s="465"/>
      <c r="B1334" s="465"/>
      <c r="C1334" s="465"/>
      <c r="D1334" s="467"/>
      <c r="E1334" s="465"/>
      <c r="F1334" s="465"/>
      <c r="G1334" s="465"/>
      <c r="H1334" s="465"/>
      <c r="I1334" s="465"/>
      <c r="J1334" s="465"/>
      <c r="K1334" s="465"/>
      <c r="L1334" s="465"/>
      <c r="M1334" s="465"/>
      <c r="N1334" s="465"/>
      <c r="O1334" s="465"/>
      <c r="P1334" s="465"/>
      <c r="Q1334" s="465"/>
      <c r="R1334" s="465"/>
      <c r="S1334" s="465"/>
      <c r="T1334" s="465"/>
      <c r="U1334" s="465"/>
      <c r="V1334" s="465"/>
      <c r="W1334" s="465"/>
      <c r="X1334" s="465"/>
      <c r="Y1334" s="465"/>
      <c r="Z1334" s="465"/>
      <c r="AA1334" s="465"/>
      <c r="AB1334" s="465"/>
      <c r="AC1334" s="465"/>
      <c r="AD1334" s="465"/>
      <c r="AE1334" s="465"/>
      <c r="AF1334" s="465"/>
      <c r="AG1334" s="465"/>
      <c r="AH1334" s="465"/>
      <c r="AI1334" s="465"/>
      <c r="AJ1334" s="465"/>
      <c r="AK1334" s="465"/>
      <c r="AL1334" s="465"/>
      <c r="AM1334" s="465"/>
      <c r="AN1334" s="465"/>
      <c r="AO1334" s="465"/>
      <c r="AP1334" s="465"/>
      <c r="AQ1334" s="465"/>
      <c r="AR1334" s="465"/>
      <c r="AS1334" s="465"/>
      <c r="AT1334" s="465"/>
      <c r="AU1334" s="465"/>
      <c r="AV1334" s="465"/>
      <c r="AW1334" s="465"/>
      <c r="AX1334" s="465"/>
      <c r="AY1334" s="465"/>
      <c r="AZ1334" s="465"/>
      <c r="BA1334" s="465"/>
      <c r="BB1334" s="465"/>
      <c r="BC1334" s="465"/>
    </row>
    <row r="1335" spans="1:55">
      <c r="A1335" s="465"/>
      <c r="B1335" s="465"/>
      <c r="C1335" s="465"/>
      <c r="D1335" s="467"/>
      <c r="E1335" s="465"/>
      <c r="F1335" s="465"/>
      <c r="G1335" s="465"/>
      <c r="H1335" s="465"/>
      <c r="I1335" s="465"/>
      <c r="J1335" s="465"/>
      <c r="K1335" s="465"/>
      <c r="L1335" s="465"/>
      <c r="M1335" s="465"/>
      <c r="N1335" s="465"/>
      <c r="O1335" s="465"/>
      <c r="P1335" s="465"/>
      <c r="Q1335" s="465"/>
      <c r="R1335" s="465"/>
      <c r="S1335" s="465"/>
      <c r="T1335" s="465"/>
      <c r="U1335" s="465"/>
      <c r="V1335" s="465"/>
      <c r="W1335" s="465"/>
      <c r="X1335" s="465"/>
      <c r="Y1335" s="465"/>
      <c r="Z1335" s="465"/>
      <c r="AA1335" s="465"/>
      <c r="AB1335" s="465"/>
      <c r="AC1335" s="465"/>
      <c r="AD1335" s="465"/>
      <c r="AE1335" s="465"/>
      <c r="AF1335" s="465"/>
      <c r="AG1335" s="465"/>
      <c r="AH1335" s="465"/>
      <c r="AI1335" s="465"/>
      <c r="AJ1335" s="465"/>
      <c r="AK1335" s="465"/>
      <c r="AL1335" s="465"/>
      <c r="AM1335" s="465"/>
      <c r="AN1335" s="465"/>
      <c r="AO1335" s="465"/>
      <c r="AP1335" s="465"/>
      <c r="AQ1335" s="465"/>
      <c r="AR1335" s="465"/>
      <c r="AS1335" s="465"/>
      <c r="AT1335" s="465"/>
      <c r="AU1335" s="465"/>
      <c r="AV1335" s="465"/>
      <c r="AW1335" s="465"/>
      <c r="AX1335" s="465"/>
      <c r="AY1335" s="465"/>
      <c r="AZ1335" s="465"/>
      <c r="BA1335" s="465"/>
      <c r="BB1335" s="465"/>
      <c r="BC1335" s="465"/>
    </row>
    <row r="1336" spans="1:55">
      <c r="A1336" s="465"/>
      <c r="B1336" s="465"/>
      <c r="C1336" s="465"/>
      <c r="D1336" s="467"/>
      <c r="E1336" s="465"/>
      <c r="F1336" s="465"/>
      <c r="G1336" s="465"/>
      <c r="H1336" s="465"/>
      <c r="I1336" s="465"/>
      <c r="J1336" s="465"/>
      <c r="K1336" s="465"/>
      <c r="L1336" s="465"/>
      <c r="M1336" s="465"/>
      <c r="N1336" s="465"/>
      <c r="O1336" s="465"/>
      <c r="P1336" s="465"/>
      <c r="Q1336" s="465"/>
      <c r="R1336" s="465"/>
      <c r="S1336" s="465"/>
      <c r="T1336" s="465"/>
      <c r="U1336" s="465"/>
      <c r="V1336" s="465"/>
      <c r="W1336" s="465"/>
      <c r="X1336" s="465"/>
      <c r="Y1336" s="465"/>
      <c r="Z1336" s="465"/>
      <c r="AA1336" s="465"/>
      <c r="AB1336" s="465"/>
      <c r="AC1336" s="465"/>
      <c r="AD1336" s="465"/>
      <c r="AE1336" s="465"/>
      <c r="AF1336" s="465"/>
      <c r="AG1336" s="465"/>
      <c r="AH1336" s="465"/>
      <c r="AI1336" s="465"/>
      <c r="AJ1336" s="465"/>
      <c r="AK1336" s="465"/>
      <c r="AL1336" s="465"/>
      <c r="AM1336" s="465"/>
      <c r="AN1336" s="465"/>
      <c r="AO1336" s="465"/>
      <c r="AP1336" s="465"/>
      <c r="AQ1336" s="465"/>
      <c r="AR1336" s="465"/>
      <c r="AS1336" s="465"/>
      <c r="AT1336" s="465"/>
      <c r="AU1336" s="465"/>
      <c r="AV1336" s="465"/>
      <c r="AW1336" s="465"/>
      <c r="AX1336" s="465"/>
      <c r="AY1336" s="465"/>
      <c r="AZ1336" s="465"/>
      <c r="BA1336" s="465"/>
      <c r="BB1336" s="465"/>
      <c r="BC1336" s="465"/>
    </row>
    <row r="1337" spans="1:55">
      <c r="A1337" s="465"/>
      <c r="B1337" s="465"/>
      <c r="C1337" s="465"/>
      <c r="D1337" s="467"/>
      <c r="E1337" s="465"/>
      <c r="F1337" s="465"/>
      <c r="G1337" s="465"/>
      <c r="H1337" s="465"/>
      <c r="I1337" s="465"/>
      <c r="J1337" s="465"/>
      <c r="K1337" s="465"/>
      <c r="L1337" s="465"/>
      <c r="M1337" s="465"/>
      <c r="N1337" s="465"/>
      <c r="O1337" s="465"/>
      <c r="P1337" s="465"/>
      <c r="Q1337" s="465"/>
      <c r="R1337" s="465"/>
      <c r="S1337" s="465"/>
      <c r="T1337" s="465"/>
      <c r="U1337" s="465"/>
      <c r="V1337" s="465"/>
      <c r="W1337" s="465"/>
      <c r="X1337" s="465"/>
      <c r="Y1337" s="465"/>
      <c r="Z1337" s="465"/>
      <c r="AA1337" s="465"/>
      <c r="AB1337" s="465"/>
      <c r="AC1337" s="465"/>
      <c r="AD1337" s="465"/>
      <c r="AE1337" s="465"/>
      <c r="AF1337" s="465"/>
      <c r="AG1337" s="465"/>
      <c r="AH1337" s="465"/>
      <c r="AI1337" s="465"/>
      <c r="AJ1337" s="465"/>
      <c r="AK1337" s="465"/>
      <c r="AL1337" s="465"/>
      <c r="AM1337" s="465"/>
      <c r="AN1337" s="465"/>
      <c r="AO1337" s="465"/>
      <c r="AP1337" s="465"/>
      <c r="AQ1337" s="465"/>
      <c r="AR1337" s="465"/>
      <c r="AS1337" s="465"/>
      <c r="AT1337" s="465"/>
      <c r="AU1337" s="465"/>
      <c r="AV1337" s="465"/>
      <c r="AW1337" s="465"/>
      <c r="AX1337" s="465"/>
      <c r="AY1337" s="465"/>
      <c r="AZ1337" s="465"/>
      <c r="BA1337" s="465"/>
      <c r="BB1337" s="465"/>
      <c r="BC1337" s="465"/>
    </row>
    <row r="1338" spans="1:55">
      <c r="A1338" s="465"/>
      <c r="B1338" s="465"/>
      <c r="C1338" s="465"/>
      <c r="D1338" s="467"/>
      <c r="E1338" s="465"/>
      <c r="F1338" s="465"/>
      <c r="G1338" s="465"/>
      <c r="H1338" s="465"/>
      <c r="I1338" s="465"/>
      <c r="J1338" s="465"/>
      <c r="K1338" s="465"/>
      <c r="L1338" s="465"/>
      <c r="M1338" s="465"/>
      <c r="N1338" s="465"/>
      <c r="O1338" s="465"/>
      <c r="P1338" s="465"/>
      <c r="Q1338" s="465"/>
      <c r="R1338" s="465"/>
      <c r="S1338" s="465"/>
      <c r="T1338" s="465"/>
      <c r="U1338" s="465"/>
      <c r="V1338" s="465"/>
      <c r="W1338" s="465"/>
      <c r="X1338" s="465"/>
      <c r="Y1338" s="465"/>
      <c r="Z1338" s="465"/>
      <c r="AA1338" s="465"/>
      <c r="AB1338" s="465"/>
      <c r="AC1338" s="465"/>
      <c r="AD1338" s="465"/>
      <c r="AE1338" s="465"/>
      <c r="AF1338" s="465"/>
      <c r="AG1338" s="465"/>
      <c r="AH1338" s="465"/>
      <c r="AI1338" s="465"/>
      <c r="AJ1338" s="465"/>
      <c r="AK1338" s="465"/>
      <c r="AL1338" s="465"/>
      <c r="AM1338" s="465"/>
      <c r="AN1338" s="465"/>
      <c r="AO1338" s="465"/>
      <c r="AP1338" s="465"/>
      <c r="AQ1338" s="465"/>
      <c r="AR1338" s="465"/>
      <c r="AS1338" s="465"/>
      <c r="AT1338" s="465"/>
      <c r="AU1338" s="465"/>
      <c r="AV1338" s="465"/>
      <c r="AW1338" s="465"/>
      <c r="AX1338" s="465"/>
      <c r="AY1338" s="465"/>
      <c r="AZ1338" s="465"/>
      <c r="BA1338" s="465"/>
      <c r="BB1338" s="465"/>
      <c r="BC1338" s="465"/>
    </row>
    <row r="1339" spans="1:55">
      <c r="A1339" s="465"/>
      <c r="B1339" s="465"/>
      <c r="C1339" s="465"/>
      <c r="D1339" s="467"/>
      <c r="E1339" s="465"/>
      <c r="F1339" s="465"/>
      <c r="G1339" s="465"/>
      <c r="H1339" s="465"/>
      <c r="I1339" s="465"/>
      <c r="J1339" s="465"/>
      <c r="K1339" s="465"/>
      <c r="L1339" s="465"/>
      <c r="M1339" s="465"/>
      <c r="N1339" s="465"/>
      <c r="O1339" s="465"/>
      <c r="P1339" s="465"/>
      <c r="Q1339" s="465"/>
      <c r="R1339" s="465"/>
      <c r="S1339" s="465"/>
      <c r="T1339" s="465"/>
      <c r="U1339" s="465"/>
      <c r="V1339" s="465"/>
      <c r="W1339" s="465"/>
      <c r="X1339" s="465"/>
      <c r="Y1339" s="465"/>
      <c r="Z1339" s="465"/>
      <c r="AA1339" s="465"/>
      <c r="AB1339" s="465"/>
      <c r="AC1339" s="465"/>
      <c r="AD1339" s="465"/>
      <c r="AE1339" s="465"/>
      <c r="AF1339" s="465"/>
      <c r="AG1339" s="465"/>
      <c r="AH1339" s="465"/>
      <c r="AI1339" s="465"/>
      <c r="AJ1339" s="465"/>
      <c r="AK1339" s="465"/>
      <c r="AL1339" s="465"/>
      <c r="AM1339" s="465"/>
      <c r="AN1339" s="465"/>
      <c r="AO1339" s="465"/>
      <c r="AP1339" s="465"/>
      <c r="AQ1339" s="465"/>
      <c r="AR1339" s="465"/>
      <c r="AS1339" s="465"/>
      <c r="AT1339" s="465"/>
      <c r="AU1339" s="465"/>
      <c r="AV1339" s="465"/>
      <c r="AW1339" s="465"/>
      <c r="AX1339" s="465"/>
      <c r="AY1339" s="465"/>
      <c r="AZ1339" s="465"/>
      <c r="BA1339" s="465"/>
      <c r="BB1339" s="465"/>
      <c r="BC1339" s="465"/>
    </row>
    <row r="1340" spans="1:55">
      <c r="A1340" s="465"/>
      <c r="B1340" s="465"/>
      <c r="C1340" s="465"/>
      <c r="D1340" s="467"/>
      <c r="E1340" s="465"/>
      <c r="F1340" s="465"/>
      <c r="G1340" s="465"/>
      <c r="H1340" s="465"/>
      <c r="I1340" s="465"/>
      <c r="J1340" s="465"/>
      <c r="K1340" s="465"/>
      <c r="L1340" s="465"/>
      <c r="M1340" s="465"/>
      <c r="N1340" s="465"/>
      <c r="O1340" s="465"/>
      <c r="P1340" s="465"/>
      <c r="Q1340" s="465"/>
      <c r="R1340" s="465"/>
      <c r="S1340" s="465"/>
      <c r="T1340" s="465"/>
      <c r="U1340" s="465"/>
      <c r="V1340" s="465"/>
      <c r="W1340" s="465"/>
      <c r="X1340" s="465"/>
      <c r="Y1340" s="465"/>
      <c r="Z1340" s="465"/>
      <c r="AA1340" s="465"/>
      <c r="AB1340" s="465"/>
      <c r="AC1340" s="465"/>
      <c r="AD1340" s="465"/>
      <c r="AE1340" s="465"/>
      <c r="AF1340" s="465"/>
      <c r="AG1340" s="465"/>
      <c r="AH1340" s="465"/>
      <c r="AI1340" s="465"/>
      <c r="AJ1340" s="465"/>
      <c r="AK1340" s="465"/>
      <c r="AL1340" s="465"/>
      <c r="AM1340" s="465"/>
      <c r="AN1340" s="465"/>
      <c r="AO1340" s="465"/>
      <c r="AP1340" s="465"/>
      <c r="AQ1340" s="465"/>
      <c r="AR1340" s="465"/>
      <c r="AS1340" s="465"/>
      <c r="AT1340" s="465"/>
      <c r="AU1340" s="465"/>
      <c r="AV1340" s="465"/>
      <c r="AW1340" s="465"/>
      <c r="AX1340" s="465"/>
      <c r="AY1340" s="465"/>
      <c r="AZ1340" s="465"/>
      <c r="BA1340" s="465"/>
      <c r="BB1340" s="465"/>
      <c r="BC1340" s="465"/>
    </row>
    <row r="1341" spans="1:55">
      <c r="A1341" s="465"/>
      <c r="B1341" s="465"/>
      <c r="C1341" s="465"/>
      <c r="D1341" s="467"/>
      <c r="E1341" s="465"/>
      <c r="F1341" s="465"/>
      <c r="G1341" s="465"/>
      <c r="H1341" s="465"/>
      <c r="I1341" s="465"/>
      <c r="J1341" s="465"/>
      <c r="K1341" s="465"/>
      <c r="L1341" s="465"/>
      <c r="M1341" s="465"/>
      <c r="N1341" s="465"/>
      <c r="O1341" s="465"/>
      <c r="P1341" s="465"/>
      <c r="Q1341" s="465"/>
      <c r="R1341" s="465"/>
      <c r="S1341" s="465"/>
      <c r="T1341" s="465"/>
      <c r="U1341" s="465"/>
      <c r="V1341" s="465"/>
      <c r="W1341" s="465"/>
      <c r="X1341" s="465"/>
      <c r="Y1341" s="465"/>
      <c r="Z1341" s="465"/>
      <c r="AA1341" s="465"/>
      <c r="AB1341" s="465"/>
      <c r="AC1341" s="465"/>
      <c r="AD1341" s="465"/>
      <c r="AE1341" s="465"/>
      <c r="AF1341" s="465"/>
      <c r="AG1341" s="465"/>
      <c r="AH1341" s="465"/>
      <c r="AI1341" s="465"/>
      <c r="AJ1341" s="465"/>
      <c r="AK1341" s="465"/>
      <c r="AL1341" s="465"/>
      <c r="AM1341" s="465"/>
      <c r="AN1341" s="465"/>
      <c r="AO1341" s="465"/>
      <c r="AP1341" s="465"/>
      <c r="AQ1341" s="465"/>
      <c r="AR1341" s="465"/>
      <c r="AS1341" s="465"/>
      <c r="AT1341" s="465"/>
      <c r="AU1341" s="465"/>
      <c r="AV1341" s="465"/>
      <c r="AW1341" s="465"/>
      <c r="AX1341" s="465"/>
      <c r="AY1341" s="465"/>
      <c r="AZ1341" s="465"/>
      <c r="BA1341" s="465"/>
      <c r="BB1341" s="465"/>
      <c r="BC1341" s="465"/>
    </row>
    <row r="1342" spans="1:55">
      <c r="A1342" s="465"/>
      <c r="B1342" s="465"/>
      <c r="C1342" s="465"/>
      <c r="D1342" s="467"/>
      <c r="E1342" s="465"/>
      <c r="F1342" s="465"/>
      <c r="G1342" s="465"/>
      <c r="H1342" s="465"/>
      <c r="I1342" s="465"/>
      <c r="J1342" s="465"/>
      <c r="K1342" s="465"/>
      <c r="L1342" s="465"/>
      <c r="M1342" s="465"/>
      <c r="N1342" s="465"/>
      <c r="O1342" s="465"/>
      <c r="P1342" s="465"/>
      <c r="Q1342" s="465"/>
      <c r="R1342" s="465"/>
      <c r="S1342" s="465"/>
      <c r="T1342" s="465"/>
      <c r="U1342" s="465"/>
      <c r="V1342" s="465"/>
      <c r="W1342" s="465"/>
      <c r="X1342" s="465"/>
      <c r="Y1342" s="465"/>
      <c r="Z1342" s="465"/>
      <c r="AA1342" s="465"/>
      <c r="AB1342" s="465"/>
      <c r="AC1342" s="465"/>
      <c r="AD1342" s="465"/>
      <c r="AE1342" s="465"/>
      <c r="AF1342" s="465"/>
      <c r="AG1342" s="465"/>
      <c r="AH1342" s="465"/>
      <c r="AI1342" s="465"/>
      <c r="AJ1342" s="465"/>
      <c r="AK1342" s="465"/>
      <c r="AL1342" s="465"/>
      <c r="AM1342" s="465"/>
      <c r="AN1342" s="465"/>
      <c r="AO1342" s="465"/>
      <c r="AP1342" s="465"/>
      <c r="AQ1342" s="465"/>
      <c r="AR1342" s="465"/>
      <c r="AS1342" s="465"/>
      <c r="AT1342" s="465"/>
      <c r="AU1342" s="465"/>
      <c r="AV1342" s="465"/>
      <c r="AW1342" s="465"/>
      <c r="AX1342" s="465"/>
      <c r="AY1342" s="465"/>
      <c r="AZ1342" s="465"/>
      <c r="BA1342" s="465"/>
      <c r="BB1342" s="465"/>
      <c r="BC1342" s="465"/>
    </row>
    <row r="1343" spans="1:55">
      <c r="A1343" s="465"/>
      <c r="B1343" s="465"/>
      <c r="C1343" s="465"/>
      <c r="D1343" s="467"/>
      <c r="E1343" s="465"/>
      <c r="F1343" s="465"/>
      <c r="G1343" s="465"/>
      <c r="H1343" s="465"/>
      <c r="I1343" s="465"/>
      <c r="J1343" s="465"/>
      <c r="K1343" s="465"/>
      <c r="L1343" s="465"/>
      <c r="M1343" s="465"/>
      <c r="N1343" s="465"/>
      <c r="O1343" s="465"/>
      <c r="P1343" s="465"/>
      <c r="Q1343" s="465"/>
      <c r="R1343" s="465"/>
      <c r="S1343" s="465"/>
      <c r="T1343" s="465"/>
      <c r="U1343" s="465"/>
      <c r="V1343" s="465"/>
      <c r="W1343" s="465"/>
      <c r="X1343" s="465"/>
      <c r="Y1343" s="465"/>
      <c r="Z1343" s="465"/>
      <c r="AA1343" s="465"/>
      <c r="AB1343" s="465"/>
      <c r="AC1343" s="465"/>
      <c r="AD1343" s="465"/>
      <c r="AE1343" s="465"/>
      <c r="AF1343" s="465"/>
      <c r="AG1343" s="465"/>
      <c r="AH1343" s="465"/>
      <c r="AI1343" s="465"/>
      <c r="AJ1343" s="465"/>
      <c r="AK1343" s="465"/>
      <c r="AL1343" s="465"/>
      <c r="AM1343" s="465"/>
      <c r="AN1343" s="465"/>
      <c r="AO1343" s="465"/>
      <c r="AP1343" s="465"/>
      <c r="AQ1343" s="465"/>
      <c r="AR1343" s="465"/>
      <c r="AS1343" s="465"/>
      <c r="AT1343" s="465"/>
      <c r="AU1343" s="465"/>
      <c r="AV1343" s="465"/>
      <c r="AW1343" s="465"/>
      <c r="AX1343" s="465"/>
      <c r="AY1343" s="465"/>
      <c r="AZ1343" s="465"/>
      <c r="BA1343" s="465"/>
      <c r="BB1343" s="465"/>
      <c r="BC1343" s="465"/>
    </row>
    <row r="1344" spans="1:55">
      <c r="A1344" s="465"/>
      <c r="B1344" s="465"/>
      <c r="C1344" s="465"/>
      <c r="D1344" s="467"/>
      <c r="E1344" s="465"/>
      <c r="F1344" s="465"/>
      <c r="G1344" s="465"/>
      <c r="H1344" s="465"/>
      <c r="I1344" s="465"/>
      <c r="J1344" s="465"/>
      <c r="K1344" s="465"/>
      <c r="L1344" s="465"/>
      <c r="M1344" s="465"/>
      <c r="N1344" s="465"/>
      <c r="O1344" s="465"/>
      <c r="P1344" s="465"/>
      <c r="Q1344" s="465"/>
      <c r="R1344" s="465"/>
      <c r="S1344" s="465"/>
      <c r="T1344" s="465"/>
      <c r="U1344" s="465"/>
      <c r="V1344" s="465"/>
      <c r="W1344" s="465"/>
      <c r="X1344" s="465"/>
      <c r="Y1344" s="465"/>
      <c r="Z1344" s="465"/>
      <c r="AA1344" s="465"/>
      <c r="AB1344" s="465"/>
      <c r="AC1344" s="465"/>
      <c r="AD1344" s="465"/>
      <c r="AE1344" s="465"/>
      <c r="AF1344" s="465"/>
      <c r="AG1344" s="465"/>
      <c r="AH1344" s="465"/>
      <c r="AI1344" s="465"/>
      <c r="AJ1344" s="465"/>
      <c r="AK1344" s="465"/>
      <c r="AL1344" s="465"/>
      <c r="AM1344" s="465"/>
      <c r="AN1344" s="465"/>
      <c r="AO1344" s="465"/>
      <c r="AP1344" s="465"/>
      <c r="AQ1344" s="465"/>
      <c r="AR1344" s="465"/>
      <c r="AS1344" s="465"/>
      <c r="AT1344" s="465"/>
      <c r="AU1344" s="465"/>
      <c r="AV1344" s="465"/>
      <c r="AW1344" s="465"/>
      <c r="AX1344" s="465"/>
      <c r="AY1344" s="465"/>
      <c r="AZ1344" s="465"/>
      <c r="BA1344" s="465"/>
      <c r="BB1344" s="465"/>
      <c r="BC1344" s="465"/>
    </row>
    <row r="1345" spans="1:55">
      <c r="A1345" s="465"/>
      <c r="B1345" s="465"/>
      <c r="C1345" s="465"/>
      <c r="D1345" s="467"/>
      <c r="E1345" s="465"/>
      <c r="F1345" s="465"/>
      <c r="G1345" s="465"/>
      <c r="H1345" s="465"/>
      <c r="I1345" s="465"/>
      <c r="J1345" s="465"/>
      <c r="K1345" s="465"/>
      <c r="L1345" s="465"/>
      <c r="M1345" s="465"/>
      <c r="N1345" s="465"/>
      <c r="O1345" s="465"/>
      <c r="P1345" s="465"/>
      <c r="Q1345" s="465"/>
      <c r="R1345" s="465"/>
      <c r="S1345" s="465"/>
      <c r="T1345" s="465"/>
      <c r="U1345" s="465"/>
      <c r="V1345" s="465"/>
      <c r="W1345" s="465"/>
      <c r="X1345" s="465"/>
      <c r="Y1345" s="465"/>
      <c r="Z1345" s="465"/>
      <c r="AA1345" s="465"/>
      <c r="AB1345" s="465"/>
      <c r="AC1345" s="465"/>
      <c r="AD1345" s="465"/>
      <c r="AE1345" s="465"/>
      <c r="AF1345" s="465"/>
      <c r="AG1345" s="465"/>
      <c r="AH1345" s="465"/>
      <c r="AI1345" s="465"/>
      <c r="AJ1345" s="465"/>
      <c r="AK1345" s="465"/>
      <c r="AL1345" s="465"/>
      <c r="AM1345" s="465"/>
      <c r="AN1345" s="465"/>
      <c r="AO1345" s="465"/>
      <c r="AP1345" s="465"/>
      <c r="AQ1345" s="465"/>
      <c r="AR1345" s="465"/>
      <c r="AS1345" s="465"/>
      <c r="AT1345" s="465"/>
      <c r="AU1345" s="465"/>
      <c r="AV1345" s="465"/>
      <c r="AW1345" s="465"/>
      <c r="AX1345" s="465"/>
      <c r="AY1345" s="465"/>
      <c r="AZ1345" s="465"/>
      <c r="BA1345" s="465"/>
      <c r="BB1345" s="465"/>
      <c r="BC1345" s="465"/>
    </row>
    <row r="1346" spans="1:55">
      <c r="A1346" s="465"/>
      <c r="B1346" s="465"/>
      <c r="C1346" s="465"/>
      <c r="D1346" s="467"/>
      <c r="E1346" s="465"/>
      <c r="F1346" s="465"/>
      <c r="G1346" s="465"/>
      <c r="H1346" s="465"/>
      <c r="I1346" s="465"/>
      <c r="J1346" s="465"/>
      <c r="K1346" s="465"/>
      <c r="L1346" s="465"/>
      <c r="M1346" s="465"/>
      <c r="N1346" s="465"/>
      <c r="O1346" s="465"/>
      <c r="P1346" s="465"/>
      <c r="Q1346" s="465"/>
      <c r="R1346" s="465"/>
      <c r="S1346" s="465"/>
      <c r="T1346" s="465"/>
      <c r="U1346" s="465"/>
      <c r="V1346" s="465"/>
      <c r="W1346" s="465"/>
      <c r="X1346" s="465"/>
      <c r="Y1346" s="465"/>
      <c r="Z1346" s="465"/>
      <c r="AA1346" s="465"/>
      <c r="AB1346" s="465"/>
      <c r="AC1346" s="465"/>
      <c r="AD1346" s="465"/>
      <c r="AE1346" s="465"/>
      <c r="AF1346" s="465"/>
      <c r="AG1346" s="465"/>
      <c r="AH1346" s="465"/>
      <c r="AI1346" s="465"/>
      <c r="AJ1346" s="465"/>
      <c r="AK1346" s="465"/>
      <c r="AL1346" s="465"/>
      <c r="AM1346" s="465"/>
      <c r="AN1346" s="465"/>
      <c r="AO1346" s="465"/>
      <c r="AP1346" s="465"/>
      <c r="AQ1346" s="465"/>
      <c r="AR1346" s="465"/>
      <c r="AS1346" s="465"/>
      <c r="AT1346" s="465"/>
      <c r="AU1346" s="465"/>
      <c r="AV1346" s="465"/>
      <c r="AW1346" s="465"/>
      <c r="AX1346" s="465"/>
      <c r="AY1346" s="465"/>
      <c r="AZ1346" s="465"/>
      <c r="BA1346" s="465"/>
      <c r="BB1346" s="465"/>
      <c r="BC1346" s="465"/>
    </row>
    <row r="1347" spans="1:55">
      <c r="A1347" s="465"/>
      <c r="B1347" s="465"/>
      <c r="C1347" s="465"/>
      <c r="D1347" s="467"/>
      <c r="E1347" s="465"/>
      <c r="F1347" s="465"/>
      <c r="G1347" s="465"/>
      <c r="H1347" s="465"/>
      <c r="I1347" s="465"/>
      <c r="J1347" s="465"/>
      <c r="K1347" s="465"/>
      <c r="L1347" s="465"/>
      <c r="M1347" s="465"/>
      <c r="N1347" s="465"/>
      <c r="O1347" s="465"/>
      <c r="P1347" s="465"/>
      <c r="Q1347" s="465"/>
      <c r="R1347" s="465"/>
      <c r="S1347" s="465"/>
      <c r="T1347" s="465"/>
      <c r="U1347" s="465"/>
      <c r="V1347" s="465"/>
      <c r="W1347" s="465"/>
      <c r="X1347" s="465"/>
      <c r="Y1347" s="465"/>
      <c r="Z1347" s="465"/>
      <c r="AA1347" s="465"/>
      <c r="AB1347" s="465"/>
      <c r="AC1347" s="465"/>
      <c r="AD1347" s="465"/>
      <c r="AE1347" s="465"/>
      <c r="AF1347" s="465"/>
      <c r="AG1347" s="465"/>
      <c r="AH1347" s="465"/>
      <c r="AI1347" s="465"/>
      <c r="AJ1347" s="465"/>
      <c r="AK1347" s="465"/>
      <c r="AL1347" s="465"/>
      <c r="AM1347" s="465"/>
      <c r="AN1347" s="465"/>
      <c r="AO1347" s="465"/>
      <c r="AP1347" s="465"/>
      <c r="AQ1347" s="465"/>
      <c r="AR1347" s="465"/>
      <c r="AS1347" s="465"/>
      <c r="AT1347" s="465"/>
      <c r="AU1347" s="465"/>
      <c r="AV1347" s="465"/>
      <c r="AW1347" s="465"/>
      <c r="AX1347" s="465"/>
      <c r="AY1347" s="465"/>
      <c r="AZ1347" s="465"/>
      <c r="BA1347" s="465"/>
      <c r="BB1347" s="465"/>
      <c r="BC1347" s="465"/>
    </row>
    <row r="1348" spans="1:55">
      <c r="A1348" s="465"/>
      <c r="B1348" s="465"/>
      <c r="C1348" s="465"/>
      <c r="D1348" s="467"/>
      <c r="E1348" s="465"/>
      <c r="F1348" s="465"/>
      <c r="G1348" s="465"/>
      <c r="H1348" s="465"/>
      <c r="I1348" s="465"/>
      <c r="J1348" s="465"/>
      <c r="K1348" s="465"/>
      <c r="L1348" s="465"/>
      <c r="M1348" s="465"/>
      <c r="N1348" s="465"/>
      <c r="O1348" s="465"/>
      <c r="P1348" s="465"/>
      <c r="Q1348" s="465"/>
      <c r="R1348" s="465"/>
      <c r="S1348" s="465"/>
      <c r="T1348" s="465"/>
      <c r="U1348" s="465"/>
      <c r="V1348" s="465"/>
      <c r="W1348" s="465"/>
      <c r="X1348" s="465"/>
      <c r="Y1348" s="465"/>
      <c r="Z1348" s="465"/>
      <c r="AA1348" s="465"/>
      <c r="AB1348" s="465"/>
      <c r="AC1348" s="465"/>
      <c r="AD1348" s="465"/>
      <c r="AE1348" s="465"/>
      <c r="AF1348" s="465"/>
      <c r="AG1348" s="465"/>
      <c r="AH1348" s="465"/>
      <c r="AI1348" s="465"/>
      <c r="AJ1348" s="465"/>
      <c r="AK1348" s="465"/>
      <c r="AL1348" s="465"/>
      <c r="AM1348" s="465"/>
      <c r="AN1348" s="465"/>
      <c r="AO1348" s="465"/>
      <c r="AP1348" s="465"/>
      <c r="AQ1348" s="465"/>
      <c r="AR1348" s="465"/>
      <c r="AS1348" s="465"/>
      <c r="AT1348" s="465"/>
      <c r="AU1348" s="465"/>
      <c r="AV1348" s="465"/>
      <c r="AW1348" s="465"/>
      <c r="AX1348" s="465"/>
      <c r="AY1348" s="465"/>
      <c r="AZ1348" s="465"/>
      <c r="BA1348" s="465"/>
      <c r="BB1348" s="465"/>
      <c r="BC1348" s="465"/>
    </row>
    <row r="1349" spans="1:55">
      <c r="A1349" s="465"/>
      <c r="B1349" s="465"/>
      <c r="C1349" s="465"/>
      <c r="D1349" s="467"/>
      <c r="E1349" s="465"/>
      <c r="F1349" s="465"/>
      <c r="G1349" s="465"/>
      <c r="H1349" s="465"/>
      <c r="I1349" s="465"/>
      <c r="J1349" s="465"/>
      <c r="K1349" s="465"/>
      <c r="L1349" s="465"/>
      <c r="M1349" s="465"/>
      <c r="N1349" s="465"/>
      <c r="O1349" s="465"/>
      <c r="P1349" s="465"/>
      <c r="Q1349" s="465"/>
      <c r="R1349" s="465"/>
      <c r="S1349" s="465"/>
      <c r="T1349" s="465"/>
      <c r="U1349" s="465"/>
      <c r="V1349" s="465"/>
      <c r="W1349" s="465"/>
      <c r="X1349" s="465"/>
      <c r="Y1349" s="465"/>
      <c r="Z1349" s="465"/>
      <c r="AA1349" s="465"/>
      <c r="AB1349" s="465"/>
      <c r="AC1349" s="465"/>
      <c r="AD1349" s="465"/>
      <c r="AE1349" s="465"/>
      <c r="AF1349" s="465"/>
      <c r="AG1349" s="465"/>
      <c r="AH1349" s="465"/>
      <c r="AI1349" s="465"/>
      <c r="AJ1349" s="465"/>
      <c r="AK1349" s="465"/>
      <c r="AL1349" s="465"/>
      <c r="AM1349" s="465"/>
      <c r="AN1349" s="465"/>
      <c r="AO1349" s="465"/>
      <c r="AP1349" s="465"/>
      <c r="AQ1349" s="465"/>
      <c r="AR1349" s="465"/>
      <c r="AS1349" s="465"/>
      <c r="AT1349" s="465"/>
      <c r="AU1349" s="465"/>
      <c r="AV1349" s="465"/>
      <c r="AW1349" s="465"/>
      <c r="AX1349" s="465"/>
      <c r="AY1349" s="465"/>
      <c r="AZ1349" s="465"/>
      <c r="BA1349" s="465"/>
      <c r="BB1349" s="465"/>
      <c r="BC1349" s="465"/>
    </row>
    <row r="1350" spans="1:55">
      <c r="A1350" s="465"/>
      <c r="B1350" s="465"/>
      <c r="C1350" s="465"/>
      <c r="D1350" s="467"/>
      <c r="E1350" s="465"/>
      <c r="F1350" s="465"/>
      <c r="G1350" s="465"/>
      <c r="H1350" s="465"/>
      <c r="I1350" s="465"/>
      <c r="J1350" s="465"/>
      <c r="K1350" s="465"/>
      <c r="L1350" s="465"/>
      <c r="M1350" s="465"/>
      <c r="N1350" s="465"/>
      <c r="O1350" s="465"/>
      <c r="P1350" s="465"/>
      <c r="Q1350" s="465"/>
      <c r="R1350" s="465"/>
      <c r="S1350" s="465"/>
      <c r="T1350" s="465"/>
      <c r="U1350" s="465"/>
      <c r="V1350" s="465"/>
      <c r="W1350" s="465"/>
      <c r="X1350" s="465"/>
      <c r="Y1350" s="465"/>
      <c r="Z1350" s="465"/>
      <c r="AA1350" s="465"/>
      <c r="AB1350" s="465"/>
      <c r="AC1350" s="465"/>
      <c r="AD1350" s="465"/>
      <c r="AE1350" s="465"/>
      <c r="AF1350" s="465"/>
      <c r="AG1350" s="465"/>
      <c r="AH1350" s="465"/>
      <c r="AI1350" s="465"/>
      <c r="AJ1350" s="465"/>
      <c r="AK1350" s="465"/>
      <c r="AL1350" s="465"/>
      <c r="AM1350" s="465"/>
      <c r="AN1350" s="465"/>
      <c r="AO1350" s="465"/>
      <c r="AP1350" s="465"/>
      <c r="AQ1350" s="465"/>
      <c r="AR1350" s="465"/>
      <c r="AS1350" s="465"/>
      <c r="AT1350" s="465"/>
      <c r="AU1350" s="465"/>
      <c r="AV1350" s="465"/>
      <c r="AW1350" s="465"/>
      <c r="AX1350" s="465"/>
      <c r="AY1350" s="465"/>
      <c r="AZ1350" s="465"/>
      <c r="BA1350" s="465"/>
      <c r="BB1350" s="465"/>
      <c r="BC1350" s="465"/>
    </row>
    <row r="1351" spans="1:55">
      <c r="A1351" s="465"/>
      <c r="B1351" s="465"/>
      <c r="C1351" s="465"/>
      <c r="D1351" s="467"/>
      <c r="E1351" s="465"/>
      <c r="F1351" s="465"/>
      <c r="G1351" s="465"/>
      <c r="H1351" s="465"/>
      <c r="I1351" s="465"/>
      <c r="J1351" s="465"/>
      <c r="K1351" s="465"/>
      <c r="L1351" s="465"/>
      <c r="M1351" s="465"/>
      <c r="N1351" s="465"/>
      <c r="O1351" s="465"/>
      <c r="P1351" s="465"/>
      <c r="Q1351" s="465"/>
      <c r="R1351" s="465"/>
      <c r="S1351" s="465"/>
      <c r="T1351" s="465"/>
      <c r="U1351" s="465"/>
      <c r="V1351" s="465"/>
      <c r="W1351" s="465"/>
      <c r="X1351" s="465"/>
      <c r="Y1351" s="465"/>
      <c r="Z1351" s="465"/>
      <c r="AA1351" s="465"/>
      <c r="AB1351" s="465"/>
      <c r="AC1351" s="465"/>
      <c r="AD1351" s="465"/>
      <c r="AE1351" s="465"/>
      <c r="AF1351" s="465"/>
      <c r="AG1351" s="465"/>
      <c r="AH1351" s="465"/>
      <c r="AI1351" s="465"/>
      <c r="AJ1351" s="465"/>
      <c r="AK1351" s="465"/>
      <c r="AL1351" s="465"/>
      <c r="AM1351" s="465"/>
      <c r="AN1351" s="465"/>
      <c r="AO1351" s="465"/>
      <c r="AP1351" s="465"/>
      <c r="AQ1351" s="465"/>
      <c r="AR1351" s="465"/>
      <c r="AS1351" s="465"/>
      <c r="AT1351" s="465"/>
      <c r="AU1351" s="465"/>
      <c r="AV1351" s="465"/>
      <c r="AW1351" s="465"/>
      <c r="AX1351" s="465"/>
      <c r="AY1351" s="465"/>
      <c r="AZ1351" s="465"/>
      <c r="BA1351" s="465"/>
      <c r="BB1351" s="465"/>
      <c r="BC1351" s="465"/>
    </row>
    <row r="1352" spans="1:55">
      <c r="A1352" s="465"/>
      <c r="B1352" s="465"/>
      <c r="C1352" s="465"/>
      <c r="D1352" s="467"/>
      <c r="E1352" s="465"/>
      <c r="F1352" s="465"/>
      <c r="G1352" s="465"/>
      <c r="H1352" s="465"/>
      <c r="I1352" s="465"/>
      <c r="J1352" s="465"/>
      <c r="K1352" s="465"/>
      <c r="L1352" s="465"/>
      <c r="M1352" s="465"/>
      <c r="N1352" s="465"/>
      <c r="O1352" s="465"/>
      <c r="P1352" s="465"/>
      <c r="Q1352" s="465"/>
      <c r="R1352" s="465"/>
      <c r="S1352" s="465"/>
      <c r="T1352" s="465"/>
      <c r="U1352" s="465"/>
      <c r="V1352" s="465"/>
      <c r="W1352" s="465"/>
      <c r="X1352" s="465"/>
      <c r="Y1352" s="465"/>
      <c r="Z1352" s="465"/>
      <c r="AA1352" s="465"/>
      <c r="AB1352" s="465"/>
      <c r="AC1352" s="465"/>
      <c r="AD1352" s="465"/>
      <c r="AE1352" s="465"/>
      <c r="AF1352" s="465"/>
      <c r="AG1352" s="465"/>
      <c r="AH1352" s="465"/>
      <c r="AI1352" s="465"/>
      <c r="AJ1352" s="465"/>
      <c r="AK1352" s="465"/>
      <c r="AL1352" s="465"/>
      <c r="AM1352" s="465"/>
      <c r="AN1352" s="465"/>
      <c r="AO1352" s="465"/>
      <c r="AP1352" s="465"/>
      <c r="AQ1352" s="465"/>
      <c r="AR1352" s="465"/>
      <c r="AS1352" s="465"/>
      <c r="AT1352" s="465"/>
      <c r="AU1352" s="465"/>
      <c r="AV1352" s="465"/>
      <c r="AW1352" s="465"/>
      <c r="AX1352" s="465"/>
      <c r="AY1352" s="465"/>
      <c r="AZ1352" s="465"/>
      <c r="BA1352" s="465"/>
      <c r="BB1352" s="465"/>
      <c r="BC1352" s="465"/>
    </row>
    <row r="1353" spans="1:55">
      <c r="A1353" s="465"/>
      <c r="B1353" s="465"/>
      <c r="C1353" s="465"/>
      <c r="D1353" s="467"/>
      <c r="E1353" s="465"/>
      <c r="F1353" s="465"/>
      <c r="G1353" s="465"/>
      <c r="H1353" s="465"/>
      <c r="I1353" s="465"/>
      <c r="J1353" s="465"/>
      <c r="K1353" s="465"/>
      <c r="L1353" s="465"/>
      <c r="M1353" s="465"/>
      <c r="N1353" s="465"/>
      <c r="O1353" s="465"/>
      <c r="P1353" s="465"/>
      <c r="Q1353" s="465"/>
      <c r="R1353" s="465"/>
      <c r="S1353" s="465"/>
      <c r="T1353" s="465"/>
      <c r="U1353" s="465"/>
      <c r="V1353" s="465"/>
      <c r="W1353" s="465"/>
      <c r="X1353" s="465"/>
      <c r="Y1353" s="465"/>
      <c r="Z1353" s="465"/>
      <c r="AA1353" s="465"/>
      <c r="AB1353" s="465"/>
      <c r="AC1353" s="465"/>
      <c r="AD1353" s="465"/>
      <c r="AE1353" s="465"/>
      <c r="AF1353" s="465"/>
      <c r="AG1353" s="465"/>
      <c r="AH1353" s="465"/>
      <c r="AI1353" s="465"/>
      <c r="AJ1353" s="465"/>
      <c r="AK1353" s="465"/>
      <c r="AL1353" s="465"/>
      <c r="AM1353" s="465"/>
      <c r="AN1353" s="465"/>
      <c r="AO1353" s="465"/>
      <c r="AP1353" s="465"/>
      <c r="AQ1353" s="465"/>
      <c r="AR1353" s="465"/>
      <c r="AS1353" s="465"/>
      <c r="AT1353" s="465"/>
      <c r="AU1353" s="465"/>
      <c r="AV1353" s="465"/>
      <c r="AW1353" s="465"/>
      <c r="AX1353" s="465"/>
      <c r="AY1353" s="465"/>
      <c r="AZ1353" s="465"/>
      <c r="BA1353" s="465"/>
      <c r="BB1353" s="465"/>
      <c r="BC1353" s="465"/>
    </row>
    <row r="1354" spans="1:55">
      <c r="A1354" s="465"/>
      <c r="B1354" s="465"/>
      <c r="C1354" s="465"/>
      <c r="D1354" s="467"/>
      <c r="E1354" s="465"/>
      <c r="F1354" s="465"/>
      <c r="G1354" s="465"/>
      <c r="H1354" s="465"/>
      <c r="I1354" s="465"/>
      <c r="J1354" s="465"/>
      <c r="K1354" s="465"/>
      <c r="L1354" s="465"/>
      <c r="M1354" s="465"/>
      <c r="N1354" s="465"/>
      <c r="O1354" s="465"/>
      <c r="P1354" s="465"/>
      <c r="Q1354" s="465"/>
      <c r="R1354" s="465"/>
      <c r="S1354" s="465"/>
      <c r="T1354" s="465"/>
      <c r="U1354" s="465"/>
      <c r="V1354" s="465"/>
      <c r="W1354" s="465"/>
      <c r="X1354" s="465"/>
      <c r="Y1354" s="465"/>
      <c r="Z1354" s="465"/>
      <c r="AA1354" s="465"/>
      <c r="AB1354" s="465"/>
      <c r="AC1354" s="465"/>
      <c r="AD1354" s="465"/>
      <c r="AE1354" s="465"/>
      <c r="AF1354" s="465"/>
      <c r="AG1354" s="465"/>
      <c r="AH1354" s="465"/>
      <c r="AI1354" s="465"/>
      <c r="AJ1354" s="465"/>
      <c r="AK1354" s="465"/>
      <c r="AL1354" s="465"/>
      <c r="AM1354" s="465"/>
      <c r="AN1354" s="465"/>
      <c r="AO1354" s="465"/>
      <c r="AP1354" s="465"/>
      <c r="AQ1354" s="465"/>
      <c r="AR1354" s="465"/>
      <c r="AS1354" s="465"/>
      <c r="AT1354" s="465"/>
      <c r="AU1354" s="465"/>
      <c r="AV1354" s="465"/>
      <c r="AW1354" s="465"/>
      <c r="AX1354" s="465"/>
      <c r="AY1354" s="465"/>
      <c r="AZ1354" s="465"/>
      <c r="BA1354" s="465"/>
      <c r="BB1354" s="465"/>
      <c r="BC1354" s="465"/>
    </row>
    <row r="1355" spans="1:55">
      <c r="A1355" s="465"/>
      <c r="B1355" s="465"/>
      <c r="C1355" s="465"/>
      <c r="D1355" s="467"/>
      <c r="E1355" s="465"/>
      <c r="F1355" s="465"/>
      <c r="G1355" s="465"/>
      <c r="H1355" s="465"/>
      <c r="I1355" s="465"/>
      <c r="J1355" s="465"/>
      <c r="K1355" s="465"/>
      <c r="L1355" s="465"/>
      <c r="M1355" s="465"/>
      <c r="N1355" s="465"/>
      <c r="O1355" s="465"/>
      <c r="P1355" s="465"/>
      <c r="Q1355" s="465"/>
      <c r="R1355" s="465"/>
      <c r="S1355" s="465"/>
      <c r="T1355" s="465"/>
      <c r="U1355" s="465"/>
      <c r="V1355" s="465"/>
      <c r="W1355" s="465"/>
      <c r="X1355" s="465"/>
      <c r="Y1355" s="465"/>
      <c r="Z1355" s="465"/>
      <c r="AA1355" s="465"/>
      <c r="AB1355" s="465"/>
      <c r="AC1355" s="465"/>
      <c r="AD1355" s="465"/>
      <c r="AE1355" s="465"/>
      <c r="AF1355" s="465"/>
      <c r="AG1355" s="465"/>
      <c r="AH1355" s="465"/>
      <c r="AI1355" s="465"/>
      <c r="AJ1355" s="465"/>
      <c r="AK1355" s="465"/>
      <c r="AL1355" s="465"/>
      <c r="AM1355" s="465"/>
      <c r="AN1355" s="465"/>
      <c r="AO1355" s="465"/>
      <c r="AP1355" s="465"/>
      <c r="AQ1355" s="465"/>
      <c r="AR1355" s="465"/>
      <c r="AS1355" s="465"/>
      <c r="AT1355" s="465"/>
      <c r="AU1355" s="465"/>
      <c r="AV1355" s="465"/>
      <c r="AW1355" s="465"/>
      <c r="AX1355" s="465"/>
      <c r="AY1355" s="465"/>
      <c r="AZ1355" s="465"/>
      <c r="BA1355" s="465"/>
      <c r="BB1355" s="465"/>
      <c r="BC1355" s="465"/>
    </row>
    <row r="1356" spans="1:55">
      <c r="A1356" s="465"/>
      <c r="B1356" s="465"/>
      <c r="C1356" s="465"/>
      <c r="D1356" s="467"/>
      <c r="E1356" s="465"/>
      <c r="F1356" s="465"/>
      <c r="G1356" s="465"/>
      <c r="H1356" s="465"/>
      <c r="I1356" s="465"/>
      <c r="J1356" s="465"/>
      <c r="K1356" s="465"/>
      <c r="L1356" s="465"/>
      <c r="M1356" s="465"/>
      <c r="N1356" s="465"/>
      <c r="O1356" s="465"/>
      <c r="P1356" s="465"/>
      <c r="Q1356" s="465"/>
      <c r="R1356" s="465"/>
      <c r="S1356" s="465"/>
      <c r="T1356" s="465"/>
      <c r="U1356" s="465"/>
      <c r="V1356" s="465"/>
      <c r="W1356" s="465"/>
      <c r="X1356" s="465"/>
      <c r="Y1356" s="465"/>
      <c r="Z1356" s="465"/>
      <c r="AA1356" s="465"/>
      <c r="AB1356" s="465"/>
      <c r="AC1356" s="465"/>
      <c r="AD1356" s="465"/>
      <c r="AE1356" s="465"/>
      <c r="AF1356" s="465"/>
      <c r="AG1356" s="465"/>
      <c r="AH1356" s="465"/>
      <c r="AI1356" s="465"/>
      <c r="AJ1356" s="465"/>
      <c r="AK1356" s="465"/>
      <c r="AL1356" s="465"/>
      <c r="AM1356" s="465"/>
      <c r="AN1356" s="465"/>
      <c r="AO1356" s="465"/>
      <c r="AP1356" s="465"/>
      <c r="AQ1356" s="465"/>
      <c r="AR1356" s="465"/>
      <c r="AS1356" s="465"/>
      <c r="AT1356" s="465"/>
      <c r="AU1356" s="465"/>
      <c r="AV1356" s="465"/>
      <c r="AW1356" s="465"/>
      <c r="AX1356" s="465"/>
      <c r="AY1356" s="465"/>
      <c r="AZ1356" s="465"/>
      <c r="BA1356" s="465"/>
      <c r="BB1356" s="465"/>
      <c r="BC1356" s="465"/>
    </row>
    <row r="1357" spans="1:55">
      <c r="A1357" s="465"/>
      <c r="B1357" s="465"/>
      <c r="C1357" s="465"/>
      <c r="D1357" s="467"/>
      <c r="E1357" s="465"/>
      <c r="F1357" s="465"/>
      <c r="G1357" s="465"/>
      <c r="H1357" s="465"/>
      <c r="I1357" s="465"/>
      <c r="J1357" s="465"/>
      <c r="K1357" s="465"/>
      <c r="L1357" s="465"/>
      <c r="M1357" s="465"/>
      <c r="N1357" s="465"/>
      <c r="O1357" s="465"/>
      <c r="P1357" s="465"/>
      <c r="Q1357" s="465"/>
      <c r="R1357" s="465"/>
      <c r="S1357" s="465"/>
      <c r="T1357" s="465"/>
      <c r="U1357" s="465"/>
      <c r="V1357" s="465"/>
      <c r="W1357" s="465"/>
      <c r="X1357" s="465"/>
      <c r="Y1357" s="465"/>
      <c r="Z1357" s="465"/>
      <c r="AA1357" s="465"/>
      <c r="AB1357" s="465"/>
      <c r="AC1357" s="465"/>
      <c r="AD1357" s="465"/>
      <c r="AE1357" s="465"/>
      <c r="AF1357" s="465"/>
      <c r="AG1357" s="465"/>
      <c r="AH1357" s="465"/>
      <c r="AI1357" s="465"/>
      <c r="AJ1357" s="465"/>
      <c r="AK1357" s="465"/>
      <c r="AL1357" s="465"/>
      <c r="AM1357" s="465"/>
      <c r="AN1357" s="465"/>
      <c r="AO1357" s="465"/>
      <c r="AP1357" s="465"/>
      <c r="AQ1357" s="465"/>
      <c r="AR1357" s="465"/>
      <c r="AS1357" s="465"/>
      <c r="AT1357" s="465"/>
      <c r="AU1357" s="465"/>
      <c r="AV1357" s="465"/>
      <c r="AW1357" s="465"/>
      <c r="AX1357" s="465"/>
      <c r="AY1357" s="465"/>
      <c r="AZ1357" s="465"/>
      <c r="BA1357" s="465"/>
      <c r="BB1357" s="465"/>
      <c r="BC1357" s="465"/>
    </row>
    <row r="1358" spans="1:55">
      <c r="A1358" s="465"/>
      <c r="B1358" s="465"/>
      <c r="C1358" s="465"/>
      <c r="D1358" s="467"/>
      <c r="E1358" s="465"/>
      <c r="F1358" s="465"/>
      <c r="G1358" s="465"/>
      <c r="H1358" s="465"/>
      <c r="I1358" s="465"/>
      <c r="J1358" s="465"/>
      <c r="K1358" s="465"/>
      <c r="L1358" s="465"/>
      <c r="M1358" s="465"/>
      <c r="N1358" s="465"/>
      <c r="O1358" s="465"/>
      <c r="P1358" s="465"/>
      <c r="Q1358" s="465"/>
      <c r="R1358" s="465"/>
      <c r="S1358" s="465"/>
      <c r="T1358" s="465"/>
      <c r="U1358" s="465"/>
      <c r="V1358" s="465"/>
      <c r="W1358" s="465"/>
      <c r="X1358" s="465"/>
      <c r="Y1358" s="465"/>
      <c r="Z1358" s="465"/>
      <c r="AA1358" s="465"/>
      <c r="AB1358" s="465"/>
      <c r="AC1358" s="465"/>
      <c r="AD1358" s="465"/>
      <c r="AE1358" s="465"/>
      <c r="AF1358" s="465"/>
      <c r="AG1358" s="465"/>
      <c r="AH1358" s="465"/>
      <c r="AI1358" s="465"/>
      <c r="AJ1358" s="465"/>
      <c r="AK1358" s="465"/>
      <c r="AL1358" s="465"/>
      <c r="AM1358" s="465"/>
      <c r="AN1358" s="465"/>
      <c r="AO1358" s="465"/>
      <c r="AP1358" s="465"/>
      <c r="AQ1358" s="465"/>
      <c r="AR1358" s="465"/>
      <c r="AS1358" s="465"/>
      <c r="AT1358" s="465"/>
      <c r="AU1358" s="465"/>
      <c r="AV1358" s="465"/>
      <c r="AW1358" s="465"/>
      <c r="AX1358" s="465"/>
      <c r="AY1358" s="465"/>
      <c r="AZ1358" s="465"/>
      <c r="BA1358" s="465"/>
      <c r="BB1358" s="465"/>
      <c r="BC1358" s="465"/>
    </row>
    <row r="1359" spans="1:55">
      <c r="A1359" s="465"/>
      <c r="B1359" s="465"/>
      <c r="C1359" s="465"/>
      <c r="D1359" s="467"/>
      <c r="E1359" s="465"/>
      <c r="F1359" s="465"/>
      <c r="G1359" s="465"/>
      <c r="H1359" s="465"/>
      <c r="I1359" s="465"/>
      <c r="J1359" s="465"/>
      <c r="K1359" s="465"/>
      <c r="L1359" s="465"/>
      <c r="M1359" s="465"/>
      <c r="N1359" s="465"/>
      <c r="O1359" s="465"/>
      <c r="P1359" s="465"/>
      <c r="Q1359" s="465"/>
      <c r="R1359" s="465"/>
      <c r="S1359" s="465"/>
      <c r="T1359" s="465"/>
      <c r="U1359" s="465"/>
      <c r="V1359" s="465"/>
      <c r="W1359" s="465"/>
      <c r="X1359" s="465"/>
      <c r="Y1359" s="465"/>
      <c r="Z1359" s="465"/>
      <c r="AA1359" s="465"/>
      <c r="AB1359" s="465"/>
      <c r="AC1359" s="465"/>
      <c r="AD1359" s="465"/>
      <c r="AE1359" s="465"/>
      <c r="AF1359" s="465"/>
      <c r="AG1359" s="465"/>
      <c r="AH1359" s="465"/>
      <c r="AI1359" s="465"/>
      <c r="AJ1359" s="465"/>
      <c r="AK1359" s="465"/>
      <c r="AL1359" s="465"/>
      <c r="AM1359" s="465"/>
      <c r="AN1359" s="465"/>
      <c r="AO1359" s="465"/>
      <c r="AP1359" s="465"/>
      <c r="AQ1359" s="465"/>
      <c r="AR1359" s="465"/>
      <c r="AS1359" s="465"/>
      <c r="AT1359" s="465"/>
      <c r="AU1359" s="465"/>
      <c r="AV1359" s="465"/>
      <c r="AW1359" s="465"/>
      <c r="AX1359" s="465"/>
      <c r="AY1359" s="465"/>
      <c r="AZ1359" s="465"/>
      <c r="BA1359" s="465"/>
      <c r="BB1359" s="465"/>
      <c r="BC1359" s="465"/>
    </row>
    <row r="1360" spans="1:55">
      <c r="A1360" s="465"/>
      <c r="B1360" s="465"/>
      <c r="C1360" s="465"/>
      <c r="D1360" s="467"/>
      <c r="E1360" s="465"/>
      <c r="F1360" s="465"/>
      <c r="G1360" s="465"/>
      <c r="H1360" s="465"/>
      <c r="I1360" s="465"/>
      <c r="J1360" s="465"/>
      <c r="K1360" s="465"/>
      <c r="L1360" s="465"/>
      <c r="M1360" s="465"/>
      <c r="N1360" s="465"/>
      <c r="O1360" s="465"/>
      <c r="P1360" s="465"/>
      <c r="Q1360" s="465"/>
      <c r="R1360" s="465"/>
      <c r="S1360" s="465"/>
      <c r="T1360" s="465"/>
      <c r="U1360" s="465"/>
      <c r="V1360" s="465"/>
      <c r="W1360" s="465"/>
      <c r="X1360" s="465"/>
      <c r="Y1360" s="465"/>
      <c r="Z1360" s="465"/>
      <c r="AA1360" s="465"/>
      <c r="AB1360" s="465"/>
      <c r="AC1360" s="465"/>
      <c r="AD1360" s="465"/>
      <c r="AE1360" s="465"/>
      <c r="AF1360" s="465"/>
      <c r="AG1360" s="465"/>
      <c r="AH1360" s="465"/>
      <c r="AI1360" s="465"/>
      <c r="AJ1360" s="465"/>
      <c r="AK1360" s="465"/>
      <c r="AL1360" s="465"/>
      <c r="AM1360" s="465"/>
      <c r="AN1360" s="465"/>
      <c r="AO1360" s="465"/>
      <c r="AP1360" s="465"/>
      <c r="AQ1360" s="465"/>
      <c r="AR1360" s="465"/>
      <c r="AS1360" s="465"/>
      <c r="AT1360" s="465"/>
      <c r="AU1360" s="465"/>
      <c r="AV1360" s="465"/>
      <c r="AW1360" s="465"/>
      <c r="AX1360" s="465"/>
      <c r="AY1360" s="465"/>
      <c r="AZ1360" s="465"/>
      <c r="BA1360" s="465"/>
      <c r="BB1360" s="465"/>
      <c r="BC1360" s="465"/>
    </row>
    <row r="1361" spans="1:55">
      <c r="A1361" s="465"/>
      <c r="B1361" s="465"/>
      <c r="C1361" s="465"/>
      <c r="D1361" s="467"/>
      <c r="E1361" s="465"/>
      <c r="F1361" s="465"/>
      <c r="G1361" s="465"/>
      <c r="H1361" s="465"/>
      <c r="I1361" s="465"/>
      <c r="J1361" s="465"/>
      <c r="K1361" s="465"/>
      <c r="L1361" s="465"/>
      <c r="M1361" s="465"/>
      <c r="N1361" s="465"/>
      <c r="O1361" s="465"/>
      <c r="P1361" s="465"/>
      <c r="Q1361" s="465"/>
      <c r="R1361" s="465"/>
      <c r="S1361" s="465"/>
      <c r="T1361" s="465"/>
      <c r="U1361" s="465"/>
      <c r="V1361" s="465"/>
      <c r="W1361" s="465"/>
      <c r="X1361" s="465"/>
      <c r="Y1361" s="465"/>
      <c r="Z1361" s="465"/>
      <c r="AA1361" s="465"/>
      <c r="AB1361" s="465"/>
      <c r="AC1361" s="465"/>
      <c r="AD1361" s="465"/>
      <c r="AE1361" s="465"/>
      <c r="AF1361" s="465"/>
      <c r="AG1361" s="465"/>
      <c r="AH1361" s="465"/>
      <c r="AI1361" s="465"/>
      <c r="AJ1361" s="465"/>
      <c r="AK1361" s="465"/>
      <c r="AL1361" s="465"/>
      <c r="AM1361" s="465"/>
      <c r="AN1361" s="465"/>
      <c r="AO1361" s="465"/>
      <c r="AP1361" s="465"/>
      <c r="AQ1361" s="465"/>
      <c r="AR1361" s="465"/>
      <c r="AS1361" s="465"/>
      <c r="AT1361" s="465"/>
      <c r="AU1361" s="465"/>
      <c r="AV1361" s="465"/>
      <c r="AW1361" s="465"/>
      <c r="AX1361" s="465"/>
      <c r="AY1361" s="465"/>
      <c r="AZ1361" s="465"/>
      <c r="BA1361" s="465"/>
      <c r="BB1361" s="465"/>
      <c r="BC1361" s="465"/>
    </row>
    <row r="1362" spans="1:55">
      <c r="A1362" s="465"/>
      <c r="B1362" s="465"/>
      <c r="C1362" s="465"/>
      <c r="D1362" s="467"/>
      <c r="E1362" s="465"/>
      <c r="F1362" s="465"/>
      <c r="G1362" s="465"/>
      <c r="H1362" s="465"/>
      <c r="I1362" s="465"/>
      <c r="J1362" s="465"/>
      <c r="K1362" s="465"/>
      <c r="L1362" s="465"/>
      <c r="M1362" s="465"/>
      <c r="N1362" s="465"/>
      <c r="O1362" s="465"/>
      <c r="P1362" s="465"/>
      <c r="Q1362" s="465"/>
      <c r="R1362" s="465"/>
      <c r="S1362" s="465"/>
      <c r="T1362" s="465"/>
      <c r="U1362" s="465"/>
      <c r="V1362" s="465"/>
      <c r="W1362" s="465"/>
      <c r="X1362" s="465"/>
      <c r="Y1362" s="465"/>
      <c r="Z1362" s="465"/>
      <c r="AA1362" s="465"/>
      <c r="AB1362" s="465"/>
      <c r="AC1362" s="465"/>
      <c r="AD1362" s="465"/>
      <c r="AE1362" s="465"/>
      <c r="AF1362" s="465"/>
      <c r="AG1362" s="465"/>
      <c r="AH1362" s="465"/>
      <c r="AI1362" s="465"/>
      <c r="AJ1362" s="465"/>
      <c r="AK1362" s="465"/>
      <c r="AL1362" s="465"/>
      <c r="AM1362" s="465"/>
      <c r="AN1362" s="465"/>
      <c r="AO1362" s="465"/>
      <c r="AP1362" s="465"/>
      <c r="AQ1362" s="465"/>
      <c r="AR1362" s="465"/>
      <c r="AS1362" s="465"/>
      <c r="AT1362" s="465"/>
      <c r="AU1362" s="465"/>
      <c r="AV1362" s="465"/>
      <c r="AW1362" s="465"/>
      <c r="AX1362" s="465"/>
      <c r="AY1362" s="465"/>
      <c r="AZ1362" s="465"/>
      <c r="BA1362" s="465"/>
      <c r="BB1362" s="465"/>
      <c r="BC1362" s="465"/>
    </row>
    <row r="1363" spans="1:55">
      <c r="A1363" s="465"/>
      <c r="B1363" s="465"/>
      <c r="C1363" s="465"/>
      <c r="D1363" s="467"/>
      <c r="E1363" s="465"/>
      <c r="F1363" s="465"/>
      <c r="G1363" s="465"/>
      <c r="H1363" s="465"/>
      <c r="I1363" s="465"/>
      <c r="J1363" s="465"/>
      <c r="K1363" s="465"/>
      <c r="L1363" s="465"/>
      <c r="M1363" s="465"/>
      <c r="N1363" s="465"/>
      <c r="O1363" s="465"/>
      <c r="P1363" s="465"/>
      <c r="Q1363" s="465"/>
      <c r="R1363" s="465"/>
      <c r="S1363" s="465"/>
      <c r="T1363" s="465"/>
      <c r="U1363" s="465"/>
      <c r="V1363" s="465"/>
      <c r="W1363" s="465"/>
      <c r="X1363" s="465"/>
      <c r="Y1363" s="465"/>
      <c r="Z1363" s="465"/>
      <c r="AA1363" s="465"/>
      <c r="AB1363" s="465"/>
      <c r="AC1363" s="465"/>
      <c r="AD1363" s="465"/>
      <c r="AE1363" s="465"/>
      <c r="AF1363" s="465"/>
      <c r="AG1363" s="465"/>
      <c r="AH1363" s="465"/>
      <c r="AI1363" s="465"/>
      <c r="AJ1363" s="465"/>
      <c r="AK1363" s="465"/>
      <c r="AL1363" s="465"/>
      <c r="AM1363" s="465"/>
      <c r="AN1363" s="465"/>
      <c r="AO1363" s="465"/>
      <c r="AP1363" s="465"/>
      <c r="AQ1363" s="465"/>
      <c r="AR1363" s="465"/>
      <c r="AS1363" s="465"/>
      <c r="AT1363" s="465"/>
      <c r="AU1363" s="465"/>
      <c r="AV1363" s="465"/>
      <c r="AW1363" s="465"/>
      <c r="AX1363" s="465"/>
      <c r="AY1363" s="465"/>
      <c r="AZ1363" s="465"/>
      <c r="BA1363" s="465"/>
      <c r="BB1363" s="465"/>
      <c r="BC1363" s="465"/>
    </row>
    <row r="1364" spans="1:55">
      <c r="A1364" s="465"/>
      <c r="B1364" s="465"/>
      <c r="C1364" s="465"/>
      <c r="D1364" s="467"/>
      <c r="E1364" s="465"/>
      <c r="F1364" s="465"/>
      <c r="G1364" s="465"/>
      <c r="H1364" s="465"/>
      <c r="I1364" s="465"/>
      <c r="J1364" s="465"/>
      <c r="K1364" s="465"/>
      <c r="L1364" s="465"/>
      <c r="M1364" s="465"/>
      <c r="N1364" s="465"/>
      <c r="O1364" s="465"/>
      <c r="P1364" s="465"/>
      <c r="Q1364" s="465"/>
      <c r="R1364" s="465"/>
      <c r="S1364" s="465"/>
      <c r="T1364" s="465"/>
      <c r="U1364" s="465"/>
      <c r="V1364" s="465"/>
      <c r="W1364" s="465"/>
      <c r="X1364" s="465"/>
      <c r="Y1364" s="465"/>
      <c r="Z1364" s="465"/>
      <c r="AA1364" s="465"/>
      <c r="AB1364" s="465"/>
      <c r="AC1364" s="465"/>
      <c r="AD1364" s="465"/>
      <c r="AE1364" s="465"/>
      <c r="AF1364" s="465"/>
      <c r="AG1364" s="465"/>
      <c r="AH1364" s="465"/>
      <c r="AI1364" s="465"/>
      <c r="AJ1364" s="465"/>
      <c r="AK1364" s="465"/>
      <c r="AL1364" s="465"/>
      <c r="AM1364" s="465"/>
      <c r="AN1364" s="465"/>
      <c r="AO1364" s="465"/>
      <c r="AP1364" s="465"/>
      <c r="AQ1364" s="465"/>
      <c r="AR1364" s="465"/>
      <c r="AS1364" s="465"/>
      <c r="AT1364" s="465"/>
      <c r="AU1364" s="465"/>
      <c r="AV1364" s="465"/>
      <c r="AW1364" s="465"/>
      <c r="AX1364" s="465"/>
      <c r="AY1364" s="465"/>
      <c r="AZ1364" s="465"/>
      <c r="BA1364" s="465"/>
      <c r="BB1364" s="465"/>
      <c r="BC1364" s="465"/>
    </row>
    <row r="1365" spans="1:55">
      <c r="A1365" s="465"/>
      <c r="B1365" s="465"/>
      <c r="C1365" s="465"/>
      <c r="D1365" s="467"/>
      <c r="E1365" s="465"/>
      <c r="F1365" s="465"/>
      <c r="G1365" s="465"/>
      <c r="H1365" s="465"/>
      <c r="I1365" s="465"/>
      <c r="J1365" s="465"/>
      <c r="K1365" s="465"/>
      <c r="L1365" s="465"/>
      <c r="M1365" s="465"/>
      <c r="N1365" s="465"/>
      <c r="O1365" s="465"/>
      <c r="P1365" s="465"/>
      <c r="Q1365" s="465"/>
      <c r="R1365" s="465"/>
      <c r="S1365" s="465"/>
      <c r="T1365" s="465"/>
      <c r="U1365" s="465"/>
      <c r="V1365" s="465"/>
      <c r="W1365" s="465"/>
      <c r="X1365" s="465"/>
      <c r="Y1365" s="465"/>
      <c r="Z1365" s="465"/>
      <c r="AA1365" s="465"/>
      <c r="AB1365" s="465"/>
      <c r="AC1365" s="465"/>
      <c r="AD1365" s="465"/>
      <c r="AE1365" s="465"/>
      <c r="AF1365" s="465"/>
      <c r="AG1365" s="465"/>
      <c r="AH1365" s="465"/>
      <c r="AI1365" s="465"/>
      <c r="AJ1365" s="465"/>
      <c r="AK1365" s="465"/>
      <c r="AL1365" s="465"/>
      <c r="AM1365" s="465"/>
      <c r="AN1365" s="465"/>
      <c r="AO1365" s="465"/>
      <c r="AP1365" s="465"/>
      <c r="AQ1365" s="465"/>
      <c r="AR1365" s="465"/>
      <c r="AS1365" s="465"/>
      <c r="AT1365" s="465"/>
      <c r="AU1365" s="465"/>
      <c r="AV1365" s="465"/>
      <c r="AW1365" s="465"/>
      <c r="AX1365" s="465"/>
      <c r="AY1365" s="465"/>
      <c r="AZ1365" s="465"/>
      <c r="BA1365" s="465"/>
      <c r="BB1365" s="465"/>
      <c r="BC1365" s="465"/>
    </row>
    <row r="1366" spans="1:55">
      <c r="A1366" s="465"/>
      <c r="B1366" s="465"/>
      <c r="C1366" s="465"/>
      <c r="D1366" s="467"/>
      <c r="E1366" s="465"/>
      <c r="F1366" s="465"/>
      <c r="G1366" s="465"/>
      <c r="H1366" s="465"/>
      <c r="I1366" s="465"/>
      <c r="J1366" s="465"/>
      <c r="K1366" s="465"/>
      <c r="L1366" s="465"/>
      <c r="M1366" s="465"/>
      <c r="N1366" s="465"/>
      <c r="O1366" s="465"/>
      <c r="P1366" s="465"/>
      <c r="Q1366" s="465"/>
      <c r="R1366" s="465"/>
      <c r="S1366" s="465"/>
      <c r="T1366" s="465"/>
      <c r="U1366" s="465"/>
      <c r="V1366" s="465"/>
      <c r="W1366" s="465"/>
      <c r="X1366" s="465"/>
      <c r="Y1366" s="465"/>
      <c r="Z1366" s="465"/>
      <c r="AA1366" s="465"/>
      <c r="AB1366" s="465"/>
      <c r="AC1366" s="465"/>
      <c r="AD1366" s="465"/>
      <c r="AE1366" s="465"/>
      <c r="AF1366" s="465"/>
      <c r="AG1366" s="465"/>
      <c r="AH1366" s="465"/>
      <c r="AI1366" s="465"/>
      <c r="AJ1366" s="465"/>
      <c r="AK1366" s="465"/>
      <c r="AL1366" s="465"/>
      <c r="AM1366" s="465"/>
      <c r="AN1366" s="465"/>
      <c r="AO1366" s="465"/>
      <c r="AP1366" s="465"/>
      <c r="AQ1366" s="465"/>
      <c r="AR1366" s="465"/>
      <c r="AS1366" s="465"/>
      <c r="AT1366" s="465"/>
      <c r="AU1366" s="465"/>
      <c r="AV1366" s="465"/>
      <c r="AW1366" s="465"/>
      <c r="AX1366" s="465"/>
      <c r="AY1366" s="465"/>
      <c r="AZ1366" s="465"/>
      <c r="BA1366" s="465"/>
      <c r="BB1366" s="465"/>
      <c r="BC1366" s="465"/>
    </row>
    <row r="1367" spans="1:55">
      <c r="A1367" s="465"/>
      <c r="B1367" s="465"/>
      <c r="C1367" s="465"/>
      <c r="D1367" s="467"/>
      <c r="E1367" s="465"/>
      <c r="F1367" s="465"/>
      <c r="G1367" s="465"/>
      <c r="H1367" s="465"/>
      <c r="I1367" s="465"/>
      <c r="J1367" s="465"/>
      <c r="K1367" s="465"/>
      <c r="L1367" s="465"/>
      <c r="M1367" s="465"/>
      <c r="N1367" s="465"/>
      <c r="O1367" s="465"/>
      <c r="P1367" s="465"/>
      <c r="Q1367" s="465"/>
      <c r="R1367" s="465"/>
      <c r="S1367" s="465"/>
      <c r="T1367" s="465"/>
      <c r="U1367" s="465"/>
      <c r="V1367" s="465"/>
      <c r="W1367" s="465"/>
      <c r="X1367" s="465"/>
      <c r="Y1367" s="465"/>
      <c r="Z1367" s="465"/>
      <c r="AA1367" s="465"/>
      <c r="AB1367" s="465"/>
      <c r="AC1367" s="465"/>
      <c r="AD1367" s="465"/>
      <c r="AE1367" s="465"/>
      <c r="AF1367" s="465"/>
      <c r="AG1367" s="465"/>
      <c r="AH1367" s="465"/>
      <c r="AI1367" s="465"/>
      <c r="AJ1367" s="465"/>
      <c r="AK1367" s="465"/>
      <c r="AL1367" s="465"/>
      <c r="AM1367" s="465"/>
      <c r="AN1367" s="465"/>
      <c r="AO1367" s="465"/>
      <c r="AP1367" s="465"/>
      <c r="AQ1367" s="465"/>
      <c r="AR1367" s="465"/>
      <c r="AS1367" s="465"/>
      <c r="AT1367" s="465"/>
      <c r="AU1367" s="465"/>
      <c r="AV1367" s="465"/>
      <c r="AW1367" s="465"/>
      <c r="AX1367" s="465"/>
      <c r="AY1367" s="465"/>
      <c r="AZ1367" s="465"/>
      <c r="BA1367" s="465"/>
      <c r="BB1367" s="465"/>
      <c r="BC1367" s="465"/>
    </row>
    <row r="1368" spans="1:55">
      <c r="A1368" s="465"/>
      <c r="B1368" s="465"/>
      <c r="C1368" s="465"/>
      <c r="D1368" s="467"/>
      <c r="E1368" s="465"/>
      <c r="F1368" s="465"/>
      <c r="G1368" s="465"/>
      <c r="H1368" s="465"/>
      <c r="I1368" s="465"/>
      <c r="J1368" s="465"/>
      <c r="K1368" s="465"/>
      <c r="L1368" s="465"/>
      <c r="M1368" s="465"/>
      <c r="N1368" s="465"/>
      <c r="O1368" s="465"/>
      <c r="P1368" s="465"/>
      <c r="Q1368" s="465"/>
      <c r="R1368" s="465"/>
      <c r="S1368" s="465"/>
      <c r="T1368" s="465"/>
      <c r="U1368" s="465"/>
      <c r="V1368" s="465"/>
      <c r="W1368" s="465"/>
      <c r="X1368" s="465"/>
      <c r="Y1368" s="465"/>
      <c r="Z1368" s="465"/>
      <c r="AA1368" s="465"/>
      <c r="AB1368" s="465"/>
      <c r="AC1368" s="465"/>
      <c r="AD1368" s="465"/>
      <c r="AE1368" s="465"/>
      <c r="AF1368" s="465"/>
      <c r="AG1368" s="465"/>
      <c r="AH1368" s="465"/>
      <c r="AI1368" s="465"/>
      <c r="AJ1368" s="465"/>
      <c r="AK1368" s="465"/>
      <c r="AL1368" s="465"/>
      <c r="AM1368" s="465"/>
      <c r="AN1368" s="465"/>
      <c r="AO1368" s="465"/>
      <c r="AP1368" s="465"/>
      <c r="AQ1368" s="465"/>
      <c r="AR1368" s="465"/>
      <c r="AS1368" s="465"/>
      <c r="AT1368" s="465"/>
      <c r="AU1368" s="465"/>
      <c r="AV1368" s="465"/>
      <c r="AW1368" s="465"/>
      <c r="AX1368" s="465"/>
      <c r="AY1368" s="465"/>
      <c r="AZ1368" s="465"/>
      <c r="BA1368" s="465"/>
      <c r="BB1368" s="465"/>
      <c r="BC1368" s="465"/>
    </row>
    <row r="1369" spans="1:55">
      <c r="A1369" s="465"/>
      <c r="B1369" s="465"/>
      <c r="C1369" s="465"/>
      <c r="D1369" s="467"/>
      <c r="E1369" s="465"/>
      <c r="F1369" s="465"/>
      <c r="G1369" s="465"/>
      <c r="H1369" s="465"/>
      <c r="I1369" s="465"/>
      <c r="J1369" s="465"/>
      <c r="K1369" s="465"/>
      <c r="L1369" s="465"/>
      <c r="M1369" s="465"/>
      <c r="N1369" s="465"/>
      <c r="O1369" s="465"/>
      <c r="P1369" s="465"/>
      <c r="Q1369" s="465"/>
      <c r="R1369" s="465"/>
      <c r="S1369" s="465"/>
      <c r="T1369" s="465"/>
      <c r="U1369" s="465"/>
      <c r="V1369" s="465"/>
      <c r="W1369" s="465"/>
      <c r="X1369" s="465"/>
      <c r="Y1369" s="465"/>
      <c r="Z1369" s="465"/>
      <c r="AA1369" s="465"/>
      <c r="AB1369" s="465"/>
      <c r="AC1369" s="465"/>
      <c r="AD1369" s="465"/>
      <c r="AE1369" s="465"/>
      <c r="AF1369" s="465"/>
      <c r="AG1369" s="465"/>
      <c r="AH1369" s="465"/>
      <c r="AI1369" s="465"/>
      <c r="AJ1369" s="465"/>
      <c r="AK1369" s="465"/>
      <c r="AL1369" s="465"/>
      <c r="AM1369" s="465"/>
      <c r="AN1369" s="465"/>
      <c r="AO1369" s="465"/>
      <c r="AP1369" s="465"/>
      <c r="AQ1369" s="465"/>
      <c r="AR1369" s="465"/>
      <c r="AS1369" s="465"/>
      <c r="AT1369" s="465"/>
      <c r="AU1369" s="465"/>
      <c r="AV1369" s="465"/>
      <c r="AW1369" s="465"/>
      <c r="AX1369" s="465"/>
      <c r="AY1369" s="465"/>
      <c r="AZ1369" s="465"/>
      <c r="BA1369" s="465"/>
      <c r="BB1369" s="465"/>
      <c r="BC1369" s="465"/>
    </row>
    <row r="1370" spans="1:55">
      <c r="A1370" s="465"/>
      <c r="B1370" s="465"/>
      <c r="C1370" s="465"/>
      <c r="D1370" s="467"/>
      <c r="E1370" s="465"/>
      <c r="F1370" s="465"/>
      <c r="G1370" s="465"/>
      <c r="H1370" s="465"/>
      <c r="I1370" s="465"/>
      <c r="J1370" s="465"/>
      <c r="K1370" s="465"/>
      <c r="L1370" s="465"/>
      <c r="M1370" s="465"/>
      <c r="N1370" s="465"/>
      <c r="O1370" s="465"/>
      <c r="P1370" s="465"/>
      <c r="Q1370" s="465"/>
      <c r="R1370" s="465"/>
      <c r="S1370" s="465"/>
      <c r="T1370" s="465"/>
      <c r="U1370" s="465"/>
      <c r="V1370" s="465"/>
      <c r="W1370" s="465"/>
      <c r="X1370" s="465"/>
      <c r="Y1370" s="465"/>
      <c r="Z1370" s="465"/>
      <c r="AA1370" s="465"/>
      <c r="AB1370" s="465"/>
      <c r="AC1370" s="465"/>
      <c r="AD1370" s="465"/>
      <c r="AE1370" s="465"/>
      <c r="AF1370" s="465"/>
      <c r="AG1370" s="465"/>
      <c r="AH1370" s="465"/>
      <c r="AI1370" s="465"/>
      <c r="AJ1370" s="465"/>
      <c r="AK1370" s="465"/>
      <c r="AL1370" s="465"/>
      <c r="AM1370" s="465"/>
      <c r="AN1370" s="465"/>
      <c r="AO1370" s="465"/>
      <c r="AP1370" s="465"/>
      <c r="AQ1370" s="465"/>
      <c r="AR1370" s="465"/>
      <c r="AS1370" s="465"/>
      <c r="AT1370" s="465"/>
      <c r="AU1370" s="465"/>
      <c r="AV1370" s="465"/>
      <c r="AW1370" s="465"/>
      <c r="AX1370" s="465"/>
      <c r="AY1370" s="465"/>
      <c r="AZ1370" s="465"/>
      <c r="BA1370" s="465"/>
      <c r="BB1370" s="465"/>
      <c r="BC1370" s="465"/>
    </row>
    <row r="1371" spans="1:55">
      <c r="A1371" s="465"/>
      <c r="B1371" s="465"/>
      <c r="C1371" s="465"/>
      <c r="D1371" s="467"/>
      <c r="E1371" s="465"/>
      <c r="F1371" s="465"/>
      <c r="G1371" s="465"/>
      <c r="H1371" s="465"/>
      <c r="I1371" s="465"/>
      <c r="J1371" s="465"/>
      <c r="K1371" s="465"/>
      <c r="L1371" s="465"/>
      <c r="M1371" s="465"/>
      <c r="N1371" s="465"/>
      <c r="O1371" s="465"/>
      <c r="P1371" s="465"/>
      <c r="Q1371" s="465"/>
      <c r="R1371" s="465"/>
      <c r="S1371" s="465"/>
      <c r="T1371" s="465"/>
      <c r="U1371" s="465"/>
      <c r="V1371" s="465"/>
      <c r="W1371" s="465"/>
      <c r="X1371" s="465"/>
      <c r="Y1371" s="465"/>
      <c r="Z1371" s="465"/>
      <c r="AA1371" s="465"/>
      <c r="AB1371" s="465"/>
      <c r="AC1371" s="465"/>
      <c r="AD1371" s="465"/>
      <c r="AE1371" s="465"/>
      <c r="AF1371" s="465"/>
      <c r="AG1371" s="465"/>
      <c r="AH1371" s="465"/>
      <c r="AI1371" s="465"/>
      <c r="AJ1371" s="465"/>
      <c r="AK1371" s="465"/>
      <c r="AL1371" s="465"/>
      <c r="AM1371" s="465"/>
      <c r="AN1371" s="465"/>
      <c r="AO1371" s="465"/>
      <c r="AP1371" s="465"/>
      <c r="AQ1371" s="465"/>
      <c r="AR1371" s="465"/>
      <c r="AS1371" s="465"/>
      <c r="AT1371" s="465"/>
      <c r="AU1371" s="465"/>
      <c r="AV1371" s="465"/>
      <c r="AW1371" s="465"/>
      <c r="AX1371" s="465"/>
      <c r="AY1371" s="465"/>
      <c r="AZ1371" s="465"/>
      <c r="BA1371" s="465"/>
      <c r="BB1371" s="465"/>
      <c r="BC1371" s="465"/>
    </row>
    <row r="1372" spans="1:55">
      <c r="A1372" s="465"/>
      <c r="B1372" s="465"/>
      <c r="C1372" s="465"/>
      <c r="D1372" s="467"/>
      <c r="E1372" s="465"/>
      <c r="F1372" s="465"/>
      <c r="G1372" s="465"/>
      <c r="H1372" s="465"/>
      <c r="I1372" s="465"/>
      <c r="J1372" s="465"/>
      <c r="K1372" s="465"/>
      <c r="L1372" s="465"/>
      <c r="M1372" s="465"/>
      <c r="N1372" s="465"/>
      <c r="O1372" s="465"/>
      <c r="P1372" s="465"/>
      <c r="Q1372" s="465"/>
      <c r="R1372" s="465"/>
      <c r="S1372" s="465"/>
      <c r="T1372" s="465"/>
      <c r="U1372" s="465"/>
      <c r="V1372" s="465"/>
      <c r="W1372" s="465"/>
      <c r="X1372" s="465"/>
      <c r="Y1372" s="465"/>
      <c r="Z1372" s="465"/>
      <c r="AA1372" s="465"/>
      <c r="AB1372" s="465"/>
      <c r="AC1372" s="465"/>
      <c r="AD1372" s="465"/>
      <c r="AE1372" s="465"/>
      <c r="AF1372" s="465"/>
      <c r="AG1372" s="465"/>
      <c r="AH1372" s="465"/>
      <c r="AI1372" s="465"/>
      <c r="AJ1372" s="465"/>
      <c r="AK1372" s="465"/>
      <c r="AL1372" s="465"/>
      <c r="AM1372" s="465"/>
      <c r="AN1372" s="465"/>
      <c r="AO1372" s="465"/>
      <c r="AP1372" s="465"/>
      <c r="AQ1372" s="465"/>
      <c r="AR1372" s="465"/>
      <c r="AS1372" s="465"/>
      <c r="AT1372" s="465"/>
      <c r="AU1372" s="465"/>
      <c r="AV1372" s="465"/>
      <c r="AW1372" s="465"/>
      <c r="AX1372" s="465"/>
      <c r="AY1372" s="465"/>
      <c r="AZ1372" s="465"/>
      <c r="BA1372" s="465"/>
      <c r="BB1372" s="465"/>
      <c r="BC1372" s="465"/>
    </row>
    <row r="1373" spans="1:55">
      <c r="A1373" s="465"/>
      <c r="B1373" s="465"/>
      <c r="C1373" s="465"/>
      <c r="D1373" s="467"/>
      <c r="E1373" s="465"/>
      <c r="F1373" s="465"/>
      <c r="G1373" s="465"/>
      <c r="H1373" s="465"/>
      <c r="I1373" s="465"/>
      <c r="J1373" s="465"/>
      <c r="K1373" s="465"/>
      <c r="L1373" s="465"/>
      <c r="M1373" s="465"/>
      <c r="N1373" s="465"/>
      <c r="O1373" s="465"/>
      <c r="P1373" s="465"/>
      <c r="Q1373" s="465"/>
      <c r="R1373" s="465"/>
      <c r="S1373" s="465"/>
      <c r="T1373" s="465"/>
      <c r="U1373" s="465"/>
      <c r="V1373" s="465"/>
      <c r="W1373" s="465"/>
      <c r="X1373" s="465"/>
      <c r="Y1373" s="465"/>
      <c r="Z1373" s="465"/>
      <c r="AA1373" s="465"/>
      <c r="AB1373" s="465"/>
      <c r="AC1373" s="465"/>
      <c r="AD1373" s="465"/>
      <c r="AE1373" s="465"/>
      <c r="AF1373" s="465"/>
      <c r="AG1373" s="465"/>
      <c r="AH1373" s="465"/>
      <c r="AI1373" s="465"/>
      <c r="AJ1373" s="465"/>
      <c r="AK1373" s="465"/>
      <c r="AL1373" s="465"/>
      <c r="AM1373" s="465"/>
      <c r="AN1373" s="465"/>
      <c r="AO1373" s="465"/>
      <c r="AP1373" s="465"/>
      <c r="AQ1373" s="465"/>
      <c r="AR1373" s="465"/>
      <c r="AS1373" s="465"/>
      <c r="AT1373" s="465"/>
      <c r="AU1373" s="465"/>
      <c r="AV1373" s="465"/>
      <c r="AW1373" s="465"/>
      <c r="AX1373" s="465"/>
      <c r="AY1373" s="465"/>
      <c r="AZ1373" s="465"/>
      <c r="BA1373" s="465"/>
      <c r="BB1373" s="465"/>
      <c r="BC1373" s="465"/>
    </row>
    <row r="1374" spans="1:55">
      <c r="A1374" s="465"/>
      <c r="B1374" s="465"/>
      <c r="C1374" s="465"/>
      <c r="D1374" s="467"/>
      <c r="E1374" s="465"/>
      <c r="F1374" s="465"/>
      <c r="G1374" s="465"/>
      <c r="H1374" s="465"/>
      <c r="I1374" s="465"/>
      <c r="J1374" s="465"/>
      <c r="K1374" s="465"/>
      <c r="L1374" s="465"/>
      <c r="M1374" s="465"/>
      <c r="N1374" s="465"/>
      <c r="O1374" s="465"/>
      <c r="P1374" s="465"/>
      <c r="Q1374" s="465"/>
      <c r="R1374" s="465"/>
      <c r="S1374" s="465"/>
      <c r="T1374" s="465"/>
      <c r="U1374" s="465"/>
      <c r="V1374" s="465"/>
      <c r="W1374" s="465"/>
      <c r="X1374" s="465"/>
      <c r="Y1374" s="465"/>
      <c r="Z1374" s="465"/>
      <c r="AA1374" s="465"/>
      <c r="AB1374" s="465"/>
      <c r="AC1374" s="465"/>
      <c r="AD1374" s="465"/>
      <c r="AE1374" s="465"/>
      <c r="AF1374" s="465"/>
      <c r="AG1374" s="465"/>
      <c r="AH1374" s="465"/>
      <c r="AI1374" s="465"/>
      <c r="AJ1374" s="465"/>
      <c r="AK1374" s="465"/>
      <c r="AL1374" s="465"/>
      <c r="AM1374" s="465"/>
      <c r="AN1374" s="465"/>
      <c r="AO1374" s="465"/>
      <c r="AP1374" s="465"/>
      <c r="AQ1374" s="465"/>
      <c r="AR1374" s="465"/>
      <c r="AS1374" s="465"/>
      <c r="AT1374" s="465"/>
      <c r="AU1374" s="465"/>
      <c r="AV1374" s="465"/>
      <c r="AW1374" s="465"/>
      <c r="AX1374" s="465"/>
      <c r="AY1374" s="465"/>
      <c r="AZ1374" s="465"/>
      <c r="BA1374" s="465"/>
      <c r="BB1374" s="465"/>
      <c r="BC1374" s="465"/>
    </row>
    <row r="1375" spans="1:55">
      <c r="A1375" s="465"/>
      <c r="B1375" s="465"/>
      <c r="C1375" s="465"/>
      <c r="D1375" s="467"/>
      <c r="E1375" s="465"/>
      <c r="F1375" s="465"/>
      <c r="G1375" s="465"/>
      <c r="H1375" s="465"/>
      <c r="I1375" s="465"/>
      <c r="J1375" s="465"/>
      <c r="K1375" s="465"/>
      <c r="L1375" s="465"/>
      <c r="M1375" s="465"/>
      <c r="N1375" s="465"/>
      <c r="O1375" s="465"/>
      <c r="P1375" s="465"/>
      <c r="Q1375" s="465"/>
      <c r="R1375" s="465"/>
      <c r="S1375" s="465"/>
      <c r="T1375" s="465"/>
      <c r="U1375" s="465"/>
      <c r="V1375" s="465"/>
      <c r="W1375" s="465"/>
      <c r="X1375" s="465"/>
      <c r="Y1375" s="465"/>
      <c r="Z1375" s="465"/>
      <c r="AA1375" s="465"/>
      <c r="AB1375" s="465"/>
      <c r="AC1375" s="465"/>
      <c r="AD1375" s="465"/>
      <c r="AE1375" s="465"/>
      <c r="AF1375" s="465"/>
      <c r="AG1375" s="465"/>
      <c r="AH1375" s="465"/>
      <c r="AI1375" s="465"/>
      <c r="AJ1375" s="465"/>
      <c r="AK1375" s="465"/>
      <c r="AL1375" s="465"/>
      <c r="AM1375" s="465"/>
      <c r="AN1375" s="465"/>
      <c r="AO1375" s="465"/>
      <c r="AP1375" s="465"/>
      <c r="AQ1375" s="465"/>
      <c r="AR1375" s="465"/>
      <c r="AS1375" s="465"/>
      <c r="AT1375" s="465"/>
      <c r="AU1375" s="465"/>
      <c r="AV1375" s="465"/>
      <c r="AW1375" s="465"/>
      <c r="AX1375" s="465"/>
      <c r="AY1375" s="465"/>
      <c r="AZ1375" s="465"/>
      <c r="BA1375" s="465"/>
      <c r="BB1375" s="465"/>
      <c r="BC1375" s="465"/>
    </row>
    <row r="1376" spans="1:55">
      <c r="A1376" s="465"/>
      <c r="B1376" s="465"/>
      <c r="C1376" s="465"/>
      <c r="D1376" s="467"/>
      <c r="E1376" s="465"/>
      <c r="F1376" s="465"/>
      <c r="G1376" s="465"/>
      <c r="H1376" s="465"/>
      <c r="I1376" s="465"/>
      <c r="J1376" s="465"/>
      <c r="K1376" s="465"/>
      <c r="L1376" s="465"/>
      <c r="M1376" s="465"/>
      <c r="N1376" s="465"/>
      <c r="O1376" s="465"/>
      <c r="P1376" s="465"/>
      <c r="Q1376" s="465"/>
      <c r="R1376" s="465"/>
      <c r="S1376" s="465"/>
      <c r="T1376" s="465"/>
      <c r="U1376" s="465"/>
      <c r="V1376" s="465"/>
      <c r="W1376" s="465"/>
      <c r="X1376" s="465"/>
      <c r="Y1376" s="465"/>
      <c r="Z1376" s="465"/>
      <c r="AA1376" s="465"/>
      <c r="AB1376" s="465"/>
      <c r="AC1376" s="465"/>
      <c r="AD1376" s="465"/>
      <c r="AE1376" s="465"/>
      <c r="AF1376" s="465"/>
      <c r="AG1376" s="465"/>
      <c r="AH1376" s="465"/>
      <c r="AI1376" s="465"/>
      <c r="AJ1376" s="465"/>
      <c r="AK1376" s="465"/>
      <c r="AL1376" s="465"/>
      <c r="AM1376" s="465"/>
      <c r="AN1376" s="465"/>
      <c r="AO1376" s="465"/>
      <c r="AP1376" s="465"/>
      <c r="AQ1376" s="465"/>
      <c r="AR1376" s="465"/>
      <c r="AS1376" s="465"/>
      <c r="AT1376" s="465"/>
      <c r="AU1376" s="465"/>
      <c r="AV1376" s="465"/>
      <c r="AW1376" s="465"/>
      <c r="AX1376" s="465"/>
      <c r="AY1376" s="465"/>
      <c r="AZ1376" s="465"/>
      <c r="BA1376" s="465"/>
      <c r="BB1376" s="465"/>
      <c r="BC1376" s="465"/>
    </row>
    <row r="1377" spans="1:55">
      <c r="A1377" s="465"/>
      <c r="B1377" s="465"/>
      <c r="C1377" s="465"/>
      <c r="D1377" s="467"/>
      <c r="E1377" s="465"/>
      <c r="F1377" s="465"/>
      <c r="G1377" s="465"/>
      <c r="H1377" s="465"/>
      <c r="I1377" s="465"/>
      <c r="J1377" s="465"/>
      <c r="K1377" s="465"/>
      <c r="L1377" s="465"/>
      <c r="M1377" s="465"/>
      <c r="N1377" s="465"/>
      <c r="O1377" s="465"/>
      <c r="P1377" s="465"/>
      <c r="Q1377" s="465"/>
      <c r="R1377" s="465"/>
      <c r="S1377" s="465"/>
      <c r="T1377" s="465"/>
      <c r="U1377" s="465"/>
      <c r="V1377" s="465"/>
      <c r="W1377" s="465"/>
      <c r="X1377" s="465"/>
      <c r="Y1377" s="465"/>
      <c r="Z1377" s="465"/>
      <c r="AA1377" s="465"/>
      <c r="AB1377" s="465"/>
      <c r="AC1377" s="465"/>
      <c r="AD1377" s="465"/>
      <c r="AE1377" s="465"/>
      <c r="AF1377" s="465"/>
      <c r="AG1377" s="465"/>
      <c r="AH1377" s="465"/>
      <c r="AI1377" s="465"/>
      <c r="AJ1377" s="465"/>
      <c r="AK1377" s="465"/>
      <c r="AL1377" s="465"/>
      <c r="AM1377" s="465"/>
      <c r="AN1377" s="465"/>
      <c r="AO1377" s="465"/>
      <c r="AP1377" s="465"/>
      <c r="AQ1377" s="465"/>
      <c r="AR1377" s="465"/>
      <c r="AS1377" s="465"/>
      <c r="AT1377" s="465"/>
      <c r="AU1377" s="465"/>
      <c r="AV1377" s="465"/>
      <c r="AW1377" s="465"/>
      <c r="AX1377" s="465"/>
      <c r="AY1377" s="465"/>
      <c r="AZ1377" s="465"/>
      <c r="BA1377" s="465"/>
      <c r="BB1377" s="465"/>
      <c r="BC1377" s="465"/>
    </row>
    <row r="1378" spans="1:55">
      <c r="A1378" s="465"/>
      <c r="B1378" s="465"/>
      <c r="C1378" s="465"/>
      <c r="D1378" s="467"/>
      <c r="E1378" s="465"/>
      <c r="F1378" s="465"/>
      <c r="G1378" s="465"/>
      <c r="H1378" s="465"/>
      <c r="I1378" s="465"/>
      <c r="J1378" s="465"/>
      <c r="K1378" s="465"/>
      <c r="L1378" s="465"/>
      <c r="M1378" s="465"/>
      <c r="N1378" s="465"/>
      <c r="O1378" s="465"/>
      <c r="P1378" s="465"/>
      <c r="Q1378" s="465"/>
      <c r="R1378" s="465"/>
      <c r="S1378" s="465"/>
      <c r="T1378" s="465"/>
      <c r="U1378" s="465"/>
      <c r="V1378" s="465"/>
      <c r="W1378" s="465"/>
      <c r="X1378" s="465"/>
      <c r="Y1378" s="465"/>
      <c r="Z1378" s="465"/>
      <c r="AA1378" s="465"/>
      <c r="AB1378" s="465"/>
      <c r="AC1378" s="465"/>
      <c r="AD1378" s="465"/>
      <c r="AE1378" s="465"/>
      <c r="AF1378" s="465"/>
      <c r="AG1378" s="465"/>
      <c r="AH1378" s="465"/>
      <c r="AI1378" s="465"/>
      <c r="AJ1378" s="465"/>
      <c r="AK1378" s="465"/>
      <c r="AL1378" s="465"/>
      <c r="AM1378" s="465"/>
      <c r="AN1378" s="465"/>
      <c r="AO1378" s="465"/>
      <c r="AP1378" s="465"/>
      <c r="AQ1378" s="465"/>
      <c r="AR1378" s="465"/>
      <c r="AS1378" s="465"/>
      <c r="AT1378" s="465"/>
      <c r="AU1378" s="465"/>
      <c r="AV1378" s="465"/>
      <c r="AW1378" s="465"/>
      <c r="AX1378" s="465"/>
      <c r="AY1378" s="465"/>
      <c r="AZ1378" s="465"/>
      <c r="BA1378" s="465"/>
      <c r="BB1378" s="465"/>
      <c r="BC1378" s="465"/>
    </row>
    <row r="1379" spans="1:55">
      <c r="A1379" s="465"/>
      <c r="B1379" s="465"/>
      <c r="C1379" s="465"/>
      <c r="D1379" s="467"/>
      <c r="E1379" s="465"/>
      <c r="F1379" s="465"/>
      <c r="G1379" s="465"/>
      <c r="H1379" s="465"/>
      <c r="I1379" s="465"/>
      <c r="J1379" s="465"/>
      <c r="K1379" s="465"/>
      <c r="L1379" s="465"/>
      <c r="M1379" s="465"/>
      <c r="N1379" s="465"/>
      <c r="O1379" s="465"/>
      <c r="P1379" s="465"/>
      <c r="Q1379" s="465"/>
      <c r="R1379" s="465"/>
      <c r="S1379" s="465"/>
      <c r="T1379" s="465"/>
      <c r="U1379" s="465"/>
      <c r="V1379" s="465"/>
      <c r="W1379" s="465"/>
      <c r="X1379" s="465"/>
      <c r="Y1379" s="465"/>
      <c r="Z1379" s="465"/>
      <c r="AA1379" s="465"/>
      <c r="AB1379" s="465"/>
      <c r="AC1379" s="465"/>
      <c r="AD1379" s="465"/>
      <c r="AE1379" s="465"/>
      <c r="AF1379" s="465"/>
      <c r="AG1379" s="465"/>
      <c r="AH1379" s="465"/>
      <c r="AI1379" s="465"/>
      <c r="AJ1379" s="465"/>
      <c r="AK1379" s="465"/>
      <c r="AL1379" s="465"/>
      <c r="AM1379" s="465"/>
      <c r="AN1379" s="465"/>
      <c r="AO1379" s="465"/>
      <c r="AP1379" s="465"/>
      <c r="AQ1379" s="465"/>
      <c r="AR1379" s="465"/>
      <c r="AS1379" s="465"/>
      <c r="AT1379" s="465"/>
      <c r="AU1379" s="465"/>
      <c r="AV1379" s="465"/>
      <c r="AW1379" s="465"/>
      <c r="AX1379" s="465"/>
      <c r="AY1379" s="465"/>
      <c r="AZ1379" s="465"/>
      <c r="BA1379" s="465"/>
      <c r="BB1379" s="465"/>
      <c r="BC1379" s="465"/>
    </row>
    <row r="1380" spans="1:55">
      <c r="A1380" s="465"/>
      <c r="B1380" s="465"/>
      <c r="C1380" s="465"/>
      <c r="D1380" s="467"/>
      <c r="E1380" s="465"/>
      <c r="F1380" s="465"/>
      <c r="G1380" s="465"/>
      <c r="H1380" s="465"/>
      <c r="I1380" s="465"/>
      <c r="J1380" s="465"/>
      <c r="K1380" s="465"/>
      <c r="L1380" s="465"/>
      <c r="M1380" s="465"/>
      <c r="N1380" s="465"/>
      <c r="O1380" s="465"/>
      <c r="P1380" s="465"/>
      <c r="Q1380" s="465"/>
      <c r="R1380" s="465"/>
      <c r="S1380" s="465"/>
      <c r="T1380" s="465"/>
      <c r="U1380" s="465"/>
      <c r="V1380" s="465"/>
      <c r="W1380" s="465"/>
      <c r="X1380" s="465"/>
      <c r="Y1380" s="465"/>
      <c r="Z1380" s="465"/>
      <c r="AA1380" s="465"/>
      <c r="AB1380" s="465"/>
      <c r="AC1380" s="465"/>
      <c r="AD1380" s="465"/>
      <c r="AE1380" s="465"/>
      <c r="AF1380" s="465"/>
      <c r="AG1380" s="465"/>
      <c r="AH1380" s="465"/>
      <c r="AI1380" s="465"/>
      <c r="AJ1380" s="465"/>
      <c r="AK1380" s="465"/>
      <c r="AL1380" s="465"/>
      <c r="AM1380" s="465"/>
      <c r="AN1380" s="465"/>
      <c r="AO1380" s="465"/>
      <c r="AP1380" s="465"/>
      <c r="AQ1380" s="465"/>
      <c r="AR1380" s="465"/>
      <c r="AS1380" s="465"/>
      <c r="AT1380" s="465"/>
      <c r="AU1380" s="465"/>
      <c r="AV1380" s="465"/>
      <c r="AW1380" s="465"/>
      <c r="AX1380" s="465"/>
      <c r="AY1380" s="465"/>
      <c r="AZ1380" s="465"/>
      <c r="BA1380" s="465"/>
      <c r="BB1380" s="465"/>
      <c r="BC1380" s="465"/>
    </row>
    <row r="1381" spans="1:55">
      <c r="A1381" s="465"/>
      <c r="B1381" s="465"/>
      <c r="C1381" s="465"/>
      <c r="D1381" s="467"/>
      <c r="E1381" s="465"/>
      <c r="F1381" s="465"/>
      <c r="G1381" s="465"/>
      <c r="H1381" s="465"/>
      <c r="I1381" s="465"/>
      <c r="J1381" s="465"/>
      <c r="K1381" s="465"/>
      <c r="L1381" s="465"/>
      <c r="M1381" s="465"/>
      <c r="N1381" s="465"/>
      <c r="O1381" s="465"/>
      <c r="P1381" s="465"/>
      <c r="Q1381" s="465"/>
      <c r="R1381" s="465"/>
      <c r="S1381" s="465"/>
      <c r="T1381" s="465"/>
      <c r="U1381" s="465"/>
      <c r="V1381" s="465"/>
      <c r="W1381" s="465"/>
      <c r="X1381" s="465"/>
      <c r="Y1381" s="465"/>
      <c r="Z1381" s="465"/>
      <c r="AA1381" s="465"/>
      <c r="AB1381" s="465"/>
      <c r="AC1381" s="465"/>
      <c r="AD1381" s="465"/>
      <c r="AE1381" s="465"/>
      <c r="AF1381" s="465"/>
      <c r="AG1381" s="465"/>
      <c r="AH1381" s="465"/>
      <c r="AI1381" s="465"/>
      <c r="AJ1381" s="465"/>
      <c r="AK1381" s="465"/>
      <c r="AL1381" s="465"/>
      <c r="AM1381" s="465"/>
      <c r="AN1381" s="465"/>
      <c r="AO1381" s="465"/>
      <c r="AP1381" s="465"/>
      <c r="AQ1381" s="465"/>
      <c r="AR1381" s="465"/>
      <c r="AS1381" s="465"/>
      <c r="AT1381" s="465"/>
      <c r="AU1381" s="465"/>
      <c r="AV1381" s="465"/>
      <c r="AW1381" s="465"/>
      <c r="AX1381" s="465"/>
      <c r="AY1381" s="465"/>
      <c r="AZ1381" s="465"/>
      <c r="BA1381" s="465"/>
      <c r="BB1381" s="465"/>
      <c r="BC1381" s="465"/>
    </row>
    <row r="1382" spans="1:55">
      <c r="A1382" s="465"/>
      <c r="B1382" s="465"/>
      <c r="C1382" s="465"/>
      <c r="D1382" s="467"/>
      <c r="E1382" s="465"/>
      <c r="F1382" s="465"/>
      <c r="G1382" s="465"/>
      <c r="H1382" s="465"/>
      <c r="I1382" s="465"/>
      <c r="J1382" s="465"/>
      <c r="K1382" s="465"/>
      <c r="L1382" s="465"/>
      <c r="M1382" s="465"/>
      <c r="N1382" s="465"/>
      <c r="O1382" s="465"/>
      <c r="P1382" s="465"/>
      <c r="Q1382" s="465"/>
      <c r="R1382" s="465"/>
      <c r="S1382" s="465"/>
      <c r="T1382" s="465"/>
      <c r="U1382" s="465"/>
      <c r="V1382" s="465"/>
      <c r="W1382" s="465"/>
      <c r="X1382" s="465"/>
      <c r="Y1382" s="465"/>
      <c r="Z1382" s="465"/>
      <c r="AA1382" s="465"/>
      <c r="AB1382" s="465"/>
      <c r="AC1382" s="465"/>
      <c r="AD1382" s="465"/>
      <c r="AE1382" s="465"/>
      <c r="AF1382" s="465"/>
      <c r="AG1382" s="465"/>
      <c r="AH1382" s="465"/>
      <c r="AI1382" s="465"/>
      <c r="AJ1382" s="465"/>
      <c r="AK1382" s="465"/>
      <c r="AL1382" s="465"/>
      <c r="AM1382" s="465"/>
      <c r="AN1382" s="465"/>
      <c r="AO1382" s="465"/>
      <c r="AP1382" s="465"/>
      <c r="AQ1382" s="465"/>
      <c r="AR1382" s="465"/>
      <c r="AS1382" s="465"/>
      <c r="AT1382" s="465"/>
      <c r="AU1382" s="465"/>
      <c r="AV1382" s="465"/>
      <c r="AW1382" s="465"/>
      <c r="AX1382" s="465"/>
      <c r="AY1382" s="465"/>
      <c r="AZ1382" s="465"/>
      <c r="BA1382" s="465"/>
      <c r="BB1382" s="465"/>
      <c r="BC1382" s="465"/>
    </row>
    <row r="1383" spans="1:55">
      <c r="A1383" s="465"/>
      <c r="B1383" s="465"/>
      <c r="C1383" s="465"/>
      <c r="D1383" s="467"/>
      <c r="E1383" s="465"/>
      <c r="F1383" s="465"/>
      <c r="G1383" s="465"/>
      <c r="H1383" s="465"/>
      <c r="I1383" s="465"/>
      <c r="J1383" s="465"/>
      <c r="K1383" s="465"/>
      <c r="L1383" s="465"/>
      <c r="M1383" s="465"/>
      <c r="N1383" s="465"/>
      <c r="O1383" s="465"/>
      <c r="P1383" s="465"/>
      <c r="Q1383" s="465"/>
      <c r="R1383" s="465"/>
      <c r="S1383" s="465"/>
      <c r="T1383" s="465"/>
      <c r="U1383" s="465"/>
      <c r="V1383" s="465"/>
      <c r="W1383" s="465"/>
      <c r="X1383" s="465"/>
      <c r="Y1383" s="465"/>
      <c r="Z1383" s="465"/>
      <c r="AA1383" s="465"/>
      <c r="AB1383" s="465"/>
      <c r="AC1383" s="465"/>
      <c r="AD1383" s="465"/>
      <c r="AE1383" s="465"/>
      <c r="AF1383" s="465"/>
      <c r="AG1383" s="465"/>
      <c r="AH1383" s="465"/>
      <c r="AI1383" s="465"/>
      <c r="AJ1383" s="465"/>
      <c r="AK1383" s="465"/>
      <c r="AL1383" s="465"/>
      <c r="AM1383" s="465"/>
      <c r="AN1383" s="465"/>
      <c r="AO1383" s="465"/>
      <c r="AP1383" s="465"/>
      <c r="AQ1383" s="465"/>
      <c r="AR1383" s="465"/>
      <c r="AS1383" s="465"/>
      <c r="AT1383" s="465"/>
      <c r="AU1383" s="465"/>
      <c r="AV1383" s="465"/>
      <c r="AW1383" s="465"/>
      <c r="AX1383" s="465"/>
      <c r="AY1383" s="465"/>
      <c r="AZ1383" s="465"/>
      <c r="BA1383" s="465"/>
      <c r="BB1383" s="465"/>
      <c r="BC1383" s="465"/>
    </row>
    <row r="1384" spans="1:55">
      <c r="A1384" s="465"/>
      <c r="B1384" s="465"/>
      <c r="C1384" s="465"/>
      <c r="D1384" s="467"/>
      <c r="E1384" s="465"/>
      <c r="F1384" s="465"/>
      <c r="G1384" s="465"/>
      <c r="H1384" s="465"/>
      <c r="I1384" s="465"/>
      <c r="J1384" s="465"/>
      <c r="K1384" s="465"/>
      <c r="L1384" s="465"/>
      <c r="M1384" s="465"/>
      <c r="N1384" s="465"/>
      <c r="O1384" s="465"/>
      <c r="P1384" s="465"/>
      <c r="Q1384" s="465"/>
      <c r="R1384" s="465"/>
      <c r="S1384" s="465"/>
      <c r="T1384" s="465"/>
      <c r="U1384" s="465"/>
      <c r="V1384" s="465"/>
      <c r="W1384" s="465"/>
      <c r="X1384" s="465"/>
      <c r="Y1384" s="465"/>
      <c r="Z1384" s="465"/>
      <c r="AA1384" s="465"/>
      <c r="AB1384" s="465"/>
      <c r="AC1384" s="465"/>
      <c r="AD1384" s="465"/>
      <c r="AE1384" s="465"/>
      <c r="AF1384" s="465"/>
      <c r="AG1384" s="465"/>
      <c r="AH1384" s="465"/>
      <c r="AI1384" s="465"/>
      <c r="AJ1384" s="465"/>
      <c r="AK1384" s="465"/>
      <c r="AL1384" s="465"/>
      <c r="AM1384" s="465"/>
      <c r="AN1384" s="465"/>
      <c r="AO1384" s="465"/>
      <c r="AP1384" s="465"/>
      <c r="AQ1384" s="465"/>
      <c r="AR1384" s="465"/>
      <c r="AS1384" s="465"/>
      <c r="AT1384" s="465"/>
      <c r="AU1384" s="465"/>
      <c r="AV1384" s="465"/>
      <c r="AW1384" s="465"/>
      <c r="AX1384" s="465"/>
      <c r="AY1384" s="465"/>
      <c r="AZ1384" s="465"/>
      <c r="BA1384" s="465"/>
      <c r="BB1384" s="465"/>
      <c r="BC1384" s="465"/>
    </row>
    <row r="1385" spans="1:55">
      <c r="A1385" s="465"/>
      <c r="B1385" s="465"/>
      <c r="C1385" s="465"/>
      <c r="D1385" s="467"/>
      <c r="E1385" s="465"/>
      <c r="F1385" s="465"/>
      <c r="G1385" s="465"/>
      <c r="H1385" s="465"/>
      <c r="I1385" s="465"/>
      <c r="J1385" s="465"/>
      <c r="K1385" s="465"/>
      <c r="L1385" s="465"/>
      <c r="M1385" s="465"/>
      <c r="N1385" s="465"/>
      <c r="O1385" s="465"/>
      <c r="P1385" s="465"/>
      <c r="Q1385" s="465"/>
      <c r="R1385" s="465"/>
      <c r="S1385" s="465"/>
      <c r="T1385" s="465"/>
      <c r="U1385" s="465"/>
      <c r="V1385" s="465"/>
      <c r="W1385" s="465"/>
      <c r="X1385" s="465"/>
      <c r="Y1385" s="465"/>
      <c r="Z1385" s="465"/>
      <c r="AA1385" s="465"/>
      <c r="AB1385" s="465"/>
      <c r="AC1385" s="465"/>
      <c r="AD1385" s="465"/>
      <c r="AE1385" s="465"/>
      <c r="AF1385" s="465"/>
      <c r="AG1385" s="465"/>
      <c r="AH1385" s="465"/>
      <c r="AI1385" s="465"/>
      <c r="AJ1385" s="465"/>
      <c r="AK1385" s="465"/>
      <c r="AL1385" s="465"/>
      <c r="AM1385" s="465"/>
      <c r="AN1385" s="465"/>
      <c r="AO1385" s="465"/>
      <c r="AP1385" s="465"/>
      <c r="AQ1385" s="465"/>
      <c r="AR1385" s="465"/>
      <c r="AS1385" s="465"/>
      <c r="AT1385" s="465"/>
      <c r="AU1385" s="465"/>
      <c r="AV1385" s="465"/>
      <c r="AW1385" s="465"/>
      <c r="AX1385" s="465"/>
      <c r="AY1385" s="465"/>
      <c r="AZ1385" s="465"/>
      <c r="BA1385" s="465"/>
      <c r="BB1385" s="465"/>
      <c r="BC1385" s="465"/>
    </row>
    <row r="1386" spans="1:55">
      <c r="A1386" s="465"/>
      <c r="B1386" s="465"/>
      <c r="C1386" s="465"/>
      <c r="D1386" s="467"/>
      <c r="E1386" s="465"/>
      <c r="F1386" s="465"/>
      <c r="G1386" s="465"/>
      <c r="H1386" s="465"/>
      <c r="I1386" s="465"/>
      <c r="J1386" s="465"/>
      <c r="K1386" s="465"/>
      <c r="L1386" s="465"/>
      <c r="M1386" s="465"/>
      <c r="N1386" s="465"/>
      <c r="O1386" s="465"/>
      <c r="P1386" s="465"/>
      <c r="Q1386" s="465"/>
      <c r="R1386" s="465"/>
      <c r="S1386" s="465"/>
      <c r="T1386" s="465"/>
      <c r="U1386" s="465"/>
      <c r="V1386" s="465"/>
      <c r="W1386" s="465"/>
      <c r="X1386" s="465"/>
      <c r="Y1386" s="465"/>
      <c r="Z1386" s="465"/>
      <c r="AA1386" s="465"/>
      <c r="AB1386" s="465"/>
      <c r="AC1386" s="465"/>
      <c r="AD1386" s="465"/>
      <c r="AE1386" s="465"/>
      <c r="AF1386" s="465"/>
      <c r="AG1386" s="465"/>
      <c r="AH1386" s="465"/>
      <c r="AI1386" s="465"/>
      <c r="AJ1386" s="465"/>
      <c r="AK1386" s="465"/>
      <c r="AL1386" s="465"/>
      <c r="AM1386" s="465"/>
      <c r="AN1386" s="465"/>
      <c r="AO1386" s="465"/>
      <c r="AP1386" s="465"/>
      <c r="AQ1386" s="465"/>
      <c r="AR1386" s="465"/>
      <c r="AS1386" s="465"/>
      <c r="AT1386" s="465"/>
      <c r="AU1386" s="465"/>
      <c r="AV1386" s="465"/>
      <c r="AW1386" s="465"/>
      <c r="AX1386" s="465"/>
      <c r="AY1386" s="465"/>
      <c r="AZ1386" s="465"/>
      <c r="BA1386" s="465"/>
      <c r="BB1386" s="465"/>
      <c r="BC1386" s="465"/>
    </row>
    <row r="1387" spans="1:55">
      <c r="A1387" s="465"/>
      <c r="B1387" s="465"/>
      <c r="C1387" s="465"/>
      <c r="D1387" s="467"/>
      <c r="E1387" s="465"/>
      <c r="F1387" s="465"/>
      <c r="G1387" s="465"/>
      <c r="H1387" s="465"/>
      <c r="I1387" s="465"/>
      <c r="J1387" s="465"/>
      <c r="K1387" s="465"/>
      <c r="L1387" s="465"/>
      <c r="M1387" s="465"/>
      <c r="N1387" s="465"/>
      <c r="O1387" s="465"/>
      <c r="P1387" s="465"/>
      <c r="Q1387" s="465"/>
      <c r="R1387" s="465"/>
      <c r="S1387" s="465"/>
      <c r="T1387" s="465"/>
      <c r="U1387" s="465"/>
      <c r="V1387" s="465"/>
      <c r="W1387" s="465"/>
      <c r="X1387" s="465"/>
      <c r="Y1387" s="465"/>
      <c r="Z1387" s="465"/>
      <c r="AA1387" s="465"/>
      <c r="AB1387" s="465"/>
      <c r="AC1387" s="465"/>
      <c r="AD1387" s="465"/>
      <c r="AE1387" s="465"/>
      <c r="AF1387" s="465"/>
      <c r="AG1387" s="465"/>
      <c r="AH1387" s="465"/>
      <c r="AI1387" s="465"/>
      <c r="AJ1387" s="465"/>
      <c r="AK1387" s="465"/>
      <c r="AL1387" s="465"/>
      <c r="AM1387" s="465"/>
      <c r="AN1387" s="465"/>
      <c r="AO1387" s="465"/>
      <c r="AP1387" s="465"/>
      <c r="AQ1387" s="465"/>
      <c r="AR1387" s="465"/>
      <c r="AS1387" s="465"/>
      <c r="AT1387" s="465"/>
      <c r="AU1387" s="465"/>
      <c r="AV1387" s="465"/>
      <c r="AW1387" s="465"/>
      <c r="AX1387" s="465"/>
      <c r="AY1387" s="465"/>
      <c r="AZ1387" s="465"/>
      <c r="BA1387" s="465"/>
      <c r="BB1387" s="465"/>
      <c r="BC1387" s="465"/>
    </row>
    <row r="1388" spans="1:55">
      <c r="A1388" s="465"/>
      <c r="B1388" s="465"/>
      <c r="C1388" s="465"/>
      <c r="D1388" s="467"/>
      <c r="E1388" s="465"/>
      <c r="F1388" s="465"/>
      <c r="G1388" s="465"/>
      <c r="H1388" s="465"/>
      <c r="I1388" s="465"/>
      <c r="J1388" s="465"/>
      <c r="K1388" s="465"/>
      <c r="L1388" s="465"/>
      <c r="M1388" s="465"/>
      <c r="N1388" s="465"/>
      <c r="O1388" s="465"/>
      <c r="P1388" s="465"/>
      <c r="Q1388" s="465"/>
      <c r="R1388" s="465"/>
      <c r="S1388" s="465"/>
      <c r="T1388" s="465"/>
      <c r="U1388" s="465"/>
      <c r="V1388" s="465"/>
      <c r="W1388" s="465"/>
      <c r="X1388" s="465"/>
      <c r="Y1388" s="465"/>
      <c r="Z1388" s="465"/>
      <c r="AA1388" s="465"/>
      <c r="AB1388" s="465"/>
      <c r="AC1388" s="465"/>
      <c r="AD1388" s="465"/>
      <c r="AE1388" s="465"/>
      <c r="AF1388" s="465"/>
      <c r="AG1388" s="465"/>
      <c r="AH1388" s="465"/>
      <c r="AI1388" s="465"/>
      <c r="AJ1388" s="465"/>
      <c r="AK1388" s="465"/>
      <c r="AL1388" s="465"/>
      <c r="AM1388" s="465"/>
      <c r="AN1388" s="465"/>
      <c r="AO1388" s="465"/>
      <c r="AP1388" s="465"/>
      <c r="AQ1388" s="465"/>
      <c r="AR1388" s="465"/>
      <c r="AS1388" s="465"/>
      <c r="AT1388" s="465"/>
      <c r="AU1388" s="465"/>
      <c r="AV1388" s="465"/>
      <c r="AW1388" s="465"/>
      <c r="AX1388" s="465"/>
      <c r="AY1388" s="465"/>
      <c r="AZ1388" s="465"/>
      <c r="BA1388" s="465"/>
      <c r="BB1388" s="465"/>
      <c r="BC1388" s="465"/>
    </row>
    <row r="1389" spans="1:55">
      <c r="A1389" s="465"/>
      <c r="B1389" s="465"/>
      <c r="C1389" s="465"/>
      <c r="D1389" s="467"/>
      <c r="E1389" s="465"/>
      <c r="F1389" s="465"/>
      <c r="G1389" s="465"/>
      <c r="H1389" s="465"/>
      <c r="I1389" s="465"/>
      <c r="J1389" s="465"/>
      <c r="K1389" s="465"/>
      <c r="L1389" s="465"/>
      <c r="M1389" s="465"/>
      <c r="N1389" s="465"/>
      <c r="O1389" s="465"/>
      <c r="P1389" s="465"/>
      <c r="Q1389" s="465"/>
      <c r="R1389" s="465"/>
      <c r="S1389" s="465"/>
      <c r="T1389" s="465"/>
      <c r="U1389" s="465"/>
      <c r="V1389" s="465"/>
      <c r="W1389" s="465"/>
      <c r="X1389" s="465"/>
      <c r="Y1389" s="465"/>
      <c r="Z1389" s="465"/>
      <c r="AA1389" s="465"/>
      <c r="AB1389" s="465"/>
      <c r="AC1389" s="465"/>
      <c r="AD1389" s="465"/>
      <c r="AE1389" s="465"/>
      <c r="AF1389" s="465"/>
      <c r="AG1389" s="465"/>
      <c r="AH1389" s="465"/>
      <c r="AI1389" s="465"/>
      <c r="AJ1389" s="465"/>
      <c r="AK1389" s="465"/>
      <c r="AL1389" s="465"/>
      <c r="AM1389" s="465"/>
      <c r="AN1389" s="465"/>
      <c r="AO1389" s="465"/>
      <c r="AP1389" s="465"/>
      <c r="AQ1389" s="465"/>
      <c r="AR1389" s="465"/>
      <c r="AS1389" s="465"/>
      <c r="AT1389" s="465"/>
      <c r="AU1389" s="465"/>
      <c r="AV1389" s="465"/>
      <c r="AW1389" s="465"/>
      <c r="AX1389" s="465"/>
      <c r="AY1389" s="465"/>
      <c r="AZ1389" s="465"/>
      <c r="BA1389" s="465"/>
      <c r="BB1389" s="465"/>
      <c r="BC1389" s="465"/>
    </row>
    <row r="1390" spans="1:55">
      <c r="A1390" s="465"/>
      <c r="B1390" s="465"/>
      <c r="C1390" s="465"/>
      <c r="D1390" s="467"/>
      <c r="E1390" s="465"/>
      <c r="F1390" s="465"/>
      <c r="G1390" s="465"/>
      <c r="H1390" s="465"/>
      <c r="I1390" s="465"/>
      <c r="J1390" s="465"/>
      <c r="K1390" s="465"/>
      <c r="L1390" s="465"/>
      <c r="M1390" s="465"/>
      <c r="N1390" s="465"/>
      <c r="O1390" s="465"/>
      <c r="P1390" s="465"/>
      <c r="Q1390" s="465"/>
      <c r="R1390" s="465"/>
      <c r="S1390" s="465"/>
      <c r="T1390" s="465"/>
      <c r="U1390" s="465"/>
      <c r="V1390" s="465"/>
      <c r="W1390" s="465"/>
      <c r="X1390" s="465"/>
      <c r="Y1390" s="465"/>
      <c r="Z1390" s="465"/>
      <c r="AA1390" s="465"/>
      <c r="AB1390" s="465"/>
      <c r="AC1390" s="465"/>
      <c r="AD1390" s="465"/>
      <c r="AE1390" s="465"/>
      <c r="AF1390" s="465"/>
      <c r="AG1390" s="465"/>
      <c r="AH1390" s="465"/>
      <c r="AI1390" s="465"/>
      <c r="AJ1390" s="465"/>
      <c r="AK1390" s="465"/>
      <c r="AL1390" s="465"/>
      <c r="AM1390" s="465"/>
      <c r="AN1390" s="465"/>
      <c r="AO1390" s="465"/>
      <c r="AP1390" s="465"/>
      <c r="AQ1390" s="465"/>
      <c r="AR1390" s="465"/>
      <c r="AS1390" s="465"/>
      <c r="AT1390" s="465"/>
      <c r="AU1390" s="465"/>
      <c r="AV1390" s="465"/>
      <c r="AW1390" s="465"/>
      <c r="AX1390" s="465"/>
      <c r="AY1390" s="465"/>
      <c r="AZ1390" s="465"/>
      <c r="BA1390" s="465"/>
      <c r="BB1390" s="465"/>
      <c r="BC1390" s="465"/>
    </row>
    <row r="1391" spans="1:55">
      <c r="A1391" s="465"/>
      <c r="B1391" s="465"/>
      <c r="C1391" s="465"/>
      <c r="D1391" s="467"/>
      <c r="E1391" s="465"/>
      <c r="F1391" s="465"/>
      <c r="G1391" s="465"/>
      <c r="H1391" s="465"/>
      <c r="I1391" s="465"/>
      <c r="J1391" s="465"/>
      <c r="K1391" s="465"/>
      <c r="L1391" s="465"/>
      <c r="M1391" s="465"/>
      <c r="N1391" s="465"/>
      <c r="O1391" s="465"/>
      <c r="P1391" s="465"/>
      <c r="Q1391" s="465"/>
      <c r="R1391" s="465"/>
      <c r="S1391" s="465"/>
      <c r="T1391" s="465"/>
      <c r="U1391" s="465"/>
      <c r="V1391" s="465"/>
      <c r="W1391" s="465"/>
      <c r="X1391" s="465"/>
      <c r="Y1391" s="465"/>
      <c r="Z1391" s="465"/>
      <c r="AA1391" s="465"/>
      <c r="AB1391" s="465"/>
      <c r="AC1391" s="465"/>
      <c r="AD1391" s="465"/>
      <c r="AE1391" s="465"/>
      <c r="AF1391" s="465"/>
      <c r="AG1391" s="465"/>
      <c r="AH1391" s="465"/>
      <c r="AI1391" s="465"/>
      <c r="AJ1391" s="465"/>
      <c r="AK1391" s="465"/>
      <c r="AL1391" s="465"/>
      <c r="AM1391" s="465"/>
      <c r="AN1391" s="465"/>
      <c r="AO1391" s="465"/>
      <c r="AP1391" s="465"/>
      <c r="AQ1391" s="465"/>
      <c r="AR1391" s="465"/>
      <c r="AS1391" s="465"/>
      <c r="AT1391" s="465"/>
      <c r="AU1391" s="465"/>
      <c r="AV1391" s="465"/>
      <c r="AW1391" s="465"/>
      <c r="AX1391" s="465"/>
      <c r="AY1391" s="465"/>
      <c r="AZ1391" s="465"/>
      <c r="BA1391" s="465"/>
      <c r="BB1391" s="465"/>
      <c r="BC1391" s="465"/>
    </row>
    <row r="1392" spans="1:55">
      <c r="A1392" s="465"/>
      <c r="B1392" s="465"/>
      <c r="C1392" s="465"/>
      <c r="D1392" s="467"/>
      <c r="E1392" s="465"/>
      <c r="F1392" s="465"/>
      <c r="G1392" s="465"/>
      <c r="H1392" s="465"/>
      <c r="I1392" s="465"/>
      <c r="J1392" s="465"/>
      <c r="K1392" s="465"/>
      <c r="L1392" s="465"/>
      <c r="M1392" s="465"/>
      <c r="N1392" s="465"/>
      <c r="O1392" s="465"/>
      <c r="P1392" s="465"/>
      <c r="Q1392" s="465"/>
      <c r="R1392" s="465"/>
      <c r="S1392" s="465"/>
      <c r="T1392" s="465"/>
      <c r="U1392" s="465"/>
      <c r="V1392" s="465"/>
      <c r="W1392" s="465"/>
      <c r="X1392" s="465"/>
      <c r="Y1392" s="465"/>
      <c r="Z1392" s="465"/>
      <c r="AA1392" s="465"/>
      <c r="AB1392" s="465"/>
      <c r="AC1392" s="465"/>
      <c r="AD1392" s="465"/>
      <c r="AE1392" s="465"/>
      <c r="AF1392" s="465"/>
      <c r="AG1392" s="465"/>
      <c r="AH1392" s="465"/>
      <c r="AI1392" s="465"/>
      <c r="AJ1392" s="465"/>
      <c r="AK1392" s="465"/>
      <c r="AL1392" s="465"/>
      <c r="AM1392" s="465"/>
      <c r="AN1392" s="465"/>
      <c r="AO1392" s="465"/>
      <c r="AP1392" s="465"/>
      <c r="AQ1392" s="465"/>
      <c r="AR1392" s="465"/>
      <c r="AS1392" s="465"/>
      <c r="AT1392" s="465"/>
      <c r="AU1392" s="465"/>
      <c r="AV1392" s="465"/>
      <c r="AW1392" s="465"/>
      <c r="AX1392" s="465"/>
      <c r="AY1392" s="465"/>
      <c r="AZ1392" s="465"/>
      <c r="BA1392" s="465"/>
      <c r="BB1392" s="465"/>
      <c r="BC1392" s="465"/>
    </row>
    <row r="1393" spans="1:55">
      <c r="A1393" s="465"/>
      <c r="B1393" s="465"/>
      <c r="C1393" s="465"/>
      <c r="D1393" s="467"/>
      <c r="E1393" s="465"/>
      <c r="F1393" s="465"/>
      <c r="G1393" s="465"/>
      <c r="H1393" s="465"/>
      <c r="I1393" s="465"/>
      <c r="J1393" s="465"/>
      <c r="K1393" s="465"/>
      <c r="L1393" s="465"/>
      <c r="M1393" s="465"/>
      <c r="N1393" s="465"/>
      <c r="O1393" s="465"/>
      <c r="P1393" s="465"/>
      <c r="Q1393" s="465"/>
      <c r="R1393" s="465"/>
      <c r="S1393" s="465"/>
      <c r="T1393" s="465"/>
      <c r="U1393" s="465"/>
      <c r="V1393" s="465"/>
      <c r="W1393" s="465"/>
      <c r="X1393" s="465"/>
      <c r="Y1393" s="465"/>
      <c r="Z1393" s="465"/>
      <c r="AA1393" s="465"/>
      <c r="AB1393" s="465"/>
      <c r="AC1393" s="465"/>
      <c r="AD1393" s="465"/>
      <c r="AE1393" s="465"/>
      <c r="AF1393" s="465"/>
      <c r="AG1393" s="465"/>
      <c r="AH1393" s="465"/>
      <c r="AI1393" s="465"/>
      <c r="AJ1393" s="465"/>
      <c r="AK1393" s="465"/>
      <c r="AL1393" s="465"/>
      <c r="AM1393" s="465"/>
      <c r="AN1393" s="465"/>
      <c r="AO1393" s="465"/>
      <c r="AP1393" s="465"/>
      <c r="AQ1393" s="465"/>
      <c r="AR1393" s="465"/>
      <c r="AS1393" s="465"/>
      <c r="AT1393" s="465"/>
      <c r="AU1393" s="465"/>
      <c r="AV1393" s="465"/>
      <c r="AW1393" s="465"/>
      <c r="AX1393" s="465"/>
      <c r="AY1393" s="465"/>
      <c r="AZ1393" s="465"/>
      <c r="BA1393" s="465"/>
      <c r="BB1393" s="465"/>
      <c r="BC1393" s="465"/>
    </row>
    <row r="1394" spans="1:55">
      <c r="A1394" s="465"/>
      <c r="B1394" s="465"/>
      <c r="C1394" s="465"/>
      <c r="D1394" s="467"/>
      <c r="E1394" s="465"/>
      <c r="F1394" s="465"/>
      <c r="G1394" s="465"/>
      <c r="H1394" s="465"/>
      <c r="I1394" s="465"/>
      <c r="J1394" s="465"/>
      <c r="K1394" s="465"/>
      <c r="L1394" s="465"/>
      <c r="M1394" s="465"/>
      <c r="N1394" s="465"/>
      <c r="O1394" s="465"/>
      <c r="P1394" s="465"/>
      <c r="Q1394" s="465"/>
      <c r="R1394" s="465"/>
      <c r="S1394" s="465"/>
      <c r="T1394" s="465"/>
      <c r="U1394" s="465"/>
      <c r="V1394" s="465"/>
      <c r="W1394" s="465"/>
      <c r="X1394" s="465"/>
      <c r="Y1394" s="465"/>
      <c r="Z1394" s="465"/>
      <c r="AA1394" s="465"/>
      <c r="AB1394" s="465"/>
      <c r="AC1394" s="465"/>
      <c r="AD1394" s="465"/>
      <c r="AE1394" s="465"/>
      <c r="AF1394" s="465"/>
      <c r="AG1394" s="465"/>
      <c r="AH1394" s="465"/>
      <c r="AI1394" s="465"/>
      <c r="AJ1394" s="465"/>
      <c r="AK1394" s="465"/>
      <c r="AL1394" s="465"/>
      <c r="AM1394" s="465"/>
      <c r="AN1394" s="465"/>
      <c r="AO1394" s="465"/>
      <c r="AP1394" s="465"/>
      <c r="AQ1394" s="465"/>
      <c r="AR1394" s="465"/>
      <c r="AS1394" s="465"/>
      <c r="AT1394" s="465"/>
      <c r="AU1394" s="465"/>
      <c r="AV1394" s="465"/>
      <c r="AW1394" s="465"/>
      <c r="AX1394" s="465"/>
      <c r="AY1394" s="465"/>
      <c r="AZ1394" s="465"/>
      <c r="BA1394" s="465"/>
      <c r="BB1394" s="465"/>
      <c r="BC1394" s="465"/>
    </row>
    <row r="1395" spans="1:55">
      <c r="A1395" s="465"/>
      <c r="B1395" s="465"/>
      <c r="C1395" s="465"/>
      <c r="D1395" s="467"/>
      <c r="E1395" s="465"/>
      <c r="F1395" s="465"/>
      <c r="G1395" s="465"/>
      <c r="H1395" s="465"/>
      <c r="I1395" s="465"/>
      <c r="J1395" s="465"/>
      <c r="K1395" s="465"/>
      <c r="L1395" s="465"/>
      <c r="M1395" s="465"/>
      <c r="N1395" s="465"/>
      <c r="O1395" s="465"/>
      <c r="P1395" s="465"/>
      <c r="Q1395" s="465"/>
      <c r="R1395" s="465"/>
      <c r="S1395" s="465"/>
      <c r="T1395" s="465"/>
      <c r="U1395" s="465"/>
      <c r="V1395" s="465"/>
      <c r="W1395" s="465"/>
      <c r="X1395" s="465"/>
      <c r="Y1395" s="465"/>
      <c r="Z1395" s="465"/>
      <c r="AA1395" s="465"/>
      <c r="AB1395" s="465"/>
      <c r="AC1395" s="465"/>
      <c r="AD1395" s="465"/>
      <c r="AE1395" s="465"/>
      <c r="AF1395" s="465"/>
      <c r="AG1395" s="465"/>
      <c r="AH1395" s="465"/>
      <c r="AI1395" s="465"/>
      <c r="AJ1395" s="465"/>
      <c r="AK1395" s="465"/>
      <c r="AL1395" s="465"/>
      <c r="AM1395" s="465"/>
      <c r="AN1395" s="465"/>
      <c r="AO1395" s="465"/>
      <c r="AP1395" s="465"/>
      <c r="AQ1395" s="465"/>
      <c r="AR1395" s="465"/>
      <c r="AS1395" s="465"/>
      <c r="AT1395" s="465"/>
      <c r="AU1395" s="465"/>
      <c r="AV1395" s="465"/>
      <c r="AW1395" s="465"/>
      <c r="AX1395" s="465"/>
      <c r="AY1395" s="465"/>
      <c r="AZ1395" s="465"/>
      <c r="BA1395" s="465"/>
      <c r="BB1395" s="465"/>
      <c r="BC1395" s="465"/>
    </row>
    <row r="1396" spans="1:55">
      <c r="A1396" s="465"/>
      <c r="B1396" s="465"/>
      <c r="C1396" s="465"/>
      <c r="D1396" s="467"/>
      <c r="E1396" s="465"/>
      <c r="F1396" s="465"/>
      <c r="G1396" s="465"/>
      <c r="H1396" s="465"/>
      <c r="I1396" s="465"/>
      <c r="J1396" s="465"/>
      <c r="K1396" s="465"/>
      <c r="L1396" s="465"/>
      <c r="M1396" s="465"/>
      <c r="N1396" s="465"/>
      <c r="O1396" s="465"/>
      <c r="P1396" s="465"/>
      <c r="Q1396" s="465"/>
      <c r="R1396" s="465"/>
      <c r="S1396" s="465"/>
      <c r="T1396" s="465"/>
      <c r="U1396" s="465"/>
      <c r="V1396" s="465"/>
      <c r="W1396" s="465"/>
      <c r="X1396" s="465"/>
      <c r="Y1396" s="465"/>
      <c r="Z1396" s="465"/>
      <c r="AA1396" s="465"/>
      <c r="AB1396" s="465"/>
      <c r="AC1396" s="465"/>
      <c r="AD1396" s="465"/>
      <c r="AE1396" s="465"/>
      <c r="AF1396" s="465"/>
      <c r="AG1396" s="465"/>
      <c r="AH1396" s="465"/>
      <c r="AI1396" s="465"/>
      <c r="AJ1396" s="465"/>
      <c r="AK1396" s="465"/>
      <c r="AL1396" s="465"/>
      <c r="AM1396" s="465"/>
      <c r="AN1396" s="465"/>
      <c r="AO1396" s="465"/>
      <c r="AP1396" s="465"/>
      <c r="AQ1396" s="465"/>
      <c r="AR1396" s="465"/>
      <c r="AS1396" s="465"/>
      <c r="AT1396" s="465"/>
      <c r="AU1396" s="465"/>
      <c r="AV1396" s="465"/>
      <c r="AW1396" s="465"/>
      <c r="AX1396" s="465"/>
      <c r="AY1396" s="465"/>
      <c r="AZ1396" s="465"/>
      <c r="BA1396" s="465"/>
      <c r="BB1396" s="465"/>
      <c r="BC1396" s="465"/>
    </row>
    <row r="1397" spans="1:55">
      <c r="A1397" s="465"/>
      <c r="B1397" s="465"/>
      <c r="C1397" s="465"/>
      <c r="D1397" s="467"/>
      <c r="E1397" s="465"/>
      <c r="F1397" s="465"/>
      <c r="G1397" s="465"/>
      <c r="H1397" s="465"/>
      <c r="I1397" s="465"/>
      <c r="J1397" s="465"/>
      <c r="K1397" s="465"/>
      <c r="L1397" s="465"/>
      <c r="M1397" s="465"/>
      <c r="N1397" s="465"/>
      <c r="O1397" s="465"/>
      <c r="P1397" s="465"/>
      <c r="Q1397" s="465"/>
      <c r="R1397" s="465"/>
      <c r="S1397" s="465"/>
      <c r="T1397" s="465"/>
      <c r="U1397" s="465"/>
      <c r="V1397" s="465"/>
      <c r="W1397" s="465"/>
      <c r="X1397" s="465"/>
      <c r="Y1397" s="465"/>
      <c r="Z1397" s="465"/>
      <c r="AA1397" s="465"/>
      <c r="AB1397" s="465"/>
      <c r="AC1397" s="465"/>
      <c r="AD1397" s="465"/>
      <c r="AE1397" s="465"/>
      <c r="AF1397" s="465"/>
      <c r="AG1397" s="465"/>
      <c r="AH1397" s="465"/>
      <c r="AI1397" s="465"/>
      <c r="AJ1397" s="465"/>
      <c r="AK1397" s="465"/>
      <c r="AL1397" s="465"/>
      <c r="AM1397" s="465"/>
      <c r="AN1397" s="465"/>
      <c r="AO1397" s="465"/>
      <c r="AP1397" s="465"/>
      <c r="AQ1397" s="465"/>
      <c r="AR1397" s="465"/>
      <c r="AS1397" s="465"/>
      <c r="AT1397" s="465"/>
      <c r="AU1397" s="465"/>
      <c r="AV1397" s="465"/>
      <c r="AW1397" s="465"/>
      <c r="AX1397" s="465"/>
      <c r="AY1397" s="465"/>
      <c r="AZ1397" s="465"/>
      <c r="BA1397" s="465"/>
      <c r="BB1397" s="465"/>
      <c r="BC1397" s="465"/>
    </row>
    <row r="1398" spans="1:55">
      <c r="A1398" s="465"/>
      <c r="B1398" s="465"/>
      <c r="C1398" s="465"/>
      <c r="D1398" s="467"/>
      <c r="E1398" s="465"/>
      <c r="F1398" s="465"/>
      <c r="G1398" s="465"/>
      <c r="H1398" s="465"/>
      <c r="I1398" s="465"/>
      <c r="J1398" s="465"/>
      <c r="K1398" s="465"/>
      <c r="L1398" s="465"/>
      <c r="M1398" s="465"/>
      <c r="N1398" s="465"/>
      <c r="O1398" s="465"/>
      <c r="P1398" s="465"/>
      <c r="Q1398" s="465"/>
      <c r="R1398" s="465"/>
      <c r="S1398" s="465"/>
      <c r="T1398" s="465"/>
      <c r="U1398" s="465"/>
      <c r="V1398" s="465"/>
      <c r="W1398" s="465"/>
      <c r="X1398" s="465"/>
      <c r="Y1398" s="465"/>
      <c r="Z1398" s="465"/>
      <c r="AA1398" s="465"/>
      <c r="AB1398" s="465"/>
      <c r="AC1398" s="465"/>
      <c r="AD1398" s="465"/>
      <c r="AE1398" s="465"/>
      <c r="AF1398" s="465"/>
      <c r="AG1398" s="465"/>
      <c r="AH1398" s="465"/>
      <c r="AI1398" s="465"/>
      <c r="AJ1398" s="465"/>
      <c r="AK1398" s="465"/>
      <c r="AL1398" s="465"/>
      <c r="AM1398" s="465"/>
      <c r="AN1398" s="465"/>
      <c r="AO1398" s="465"/>
      <c r="AP1398" s="465"/>
      <c r="AQ1398" s="465"/>
      <c r="AR1398" s="465"/>
      <c r="AS1398" s="465"/>
      <c r="AT1398" s="465"/>
      <c r="AU1398" s="465"/>
      <c r="AV1398" s="465"/>
      <c r="AW1398" s="465"/>
      <c r="AX1398" s="465"/>
      <c r="AY1398" s="465"/>
      <c r="AZ1398" s="465"/>
      <c r="BA1398" s="465"/>
      <c r="BB1398" s="465"/>
      <c r="BC1398" s="465"/>
    </row>
    <row r="1399" spans="1:55">
      <c r="A1399" s="465"/>
      <c r="B1399" s="465"/>
      <c r="C1399" s="465"/>
      <c r="D1399" s="467"/>
      <c r="E1399" s="465"/>
      <c r="F1399" s="465"/>
      <c r="G1399" s="465"/>
      <c r="H1399" s="465"/>
      <c r="I1399" s="465"/>
      <c r="J1399" s="465"/>
      <c r="K1399" s="465"/>
      <c r="L1399" s="465"/>
      <c r="M1399" s="465"/>
      <c r="N1399" s="465"/>
      <c r="O1399" s="465"/>
      <c r="P1399" s="465"/>
      <c r="Q1399" s="465"/>
      <c r="R1399" s="465"/>
      <c r="S1399" s="465"/>
      <c r="T1399" s="465"/>
      <c r="U1399" s="465"/>
      <c r="V1399" s="465"/>
      <c r="W1399" s="465"/>
      <c r="X1399" s="465"/>
      <c r="Y1399" s="465"/>
      <c r="Z1399" s="465"/>
      <c r="AA1399" s="465"/>
      <c r="AB1399" s="465"/>
      <c r="AC1399" s="465"/>
      <c r="AD1399" s="465"/>
      <c r="AE1399" s="465"/>
      <c r="AF1399" s="465"/>
      <c r="AG1399" s="465"/>
      <c r="AH1399" s="465"/>
      <c r="AI1399" s="465"/>
      <c r="AJ1399" s="465"/>
      <c r="AK1399" s="465"/>
      <c r="AL1399" s="465"/>
      <c r="AM1399" s="465"/>
      <c r="AN1399" s="465"/>
      <c r="AO1399" s="465"/>
      <c r="AP1399" s="465"/>
      <c r="AQ1399" s="465"/>
      <c r="AR1399" s="465"/>
      <c r="AS1399" s="465"/>
      <c r="AT1399" s="465"/>
      <c r="AU1399" s="465"/>
      <c r="AV1399" s="465"/>
      <c r="AW1399" s="465"/>
      <c r="AX1399" s="465"/>
      <c r="AY1399" s="465"/>
      <c r="AZ1399" s="465"/>
      <c r="BA1399" s="465"/>
      <c r="BB1399" s="465"/>
      <c r="BC1399" s="465"/>
    </row>
    <row r="1400" spans="1:55">
      <c r="A1400" s="465"/>
      <c r="B1400" s="465"/>
      <c r="C1400" s="465"/>
      <c r="D1400" s="467"/>
      <c r="E1400" s="465"/>
      <c r="F1400" s="465"/>
      <c r="G1400" s="465"/>
      <c r="H1400" s="465"/>
      <c r="I1400" s="465"/>
      <c r="J1400" s="465"/>
      <c r="K1400" s="465"/>
      <c r="L1400" s="465"/>
      <c r="M1400" s="465"/>
      <c r="N1400" s="465"/>
      <c r="O1400" s="465"/>
      <c r="P1400" s="465"/>
      <c r="Q1400" s="465"/>
      <c r="R1400" s="465"/>
      <c r="S1400" s="465"/>
      <c r="T1400" s="465"/>
      <c r="U1400" s="465"/>
      <c r="V1400" s="465"/>
      <c r="W1400" s="465"/>
      <c r="X1400" s="465"/>
      <c r="Y1400" s="465"/>
      <c r="Z1400" s="465"/>
      <c r="AA1400" s="465"/>
      <c r="AB1400" s="465"/>
      <c r="AC1400" s="465"/>
      <c r="AD1400" s="465"/>
      <c r="AE1400" s="465"/>
      <c r="AF1400" s="465"/>
      <c r="AG1400" s="465"/>
      <c r="AH1400" s="465"/>
      <c r="AI1400" s="465"/>
      <c r="AJ1400" s="465"/>
      <c r="AK1400" s="465"/>
      <c r="AL1400" s="465"/>
      <c r="AM1400" s="465"/>
      <c r="AN1400" s="465"/>
      <c r="AO1400" s="465"/>
      <c r="AP1400" s="465"/>
      <c r="AQ1400" s="465"/>
      <c r="AR1400" s="465"/>
      <c r="AS1400" s="465"/>
      <c r="AT1400" s="465"/>
      <c r="AU1400" s="465"/>
      <c r="AV1400" s="465"/>
      <c r="AW1400" s="465"/>
      <c r="AX1400" s="465"/>
      <c r="AY1400" s="465"/>
      <c r="AZ1400" s="465"/>
      <c r="BA1400" s="465"/>
      <c r="BB1400" s="465"/>
      <c r="BC1400" s="465"/>
    </row>
    <row r="1401" spans="1:55">
      <c r="A1401" s="465"/>
      <c r="B1401" s="465"/>
      <c r="C1401" s="465"/>
      <c r="D1401" s="467"/>
      <c r="E1401" s="465"/>
      <c r="F1401" s="465"/>
      <c r="G1401" s="465"/>
      <c r="H1401" s="465"/>
      <c r="I1401" s="465"/>
      <c r="J1401" s="465"/>
      <c r="K1401" s="465"/>
      <c r="L1401" s="465"/>
      <c r="M1401" s="465"/>
      <c r="N1401" s="465"/>
      <c r="O1401" s="465"/>
      <c r="P1401" s="465"/>
      <c r="Q1401" s="465"/>
      <c r="R1401" s="465"/>
      <c r="S1401" s="465"/>
      <c r="T1401" s="465"/>
      <c r="U1401" s="465"/>
      <c r="V1401" s="465"/>
      <c r="W1401" s="465"/>
      <c r="X1401" s="465"/>
      <c r="Y1401" s="465"/>
      <c r="Z1401" s="465"/>
      <c r="AA1401" s="465"/>
      <c r="AB1401" s="465"/>
      <c r="AC1401" s="465"/>
      <c r="AD1401" s="465"/>
      <c r="AE1401" s="465"/>
      <c r="AF1401" s="465"/>
      <c r="AG1401" s="465"/>
      <c r="AH1401" s="465"/>
      <c r="AI1401" s="465"/>
      <c r="AJ1401" s="465"/>
      <c r="AK1401" s="465"/>
      <c r="AL1401" s="465"/>
      <c r="AM1401" s="465"/>
      <c r="AN1401" s="465"/>
      <c r="AO1401" s="465"/>
      <c r="AP1401" s="465"/>
      <c r="AQ1401" s="465"/>
      <c r="AR1401" s="465"/>
      <c r="AS1401" s="465"/>
      <c r="AT1401" s="465"/>
      <c r="AU1401" s="465"/>
      <c r="AV1401" s="465"/>
      <c r="AW1401" s="465"/>
      <c r="AX1401" s="465"/>
      <c r="AY1401" s="465"/>
      <c r="AZ1401" s="465"/>
      <c r="BA1401" s="465"/>
      <c r="BB1401" s="465"/>
      <c r="BC1401" s="465"/>
    </row>
    <row r="1402" spans="1:55">
      <c r="A1402" s="465"/>
      <c r="B1402" s="465"/>
      <c r="C1402" s="465"/>
      <c r="D1402" s="467"/>
      <c r="E1402" s="465"/>
      <c r="F1402" s="465"/>
      <c r="G1402" s="465"/>
      <c r="H1402" s="465"/>
      <c r="I1402" s="465"/>
      <c r="J1402" s="465"/>
      <c r="K1402" s="465"/>
      <c r="L1402" s="465"/>
      <c r="M1402" s="465"/>
      <c r="N1402" s="465"/>
      <c r="O1402" s="465"/>
      <c r="P1402" s="465"/>
      <c r="Q1402" s="465"/>
      <c r="R1402" s="465"/>
      <c r="S1402" s="465"/>
      <c r="T1402" s="465"/>
      <c r="U1402" s="465"/>
      <c r="V1402" s="465"/>
      <c r="W1402" s="465"/>
      <c r="X1402" s="465"/>
      <c r="Y1402" s="465"/>
      <c r="Z1402" s="465"/>
      <c r="AA1402" s="465"/>
      <c r="AB1402" s="465"/>
      <c r="AC1402" s="465"/>
      <c r="AD1402" s="465"/>
      <c r="AE1402" s="465"/>
      <c r="AF1402" s="465"/>
      <c r="AG1402" s="465"/>
      <c r="AH1402" s="465"/>
      <c r="AI1402" s="465"/>
      <c r="AJ1402" s="465"/>
      <c r="AK1402" s="465"/>
      <c r="AL1402" s="465"/>
      <c r="AM1402" s="465"/>
      <c r="AN1402" s="465"/>
      <c r="AO1402" s="465"/>
      <c r="AP1402" s="465"/>
      <c r="AQ1402" s="465"/>
      <c r="AR1402" s="465"/>
      <c r="AS1402" s="465"/>
      <c r="AT1402" s="465"/>
      <c r="AU1402" s="465"/>
      <c r="AV1402" s="465"/>
      <c r="AW1402" s="465"/>
      <c r="AX1402" s="465"/>
      <c r="AY1402" s="465"/>
      <c r="AZ1402" s="465"/>
      <c r="BA1402" s="465"/>
      <c r="BB1402" s="465"/>
      <c r="BC1402" s="465"/>
    </row>
    <row r="1403" spans="1:55">
      <c r="A1403" s="465"/>
      <c r="B1403" s="465"/>
      <c r="C1403" s="465"/>
      <c r="D1403" s="467"/>
      <c r="E1403" s="465"/>
      <c r="F1403" s="465"/>
      <c r="G1403" s="465"/>
      <c r="H1403" s="465"/>
      <c r="I1403" s="465"/>
      <c r="J1403" s="465"/>
      <c r="K1403" s="465"/>
      <c r="L1403" s="465"/>
      <c r="M1403" s="465"/>
      <c r="N1403" s="465"/>
      <c r="O1403" s="465"/>
      <c r="P1403" s="465"/>
      <c r="Q1403" s="465"/>
      <c r="R1403" s="465"/>
      <c r="S1403" s="465"/>
      <c r="T1403" s="465"/>
      <c r="U1403" s="465"/>
      <c r="V1403" s="465"/>
      <c r="W1403" s="465"/>
      <c r="X1403" s="465"/>
      <c r="Y1403" s="465"/>
      <c r="Z1403" s="465"/>
      <c r="AA1403" s="465"/>
      <c r="AB1403" s="465"/>
      <c r="AC1403" s="465"/>
      <c r="AD1403" s="465"/>
      <c r="AE1403" s="465"/>
      <c r="AF1403" s="465"/>
      <c r="AG1403" s="465"/>
      <c r="AH1403" s="465"/>
      <c r="AI1403" s="465"/>
      <c r="AJ1403" s="465"/>
      <c r="AK1403" s="465"/>
      <c r="AL1403" s="465"/>
      <c r="AM1403" s="465"/>
      <c r="AN1403" s="465"/>
      <c r="AO1403" s="465"/>
      <c r="AP1403" s="465"/>
      <c r="AQ1403" s="465"/>
      <c r="AR1403" s="465"/>
      <c r="AS1403" s="465"/>
      <c r="AT1403" s="465"/>
      <c r="AU1403" s="465"/>
      <c r="AV1403" s="465"/>
      <c r="AW1403" s="465"/>
      <c r="AX1403" s="465"/>
      <c r="AY1403" s="465"/>
      <c r="AZ1403" s="465"/>
      <c r="BA1403" s="465"/>
      <c r="BB1403" s="465"/>
      <c r="BC1403" s="465"/>
    </row>
    <row r="1404" spans="1:55">
      <c r="A1404" s="465"/>
      <c r="B1404" s="465"/>
      <c r="C1404" s="465"/>
      <c r="D1404" s="467"/>
      <c r="E1404" s="465"/>
      <c r="F1404" s="465"/>
      <c r="G1404" s="465"/>
      <c r="H1404" s="465"/>
      <c r="I1404" s="465"/>
      <c r="J1404" s="465"/>
      <c r="K1404" s="465"/>
      <c r="L1404" s="465"/>
      <c r="M1404" s="465"/>
      <c r="N1404" s="465"/>
      <c r="O1404" s="465"/>
      <c r="P1404" s="465"/>
      <c r="Q1404" s="465"/>
      <c r="R1404" s="465"/>
      <c r="S1404" s="465"/>
      <c r="T1404" s="465"/>
      <c r="U1404" s="465"/>
      <c r="V1404" s="465"/>
      <c r="W1404" s="465"/>
      <c r="X1404" s="465"/>
      <c r="Y1404" s="465"/>
      <c r="Z1404" s="465"/>
      <c r="AA1404" s="465"/>
      <c r="AB1404" s="465"/>
      <c r="AC1404" s="465"/>
      <c r="AD1404" s="465"/>
      <c r="AE1404" s="465"/>
      <c r="AF1404" s="465"/>
      <c r="AG1404" s="465"/>
      <c r="AH1404" s="465"/>
      <c r="AI1404" s="465"/>
      <c r="AJ1404" s="465"/>
      <c r="AK1404" s="465"/>
      <c r="AL1404" s="465"/>
      <c r="AM1404" s="465"/>
      <c r="AN1404" s="465"/>
      <c r="AO1404" s="465"/>
      <c r="AP1404" s="465"/>
      <c r="AQ1404" s="465"/>
      <c r="AR1404" s="465"/>
      <c r="AS1404" s="465"/>
      <c r="AT1404" s="465"/>
      <c r="AU1404" s="465"/>
      <c r="AV1404" s="465"/>
      <c r="AW1404" s="465"/>
      <c r="AX1404" s="465"/>
      <c r="AY1404" s="465"/>
      <c r="AZ1404" s="465"/>
      <c r="BA1404" s="465"/>
      <c r="BB1404" s="465"/>
      <c r="BC1404" s="465"/>
    </row>
    <row r="1405" spans="1:55">
      <c r="A1405" s="465"/>
      <c r="B1405" s="465"/>
      <c r="C1405" s="465"/>
      <c r="D1405" s="467"/>
      <c r="E1405" s="465"/>
      <c r="F1405" s="465"/>
      <c r="G1405" s="465"/>
      <c r="H1405" s="465"/>
      <c r="I1405" s="465"/>
      <c r="J1405" s="465"/>
      <c r="K1405" s="465"/>
      <c r="L1405" s="465"/>
      <c r="M1405" s="465"/>
      <c r="N1405" s="465"/>
      <c r="O1405" s="465"/>
      <c r="P1405" s="465"/>
      <c r="Q1405" s="465"/>
      <c r="R1405" s="465"/>
      <c r="S1405" s="465"/>
      <c r="T1405" s="465"/>
      <c r="U1405" s="465"/>
      <c r="V1405" s="465"/>
      <c r="W1405" s="465"/>
      <c r="X1405" s="465"/>
      <c r="Y1405" s="465"/>
      <c r="Z1405" s="465"/>
      <c r="AA1405" s="465"/>
      <c r="AB1405" s="465"/>
      <c r="AC1405" s="465"/>
      <c r="AD1405" s="465"/>
      <c r="AE1405" s="465"/>
      <c r="AF1405" s="465"/>
      <c r="AG1405" s="465"/>
      <c r="AH1405" s="465"/>
      <c r="AI1405" s="465"/>
      <c r="AJ1405" s="465"/>
      <c r="AK1405" s="465"/>
      <c r="AL1405" s="465"/>
      <c r="AM1405" s="465"/>
      <c r="AN1405" s="465"/>
      <c r="AO1405" s="465"/>
      <c r="AP1405" s="465"/>
      <c r="AQ1405" s="465"/>
      <c r="AR1405" s="465"/>
      <c r="AS1405" s="465"/>
      <c r="AT1405" s="465"/>
      <c r="AU1405" s="465"/>
      <c r="AV1405" s="465"/>
      <c r="AW1405" s="465"/>
      <c r="AX1405" s="465"/>
      <c r="AY1405" s="465"/>
      <c r="AZ1405" s="465"/>
      <c r="BA1405" s="465"/>
      <c r="BB1405" s="465"/>
      <c r="BC1405" s="465"/>
    </row>
    <row r="1406" spans="1:55">
      <c r="A1406" s="465"/>
      <c r="B1406" s="465"/>
      <c r="C1406" s="465"/>
      <c r="D1406" s="467"/>
      <c r="E1406" s="465"/>
      <c r="F1406" s="465"/>
      <c r="G1406" s="465"/>
      <c r="H1406" s="465"/>
      <c r="I1406" s="465"/>
      <c r="J1406" s="465"/>
      <c r="K1406" s="465"/>
      <c r="L1406" s="465"/>
      <c r="M1406" s="465"/>
      <c r="N1406" s="465"/>
      <c r="O1406" s="465"/>
      <c r="P1406" s="465"/>
      <c r="Q1406" s="465"/>
      <c r="R1406" s="465"/>
      <c r="S1406" s="465"/>
      <c r="T1406" s="465"/>
      <c r="U1406" s="465"/>
      <c r="V1406" s="465"/>
      <c r="W1406" s="465"/>
      <c r="X1406" s="465"/>
      <c r="Y1406" s="465"/>
      <c r="Z1406" s="465"/>
      <c r="AA1406" s="465"/>
      <c r="AB1406" s="465"/>
      <c r="AC1406" s="465"/>
      <c r="AD1406" s="465"/>
      <c r="AE1406" s="465"/>
      <c r="AF1406" s="465"/>
      <c r="AG1406" s="465"/>
      <c r="AH1406" s="465"/>
      <c r="AI1406" s="465"/>
      <c r="AJ1406" s="465"/>
      <c r="AK1406" s="465"/>
      <c r="AL1406" s="465"/>
      <c r="AM1406" s="465"/>
      <c r="AN1406" s="465"/>
      <c r="AO1406" s="465"/>
      <c r="AP1406" s="465"/>
      <c r="AQ1406" s="465"/>
      <c r="AR1406" s="465"/>
      <c r="AS1406" s="465"/>
      <c r="AT1406" s="465"/>
      <c r="AU1406" s="465"/>
      <c r="AV1406" s="465"/>
      <c r="AW1406" s="465"/>
      <c r="AX1406" s="465"/>
      <c r="AY1406" s="465"/>
      <c r="AZ1406" s="465"/>
      <c r="BA1406" s="465"/>
      <c r="BB1406" s="465"/>
      <c r="BC1406" s="465"/>
    </row>
    <row r="1407" spans="1:55">
      <c r="A1407" s="465"/>
      <c r="B1407" s="465"/>
      <c r="C1407" s="465"/>
      <c r="D1407" s="467"/>
      <c r="E1407" s="465"/>
      <c r="F1407" s="465"/>
      <c r="G1407" s="465"/>
      <c r="H1407" s="465"/>
      <c r="I1407" s="465"/>
      <c r="J1407" s="465"/>
      <c r="K1407" s="465"/>
      <c r="L1407" s="465"/>
      <c r="M1407" s="465"/>
      <c r="N1407" s="465"/>
      <c r="O1407" s="465"/>
      <c r="P1407" s="465"/>
      <c r="Q1407" s="465"/>
      <c r="R1407" s="465"/>
      <c r="S1407" s="465"/>
      <c r="T1407" s="465"/>
      <c r="U1407" s="465"/>
      <c r="V1407" s="465"/>
      <c r="W1407" s="465"/>
      <c r="X1407" s="465"/>
      <c r="Y1407" s="465"/>
      <c r="Z1407" s="465"/>
      <c r="AA1407" s="465"/>
      <c r="AB1407" s="465"/>
      <c r="AC1407" s="465"/>
      <c r="AD1407" s="465"/>
      <c r="AE1407" s="465"/>
      <c r="AF1407" s="465"/>
      <c r="AG1407" s="465"/>
      <c r="AH1407" s="465"/>
      <c r="AI1407" s="465"/>
      <c r="AJ1407" s="465"/>
      <c r="AK1407" s="465"/>
      <c r="AL1407" s="465"/>
      <c r="AM1407" s="465"/>
      <c r="AN1407" s="465"/>
      <c r="AO1407" s="465"/>
      <c r="AP1407" s="465"/>
      <c r="AQ1407" s="465"/>
      <c r="AR1407" s="465"/>
      <c r="AS1407" s="465"/>
      <c r="AT1407" s="465"/>
      <c r="AU1407" s="465"/>
      <c r="AV1407" s="465"/>
      <c r="AW1407" s="465"/>
      <c r="AX1407" s="465"/>
      <c r="AY1407" s="465"/>
      <c r="AZ1407" s="465"/>
      <c r="BA1407" s="465"/>
      <c r="BB1407" s="465"/>
      <c r="BC1407" s="465"/>
    </row>
    <row r="1408" spans="1:55">
      <c r="A1408" s="465"/>
      <c r="B1408" s="465"/>
      <c r="C1408" s="465"/>
      <c r="D1408" s="467"/>
      <c r="E1408" s="465"/>
      <c r="F1408" s="465"/>
      <c r="G1408" s="465"/>
      <c r="H1408" s="465"/>
      <c r="I1408" s="465"/>
      <c r="J1408" s="465"/>
      <c r="K1408" s="465"/>
      <c r="L1408" s="465"/>
      <c r="M1408" s="465"/>
      <c r="N1408" s="465"/>
      <c r="O1408" s="465"/>
      <c r="P1408" s="465"/>
      <c r="Q1408" s="465"/>
      <c r="R1408" s="465"/>
      <c r="S1408" s="465"/>
      <c r="T1408" s="465"/>
      <c r="U1408" s="465"/>
      <c r="V1408" s="465"/>
      <c r="W1408" s="465"/>
      <c r="X1408" s="465"/>
      <c r="Y1408" s="465"/>
      <c r="Z1408" s="465"/>
      <c r="AA1408" s="465"/>
      <c r="AB1408" s="465"/>
      <c r="AC1408" s="465"/>
      <c r="AD1408" s="465"/>
      <c r="AE1408" s="465"/>
      <c r="AF1408" s="465"/>
      <c r="AG1408" s="465"/>
      <c r="AH1408" s="465"/>
      <c r="AI1408" s="465"/>
      <c r="AJ1408" s="465"/>
      <c r="AK1408" s="465"/>
      <c r="AL1408" s="465"/>
      <c r="AM1408" s="465"/>
      <c r="AN1408" s="465"/>
      <c r="AO1408" s="465"/>
      <c r="AP1408" s="465"/>
      <c r="AQ1408" s="465"/>
      <c r="AR1408" s="465"/>
      <c r="AS1408" s="465"/>
      <c r="AT1408" s="465"/>
      <c r="AU1408" s="465"/>
      <c r="AV1408" s="465"/>
      <c r="AW1408" s="465"/>
      <c r="AX1408" s="465"/>
      <c r="AY1408" s="465"/>
      <c r="AZ1408" s="465"/>
      <c r="BA1408" s="465"/>
      <c r="BB1408" s="465"/>
      <c r="BC1408" s="465"/>
    </row>
    <row r="1409" spans="1:55">
      <c r="A1409" s="465"/>
      <c r="B1409" s="465"/>
      <c r="C1409" s="465"/>
      <c r="D1409" s="467"/>
      <c r="E1409" s="465"/>
      <c r="F1409" s="465"/>
      <c r="G1409" s="465"/>
      <c r="H1409" s="465"/>
      <c r="I1409" s="465"/>
      <c r="J1409" s="465"/>
      <c r="K1409" s="465"/>
      <c r="L1409" s="465"/>
      <c r="M1409" s="465"/>
      <c r="N1409" s="465"/>
      <c r="O1409" s="465"/>
      <c r="P1409" s="465"/>
      <c r="Q1409" s="465"/>
      <c r="R1409" s="465"/>
      <c r="S1409" s="465"/>
      <c r="T1409" s="465"/>
      <c r="U1409" s="465"/>
      <c r="V1409" s="465"/>
      <c r="W1409" s="465"/>
      <c r="X1409" s="465"/>
      <c r="Y1409" s="465"/>
      <c r="Z1409" s="465"/>
      <c r="AA1409" s="465"/>
      <c r="AB1409" s="465"/>
      <c r="AC1409" s="465"/>
      <c r="AD1409" s="465"/>
      <c r="AE1409" s="465"/>
      <c r="AF1409" s="465"/>
      <c r="AG1409" s="465"/>
      <c r="AH1409" s="465"/>
      <c r="AI1409" s="465"/>
      <c r="AJ1409" s="465"/>
      <c r="AK1409" s="465"/>
      <c r="AL1409" s="465"/>
      <c r="AM1409" s="465"/>
      <c r="AN1409" s="465"/>
      <c r="AO1409" s="465"/>
      <c r="AP1409" s="465"/>
      <c r="AQ1409" s="465"/>
      <c r="AR1409" s="465"/>
      <c r="AS1409" s="465"/>
      <c r="AT1409" s="465"/>
      <c r="AU1409" s="465"/>
      <c r="AV1409" s="465"/>
      <c r="AW1409" s="465"/>
      <c r="AX1409" s="465"/>
      <c r="AY1409" s="465"/>
      <c r="AZ1409" s="465"/>
      <c r="BA1409" s="465"/>
      <c r="BB1409" s="465"/>
      <c r="BC1409" s="465"/>
    </row>
    <row r="1410" spans="1:55">
      <c r="A1410" s="465"/>
      <c r="B1410" s="465"/>
      <c r="C1410" s="465"/>
      <c r="D1410" s="467"/>
      <c r="E1410" s="465"/>
      <c r="F1410" s="465"/>
      <c r="G1410" s="465"/>
      <c r="H1410" s="465"/>
      <c r="I1410" s="465"/>
      <c r="J1410" s="465"/>
      <c r="K1410" s="465"/>
      <c r="L1410" s="465"/>
      <c r="M1410" s="465"/>
      <c r="N1410" s="465"/>
      <c r="O1410" s="465"/>
      <c r="P1410" s="465"/>
      <c r="Q1410" s="465"/>
      <c r="R1410" s="465"/>
      <c r="S1410" s="465"/>
      <c r="T1410" s="465"/>
      <c r="U1410" s="465"/>
      <c r="V1410" s="465"/>
      <c r="W1410" s="465"/>
      <c r="X1410" s="465"/>
      <c r="Y1410" s="465"/>
      <c r="Z1410" s="465"/>
      <c r="AA1410" s="465"/>
      <c r="AB1410" s="465"/>
      <c r="AC1410" s="465"/>
      <c r="AD1410" s="465"/>
      <c r="AE1410" s="465"/>
      <c r="AF1410" s="465"/>
      <c r="AG1410" s="465"/>
      <c r="AH1410" s="465"/>
      <c r="AI1410" s="465"/>
      <c r="AJ1410" s="465"/>
      <c r="AK1410" s="465"/>
      <c r="AL1410" s="465"/>
      <c r="AM1410" s="465"/>
      <c r="AN1410" s="465"/>
      <c r="AO1410" s="465"/>
      <c r="AP1410" s="465"/>
      <c r="AQ1410" s="465"/>
      <c r="AR1410" s="465"/>
      <c r="AS1410" s="465"/>
      <c r="AT1410" s="465"/>
      <c r="AU1410" s="465"/>
      <c r="AV1410" s="465"/>
      <c r="AW1410" s="465"/>
      <c r="AX1410" s="465"/>
      <c r="AY1410" s="465"/>
      <c r="AZ1410" s="465"/>
      <c r="BA1410" s="465"/>
      <c r="BB1410" s="465"/>
      <c r="BC1410" s="465"/>
    </row>
    <row r="1411" spans="1:55">
      <c r="A1411" s="465"/>
      <c r="B1411" s="465"/>
      <c r="C1411" s="465"/>
      <c r="D1411" s="467"/>
      <c r="E1411" s="465"/>
      <c r="F1411" s="465"/>
      <c r="G1411" s="465"/>
      <c r="H1411" s="465"/>
      <c r="I1411" s="465"/>
      <c r="J1411" s="465"/>
      <c r="K1411" s="465"/>
      <c r="L1411" s="465"/>
      <c r="M1411" s="465"/>
      <c r="N1411" s="465"/>
      <c r="O1411" s="465"/>
      <c r="P1411" s="465"/>
      <c r="Q1411" s="465"/>
      <c r="R1411" s="465"/>
      <c r="S1411" s="465"/>
      <c r="T1411" s="465"/>
      <c r="U1411" s="465"/>
      <c r="V1411" s="465"/>
      <c r="W1411" s="465"/>
      <c r="X1411" s="465"/>
      <c r="Y1411" s="465"/>
      <c r="Z1411" s="465"/>
      <c r="AA1411" s="465"/>
      <c r="AB1411" s="465"/>
      <c r="AC1411" s="465"/>
      <c r="AD1411" s="465"/>
      <c r="AE1411" s="465"/>
      <c r="AF1411" s="465"/>
      <c r="AG1411" s="465"/>
      <c r="AH1411" s="465"/>
      <c r="AI1411" s="465"/>
      <c r="AJ1411" s="465"/>
      <c r="AK1411" s="465"/>
      <c r="AL1411" s="465"/>
      <c r="AM1411" s="465"/>
      <c r="AN1411" s="465"/>
      <c r="AO1411" s="465"/>
      <c r="AP1411" s="465"/>
      <c r="AQ1411" s="465"/>
      <c r="AR1411" s="465"/>
      <c r="AS1411" s="465"/>
      <c r="AT1411" s="465"/>
      <c r="AU1411" s="465"/>
      <c r="AV1411" s="465"/>
      <c r="AW1411" s="465"/>
      <c r="AX1411" s="465"/>
      <c r="AY1411" s="465"/>
      <c r="AZ1411" s="465"/>
      <c r="BA1411" s="465"/>
      <c r="BB1411" s="465"/>
      <c r="BC1411" s="465"/>
    </row>
    <row r="1412" spans="1:55">
      <c r="A1412" s="465"/>
      <c r="B1412" s="465"/>
      <c r="C1412" s="465"/>
      <c r="D1412" s="467"/>
      <c r="E1412" s="465"/>
      <c r="F1412" s="465"/>
      <c r="G1412" s="465"/>
      <c r="H1412" s="465"/>
      <c r="I1412" s="465"/>
      <c r="J1412" s="465"/>
      <c r="K1412" s="465"/>
      <c r="L1412" s="465"/>
      <c r="M1412" s="465"/>
      <c r="N1412" s="465"/>
      <c r="O1412" s="465"/>
      <c r="P1412" s="465"/>
      <c r="Q1412" s="465"/>
      <c r="R1412" s="465"/>
      <c r="S1412" s="465"/>
      <c r="T1412" s="465"/>
      <c r="U1412" s="465"/>
      <c r="V1412" s="465"/>
      <c r="W1412" s="465"/>
      <c r="X1412" s="465"/>
      <c r="Y1412" s="465"/>
      <c r="Z1412" s="465"/>
      <c r="AA1412" s="465"/>
      <c r="AB1412" s="465"/>
      <c r="AC1412" s="465"/>
      <c r="AD1412" s="465"/>
      <c r="AE1412" s="465"/>
      <c r="AF1412" s="465"/>
      <c r="AG1412" s="465"/>
      <c r="AH1412" s="465"/>
      <c r="AI1412" s="465"/>
      <c r="AJ1412" s="465"/>
      <c r="AK1412" s="465"/>
      <c r="AL1412" s="465"/>
      <c r="AM1412" s="465"/>
      <c r="AN1412" s="465"/>
      <c r="AO1412" s="465"/>
      <c r="AP1412" s="465"/>
      <c r="AQ1412" s="465"/>
      <c r="AR1412" s="465"/>
      <c r="AS1412" s="465"/>
      <c r="AT1412" s="465"/>
      <c r="AU1412" s="465"/>
      <c r="AV1412" s="465"/>
      <c r="AW1412" s="465"/>
      <c r="AX1412" s="465"/>
      <c r="AY1412" s="465"/>
      <c r="AZ1412" s="465"/>
      <c r="BA1412" s="465"/>
      <c r="BB1412" s="465"/>
      <c r="BC1412" s="465"/>
    </row>
    <row r="1413" spans="1:55">
      <c r="A1413" s="465"/>
      <c r="B1413" s="465"/>
      <c r="C1413" s="465"/>
      <c r="D1413" s="467"/>
      <c r="E1413" s="465"/>
      <c r="F1413" s="465"/>
      <c r="G1413" s="465"/>
      <c r="H1413" s="465"/>
      <c r="I1413" s="465"/>
      <c r="J1413" s="465"/>
      <c r="K1413" s="465"/>
      <c r="L1413" s="465"/>
      <c r="M1413" s="465"/>
      <c r="N1413" s="465"/>
      <c r="O1413" s="465"/>
      <c r="P1413" s="465"/>
      <c r="Q1413" s="465"/>
      <c r="R1413" s="465"/>
      <c r="S1413" s="465"/>
      <c r="T1413" s="465"/>
      <c r="U1413" s="465"/>
      <c r="V1413" s="465"/>
      <c r="W1413" s="465"/>
      <c r="X1413" s="465"/>
      <c r="Y1413" s="465"/>
      <c r="Z1413" s="465"/>
      <c r="AA1413" s="465"/>
      <c r="AB1413" s="465"/>
      <c r="AC1413" s="465"/>
      <c r="AD1413" s="465"/>
      <c r="AE1413" s="465"/>
      <c r="AF1413" s="465"/>
      <c r="AG1413" s="465"/>
      <c r="AH1413" s="465"/>
      <c r="AI1413" s="465"/>
      <c r="AJ1413" s="465"/>
      <c r="AK1413" s="465"/>
      <c r="AL1413" s="465"/>
      <c r="AM1413" s="465"/>
      <c r="AN1413" s="465"/>
      <c r="AO1413" s="465"/>
      <c r="AP1413" s="465"/>
      <c r="AQ1413" s="465"/>
      <c r="AR1413" s="465"/>
      <c r="AS1413" s="465"/>
      <c r="AT1413" s="465"/>
      <c r="AU1413" s="465"/>
      <c r="AV1413" s="465"/>
      <c r="AW1413" s="465"/>
      <c r="AX1413" s="465"/>
      <c r="AY1413" s="465"/>
      <c r="AZ1413" s="465"/>
      <c r="BA1413" s="465"/>
      <c r="BB1413" s="465"/>
      <c r="BC1413" s="465"/>
    </row>
    <row r="1414" spans="1:55">
      <c r="A1414" s="465"/>
      <c r="B1414" s="465"/>
      <c r="C1414" s="465"/>
      <c r="D1414" s="467"/>
      <c r="E1414" s="465"/>
      <c r="F1414" s="465"/>
      <c r="G1414" s="465"/>
      <c r="H1414" s="465"/>
      <c r="I1414" s="465"/>
      <c r="J1414" s="465"/>
      <c r="K1414" s="465"/>
      <c r="L1414" s="465"/>
      <c r="M1414" s="465"/>
      <c r="N1414" s="465"/>
      <c r="O1414" s="465"/>
      <c r="P1414" s="465"/>
      <c r="Q1414" s="465"/>
      <c r="R1414" s="465"/>
      <c r="S1414" s="465"/>
      <c r="T1414" s="465"/>
      <c r="U1414" s="465"/>
      <c r="V1414" s="465"/>
      <c r="W1414" s="465"/>
      <c r="X1414" s="465"/>
      <c r="Y1414" s="465"/>
      <c r="Z1414" s="465"/>
      <c r="AA1414" s="465"/>
      <c r="AB1414" s="465"/>
      <c r="AC1414" s="465"/>
      <c r="AD1414" s="465"/>
      <c r="AE1414" s="465"/>
      <c r="AF1414" s="465"/>
      <c r="AG1414" s="465"/>
      <c r="AH1414" s="465"/>
      <c r="AI1414" s="465"/>
      <c r="AJ1414" s="465"/>
      <c r="AK1414" s="465"/>
      <c r="AL1414" s="465"/>
      <c r="AM1414" s="465"/>
      <c r="AN1414" s="465"/>
      <c r="AO1414" s="465"/>
      <c r="AP1414" s="465"/>
      <c r="AQ1414" s="465"/>
      <c r="AR1414" s="465"/>
      <c r="AS1414" s="465"/>
      <c r="AT1414" s="465"/>
      <c r="AU1414" s="465"/>
      <c r="AV1414" s="465"/>
      <c r="AW1414" s="465"/>
      <c r="AX1414" s="465"/>
      <c r="AY1414" s="465"/>
      <c r="AZ1414" s="465"/>
      <c r="BA1414" s="465"/>
      <c r="BB1414" s="465"/>
      <c r="BC1414" s="465"/>
    </row>
    <row r="1415" spans="1:55">
      <c r="A1415" s="465"/>
      <c r="B1415" s="465"/>
      <c r="C1415" s="465"/>
      <c r="D1415" s="467"/>
      <c r="E1415" s="465"/>
      <c r="F1415" s="465"/>
      <c r="G1415" s="465"/>
      <c r="H1415" s="465"/>
      <c r="I1415" s="465"/>
      <c r="J1415" s="465"/>
      <c r="K1415" s="465"/>
      <c r="L1415" s="465"/>
      <c r="M1415" s="465"/>
      <c r="N1415" s="465"/>
      <c r="O1415" s="465"/>
      <c r="P1415" s="465"/>
      <c r="Q1415" s="465"/>
      <c r="R1415" s="465"/>
      <c r="S1415" s="465"/>
      <c r="T1415" s="465"/>
      <c r="U1415" s="465"/>
      <c r="V1415" s="465"/>
      <c r="W1415" s="465"/>
      <c r="X1415" s="465"/>
      <c r="Y1415" s="465"/>
      <c r="Z1415" s="465"/>
      <c r="AA1415" s="465"/>
      <c r="AB1415" s="465"/>
      <c r="AC1415" s="465"/>
      <c r="AD1415" s="465"/>
      <c r="AE1415" s="465"/>
      <c r="AF1415" s="465"/>
      <c r="AG1415" s="465"/>
      <c r="AH1415" s="465"/>
      <c r="AI1415" s="465"/>
      <c r="AJ1415" s="465"/>
      <c r="AK1415" s="465"/>
      <c r="AL1415" s="465"/>
      <c r="AM1415" s="465"/>
      <c r="AN1415" s="465"/>
      <c r="AO1415" s="465"/>
      <c r="AP1415" s="465"/>
      <c r="AQ1415" s="465"/>
      <c r="AR1415" s="465"/>
      <c r="AS1415" s="465"/>
      <c r="AT1415" s="465"/>
      <c r="AU1415" s="465"/>
      <c r="AV1415" s="465"/>
      <c r="AW1415" s="465"/>
      <c r="AX1415" s="465"/>
      <c r="AY1415" s="465"/>
      <c r="AZ1415" s="465"/>
      <c r="BA1415" s="465"/>
      <c r="BB1415" s="465"/>
      <c r="BC1415" s="465"/>
    </row>
    <row r="1416" spans="1:55">
      <c r="A1416" s="465"/>
      <c r="B1416" s="465"/>
      <c r="C1416" s="465"/>
      <c r="D1416" s="467"/>
      <c r="E1416" s="465"/>
      <c r="F1416" s="465"/>
      <c r="G1416" s="465"/>
      <c r="H1416" s="465"/>
      <c r="I1416" s="465"/>
      <c r="J1416" s="465"/>
      <c r="K1416" s="465"/>
      <c r="L1416" s="465"/>
      <c r="M1416" s="465"/>
      <c r="N1416" s="465"/>
      <c r="O1416" s="465"/>
      <c r="P1416" s="465"/>
      <c r="Q1416" s="465"/>
      <c r="R1416" s="465"/>
      <c r="S1416" s="465"/>
      <c r="T1416" s="465"/>
      <c r="U1416" s="465"/>
      <c r="V1416" s="465"/>
      <c r="W1416" s="465"/>
      <c r="X1416" s="465"/>
      <c r="Y1416" s="465"/>
      <c r="Z1416" s="465"/>
      <c r="AA1416" s="465"/>
      <c r="AB1416" s="465"/>
      <c r="AC1416" s="465"/>
      <c r="AD1416" s="465"/>
      <c r="AE1416" s="465"/>
      <c r="AF1416" s="465"/>
      <c r="AG1416" s="465"/>
      <c r="AH1416" s="465"/>
      <c r="AI1416" s="465"/>
      <c r="AJ1416" s="465"/>
      <c r="AK1416" s="465"/>
      <c r="AL1416" s="465"/>
      <c r="AM1416" s="465"/>
      <c r="AN1416" s="465"/>
      <c r="AO1416" s="465"/>
      <c r="AP1416" s="465"/>
      <c r="AQ1416" s="465"/>
      <c r="AR1416" s="465"/>
      <c r="AS1416" s="465"/>
      <c r="AT1416" s="465"/>
      <c r="AU1416" s="465"/>
      <c r="AV1416" s="465"/>
      <c r="AW1416" s="465"/>
      <c r="AX1416" s="465"/>
      <c r="AY1416" s="465"/>
      <c r="AZ1416" s="465"/>
      <c r="BA1416" s="465"/>
      <c r="BB1416" s="465"/>
      <c r="BC1416" s="465"/>
    </row>
    <row r="1417" spans="1:55">
      <c r="A1417" s="465"/>
      <c r="B1417" s="465"/>
      <c r="C1417" s="465"/>
      <c r="D1417" s="467"/>
      <c r="E1417" s="465"/>
      <c r="F1417" s="465"/>
      <c r="G1417" s="465"/>
      <c r="H1417" s="465"/>
      <c r="I1417" s="465"/>
      <c r="J1417" s="465"/>
      <c r="K1417" s="465"/>
      <c r="L1417" s="465"/>
      <c r="M1417" s="465"/>
      <c r="N1417" s="465"/>
      <c r="O1417" s="465"/>
      <c r="P1417" s="465"/>
      <c r="Q1417" s="465"/>
      <c r="R1417" s="465"/>
      <c r="S1417" s="465"/>
      <c r="T1417" s="465"/>
      <c r="U1417" s="465"/>
      <c r="V1417" s="465"/>
      <c r="W1417" s="465"/>
      <c r="X1417" s="465"/>
      <c r="Y1417" s="465"/>
      <c r="Z1417" s="465"/>
      <c r="AA1417" s="465"/>
      <c r="AB1417" s="465"/>
      <c r="AC1417" s="465"/>
      <c r="AD1417" s="465"/>
      <c r="AE1417" s="465"/>
      <c r="AF1417" s="465"/>
      <c r="AG1417" s="465"/>
      <c r="AH1417" s="465"/>
      <c r="AI1417" s="465"/>
      <c r="AJ1417" s="465"/>
      <c r="AK1417" s="465"/>
      <c r="AL1417" s="465"/>
      <c r="AM1417" s="465"/>
      <c r="AN1417" s="465"/>
      <c r="AO1417" s="465"/>
      <c r="AP1417" s="465"/>
      <c r="AQ1417" s="465"/>
      <c r="AR1417" s="465"/>
      <c r="AS1417" s="465"/>
      <c r="AT1417" s="465"/>
      <c r="AU1417" s="465"/>
      <c r="AV1417" s="465"/>
      <c r="AW1417" s="465"/>
      <c r="AX1417" s="465"/>
      <c r="AY1417" s="465"/>
      <c r="AZ1417" s="465"/>
      <c r="BA1417" s="465"/>
      <c r="BB1417" s="465"/>
      <c r="BC1417" s="465"/>
    </row>
    <row r="1418" spans="1:55">
      <c r="A1418" s="465"/>
      <c r="B1418" s="465"/>
      <c r="C1418" s="465"/>
      <c r="D1418" s="467"/>
      <c r="E1418" s="465"/>
      <c r="F1418" s="465"/>
      <c r="G1418" s="465"/>
      <c r="H1418" s="465"/>
      <c r="I1418" s="465"/>
      <c r="J1418" s="465"/>
      <c r="K1418" s="465"/>
      <c r="L1418" s="465"/>
      <c r="M1418" s="465"/>
      <c r="N1418" s="465"/>
      <c r="O1418" s="465"/>
      <c r="P1418" s="465"/>
      <c r="Q1418" s="465"/>
      <c r="R1418" s="465"/>
      <c r="S1418" s="465"/>
      <c r="T1418" s="465"/>
      <c r="U1418" s="465"/>
      <c r="V1418" s="465"/>
      <c r="W1418" s="465"/>
      <c r="X1418" s="465"/>
      <c r="Y1418" s="465"/>
      <c r="Z1418" s="465"/>
      <c r="AA1418" s="465"/>
      <c r="AB1418" s="465"/>
      <c r="AC1418" s="465"/>
      <c r="AD1418" s="465"/>
      <c r="AE1418" s="465"/>
      <c r="AF1418" s="465"/>
      <c r="AG1418" s="465"/>
      <c r="AH1418" s="465"/>
      <c r="AI1418" s="465"/>
      <c r="AJ1418" s="465"/>
      <c r="AK1418" s="465"/>
      <c r="AL1418" s="465"/>
      <c r="AM1418" s="465"/>
      <c r="AN1418" s="465"/>
      <c r="AO1418" s="465"/>
      <c r="AP1418" s="465"/>
      <c r="AQ1418" s="465"/>
      <c r="AR1418" s="465"/>
      <c r="AS1418" s="465"/>
      <c r="AT1418" s="465"/>
      <c r="AU1418" s="465"/>
      <c r="AV1418" s="465"/>
      <c r="AW1418" s="465"/>
      <c r="AX1418" s="465"/>
      <c r="AY1418" s="465"/>
      <c r="AZ1418" s="465"/>
      <c r="BA1418" s="465"/>
      <c r="BB1418" s="465"/>
      <c r="BC1418" s="465"/>
    </row>
    <row r="1419" spans="1:55">
      <c r="A1419" s="465"/>
      <c r="B1419" s="465"/>
      <c r="C1419" s="465"/>
      <c r="D1419" s="467"/>
      <c r="E1419" s="465"/>
      <c r="F1419" s="465"/>
      <c r="G1419" s="465"/>
      <c r="H1419" s="465"/>
      <c r="I1419" s="465"/>
      <c r="J1419" s="465"/>
      <c r="K1419" s="465"/>
      <c r="L1419" s="465"/>
      <c r="M1419" s="465"/>
      <c r="N1419" s="465"/>
      <c r="O1419" s="465"/>
      <c r="P1419" s="465"/>
      <c r="Q1419" s="465"/>
      <c r="R1419" s="465"/>
      <c r="S1419" s="465"/>
      <c r="T1419" s="465"/>
      <c r="U1419" s="465"/>
      <c r="V1419" s="465"/>
      <c r="W1419" s="465"/>
      <c r="X1419" s="465"/>
      <c r="Y1419" s="465"/>
      <c r="Z1419" s="465"/>
      <c r="AA1419" s="465"/>
      <c r="AB1419" s="465"/>
      <c r="AC1419" s="465"/>
      <c r="AD1419" s="465"/>
      <c r="AE1419" s="465"/>
      <c r="AF1419" s="465"/>
      <c r="AG1419" s="465"/>
      <c r="AH1419" s="465"/>
      <c r="AI1419" s="465"/>
      <c r="AJ1419" s="465"/>
      <c r="AK1419" s="465"/>
      <c r="AL1419" s="465"/>
      <c r="AM1419" s="465"/>
      <c r="AN1419" s="465"/>
      <c r="AO1419" s="465"/>
      <c r="AP1419" s="465"/>
      <c r="AQ1419" s="465"/>
      <c r="AR1419" s="465"/>
      <c r="AS1419" s="465"/>
      <c r="AT1419" s="465"/>
      <c r="AU1419" s="465"/>
      <c r="AV1419" s="465"/>
      <c r="AW1419" s="465"/>
      <c r="AX1419" s="465"/>
      <c r="AY1419" s="465"/>
      <c r="AZ1419" s="465"/>
      <c r="BA1419" s="465"/>
      <c r="BB1419" s="465"/>
      <c r="BC1419" s="465"/>
    </row>
    <row r="1420" spans="1:55">
      <c r="A1420" s="465"/>
      <c r="B1420" s="465"/>
      <c r="C1420" s="465"/>
      <c r="D1420" s="467"/>
      <c r="E1420" s="465"/>
      <c r="F1420" s="465"/>
      <c r="G1420" s="465"/>
      <c r="H1420" s="465"/>
      <c r="I1420" s="465"/>
      <c r="J1420" s="465"/>
      <c r="K1420" s="465"/>
      <c r="L1420" s="465"/>
      <c r="M1420" s="465"/>
      <c r="N1420" s="465"/>
      <c r="O1420" s="465"/>
      <c r="P1420" s="465"/>
      <c r="Q1420" s="465"/>
      <c r="R1420" s="465"/>
      <c r="S1420" s="465"/>
      <c r="T1420" s="465"/>
      <c r="U1420" s="465"/>
      <c r="V1420" s="465"/>
      <c r="W1420" s="465"/>
      <c r="X1420" s="465"/>
      <c r="Y1420" s="465"/>
      <c r="Z1420" s="465"/>
      <c r="AA1420" s="465"/>
      <c r="AB1420" s="465"/>
      <c r="AC1420" s="465"/>
      <c r="AD1420" s="465"/>
      <c r="AE1420" s="465"/>
      <c r="AF1420" s="465"/>
      <c r="AG1420" s="465"/>
      <c r="AH1420" s="465"/>
      <c r="AI1420" s="465"/>
      <c r="AJ1420" s="465"/>
      <c r="AK1420" s="465"/>
      <c r="AL1420" s="465"/>
      <c r="AM1420" s="465"/>
      <c r="AN1420" s="465"/>
      <c r="AO1420" s="465"/>
      <c r="AP1420" s="465"/>
      <c r="AQ1420" s="465"/>
      <c r="AR1420" s="465"/>
      <c r="AS1420" s="465"/>
      <c r="AT1420" s="465"/>
      <c r="AU1420" s="465"/>
      <c r="AV1420" s="465"/>
      <c r="AW1420" s="465"/>
      <c r="AX1420" s="465"/>
      <c r="AY1420" s="465"/>
      <c r="AZ1420" s="465"/>
      <c r="BA1420" s="465"/>
      <c r="BB1420" s="465"/>
      <c r="BC1420" s="465"/>
    </row>
    <row r="1421" spans="1:55">
      <c r="A1421" s="465"/>
      <c r="B1421" s="465"/>
      <c r="C1421" s="465"/>
      <c r="D1421" s="467"/>
      <c r="E1421" s="465"/>
      <c r="F1421" s="465"/>
      <c r="G1421" s="465"/>
      <c r="H1421" s="465"/>
      <c r="I1421" s="465"/>
      <c r="J1421" s="465"/>
      <c r="K1421" s="465"/>
      <c r="L1421" s="465"/>
      <c r="M1421" s="465"/>
      <c r="N1421" s="465"/>
      <c r="O1421" s="465"/>
      <c r="P1421" s="465"/>
      <c r="Q1421" s="465"/>
      <c r="R1421" s="465"/>
      <c r="S1421" s="465"/>
      <c r="T1421" s="465"/>
      <c r="U1421" s="465"/>
      <c r="V1421" s="465"/>
      <c r="W1421" s="465"/>
      <c r="X1421" s="465"/>
      <c r="Y1421" s="465"/>
      <c r="Z1421" s="465"/>
      <c r="AA1421" s="465"/>
      <c r="AB1421" s="465"/>
      <c r="AC1421" s="465"/>
      <c r="AD1421" s="465"/>
      <c r="AE1421" s="465"/>
      <c r="AF1421" s="465"/>
      <c r="AG1421" s="465"/>
      <c r="AH1421" s="465"/>
      <c r="AI1421" s="465"/>
      <c r="AJ1421" s="465"/>
      <c r="AK1421" s="465"/>
      <c r="AL1421" s="465"/>
      <c r="AM1421" s="465"/>
      <c r="AN1421" s="465"/>
      <c r="AO1421" s="465"/>
      <c r="AP1421" s="465"/>
      <c r="AQ1421" s="465"/>
      <c r="AR1421" s="465"/>
      <c r="AS1421" s="465"/>
      <c r="AT1421" s="465"/>
      <c r="AU1421" s="465"/>
      <c r="AV1421" s="465"/>
      <c r="AW1421" s="465"/>
      <c r="AX1421" s="465"/>
      <c r="AY1421" s="465"/>
      <c r="AZ1421" s="465"/>
      <c r="BA1421" s="465"/>
      <c r="BB1421" s="465"/>
      <c r="BC1421" s="465"/>
    </row>
    <row r="1422" spans="1:55">
      <c r="A1422" s="465"/>
      <c r="B1422" s="465"/>
      <c r="C1422" s="465"/>
      <c r="D1422" s="467"/>
      <c r="E1422" s="465"/>
      <c r="F1422" s="465"/>
      <c r="G1422" s="465"/>
      <c r="H1422" s="465"/>
      <c r="I1422" s="465"/>
      <c r="J1422" s="465"/>
      <c r="K1422" s="465"/>
      <c r="L1422" s="465"/>
      <c r="M1422" s="465"/>
      <c r="N1422" s="465"/>
      <c r="O1422" s="465"/>
      <c r="P1422" s="465"/>
      <c r="Q1422" s="465"/>
      <c r="R1422" s="465"/>
      <c r="S1422" s="465"/>
      <c r="T1422" s="465"/>
      <c r="U1422" s="465"/>
      <c r="V1422" s="465"/>
      <c r="W1422" s="465"/>
      <c r="X1422" s="465"/>
      <c r="Y1422" s="465"/>
      <c r="Z1422" s="465"/>
      <c r="AA1422" s="465"/>
      <c r="AB1422" s="465"/>
      <c r="AC1422" s="465"/>
      <c r="AD1422" s="465"/>
      <c r="AE1422" s="465"/>
      <c r="AF1422" s="465"/>
      <c r="AG1422" s="465"/>
      <c r="AH1422" s="465"/>
      <c r="AI1422" s="465"/>
      <c r="AJ1422" s="465"/>
      <c r="AK1422" s="465"/>
      <c r="AL1422" s="465"/>
      <c r="AM1422" s="465"/>
      <c r="AN1422" s="465"/>
      <c r="AO1422" s="465"/>
      <c r="AP1422" s="465"/>
      <c r="AQ1422" s="465"/>
      <c r="AR1422" s="465"/>
      <c r="AS1422" s="465"/>
      <c r="AT1422" s="465"/>
      <c r="AU1422" s="465"/>
      <c r="AV1422" s="465"/>
      <c r="AW1422" s="465"/>
      <c r="AX1422" s="465"/>
      <c r="AY1422" s="465"/>
      <c r="AZ1422" s="465"/>
      <c r="BA1422" s="465"/>
      <c r="BB1422" s="465"/>
      <c r="BC1422" s="465"/>
    </row>
    <row r="1423" spans="1:55">
      <c r="A1423" s="465"/>
      <c r="B1423" s="465"/>
      <c r="C1423" s="465"/>
      <c r="D1423" s="467"/>
      <c r="E1423" s="465"/>
      <c r="F1423" s="465"/>
      <c r="G1423" s="465"/>
      <c r="H1423" s="465"/>
      <c r="I1423" s="465"/>
      <c r="J1423" s="465"/>
      <c r="K1423" s="465"/>
      <c r="L1423" s="465"/>
      <c r="M1423" s="465"/>
      <c r="N1423" s="465"/>
      <c r="O1423" s="465"/>
      <c r="P1423" s="465"/>
      <c r="Q1423" s="465"/>
      <c r="R1423" s="465"/>
      <c r="S1423" s="465"/>
      <c r="T1423" s="465"/>
      <c r="U1423" s="465"/>
      <c r="V1423" s="465"/>
      <c r="W1423" s="465"/>
      <c r="X1423" s="465"/>
      <c r="Y1423" s="465"/>
      <c r="Z1423" s="465"/>
      <c r="AA1423" s="465"/>
      <c r="AB1423" s="465"/>
      <c r="AC1423" s="465"/>
      <c r="AD1423" s="465"/>
      <c r="AE1423" s="465"/>
      <c r="AF1423" s="465"/>
      <c r="AG1423" s="465"/>
      <c r="AH1423" s="465"/>
      <c r="AI1423" s="465"/>
      <c r="AJ1423" s="465"/>
      <c r="AK1423" s="465"/>
      <c r="AL1423" s="465"/>
      <c r="AM1423" s="465"/>
      <c r="AN1423" s="465"/>
      <c r="AO1423" s="465"/>
      <c r="AP1423" s="465"/>
      <c r="AQ1423" s="465"/>
      <c r="AR1423" s="465"/>
      <c r="AS1423" s="465"/>
      <c r="AT1423" s="465"/>
      <c r="AU1423" s="465"/>
      <c r="AV1423" s="465"/>
      <c r="AW1423" s="465"/>
      <c r="AX1423" s="465"/>
      <c r="AY1423" s="465"/>
      <c r="AZ1423" s="465"/>
      <c r="BA1423" s="465"/>
      <c r="BB1423" s="465"/>
      <c r="BC1423" s="465"/>
    </row>
    <row r="1424" spans="1:55">
      <c r="A1424" s="465"/>
      <c r="B1424" s="465"/>
      <c r="C1424" s="465"/>
      <c r="D1424" s="467"/>
      <c r="E1424" s="465"/>
      <c r="F1424" s="465"/>
      <c r="G1424" s="465"/>
      <c r="H1424" s="465"/>
      <c r="I1424" s="465"/>
      <c r="J1424" s="465"/>
      <c r="K1424" s="465"/>
      <c r="L1424" s="465"/>
      <c r="M1424" s="465"/>
      <c r="N1424" s="465"/>
      <c r="O1424" s="465"/>
      <c r="P1424" s="465"/>
      <c r="Q1424" s="465"/>
      <c r="R1424" s="465"/>
      <c r="S1424" s="465"/>
      <c r="T1424" s="465"/>
      <c r="U1424" s="465"/>
      <c r="V1424" s="465"/>
      <c r="W1424" s="465"/>
      <c r="X1424" s="465"/>
      <c r="Y1424" s="465"/>
      <c r="Z1424" s="465"/>
      <c r="AA1424" s="465"/>
      <c r="AB1424" s="465"/>
      <c r="AC1424" s="465"/>
      <c r="AD1424" s="465"/>
      <c r="AE1424" s="465"/>
      <c r="AF1424" s="465"/>
      <c r="AG1424" s="465"/>
      <c r="AH1424" s="465"/>
      <c r="AI1424" s="465"/>
      <c r="AJ1424" s="465"/>
      <c r="AK1424" s="465"/>
      <c r="AL1424" s="465"/>
      <c r="AM1424" s="465"/>
      <c r="AN1424" s="465"/>
      <c r="AO1424" s="465"/>
      <c r="AP1424" s="465"/>
      <c r="AQ1424" s="465"/>
      <c r="AR1424" s="465"/>
      <c r="AS1424" s="465"/>
      <c r="AT1424" s="465"/>
      <c r="AU1424" s="465"/>
      <c r="AV1424" s="465"/>
      <c r="AW1424" s="465"/>
      <c r="AX1424" s="465"/>
      <c r="AY1424" s="465"/>
      <c r="AZ1424" s="465"/>
      <c r="BA1424" s="465"/>
      <c r="BB1424" s="465"/>
      <c r="BC1424" s="465"/>
    </row>
    <row r="1425" spans="1:55">
      <c r="A1425" s="465"/>
      <c r="B1425" s="465"/>
      <c r="C1425" s="465"/>
      <c r="D1425" s="467"/>
      <c r="E1425" s="465"/>
      <c r="F1425" s="465"/>
      <c r="G1425" s="465"/>
      <c r="H1425" s="465"/>
      <c r="I1425" s="465"/>
      <c r="J1425" s="465"/>
      <c r="K1425" s="465"/>
      <c r="L1425" s="465"/>
      <c r="M1425" s="465"/>
      <c r="N1425" s="465"/>
      <c r="O1425" s="465"/>
      <c r="P1425" s="465"/>
      <c r="Q1425" s="465"/>
      <c r="R1425" s="465"/>
      <c r="S1425" s="465"/>
      <c r="T1425" s="465"/>
      <c r="U1425" s="465"/>
      <c r="V1425" s="465"/>
      <c r="W1425" s="465"/>
      <c r="X1425" s="465"/>
      <c r="Y1425" s="465"/>
      <c r="Z1425" s="465"/>
      <c r="AA1425" s="465"/>
      <c r="AB1425" s="465"/>
      <c r="AC1425" s="465"/>
      <c r="AD1425" s="465"/>
      <c r="AE1425" s="465"/>
      <c r="AF1425" s="465"/>
      <c r="AG1425" s="465"/>
      <c r="AH1425" s="465"/>
      <c r="AI1425" s="465"/>
      <c r="AJ1425" s="465"/>
      <c r="AK1425" s="465"/>
      <c r="AL1425" s="465"/>
      <c r="AM1425" s="465"/>
      <c r="AN1425" s="465"/>
      <c r="AO1425" s="465"/>
      <c r="AP1425" s="465"/>
      <c r="AQ1425" s="465"/>
      <c r="AR1425" s="465"/>
      <c r="AS1425" s="465"/>
      <c r="AT1425" s="465"/>
      <c r="AU1425" s="465"/>
      <c r="AV1425" s="465"/>
      <c r="AW1425" s="465"/>
      <c r="AX1425" s="465"/>
      <c r="AY1425" s="465"/>
      <c r="AZ1425" s="465"/>
      <c r="BA1425" s="465"/>
      <c r="BB1425" s="465"/>
      <c r="BC1425" s="465"/>
    </row>
    <row r="1426" spans="1:55">
      <c r="A1426" s="465"/>
      <c r="B1426" s="465"/>
      <c r="C1426" s="465"/>
      <c r="D1426" s="467"/>
      <c r="E1426" s="465"/>
      <c r="F1426" s="465"/>
      <c r="G1426" s="465"/>
      <c r="H1426" s="465"/>
      <c r="I1426" s="465"/>
      <c r="J1426" s="465"/>
      <c r="K1426" s="465"/>
      <c r="L1426" s="465"/>
      <c r="M1426" s="465"/>
      <c r="N1426" s="465"/>
      <c r="O1426" s="465"/>
      <c r="P1426" s="465"/>
      <c r="Q1426" s="465"/>
      <c r="R1426" s="465"/>
      <c r="S1426" s="465"/>
      <c r="T1426" s="465"/>
      <c r="U1426" s="465"/>
      <c r="V1426" s="465"/>
      <c r="W1426" s="465"/>
      <c r="X1426" s="465"/>
      <c r="Y1426" s="465"/>
      <c r="Z1426" s="465"/>
      <c r="AA1426" s="465"/>
      <c r="AB1426" s="465"/>
      <c r="AC1426" s="465"/>
      <c r="AD1426" s="465"/>
      <c r="AE1426" s="465"/>
      <c r="AF1426" s="465"/>
      <c r="AG1426" s="465"/>
      <c r="AH1426" s="465"/>
      <c r="AI1426" s="465"/>
      <c r="AJ1426" s="465"/>
      <c r="AK1426" s="465"/>
      <c r="AL1426" s="465"/>
      <c r="AM1426" s="465"/>
      <c r="AN1426" s="465"/>
      <c r="AO1426" s="465"/>
      <c r="AP1426" s="465"/>
      <c r="AQ1426" s="465"/>
      <c r="AR1426" s="465"/>
      <c r="AS1426" s="465"/>
      <c r="AT1426" s="465"/>
      <c r="AU1426" s="465"/>
      <c r="AV1426" s="465"/>
      <c r="AW1426" s="465"/>
      <c r="AX1426" s="465"/>
      <c r="AY1426" s="465"/>
      <c r="AZ1426" s="465"/>
      <c r="BA1426" s="465"/>
      <c r="BB1426" s="465"/>
      <c r="BC1426" s="465"/>
    </row>
    <row r="1427" spans="1:55">
      <c r="A1427" s="465"/>
      <c r="B1427" s="465"/>
      <c r="C1427" s="465"/>
      <c r="D1427" s="467"/>
      <c r="E1427" s="465"/>
      <c r="F1427" s="465"/>
      <c r="G1427" s="465"/>
      <c r="H1427" s="465"/>
      <c r="I1427" s="465"/>
      <c r="J1427" s="465"/>
      <c r="K1427" s="465"/>
      <c r="L1427" s="465"/>
      <c r="M1427" s="465"/>
      <c r="N1427" s="465"/>
      <c r="O1427" s="465"/>
      <c r="P1427" s="465"/>
      <c r="Q1427" s="465"/>
      <c r="R1427" s="465"/>
      <c r="S1427" s="465"/>
      <c r="T1427" s="465"/>
      <c r="U1427" s="465"/>
      <c r="V1427" s="465"/>
      <c r="W1427" s="465"/>
      <c r="X1427" s="465"/>
      <c r="Y1427" s="465"/>
      <c r="Z1427" s="465"/>
      <c r="AA1427" s="465"/>
      <c r="AB1427" s="465"/>
      <c r="AC1427" s="465"/>
      <c r="AD1427" s="465"/>
      <c r="AE1427" s="465"/>
      <c r="AF1427" s="465"/>
      <c r="AG1427" s="465"/>
      <c r="AH1427" s="465"/>
      <c r="AI1427" s="465"/>
      <c r="AJ1427" s="465"/>
      <c r="AK1427" s="465"/>
      <c r="AL1427" s="465"/>
      <c r="AM1427" s="465"/>
      <c r="AN1427" s="465"/>
      <c r="AO1427" s="465"/>
      <c r="AP1427" s="465"/>
      <c r="AQ1427" s="465"/>
      <c r="AR1427" s="465"/>
      <c r="AS1427" s="465"/>
      <c r="AT1427" s="465"/>
      <c r="AU1427" s="465"/>
      <c r="AV1427" s="465"/>
      <c r="AW1427" s="465"/>
      <c r="AX1427" s="465"/>
      <c r="AY1427" s="465"/>
      <c r="AZ1427" s="465"/>
      <c r="BA1427" s="465"/>
      <c r="BB1427" s="465"/>
      <c r="BC1427" s="465"/>
    </row>
    <row r="1428" spans="1:55">
      <c r="A1428" s="465"/>
      <c r="B1428" s="465"/>
      <c r="C1428" s="465"/>
      <c r="D1428" s="467"/>
      <c r="E1428" s="465"/>
      <c r="F1428" s="465"/>
      <c r="G1428" s="465"/>
      <c r="H1428" s="465"/>
      <c r="I1428" s="465"/>
      <c r="J1428" s="465"/>
      <c r="K1428" s="465"/>
      <c r="L1428" s="465"/>
      <c r="M1428" s="465"/>
      <c r="N1428" s="465"/>
      <c r="O1428" s="465"/>
      <c r="P1428" s="465"/>
      <c r="Q1428" s="465"/>
      <c r="R1428" s="465"/>
      <c r="S1428" s="465"/>
      <c r="T1428" s="465"/>
      <c r="U1428" s="465"/>
      <c r="V1428" s="465"/>
      <c r="W1428" s="465"/>
      <c r="X1428" s="465"/>
      <c r="Y1428" s="465"/>
      <c r="Z1428" s="465"/>
      <c r="AA1428" s="465"/>
      <c r="AB1428" s="465"/>
      <c r="AC1428" s="465"/>
      <c r="AD1428" s="465"/>
      <c r="AE1428" s="465"/>
      <c r="AF1428" s="465"/>
      <c r="AG1428" s="465"/>
      <c r="AH1428" s="465"/>
      <c r="AI1428" s="465"/>
      <c r="AJ1428" s="465"/>
      <c r="AK1428" s="465"/>
      <c r="AL1428" s="465"/>
      <c r="AM1428" s="465"/>
      <c r="AN1428" s="465"/>
      <c r="AO1428" s="465"/>
      <c r="AP1428" s="465"/>
      <c r="AQ1428" s="465"/>
      <c r="AR1428" s="465"/>
      <c r="AS1428" s="465"/>
      <c r="AT1428" s="465"/>
      <c r="AU1428" s="465"/>
      <c r="AV1428" s="465"/>
      <c r="AW1428" s="465"/>
      <c r="AX1428" s="465"/>
      <c r="AY1428" s="465"/>
      <c r="AZ1428" s="465"/>
      <c r="BA1428" s="465"/>
      <c r="BB1428" s="465"/>
      <c r="BC1428" s="465"/>
    </row>
    <row r="1429" spans="1:55">
      <c r="A1429" s="465"/>
      <c r="B1429" s="465"/>
      <c r="C1429" s="465"/>
      <c r="D1429" s="467"/>
      <c r="E1429" s="465"/>
      <c r="F1429" s="465"/>
      <c r="G1429" s="465"/>
      <c r="H1429" s="465"/>
      <c r="I1429" s="465"/>
      <c r="J1429" s="465"/>
      <c r="K1429" s="465"/>
      <c r="L1429" s="465"/>
      <c r="M1429" s="465"/>
      <c r="N1429" s="465"/>
      <c r="O1429" s="465"/>
      <c r="P1429" s="465"/>
      <c r="Q1429" s="465"/>
      <c r="R1429" s="465"/>
      <c r="S1429" s="465"/>
      <c r="T1429" s="465"/>
      <c r="U1429" s="465"/>
      <c r="V1429" s="465"/>
      <c r="W1429" s="465"/>
      <c r="X1429" s="465"/>
      <c r="Y1429" s="465"/>
      <c r="Z1429" s="465"/>
      <c r="AA1429" s="465"/>
      <c r="AB1429" s="465"/>
      <c r="AC1429" s="465"/>
      <c r="AD1429" s="465"/>
      <c r="AE1429" s="465"/>
      <c r="AF1429" s="465"/>
      <c r="AG1429" s="465"/>
      <c r="AH1429" s="465"/>
      <c r="AI1429" s="465"/>
      <c r="AJ1429" s="465"/>
      <c r="AK1429" s="465"/>
      <c r="AL1429" s="465"/>
      <c r="AM1429" s="465"/>
      <c r="AN1429" s="465"/>
      <c r="AO1429" s="465"/>
      <c r="AP1429" s="465"/>
      <c r="AQ1429" s="465"/>
      <c r="AR1429" s="465"/>
      <c r="AS1429" s="465"/>
      <c r="AT1429" s="465"/>
      <c r="AU1429" s="465"/>
      <c r="AV1429" s="465"/>
      <c r="AW1429" s="465"/>
      <c r="AX1429" s="465"/>
      <c r="AY1429" s="465"/>
      <c r="AZ1429" s="465"/>
      <c r="BA1429" s="465"/>
      <c r="BB1429" s="465"/>
      <c r="BC1429" s="465"/>
    </row>
    <row r="1430" spans="1:55">
      <c r="A1430" s="465"/>
      <c r="B1430" s="465"/>
      <c r="C1430" s="465"/>
      <c r="D1430" s="467"/>
      <c r="E1430" s="465"/>
      <c r="F1430" s="465"/>
      <c r="G1430" s="465"/>
      <c r="H1430" s="465"/>
      <c r="I1430" s="465"/>
      <c r="J1430" s="465"/>
      <c r="K1430" s="465"/>
      <c r="L1430" s="465"/>
      <c r="M1430" s="465"/>
      <c r="N1430" s="465"/>
      <c r="O1430" s="465"/>
      <c r="P1430" s="465"/>
      <c r="Q1430" s="465"/>
      <c r="R1430" s="465"/>
      <c r="S1430" s="465"/>
      <c r="T1430" s="465"/>
      <c r="U1430" s="465"/>
      <c r="V1430" s="465"/>
      <c r="W1430" s="465"/>
      <c r="X1430" s="465"/>
      <c r="Y1430" s="465"/>
      <c r="Z1430" s="465"/>
      <c r="AA1430" s="465"/>
      <c r="AB1430" s="465"/>
      <c r="AC1430" s="465"/>
      <c r="AD1430" s="465"/>
      <c r="AE1430" s="465"/>
      <c r="AF1430" s="465"/>
      <c r="AG1430" s="465"/>
      <c r="AH1430" s="465"/>
      <c r="AI1430" s="465"/>
      <c r="AJ1430" s="465"/>
      <c r="AK1430" s="465"/>
      <c r="AL1430" s="465"/>
      <c r="AM1430" s="465"/>
      <c r="AN1430" s="465"/>
      <c r="AO1430" s="465"/>
      <c r="AP1430" s="465"/>
      <c r="AQ1430" s="465"/>
      <c r="AR1430" s="465"/>
      <c r="AS1430" s="465"/>
      <c r="AT1430" s="465"/>
      <c r="AU1430" s="465"/>
      <c r="AV1430" s="465"/>
      <c r="AW1430" s="465"/>
      <c r="AX1430" s="465"/>
      <c r="AY1430" s="465"/>
      <c r="AZ1430" s="465"/>
      <c r="BA1430" s="465"/>
      <c r="BB1430" s="465"/>
      <c r="BC1430" s="465"/>
    </row>
    <row r="1431" spans="1:55">
      <c r="A1431" s="465"/>
      <c r="B1431" s="465"/>
      <c r="C1431" s="465"/>
      <c r="D1431" s="467"/>
      <c r="E1431" s="465"/>
      <c r="F1431" s="465"/>
      <c r="G1431" s="465"/>
      <c r="H1431" s="465"/>
      <c r="I1431" s="465"/>
      <c r="J1431" s="465"/>
      <c r="K1431" s="465"/>
      <c r="L1431" s="465"/>
      <c r="M1431" s="465"/>
      <c r="N1431" s="465"/>
      <c r="O1431" s="465"/>
      <c r="P1431" s="465"/>
      <c r="Q1431" s="465"/>
      <c r="R1431" s="465"/>
      <c r="S1431" s="465"/>
      <c r="T1431" s="465"/>
      <c r="U1431" s="465"/>
      <c r="V1431" s="465"/>
      <c r="W1431" s="465"/>
      <c r="X1431" s="465"/>
      <c r="Y1431" s="465"/>
      <c r="Z1431" s="465"/>
      <c r="AA1431" s="465"/>
      <c r="AB1431" s="465"/>
      <c r="AC1431" s="465"/>
      <c r="AD1431" s="465"/>
      <c r="AE1431" s="465"/>
      <c r="AF1431" s="465"/>
      <c r="AG1431" s="465"/>
      <c r="AH1431" s="465"/>
      <c r="AI1431" s="465"/>
      <c r="AJ1431" s="465"/>
      <c r="AK1431" s="465"/>
      <c r="AL1431" s="465"/>
      <c r="AM1431" s="465"/>
      <c r="AN1431" s="465"/>
      <c r="AO1431" s="465"/>
      <c r="AP1431" s="465"/>
      <c r="AQ1431" s="465"/>
      <c r="AR1431" s="465"/>
      <c r="AS1431" s="465"/>
      <c r="AT1431" s="465"/>
      <c r="AU1431" s="465"/>
      <c r="AV1431" s="465"/>
      <c r="AW1431" s="465"/>
      <c r="AX1431" s="465"/>
      <c r="AY1431" s="465"/>
      <c r="AZ1431" s="465"/>
      <c r="BA1431" s="465"/>
      <c r="BB1431" s="465"/>
      <c r="BC1431" s="465"/>
    </row>
    <row r="1432" spans="1:55">
      <c r="A1432" s="465"/>
      <c r="B1432" s="465"/>
      <c r="C1432" s="465"/>
      <c r="D1432" s="467"/>
      <c r="E1432" s="465"/>
      <c r="F1432" s="465"/>
      <c r="G1432" s="465"/>
      <c r="H1432" s="465"/>
      <c r="I1432" s="465"/>
      <c r="J1432" s="465"/>
      <c r="K1432" s="465"/>
      <c r="L1432" s="465"/>
      <c r="M1432" s="465"/>
      <c r="N1432" s="465"/>
      <c r="O1432" s="465"/>
      <c r="P1432" s="465"/>
      <c r="Q1432" s="465"/>
      <c r="R1432" s="465"/>
      <c r="S1432" s="465"/>
      <c r="T1432" s="465"/>
      <c r="U1432" s="465"/>
      <c r="V1432" s="465"/>
      <c r="W1432" s="465"/>
      <c r="X1432" s="465"/>
      <c r="Y1432" s="465"/>
      <c r="Z1432" s="465"/>
      <c r="AA1432" s="465"/>
      <c r="AB1432" s="465"/>
      <c r="AC1432" s="465"/>
      <c r="AD1432" s="465"/>
      <c r="AE1432" s="465"/>
      <c r="AF1432" s="465"/>
      <c r="AG1432" s="465"/>
      <c r="AH1432" s="465"/>
      <c r="AI1432" s="465"/>
      <c r="AJ1432" s="465"/>
      <c r="AK1432" s="465"/>
      <c r="AL1432" s="465"/>
      <c r="AM1432" s="465"/>
      <c r="AN1432" s="465"/>
      <c r="AO1432" s="465"/>
      <c r="AP1432" s="465"/>
      <c r="AQ1432" s="465"/>
      <c r="AR1432" s="465"/>
      <c r="AS1432" s="465"/>
      <c r="AT1432" s="465"/>
      <c r="AU1432" s="465"/>
      <c r="AV1432" s="465"/>
      <c r="AW1432" s="465"/>
      <c r="AX1432" s="465"/>
      <c r="AY1432" s="465"/>
      <c r="AZ1432" s="465"/>
      <c r="BA1432" s="465"/>
      <c r="BB1432" s="465"/>
      <c r="BC1432" s="465"/>
    </row>
    <row r="1433" spans="1:55">
      <c r="A1433" s="465"/>
      <c r="B1433" s="465"/>
      <c r="C1433" s="465"/>
      <c r="D1433" s="467"/>
      <c r="E1433" s="465"/>
      <c r="F1433" s="465"/>
      <c r="G1433" s="465"/>
      <c r="H1433" s="465"/>
      <c r="I1433" s="465"/>
      <c r="J1433" s="465"/>
      <c r="K1433" s="465"/>
      <c r="L1433" s="465"/>
      <c r="M1433" s="465"/>
      <c r="N1433" s="465"/>
      <c r="O1433" s="465"/>
      <c r="P1433" s="465"/>
      <c r="Q1433" s="465"/>
      <c r="R1433" s="465"/>
      <c r="S1433" s="465"/>
      <c r="T1433" s="465"/>
      <c r="U1433" s="465"/>
      <c r="V1433" s="465"/>
      <c r="W1433" s="465"/>
      <c r="X1433" s="465"/>
      <c r="Y1433" s="465"/>
      <c r="Z1433" s="465"/>
      <c r="AA1433" s="465"/>
      <c r="AB1433" s="465"/>
      <c r="AC1433" s="465"/>
      <c r="AD1433" s="465"/>
      <c r="AE1433" s="465"/>
      <c r="AF1433" s="465"/>
      <c r="AG1433" s="465"/>
      <c r="AH1433" s="465"/>
      <c r="AI1433" s="465"/>
      <c r="AJ1433" s="465"/>
      <c r="AK1433" s="465"/>
      <c r="AL1433" s="465"/>
      <c r="AM1433" s="465"/>
      <c r="AN1433" s="465"/>
      <c r="AO1433" s="465"/>
      <c r="AP1433" s="465"/>
      <c r="AQ1433" s="465"/>
      <c r="AR1433" s="465"/>
      <c r="AS1433" s="465"/>
      <c r="AT1433" s="465"/>
      <c r="AU1433" s="465"/>
      <c r="AV1433" s="465"/>
      <c r="AW1433" s="465"/>
      <c r="AX1433" s="465"/>
      <c r="AY1433" s="465"/>
      <c r="AZ1433" s="465"/>
      <c r="BA1433" s="465"/>
      <c r="BB1433" s="465"/>
      <c r="BC1433" s="465"/>
    </row>
    <row r="1434" spans="1:55">
      <c r="A1434" s="465"/>
      <c r="B1434" s="465"/>
      <c r="C1434" s="465"/>
      <c r="D1434" s="467"/>
      <c r="E1434" s="465"/>
      <c r="F1434" s="465"/>
      <c r="G1434" s="465"/>
      <c r="H1434" s="465"/>
      <c r="I1434" s="465"/>
      <c r="J1434" s="465"/>
      <c r="K1434" s="465"/>
      <c r="L1434" s="465"/>
      <c r="M1434" s="465"/>
      <c r="N1434" s="465"/>
      <c r="O1434" s="465"/>
      <c r="P1434" s="465"/>
      <c r="Q1434" s="465"/>
      <c r="R1434" s="465"/>
      <c r="S1434" s="465"/>
      <c r="T1434" s="465"/>
      <c r="U1434" s="465"/>
      <c r="V1434" s="465"/>
      <c r="W1434" s="465"/>
      <c r="X1434" s="465"/>
      <c r="Y1434" s="465"/>
      <c r="Z1434" s="465"/>
      <c r="AA1434" s="465"/>
      <c r="AB1434" s="465"/>
      <c r="AC1434" s="465"/>
      <c r="AD1434" s="465"/>
      <c r="AE1434" s="465"/>
      <c r="AF1434" s="465"/>
      <c r="AG1434" s="465"/>
      <c r="AH1434" s="465"/>
      <c r="AI1434" s="465"/>
      <c r="AJ1434" s="465"/>
      <c r="AK1434" s="465"/>
      <c r="AL1434" s="465"/>
      <c r="AM1434" s="465"/>
      <c r="AN1434" s="465"/>
      <c r="AO1434" s="465"/>
      <c r="AP1434" s="465"/>
      <c r="AQ1434" s="465"/>
      <c r="AR1434" s="465"/>
      <c r="AS1434" s="465"/>
      <c r="AT1434" s="465"/>
      <c r="AU1434" s="465"/>
      <c r="AV1434" s="465"/>
      <c r="AW1434" s="465"/>
      <c r="AX1434" s="465"/>
      <c r="AY1434" s="465"/>
      <c r="AZ1434" s="465"/>
      <c r="BA1434" s="465"/>
      <c r="BB1434" s="465"/>
      <c r="BC1434" s="465"/>
    </row>
    <row r="1435" spans="1:55">
      <c r="A1435" s="465"/>
      <c r="B1435" s="465"/>
      <c r="C1435" s="465"/>
      <c r="D1435" s="467"/>
      <c r="E1435" s="465"/>
      <c r="F1435" s="465"/>
      <c r="G1435" s="465"/>
      <c r="H1435" s="465"/>
      <c r="I1435" s="465"/>
      <c r="J1435" s="465"/>
      <c r="K1435" s="465"/>
      <c r="L1435" s="465"/>
      <c r="M1435" s="465"/>
      <c r="N1435" s="465"/>
      <c r="O1435" s="465"/>
      <c r="P1435" s="465"/>
      <c r="Q1435" s="465"/>
      <c r="R1435" s="465"/>
      <c r="S1435" s="465"/>
      <c r="T1435" s="465"/>
      <c r="U1435" s="465"/>
      <c r="V1435" s="465"/>
      <c r="W1435" s="465"/>
      <c r="X1435" s="465"/>
      <c r="Y1435" s="465"/>
      <c r="Z1435" s="465"/>
      <c r="AA1435" s="465"/>
      <c r="AB1435" s="465"/>
      <c r="AC1435" s="465"/>
      <c r="AD1435" s="465"/>
      <c r="AE1435" s="465"/>
      <c r="AF1435" s="465"/>
      <c r="AG1435" s="465"/>
      <c r="AH1435" s="465"/>
      <c r="AI1435" s="465"/>
      <c r="AJ1435" s="465"/>
      <c r="AK1435" s="465"/>
      <c r="AL1435" s="465"/>
      <c r="AM1435" s="465"/>
      <c r="AN1435" s="465"/>
      <c r="AO1435" s="465"/>
      <c r="AP1435" s="465"/>
      <c r="AQ1435" s="465"/>
      <c r="AR1435" s="465"/>
      <c r="AS1435" s="465"/>
      <c r="AT1435" s="465"/>
      <c r="AU1435" s="465"/>
      <c r="AV1435" s="465"/>
      <c r="AW1435" s="465"/>
      <c r="AX1435" s="465"/>
      <c r="AY1435" s="465"/>
      <c r="AZ1435" s="465"/>
      <c r="BA1435" s="465"/>
      <c r="BB1435" s="465"/>
      <c r="BC1435" s="465"/>
    </row>
    <row r="1436" spans="1:55">
      <c r="A1436" s="465"/>
      <c r="B1436" s="465"/>
      <c r="C1436" s="465"/>
      <c r="D1436" s="467"/>
      <c r="E1436" s="465"/>
      <c r="F1436" s="465"/>
      <c r="G1436" s="465"/>
      <c r="H1436" s="465"/>
      <c r="I1436" s="465"/>
      <c r="J1436" s="465"/>
      <c r="K1436" s="465"/>
      <c r="L1436" s="465"/>
      <c r="M1436" s="465"/>
      <c r="N1436" s="465"/>
      <c r="O1436" s="465"/>
      <c r="P1436" s="465"/>
      <c r="Q1436" s="465"/>
      <c r="R1436" s="465"/>
      <c r="S1436" s="465"/>
      <c r="T1436" s="465"/>
      <c r="U1436" s="465"/>
      <c r="V1436" s="465"/>
      <c r="W1436" s="465"/>
      <c r="X1436" s="465"/>
      <c r="Y1436" s="465"/>
      <c r="Z1436" s="465"/>
      <c r="AA1436" s="465"/>
      <c r="AB1436" s="465"/>
      <c r="AC1436" s="465"/>
      <c r="AD1436" s="465"/>
      <c r="AE1436" s="465"/>
      <c r="AF1436" s="465"/>
      <c r="AG1436" s="465"/>
      <c r="AH1436" s="465"/>
      <c r="AI1436" s="465"/>
      <c r="AJ1436" s="465"/>
      <c r="AK1436" s="465"/>
      <c r="AL1436" s="465"/>
      <c r="AM1436" s="465"/>
      <c r="AN1436" s="465"/>
      <c r="AO1436" s="465"/>
      <c r="AP1436" s="465"/>
      <c r="AQ1436" s="465"/>
      <c r="AR1436" s="465"/>
      <c r="AS1436" s="465"/>
      <c r="AT1436" s="465"/>
      <c r="AU1436" s="465"/>
      <c r="AV1436" s="465"/>
      <c r="AW1436" s="465"/>
      <c r="AX1436" s="465"/>
      <c r="AY1436" s="465"/>
      <c r="AZ1436" s="465"/>
      <c r="BA1436" s="465"/>
      <c r="BB1436" s="465"/>
      <c r="BC1436" s="465"/>
    </row>
    <row r="1437" spans="1:55">
      <c r="A1437" s="465"/>
      <c r="B1437" s="465"/>
      <c r="C1437" s="465"/>
      <c r="D1437" s="467"/>
      <c r="E1437" s="465"/>
      <c r="F1437" s="465"/>
      <c r="G1437" s="465"/>
      <c r="H1437" s="465"/>
      <c r="I1437" s="465"/>
      <c r="J1437" s="465"/>
      <c r="K1437" s="465"/>
      <c r="L1437" s="465"/>
      <c r="M1437" s="465"/>
      <c r="N1437" s="465"/>
      <c r="O1437" s="465"/>
      <c r="P1437" s="465"/>
      <c r="Q1437" s="465"/>
      <c r="R1437" s="465"/>
      <c r="S1437" s="465"/>
      <c r="T1437" s="465"/>
      <c r="U1437" s="465"/>
      <c r="V1437" s="465"/>
      <c r="W1437" s="465"/>
      <c r="X1437" s="465"/>
      <c r="Y1437" s="465"/>
      <c r="Z1437" s="465"/>
      <c r="AA1437" s="465"/>
      <c r="AB1437" s="465"/>
      <c r="AC1437" s="465"/>
      <c r="AD1437" s="465"/>
      <c r="AE1437" s="465"/>
      <c r="AF1437" s="465"/>
      <c r="AG1437" s="465"/>
      <c r="AH1437" s="465"/>
      <c r="AI1437" s="465"/>
      <c r="AJ1437" s="465"/>
      <c r="AK1437" s="465"/>
      <c r="AL1437" s="465"/>
      <c r="AM1437" s="465"/>
      <c r="AN1437" s="465"/>
      <c r="AO1437" s="465"/>
      <c r="AP1437" s="465"/>
      <c r="AQ1437" s="465"/>
      <c r="AR1437" s="465"/>
      <c r="AS1437" s="465"/>
      <c r="AT1437" s="465"/>
      <c r="AU1437" s="465"/>
      <c r="AV1437" s="465"/>
      <c r="AW1437" s="465"/>
      <c r="AX1437" s="465"/>
      <c r="AY1437" s="465"/>
      <c r="AZ1437" s="465"/>
      <c r="BA1437" s="465"/>
      <c r="BB1437" s="465"/>
      <c r="BC1437" s="465"/>
    </row>
    <row r="1438" spans="1:55">
      <c r="A1438" s="465"/>
      <c r="B1438" s="465"/>
      <c r="C1438" s="465"/>
      <c r="D1438" s="467"/>
      <c r="E1438" s="465"/>
      <c r="F1438" s="465"/>
      <c r="G1438" s="465"/>
      <c r="H1438" s="465"/>
      <c r="I1438" s="465"/>
      <c r="J1438" s="465"/>
      <c r="K1438" s="465"/>
      <c r="L1438" s="465"/>
      <c r="M1438" s="465"/>
      <c r="N1438" s="465"/>
      <c r="O1438" s="465"/>
      <c r="P1438" s="465"/>
      <c r="Q1438" s="465"/>
      <c r="R1438" s="465"/>
      <c r="S1438" s="465"/>
      <c r="T1438" s="465"/>
      <c r="U1438" s="465"/>
      <c r="V1438" s="465"/>
      <c r="W1438" s="465"/>
      <c r="X1438" s="465"/>
      <c r="Y1438" s="465"/>
      <c r="Z1438" s="465"/>
      <c r="AA1438" s="465"/>
      <c r="AB1438" s="465"/>
      <c r="AC1438" s="465"/>
      <c r="AD1438" s="465"/>
      <c r="AE1438" s="465"/>
      <c r="AF1438" s="465"/>
      <c r="AG1438" s="465"/>
      <c r="AH1438" s="465"/>
      <c r="AI1438" s="465"/>
      <c r="AJ1438" s="465"/>
      <c r="AK1438" s="465"/>
      <c r="AL1438" s="465"/>
      <c r="AM1438" s="465"/>
      <c r="AN1438" s="465"/>
      <c r="AO1438" s="465"/>
      <c r="AP1438" s="465"/>
      <c r="AQ1438" s="465"/>
      <c r="AR1438" s="465"/>
      <c r="AS1438" s="465"/>
      <c r="AT1438" s="465"/>
      <c r="AU1438" s="465"/>
      <c r="AV1438" s="465"/>
      <c r="AW1438" s="465"/>
      <c r="AX1438" s="465"/>
      <c r="AY1438" s="465"/>
      <c r="AZ1438" s="465"/>
      <c r="BA1438" s="465"/>
      <c r="BB1438" s="465"/>
      <c r="BC1438" s="465"/>
    </row>
    <row r="1439" spans="1:55">
      <c r="A1439" s="465"/>
      <c r="B1439" s="465"/>
      <c r="C1439" s="465"/>
      <c r="D1439" s="467"/>
      <c r="E1439" s="465"/>
      <c r="F1439" s="465"/>
      <c r="G1439" s="465"/>
      <c r="H1439" s="465"/>
      <c r="I1439" s="465"/>
      <c r="J1439" s="465"/>
      <c r="K1439" s="465"/>
      <c r="L1439" s="465"/>
      <c r="M1439" s="465"/>
      <c r="N1439" s="465"/>
      <c r="O1439" s="465"/>
      <c r="P1439" s="465"/>
      <c r="Q1439" s="465"/>
      <c r="R1439" s="465"/>
      <c r="S1439" s="465"/>
      <c r="T1439" s="465"/>
      <c r="U1439" s="465"/>
      <c r="V1439" s="465"/>
      <c r="W1439" s="465"/>
      <c r="X1439" s="465"/>
      <c r="Y1439" s="465"/>
      <c r="Z1439" s="465"/>
      <c r="AA1439" s="465"/>
      <c r="AB1439" s="465"/>
      <c r="AC1439" s="465"/>
      <c r="AD1439" s="465"/>
      <c r="AE1439" s="465"/>
      <c r="AF1439" s="465"/>
      <c r="AG1439" s="465"/>
      <c r="AH1439" s="465"/>
      <c r="AI1439" s="465"/>
      <c r="AJ1439" s="465"/>
      <c r="AK1439" s="465"/>
      <c r="AL1439" s="465"/>
      <c r="AM1439" s="465"/>
      <c r="AN1439" s="465"/>
      <c r="AO1439" s="465"/>
      <c r="AP1439" s="465"/>
      <c r="AQ1439" s="465"/>
      <c r="AR1439" s="465"/>
      <c r="AS1439" s="465"/>
      <c r="AT1439" s="465"/>
      <c r="AU1439" s="465"/>
      <c r="AV1439" s="465"/>
      <c r="AW1439" s="465"/>
      <c r="AX1439" s="465"/>
      <c r="AY1439" s="465"/>
      <c r="AZ1439" s="465"/>
      <c r="BA1439" s="465"/>
      <c r="BB1439" s="465"/>
      <c r="BC1439" s="465"/>
    </row>
    <row r="1440" spans="1:55">
      <c r="A1440" s="465"/>
      <c r="B1440" s="465"/>
      <c r="C1440" s="465"/>
      <c r="D1440" s="467"/>
      <c r="E1440" s="465"/>
      <c r="F1440" s="465"/>
      <c r="G1440" s="465"/>
      <c r="H1440" s="465"/>
      <c r="I1440" s="465"/>
      <c r="J1440" s="465"/>
      <c r="K1440" s="465"/>
      <c r="L1440" s="465"/>
      <c r="M1440" s="465"/>
      <c r="N1440" s="465"/>
      <c r="O1440" s="465"/>
      <c r="P1440" s="465"/>
      <c r="Q1440" s="465"/>
      <c r="R1440" s="465"/>
      <c r="S1440" s="465"/>
      <c r="T1440" s="465"/>
      <c r="U1440" s="465"/>
      <c r="V1440" s="465"/>
      <c r="W1440" s="465"/>
      <c r="X1440" s="465"/>
      <c r="Y1440" s="465"/>
      <c r="Z1440" s="465"/>
      <c r="AA1440" s="465"/>
      <c r="AB1440" s="465"/>
      <c r="AC1440" s="465"/>
      <c r="AD1440" s="465"/>
      <c r="AE1440" s="465"/>
      <c r="AF1440" s="465"/>
      <c r="AG1440" s="465"/>
      <c r="AH1440" s="465"/>
      <c r="AI1440" s="465"/>
      <c r="AJ1440" s="465"/>
      <c r="AK1440" s="465"/>
      <c r="AL1440" s="465"/>
      <c r="AM1440" s="465"/>
      <c r="AN1440" s="465"/>
      <c r="AO1440" s="465"/>
      <c r="AP1440" s="465"/>
      <c r="AQ1440" s="465"/>
      <c r="AR1440" s="465"/>
      <c r="AS1440" s="465"/>
      <c r="AT1440" s="465"/>
      <c r="AU1440" s="465"/>
      <c r="AV1440" s="465"/>
      <c r="AW1440" s="465"/>
      <c r="AX1440" s="465"/>
      <c r="AY1440" s="465"/>
      <c r="AZ1440" s="465"/>
      <c r="BA1440" s="465"/>
      <c r="BB1440" s="465"/>
      <c r="BC1440" s="465"/>
    </row>
    <row r="1441" spans="1:55">
      <c r="A1441" s="465"/>
      <c r="B1441" s="465"/>
      <c r="C1441" s="465"/>
      <c r="D1441" s="467"/>
      <c r="E1441" s="465"/>
      <c r="F1441" s="465"/>
      <c r="G1441" s="465"/>
      <c r="H1441" s="465"/>
      <c r="I1441" s="465"/>
      <c r="J1441" s="465"/>
      <c r="K1441" s="465"/>
      <c r="L1441" s="465"/>
      <c r="M1441" s="465"/>
      <c r="N1441" s="465"/>
      <c r="O1441" s="465"/>
      <c r="P1441" s="465"/>
      <c r="Q1441" s="465"/>
      <c r="R1441" s="465"/>
      <c r="S1441" s="465"/>
      <c r="T1441" s="465"/>
      <c r="U1441" s="465"/>
      <c r="V1441" s="465"/>
      <c r="W1441" s="465"/>
      <c r="X1441" s="465"/>
      <c r="Y1441" s="465"/>
      <c r="Z1441" s="465"/>
      <c r="AA1441" s="465"/>
      <c r="AB1441" s="465"/>
      <c r="AC1441" s="465"/>
      <c r="AD1441" s="465"/>
      <c r="AE1441" s="465"/>
      <c r="AF1441" s="465"/>
      <c r="AG1441" s="465"/>
      <c r="AH1441" s="465"/>
      <c r="AI1441" s="465"/>
      <c r="AJ1441" s="465"/>
      <c r="AK1441" s="465"/>
      <c r="AL1441" s="465"/>
      <c r="AM1441" s="465"/>
      <c r="AN1441" s="465"/>
      <c r="AO1441" s="465"/>
      <c r="AP1441" s="465"/>
      <c r="AQ1441" s="465"/>
      <c r="AR1441" s="465"/>
      <c r="AS1441" s="465"/>
      <c r="AT1441" s="465"/>
      <c r="AU1441" s="465"/>
      <c r="AV1441" s="465"/>
      <c r="AW1441" s="465"/>
      <c r="AX1441" s="465"/>
      <c r="AY1441" s="465"/>
      <c r="AZ1441" s="465"/>
      <c r="BA1441" s="465"/>
      <c r="BB1441" s="465"/>
      <c r="BC1441" s="465"/>
    </row>
    <row r="1442" spans="1:55">
      <c r="A1442" s="465"/>
      <c r="B1442" s="465"/>
      <c r="C1442" s="465"/>
      <c r="D1442" s="467"/>
      <c r="E1442" s="465"/>
      <c r="F1442" s="465"/>
      <c r="G1442" s="465"/>
      <c r="H1442" s="465"/>
      <c r="I1442" s="465"/>
      <c r="J1442" s="465"/>
      <c r="K1442" s="465"/>
      <c r="L1442" s="465"/>
      <c r="M1442" s="465"/>
      <c r="N1442" s="465"/>
      <c r="O1442" s="465"/>
      <c r="P1442" s="465"/>
      <c r="Q1442" s="465"/>
      <c r="R1442" s="465"/>
      <c r="S1442" s="465"/>
      <c r="T1442" s="465"/>
      <c r="U1442" s="465"/>
      <c r="V1442" s="465"/>
      <c r="W1442" s="465"/>
      <c r="X1442" s="465"/>
      <c r="Y1442" s="465"/>
      <c r="Z1442" s="465"/>
      <c r="AA1442" s="465"/>
      <c r="AB1442" s="465"/>
      <c r="AC1442" s="465"/>
      <c r="AD1442" s="465"/>
      <c r="AE1442" s="465"/>
      <c r="AF1442" s="465"/>
      <c r="AG1442" s="465"/>
      <c r="AH1442" s="465"/>
      <c r="AI1442" s="465"/>
      <c r="AJ1442" s="465"/>
      <c r="AK1442" s="465"/>
      <c r="AL1442" s="465"/>
      <c r="AM1442" s="465"/>
      <c r="AN1442" s="465"/>
      <c r="AO1442" s="465"/>
      <c r="AP1442" s="465"/>
      <c r="AQ1442" s="465"/>
      <c r="AR1442" s="465"/>
      <c r="AS1442" s="465"/>
      <c r="AT1442" s="465"/>
      <c r="AU1442" s="465"/>
      <c r="AV1442" s="465"/>
      <c r="AW1442" s="465"/>
      <c r="AX1442" s="465"/>
      <c r="AY1442" s="465"/>
      <c r="AZ1442" s="465"/>
      <c r="BA1442" s="465"/>
      <c r="BB1442" s="465"/>
      <c r="BC1442" s="465"/>
    </row>
    <row r="1443" spans="1:55">
      <c r="A1443" s="465"/>
      <c r="B1443" s="465"/>
      <c r="C1443" s="465"/>
      <c r="D1443" s="467"/>
      <c r="E1443" s="465"/>
      <c r="F1443" s="465"/>
      <c r="G1443" s="465"/>
      <c r="H1443" s="465"/>
      <c r="I1443" s="465"/>
      <c r="J1443" s="465"/>
      <c r="K1443" s="465"/>
      <c r="L1443" s="465"/>
      <c r="M1443" s="465"/>
      <c r="N1443" s="465"/>
      <c r="O1443" s="465"/>
      <c r="P1443" s="465"/>
      <c r="Q1443" s="465"/>
      <c r="R1443" s="465"/>
      <c r="S1443" s="465"/>
      <c r="T1443" s="465"/>
      <c r="U1443" s="465"/>
      <c r="V1443" s="465"/>
      <c r="W1443" s="465"/>
      <c r="X1443" s="465"/>
      <c r="Y1443" s="465"/>
      <c r="Z1443" s="465"/>
      <c r="AA1443" s="465"/>
      <c r="AB1443" s="465"/>
      <c r="AC1443" s="465"/>
      <c r="AD1443" s="465"/>
      <c r="AE1443" s="465"/>
      <c r="AF1443" s="465"/>
      <c r="AG1443" s="465"/>
      <c r="AH1443" s="465"/>
      <c r="AI1443" s="465"/>
      <c r="AJ1443" s="465"/>
      <c r="AK1443" s="465"/>
      <c r="AL1443" s="465"/>
      <c r="AM1443" s="465"/>
      <c r="AN1443" s="465"/>
      <c r="AO1443" s="465"/>
      <c r="AP1443" s="465"/>
      <c r="AQ1443" s="465"/>
      <c r="AR1443" s="465"/>
      <c r="AS1443" s="465"/>
      <c r="AT1443" s="465"/>
      <c r="AU1443" s="465"/>
      <c r="AV1443" s="465"/>
      <c r="AW1443" s="465"/>
      <c r="AX1443" s="465"/>
      <c r="AY1443" s="465"/>
      <c r="AZ1443" s="465"/>
      <c r="BA1443" s="465"/>
      <c r="BB1443" s="465"/>
      <c r="BC1443" s="465"/>
    </row>
    <row r="1444" spans="1:55">
      <c r="A1444" s="465"/>
      <c r="B1444" s="465"/>
      <c r="C1444" s="465"/>
      <c r="D1444" s="467"/>
      <c r="E1444" s="465"/>
      <c r="F1444" s="465"/>
      <c r="G1444" s="465"/>
      <c r="H1444" s="465"/>
      <c r="I1444" s="465"/>
      <c r="J1444" s="465"/>
      <c r="K1444" s="465"/>
      <c r="L1444" s="465"/>
      <c r="M1444" s="465"/>
      <c r="N1444" s="465"/>
      <c r="O1444" s="465"/>
      <c r="P1444" s="465"/>
      <c r="Q1444" s="465"/>
      <c r="R1444" s="465"/>
      <c r="S1444" s="465"/>
      <c r="T1444" s="465"/>
      <c r="U1444" s="465"/>
      <c r="V1444" s="465"/>
      <c r="W1444" s="465"/>
      <c r="X1444" s="465"/>
      <c r="Y1444" s="465"/>
      <c r="Z1444" s="465"/>
      <c r="AA1444" s="465"/>
      <c r="AB1444" s="465"/>
      <c r="AC1444" s="465"/>
      <c r="AD1444" s="465"/>
      <c r="AE1444" s="465"/>
      <c r="AF1444" s="465"/>
      <c r="AG1444" s="465"/>
      <c r="AH1444" s="465"/>
      <c r="AI1444" s="465"/>
      <c r="AJ1444" s="465"/>
      <c r="AK1444" s="465"/>
      <c r="AL1444" s="465"/>
      <c r="AM1444" s="465"/>
      <c r="AN1444" s="465"/>
      <c r="AO1444" s="465"/>
      <c r="AP1444" s="465"/>
      <c r="AQ1444" s="465"/>
      <c r="AR1444" s="465"/>
      <c r="AS1444" s="465"/>
      <c r="AT1444" s="465"/>
      <c r="AU1444" s="465"/>
      <c r="AV1444" s="465"/>
      <c r="AW1444" s="465"/>
      <c r="AX1444" s="465"/>
      <c r="AY1444" s="465"/>
      <c r="AZ1444" s="465"/>
      <c r="BA1444" s="465"/>
      <c r="BB1444" s="465"/>
      <c r="BC1444" s="465"/>
    </row>
    <row r="1445" spans="1:55">
      <c r="A1445" s="465"/>
      <c r="B1445" s="465"/>
      <c r="C1445" s="465"/>
      <c r="D1445" s="467"/>
      <c r="E1445" s="465"/>
      <c r="F1445" s="465"/>
      <c r="G1445" s="465"/>
      <c r="H1445" s="465"/>
      <c r="I1445" s="465"/>
      <c r="J1445" s="465"/>
      <c r="K1445" s="465"/>
      <c r="L1445" s="465"/>
      <c r="M1445" s="465"/>
      <c r="N1445" s="465"/>
      <c r="O1445" s="465"/>
      <c r="P1445" s="465"/>
      <c r="Q1445" s="465"/>
      <c r="R1445" s="465"/>
      <c r="S1445" s="465"/>
      <c r="T1445" s="465"/>
      <c r="U1445" s="465"/>
      <c r="V1445" s="465"/>
      <c r="W1445" s="465"/>
      <c r="X1445" s="465"/>
      <c r="Y1445" s="465"/>
      <c r="Z1445" s="465"/>
      <c r="AA1445" s="465"/>
      <c r="AB1445" s="465"/>
      <c r="AC1445" s="465"/>
      <c r="AD1445" s="465"/>
      <c r="AE1445" s="465"/>
      <c r="AF1445" s="465"/>
      <c r="AG1445" s="465"/>
      <c r="AH1445" s="465"/>
      <c r="AI1445" s="465"/>
      <c r="AJ1445" s="465"/>
      <c r="AK1445" s="465"/>
      <c r="AL1445" s="465"/>
      <c r="AM1445" s="465"/>
      <c r="AN1445" s="465"/>
      <c r="AO1445" s="465"/>
      <c r="AP1445" s="465"/>
      <c r="AQ1445" s="465"/>
      <c r="AR1445" s="465"/>
      <c r="AS1445" s="465"/>
      <c r="AT1445" s="465"/>
      <c r="AU1445" s="465"/>
      <c r="AV1445" s="465"/>
      <c r="AW1445" s="465"/>
      <c r="AX1445" s="465"/>
      <c r="AY1445" s="465"/>
      <c r="AZ1445" s="465"/>
      <c r="BA1445" s="465"/>
      <c r="BB1445" s="465"/>
      <c r="BC1445" s="465"/>
    </row>
    <row r="1446" spans="1:55">
      <c r="A1446" s="465"/>
      <c r="B1446" s="465"/>
      <c r="C1446" s="465"/>
      <c r="D1446" s="467"/>
      <c r="E1446" s="465"/>
      <c r="F1446" s="465"/>
      <c r="G1446" s="465"/>
      <c r="H1446" s="465"/>
      <c r="I1446" s="465"/>
      <c r="J1446" s="465"/>
      <c r="K1446" s="465"/>
      <c r="L1446" s="465"/>
      <c r="M1446" s="465"/>
      <c r="N1446" s="465"/>
      <c r="O1446" s="465"/>
      <c r="P1446" s="465"/>
      <c r="Q1446" s="465"/>
      <c r="R1446" s="465"/>
      <c r="S1446" s="465"/>
      <c r="T1446" s="465"/>
      <c r="U1446" s="465"/>
      <c r="V1446" s="465"/>
      <c r="W1446" s="465"/>
      <c r="X1446" s="465"/>
      <c r="Y1446" s="465"/>
      <c r="Z1446" s="465"/>
      <c r="AA1446" s="465"/>
      <c r="AB1446" s="465"/>
      <c r="AC1446" s="465"/>
      <c r="AD1446" s="465"/>
      <c r="AE1446" s="465"/>
      <c r="AF1446" s="465"/>
      <c r="AG1446" s="465"/>
      <c r="AH1446" s="465"/>
      <c r="AI1446" s="465"/>
      <c r="AJ1446" s="465"/>
      <c r="AK1446" s="465"/>
      <c r="AL1446" s="465"/>
      <c r="AM1446" s="465"/>
      <c r="AN1446" s="465"/>
      <c r="AO1446" s="465"/>
      <c r="AP1446" s="465"/>
      <c r="AQ1446" s="465"/>
      <c r="AR1446" s="465"/>
      <c r="AS1446" s="465"/>
      <c r="AT1446" s="465"/>
      <c r="AU1446" s="465"/>
      <c r="AV1446" s="465"/>
      <c r="AW1446" s="465"/>
      <c r="AX1446" s="465"/>
      <c r="AY1446" s="465"/>
      <c r="AZ1446" s="465"/>
      <c r="BA1446" s="465"/>
      <c r="BB1446" s="465"/>
      <c r="BC1446" s="465"/>
    </row>
    <row r="1447" spans="1:55">
      <c r="A1447" s="465"/>
      <c r="B1447" s="465"/>
      <c r="C1447" s="465"/>
      <c r="D1447" s="467"/>
      <c r="E1447" s="465"/>
      <c r="F1447" s="465"/>
      <c r="G1447" s="465"/>
      <c r="H1447" s="465"/>
      <c r="I1447" s="465"/>
      <c r="J1447" s="465"/>
      <c r="K1447" s="465"/>
      <c r="L1447" s="465"/>
      <c r="M1447" s="465"/>
      <c r="N1447" s="465"/>
      <c r="O1447" s="465"/>
      <c r="P1447" s="465"/>
      <c r="Q1447" s="465"/>
      <c r="R1447" s="465"/>
      <c r="S1447" s="465"/>
      <c r="T1447" s="465"/>
      <c r="U1447" s="465"/>
      <c r="V1447" s="465"/>
      <c r="W1447" s="465"/>
      <c r="X1447" s="465"/>
      <c r="Y1447" s="465"/>
      <c r="Z1447" s="465"/>
      <c r="AA1447" s="465"/>
      <c r="AB1447" s="465"/>
      <c r="AC1447" s="465"/>
      <c r="AD1447" s="465"/>
      <c r="AE1447" s="465"/>
      <c r="AF1447" s="465"/>
      <c r="AG1447" s="465"/>
      <c r="AH1447" s="465"/>
      <c r="AI1447" s="465"/>
      <c r="AJ1447" s="465"/>
      <c r="AK1447" s="465"/>
      <c r="AL1447" s="465"/>
      <c r="AM1447" s="465"/>
      <c r="AN1447" s="465"/>
      <c r="AO1447" s="465"/>
      <c r="AP1447" s="465"/>
      <c r="AQ1447" s="465"/>
      <c r="AR1447" s="465"/>
      <c r="AS1447" s="465"/>
      <c r="AT1447" s="465"/>
      <c r="AU1447" s="465"/>
      <c r="AV1447" s="465"/>
      <c r="AW1447" s="465"/>
      <c r="AX1447" s="465"/>
      <c r="AY1447" s="465"/>
      <c r="AZ1447" s="465"/>
      <c r="BA1447" s="465"/>
      <c r="BB1447" s="465"/>
      <c r="BC1447" s="465"/>
    </row>
    <row r="1448" spans="1:55">
      <c r="A1448" s="465"/>
      <c r="B1448" s="465"/>
      <c r="C1448" s="465"/>
      <c r="D1448" s="467"/>
      <c r="E1448" s="465"/>
      <c r="F1448" s="465"/>
      <c r="G1448" s="465"/>
      <c r="H1448" s="465"/>
      <c r="I1448" s="465"/>
      <c r="J1448" s="465"/>
      <c r="K1448" s="465"/>
      <c r="L1448" s="465"/>
      <c r="M1448" s="465"/>
      <c r="N1448" s="465"/>
      <c r="O1448" s="465"/>
      <c r="P1448" s="465"/>
      <c r="Q1448" s="465"/>
      <c r="R1448" s="465"/>
      <c r="S1448" s="465"/>
      <c r="T1448" s="465"/>
      <c r="U1448" s="465"/>
      <c r="V1448" s="465"/>
      <c r="W1448" s="465"/>
      <c r="X1448" s="465"/>
      <c r="Y1448" s="465"/>
      <c r="Z1448" s="465"/>
      <c r="AA1448" s="465"/>
      <c r="AB1448" s="465"/>
      <c r="AC1448" s="465"/>
      <c r="AD1448" s="465"/>
      <c r="AE1448" s="465"/>
      <c r="AF1448" s="465"/>
      <c r="AG1448" s="465"/>
      <c r="AH1448" s="465"/>
      <c r="AI1448" s="465"/>
      <c r="AJ1448" s="465"/>
      <c r="AK1448" s="465"/>
      <c r="AL1448" s="465"/>
      <c r="AM1448" s="465"/>
      <c r="AN1448" s="465"/>
      <c r="AO1448" s="465"/>
      <c r="AP1448" s="465"/>
      <c r="AQ1448" s="465"/>
      <c r="AR1448" s="465"/>
      <c r="AS1448" s="465"/>
      <c r="AT1448" s="465"/>
      <c r="AU1448" s="465"/>
      <c r="AV1448" s="465"/>
      <c r="AW1448" s="465"/>
      <c r="AX1448" s="465"/>
      <c r="AY1448" s="465"/>
      <c r="AZ1448" s="465"/>
      <c r="BA1448" s="465"/>
      <c r="BB1448" s="465"/>
      <c r="BC1448" s="465"/>
    </row>
  </sheetData>
  <sheetProtection algorithmName="SHA-512" hashValue="DeWDigjDt87ze/FXm7V0GImZGOx/ZSBOmZWG9knI7izdwKrvPHRZtoI8vr7hPKAJCH8MOAc68qry8WLOHEavRw==" saltValue="xXrAJSLn3u/+JkId/Mftww==" spinCount="100000" sheet="1" objects="1" scenarios="1" selectLockedCells="1"/>
  <mergeCells count="9">
    <mergeCell ref="C16:E16"/>
    <mergeCell ref="B2:P2"/>
    <mergeCell ref="C8:G8"/>
    <mergeCell ref="C10:H10"/>
    <mergeCell ref="C7:E7"/>
    <mergeCell ref="F13:G13"/>
    <mergeCell ref="F14:G14"/>
    <mergeCell ref="I11:J11"/>
    <mergeCell ref="I10:J10"/>
  </mergeCells>
  <phoneticPr fontId="18" type="noConversion"/>
  <pageMargins left="0.59055118110236227" right="0.59055118110236227" top="0.59055118110236227" bottom="0.59055118110236227" header="0.51181102362204722" footer="0.51181102362204722"/>
  <pageSetup paperSize="0" scale="76" orientation="portrait" horizontalDpi="4294967292" verticalDpi="429496729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W333"/>
  <sheetViews>
    <sheetView showGridLines="0" showRowColHeaders="0" workbookViewId="0"/>
  </sheetViews>
  <sheetFormatPr baseColWidth="10" defaultColWidth="10.875" defaultRowHeight="11.4"/>
  <cols>
    <col min="1" max="1" width="18.875" style="1" customWidth="1"/>
    <col min="2" max="2" width="16.125" style="1" bestFit="1" customWidth="1"/>
    <col min="3" max="3" width="10.875" style="1"/>
    <col min="4" max="4" width="16.125" style="1" bestFit="1" customWidth="1"/>
    <col min="5" max="6" width="10.875" style="1"/>
    <col min="7" max="7" width="21.625" style="1" bestFit="1" customWidth="1"/>
    <col min="8" max="10" width="10.875" style="1"/>
    <col min="11" max="11" width="18" style="1" customWidth="1"/>
    <col min="12" max="12" width="17.125" style="1" customWidth="1"/>
    <col min="13" max="13" width="12.625" style="1" customWidth="1"/>
    <col min="14" max="14" width="16.5" style="1" customWidth="1"/>
    <col min="15" max="15" width="12" style="1" bestFit="1" customWidth="1"/>
    <col min="16" max="16384" width="10.875" style="1"/>
  </cols>
  <sheetData>
    <row r="1" spans="1:16" ht="13.8">
      <c r="A1" s="4" t="s">
        <v>127</v>
      </c>
      <c r="B1" s="5"/>
      <c r="C1" s="5"/>
      <c r="D1" s="5"/>
      <c r="E1" s="5"/>
      <c r="F1" s="5"/>
      <c r="G1" s="5"/>
      <c r="H1" s="5"/>
      <c r="I1" s="5"/>
      <c r="J1" s="5"/>
      <c r="K1" s="8"/>
      <c r="L1" s="8"/>
      <c r="M1" s="8"/>
      <c r="N1" s="8"/>
      <c r="O1" s="8"/>
      <c r="P1" s="8"/>
    </row>
    <row r="2" spans="1:16">
      <c r="A2" s="5"/>
      <c r="B2" s="5"/>
      <c r="C2" s="5"/>
      <c r="D2" s="5"/>
      <c r="E2" s="5"/>
      <c r="F2" s="5"/>
      <c r="G2" s="5"/>
      <c r="H2" s="5"/>
      <c r="I2" s="5"/>
      <c r="J2" s="5"/>
      <c r="K2" s="8"/>
      <c r="L2" s="8"/>
      <c r="M2" s="8" t="s">
        <v>545</v>
      </c>
      <c r="N2" s="8"/>
      <c r="O2" s="8"/>
      <c r="P2" s="8"/>
    </row>
    <row r="3" spans="1:16" ht="12">
      <c r="A3" s="5"/>
      <c r="B3" s="6" t="s">
        <v>177</v>
      </c>
      <c r="C3" s="6" t="s">
        <v>255</v>
      </c>
      <c r="D3" s="6" t="s">
        <v>422</v>
      </c>
      <c r="E3" s="6" t="s">
        <v>423</v>
      </c>
      <c r="F3" s="6" t="s">
        <v>134</v>
      </c>
      <c r="G3" s="1085" t="s">
        <v>720</v>
      </c>
      <c r="H3" s="6" t="s">
        <v>74</v>
      </c>
      <c r="I3" s="7" t="s">
        <v>586</v>
      </c>
      <c r="J3" s="7" t="s">
        <v>587</v>
      </c>
      <c r="K3" s="8" t="s">
        <v>61</v>
      </c>
      <c r="L3" s="8" t="s">
        <v>420</v>
      </c>
      <c r="M3" s="8" t="s">
        <v>421</v>
      </c>
      <c r="N3" s="8"/>
      <c r="O3" s="1085" t="s">
        <v>706</v>
      </c>
      <c r="P3" s="1086" t="s">
        <v>708</v>
      </c>
    </row>
    <row r="4" spans="1:16" ht="12">
      <c r="A4" s="5">
        <v>1</v>
      </c>
      <c r="B4" s="6"/>
      <c r="C4" s="6"/>
      <c r="D4" s="6"/>
      <c r="E4" s="6"/>
      <c r="F4" s="6"/>
      <c r="G4" s="1085"/>
      <c r="H4" s="6"/>
      <c r="I4" s="7"/>
      <c r="J4" s="7"/>
      <c r="K4" s="8"/>
      <c r="L4" s="8"/>
      <c r="M4" s="8"/>
      <c r="N4" s="8"/>
      <c r="O4" s="1085" t="s">
        <v>707</v>
      </c>
      <c r="P4" s="1086" t="s">
        <v>709</v>
      </c>
    </row>
    <row r="5" spans="1:16">
      <c r="A5" s="5">
        <v>2</v>
      </c>
      <c r="B5" s="8">
        <v>20</v>
      </c>
      <c r="C5" s="8">
        <v>40</v>
      </c>
      <c r="D5" s="8">
        <v>70</v>
      </c>
      <c r="E5" s="8">
        <v>12</v>
      </c>
      <c r="F5" s="8">
        <v>28</v>
      </c>
      <c r="G5" s="8">
        <v>0.7</v>
      </c>
      <c r="H5" s="8">
        <v>0.7</v>
      </c>
      <c r="I5" s="8">
        <v>13</v>
      </c>
      <c r="J5" s="8">
        <v>15</v>
      </c>
      <c r="K5" s="8">
        <v>20.8</v>
      </c>
      <c r="L5" s="8">
        <v>15</v>
      </c>
      <c r="M5" s="8">
        <v>1</v>
      </c>
      <c r="N5" s="8" t="s">
        <v>133</v>
      </c>
      <c r="O5" s="8">
        <v>3.1</v>
      </c>
      <c r="P5" s="8">
        <v>20</v>
      </c>
    </row>
    <row r="6" spans="1:16">
      <c r="A6" s="5">
        <v>3</v>
      </c>
      <c r="B6" s="8">
        <v>20</v>
      </c>
      <c r="C6" s="8">
        <v>60</v>
      </c>
      <c r="D6" s="8">
        <v>70</v>
      </c>
      <c r="E6" s="8">
        <v>12</v>
      </c>
      <c r="F6" s="8">
        <v>22</v>
      </c>
      <c r="G6" s="8">
        <v>0.7</v>
      </c>
      <c r="H6" s="8">
        <v>0.7</v>
      </c>
      <c r="I6" s="8">
        <v>16</v>
      </c>
      <c r="J6" s="8">
        <v>15</v>
      </c>
      <c r="K6" s="8">
        <v>13.9</v>
      </c>
      <c r="L6" s="8">
        <v>15</v>
      </c>
      <c r="M6" s="8">
        <v>1</v>
      </c>
      <c r="N6" s="8" t="s">
        <v>19</v>
      </c>
      <c r="O6" s="8">
        <v>2.4</v>
      </c>
      <c r="P6" s="8">
        <v>25</v>
      </c>
    </row>
    <row r="7" spans="1:16">
      <c r="A7" s="5">
        <v>4</v>
      </c>
      <c r="B7" s="8">
        <v>20</v>
      </c>
      <c r="C7" s="8">
        <v>20</v>
      </c>
      <c r="D7" s="8">
        <v>80</v>
      </c>
      <c r="E7" s="8">
        <v>6</v>
      </c>
      <c r="F7" s="8">
        <v>22</v>
      </c>
      <c r="G7" s="8">
        <v>0.9</v>
      </c>
      <c r="H7" s="8">
        <v>0.7</v>
      </c>
      <c r="I7" s="8">
        <v>13</v>
      </c>
      <c r="J7" s="8">
        <v>15</v>
      </c>
      <c r="K7" s="8">
        <v>6.9</v>
      </c>
      <c r="L7" s="8">
        <v>15</v>
      </c>
      <c r="M7" s="8">
        <v>1</v>
      </c>
      <c r="N7" s="8" t="s">
        <v>20</v>
      </c>
      <c r="O7" s="8">
        <v>3.3</v>
      </c>
      <c r="P7" s="8">
        <v>25</v>
      </c>
    </row>
    <row r="8" spans="1:16">
      <c r="A8" s="5">
        <v>5</v>
      </c>
      <c r="B8" s="8">
        <v>20</v>
      </c>
      <c r="C8" s="8">
        <v>10</v>
      </c>
      <c r="D8" s="8">
        <v>70</v>
      </c>
      <c r="E8" s="8">
        <v>4</v>
      </c>
      <c r="F8" s="8">
        <v>11</v>
      </c>
      <c r="G8" s="8">
        <v>0.9</v>
      </c>
      <c r="H8" s="8">
        <v>0.7</v>
      </c>
      <c r="I8" s="8">
        <v>14</v>
      </c>
      <c r="J8" s="8">
        <v>15</v>
      </c>
      <c r="K8" s="8">
        <v>6.9</v>
      </c>
      <c r="L8" s="8">
        <v>15</v>
      </c>
      <c r="M8" s="8">
        <v>1</v>
      </c>
      <c r="N8" s="8" t="s">
        <v>24</v>
      </c>
      <c r="O8" s="8">
        <v>2.2999999999999998</v>
      </c>
      <c r="P8" s="8">
        <v>20</v>
      </c>
    </row>
    <row r="9" spans="1:16">
      <c r="A9" s="5">
        <v>6</v>
      </c>
      <c r="B9" s="8">
        <v>20</v>
      </c>
      <c r="C9" s="8">
        <v>10</v>
      </c>
      <c r="D9" s="8">
        <v>90</v>
      </c>
      <c r="E9" s="8">
        <v>4</v>
      </c>
      <c r="F9" s="8">
        <v>33</v>
      </c>
      <c r="G9" s="8">
        <v>0.8</v>
      </c>
      <c r="H9" s="8">
        <v>0.7</v>
      </c>
      <c r="I9" s="8">
        <v>7</v>
      </c>
      <c r="J9" s="8">
        <v>14</v>
      </c>
      <c r="K9" s="8">
        <v>6.9</v>
      </c>
      <c r="L9" s="8">
        <v>15</v>
      </c>
      <c r="M9" s="8">
        <v>1</v>
      </c>
      <c r="N9" s="8" t="s">
        <v>25</v>
      </c>
      <c r="O9" s="8"/>
      <c r="P9" s="8"/>
    </row>
    <row r="10" spans="1:16">
      <c r="A10" s="5">
        <v>7</v>
      </c>
      <c r="B10" s="8">
        <v>20</v>
      </c>
      <c r="C10" s="8">
        <v>5</v>
      </c>
      <c r="D10" s="8">
        <v>100</v>
      </c>
      <c r="E10" s="8">
        <v>3</v>
      </c>
      <c r="F10" s="8">
        <v>33</v>
      </c>
      <c r="G10" s="8">
        <v>0.7</v>
      </c>
      <c r="H10" s="8">
        <v>1.2</v>
      </c>
      <c r="I10" s="8">
        <v>16</v>
      </c>
      <c r="J10" s="8">
        <v>15</v>
      </c>
      <c r="K10" s="8">
        <v>55.6</v>
      </c>
      <c r="L10" s="8">
        <v>15</v>
      </c>
      <c r="M10" s="8">
        <v>1</v>
      </c>
      <c r="N10" s="8" t="s">
        <v>371</v>
      </c>
      <c r="O10" s="8"/>
      <c r="P10" s="8"/>
    </row>
    <row r="11" spans="1:16">
      <c r="A11" s="5">
        <v>8</v>
      </c>
      <c r="B11" s="8">
        <v>20</v>
      </c>
      <c r="C11" s="8">
        <v>5</v>
      </c>
      <c r="D11" s="8">
        <v>80</v>
      </c>
      <c r="E11" s="8">
        <v>3</v>
      </c>
      <c r="F11" s="8">
        <v>17</v>
      </c>
      <c r="G11" s="8">
        <v>0.8</v>
      </c>
      <c r="H11" s="372">
        <v>1</v>
      </c>
      <c r="I11" s="8">
        <v>18</v>
      </c>
      <c r="J11" s="8">
        <v>15</v>
      </c>
      <c r="K11" s="8">
        <v>13.9</v>
      </c>
      <c r="L11" s="8">
        <v>15</v>
      </c>
      <c r="M11" s="8">
        <v>1</v>
      </c>
      <c r="N11" s="8" t="s">
        <v>192</v>
      </c>
      <c r="O11" s="8"/>
      <c r="P11" s="8"/>
    </row>
    <row r="12" spans="1:16">
      <c r="A12" s="5">
        <v>9</v>
      </c>
      <c r="B12" s="8">
        <v>22</v>
      </c>
      <c r="C12" s="8">
        <v>30</v>
      </c>
      <c r="D12" s="8">
        <v>80</v>
      </c>
      <c r="E12" s="8">
        <v>16</v>
      </c>
      <c r="F12" s="8">
        <v>28</v>
      </c>
      <c r="G12" s="8">
        <v>0.7</v>
      </c>
      <c r="H12" s="372">
        <v>1</v>
      </c>
      <c r="I12" s="8">
        <v>18</v>
      </c>
      <c r="J12" s="8">
        <v>17</v>
      </c>
      <c r="K12" s="8">
        <v>27.8</v>
      </c>
      <c r="L12" s="8">
        <v>15</v>
      </c>
      <c r="M12" s="8">
        <v>1</v>
      </c>
      <c r="N12" s="8" t="s">
        <v>280</v>
      </c>
      <c r="O12" s="8"/>
      <c r="P12" s="8"/>
    </row>
    <row r="13" spans="1:16">
      <c r="A13" s="5">
        <v>10</v>
      </c>
      <c r="B13" s="8">
        <v>18</v>
      </c>
      <c r="C13" s="8">
        <v>20</v>
      </c>
      <c r="D13" s="8">
        <v>100</v>
      </c>
      <c r="E13" s="8">
        <v>6</v>
      </c>
      <c r="F13" s="8">
        <v>17</v>
      </c>
      <c r="G13" s="8">
        <v>0.9</v>
      </c>
      <c r="H13" s="8">
        <v>0.7</v>
      </c>
      <c r="I13" s="8">
        <v>10</v>
      </c>
      <c r="J13" s="8">
        <v>14</v>
      </c>
      <c r="K13" s="8">
        <v>6.9</v>
      </c>
      <c r="L13" s="8">
        <v>15</v>
      </c>
      <c r="M13" s="8">
        <v>1</v>
      </c>
      <c r="N13" s="8" t="s">
        <v>248</v>
      </c>
      <c r="O13" s="8"/>
      <c r="P13" s="8"/>
    </row>
    <row r="14" spans="1:16">
      <c r="A14" s="5">
        <v>11</v>
      </c>
      <c r="B14" s="8">
        <v>18</v>
      </c>
      <c r="C14" s="8">
        <v>100</v>
      </c>
      <c r="D14" s="8">
        <v>100</v>
      </c>
      <c r="E14" s="8">
        <v>6</v>
      </c>
      <c r="F14" s="8">
        <v>6</v>
      </c>
      <c r="G14" s="8">
        <v>0.9</v>
      </c>
      <c r="H14" s="8">
        <v>0.3</v>
      </c>
      <c r="I14" s="8">
        <v>14</v>
      </c>
      <c r="J14" s="8">
        <v>14</v>
      </c>
      <c r="K14" s="8">
        <v>1.4</v>
      </c>
      <c r="L14" s="8">
        <v>15</v>
      </c>
      <c r="M14" s="8">
        <v>1</v>
      </c>
      <c r="N14" s="8" t="s">
        <v>249</v>
      </c>
      <c r="O14" s="8"/>
      <c r="P14" s="8"/>
    </row>
    <row r="15" spans="1:16">
      <c r="A15" s="5">
        <v>12</v>
      </c>
      <c r="B15" s="8">
        <v>18</v>
      </c>
      <c r="C15" s="8">
        <v>20</v>
      </c>
      <c r="D15" s="8">
        <v>100</v>
      </c>
      <c r="E15" s="8">
        <v>6</v>
      </c>
      <c r="F15" s="8">
        <v>6</v>
      </c>
      <c r="G15" s="8">
        <v>0.9</v>
      </c>
      <c r="H15" s="8">
        <v>0.7</v>
      </c>
      <c r="I15" s="8">
        <v>16</v>
      </c>
      <c r="J15" s="8">
        <v>14</v>
      </c>
      <c r="K15" s="8">
        <v>83.3</v>
      </c>
      <c r="L15" s="8">
        <v>15</v>
      </c>
      <c r="M15" s="8">
        <v>1</v>
      </c>
      <c r="N15" s="8" t="s">
        <v>531</v>
      </c>
      <c r="O15" s="8"/>
      <c r="P15" s="8"/>
    </row>
    <row r="16" spans="1:16">
      <c r="A16" s="5">
        <v>13</v>
      </c>
      <c r="B16" s="8">
        <v>28</v>
      </c>
      <c r="C16" s="8">
        <v>20</v>
      </c>
      <c r="D16" s="8">
        <v>60</v>
      </c>
      <c r="E16" s="8">
        <v>4</v>
      </c>
      <c r="F16" s="8">
        <v>56</v>
      </c>
      <c r="G16" s="8">
        <v>0.7</v>
      </c>
      <c r="H16" s="8">
        <v>0.7</v>
      </c>
      <c r="I16" s="8">
        <v>15</v>
      </c>
      <c r="J16" s="8">
        <v>18</v>
      </c>
      <c r="K16" s="8">
        <v>83.3</v>
      </c>
      <c r="L16" s="8">
        <v>15</v>
      </c>
      <c r="M16" s="8">
        <v>1</v>
      </c>
      <c r="N16" s="8" t="s">
        <v>532</v>
      </c>
      <c r="O16" s="8"/>
      <c r="P16" s="8"/>
    </row>
    <row r="19" spans="1:11" ht="13.8">
      <c r="A19" s="9" t="s">
        <v>445</v>
      </c>
      <c r="B19" s="10"/>
      <c r="C19" s="10"/>
      <c r="D19" s="10"/>
      <c r="E19" s="10"/>
      <c r="F19" s="10"/>
      <c r="G19" s="10"/>
      <c r="H19" s="10"/>
      <c r="I19" s="10"/>
      <c r="J19" s="10"/>
      <c r="K19" s="10"/>
    </row>
    <row r="20" spans="1:11">
      <c r="A20" s="10"/>
      <c r="B20" s="10"/>
      <c r="C20" s="10"/>
      <c r="D20" s="10"/>
      <c r="E20" s="10"/>
      <c r="F20" s="10"/>
      <c r="G20" s="10"/>
      <c r="H20" s="10"/>
      <c r="I20" s="10"/>
      <c r="J20" s="10"/>
      <c r="K20" s="10"/>
    </row>
    <row r="21" spans="1:11">
      <c r="A21" s="10">
        <v>1</v>
      </c>
      <c r="B21" s="10">
        <v>0.15</v>
      </c>
      <c r="C21" s="10" t="s">
        <v>0</v>
      </c>
      <c r="D21" s="10"/>
      <c r="E21" s="10" t="s">
        <v>240</v>
      </c>
      <c r="F21" s="10"/>
      <c r="G21" s="10"/>
      <c r="H21" s="10"/>
      <c r="I21" s="10"/>
      <c r="J21" s="10"/>
      <c r="K21" s="10"/>
    </row>
    <row r="22" spans="1:11">
      <c r="A22" s="10">
        <v>2</v>
      </c>
      <c r="B22" s="10">
        <v>0.08</v>
      </c>
      <c r="C22" s="10" t="s">
        <v>1</v>
      </c>
      <c r="D22" s="10"/>
      <c r="E22" s="10" t="s">
        <v>262</v>
      </c>
      <c r="F22" s="10"/>
      <c r="G22" s="10"/>
      <c r="H22" s="10"/>
      <c r="I22" s="10"/>
      <c r="J22" s="10"/>
      <c r="K22" s="10"/>
    </row>
    <row r="23" spans="1:11">
      <c r="A23" s="10">
        <v>3</v>
      </c>
      <c r="B23" s="10">
        <v>0.03</v>
      </c>
      <c r="C23" s="10" t="s">
        <v>2</v>
      </c>
      <c r="D23" s="10"/>
      <c r="E23" s="10" t="s">
        <v>498</v>
      </c>
      <c r="F23" s="10"/>
      <c r="G23" s="10"/>
      <c r="H23" s="10"/>
      <c r="I23" s="10"/>
      <c r="J23" s="10"/>
      <c r="K23" s="10"/>
    </row>
    <row r="24" spans="1:11">
      <c r="A24" s="10">
        <v>4</v>
      </c>
      <c r="B24" s="10">
        <v>0.01</v>
      </c>
      <c r="C24" s="10" t="s">
        <v>107</v>
      </c>
      <c r="D24" s="10"/>
      <c r="E24" s="10" t="s">
        <v>71</v>
      </c>
      <c r="F24" s="10"/>
      <c r="G24" s="10"/>
      <c r="H24" s="10"/>
      <c r="I24" s="10"/>
      <c r="J24" s="10"/>
      <c r="K24" s="10"/>
    </row>
    <row r="27" spans="1:11" ht="13.8">
      <c r="A27" s="11" t="s">
        <v>251</v>
      </c>
      <c r="B27" s="12"/>
      <c r="C27" s="12"/>
      <c r="D27" s="12"/>
      <c r="E27" s="12"/>
      <c r="F27" s="12"/>
      <c r="G27" s="12"/>
      <c r="H27" s="12"/>
      <c r="I27" s="12"/>
      <c r="J27" s="12"/>
      <c r="K27" s="12"/>
    </row>
    <row r="28" spans="1:11">
      <c r="A28" s="12"/>
      <c r="B28" s="12"/>
      <c r="C28" s="12"/>
      <c r="D28" s="12"/>
      <c r="E28" s="12"/>
      <c r="F28" s="12"/>
      <c r="G28" s="12"/>
      <c r="H28" s="12"/>
      <c r="I28" s="12"/>
      <c r="J28" s="12"/>
      <c r="K28" s="12"/>
    </row>
    <row r="29" spans="1:11">
      <c r="A29" s="12">
        <v>1</v>
      </c>
      <c r="B29" s="12">
        <v>0</v>
      </c>
      <c r="C29" s="12" t="s">
        <v>16</v>
      </c>
      <c r="D29" s="12"/>
      <c r="E29" s="12"/>
      <c r="F29" s="12" t="s">
        <v>35</v>
      </c>
      <c r="G29" s="12"/>
      <c r="H29" s="12"/>
      <c r="I29" s="12"/>
      <c r="J29" s="12"/>
      <c r="K29" s="12"/>
    </row>
    <row r="30" spans="1:11">
      <c r="A30" s="12">
        <v>2</v>
      </c>
      <c r="B30" s="12">
        <v>1</v>
      </c>
      <c r="C30" s="12" t="s">
        <v>38</v>
      </c>
      <c r="D30" s="12"/>
      <c r="E30" s="12"/>
      <c r="F30" s="12" t="s">
        <v>395</v>
      </c>
      <c r="G30" s="12"/>
      <c r="H30" s="12"/>
      <c r="I30" s="12"/>
      <c r="J30" s="12"/>
      <c r="K30" s="12"/>
    </row>
    <row r="31" spans="1:11">
      <c r="A31" s="12">
        <v>3</v>
      </c>
      <c r="B31" s="12">
        <v>2</v>
      </c>
      <c r="C31" s="12" t="s">
        <v>533</v>
      </c>
      <c r="D31" s="12"/>
      <c r="E31" s="12"/>
      <c r="F31" s="12" t="s">
        <v>534</v>
      </c>
      <c r="G31" s="12"/>
      <c r="H31" s="12"/>
      <c r="I31" s="12"/>
      <c r="J31" s="12"/>
      <c r="K31" s="12"/>
    </row>
    <row r="35" spans="1:11" ht="13.8">
      <c r="A35" s="146" t="s">
        <v>111</v>
      </c>
      <c r="B35" s="147"/>
      <c r="C35" s="147"/>
      <c r="D35" s="147"/>
      <c r="E35" s="147"/>
      <c r="F35" s="147"/>
      <c r="G35" s="147"/>
      <c r="H35" s="147"/>
      <c r="I35" s="147"/>
      <c r="J35" s="147"/>
      <c r="K35" s="147"/>
    </row>
    <row r="36" spans="1:11">
      <c r="A36" s="147"/>
      <c r="B36" s="147"/>
      <c r="C36" s="147"/>
      <c r="D36" s="147"/>
      <c r="E36" s="147"/>
      <c r="F36" s="147"/>
      <c r="G36" s="147"/>
      <c r="H36" s="147"/>
      <c r="I36" s="147"/>
      <c r="J36" s="147"/>
      <c r="K36" s="147"/>
    </row>
    <row r="37" spans="1:11">
      <c r="A37" s="147" t="s">
        <v>389</v>
      </c>
      <c r="B37" s="147"/>
      <c r="C37" s="147"/>
      <c r="D37" s="147"/>
      <c r="E37" s="147"/>
      <c r="F37" s="147"/>
      <c r="G37" s="147"/>
      <c r="H37" s="147"/>
      <c r="I37" s="147"/>
      <c r="J37" s="147"/>
      <c r="K37" s="147"/>
    </row>
    <row r="38" spans="1:11">
      <c r="A38" s="147" t="s">
        <v>263</v>
      </c>
      <c r="B38" s="147"/>
      <c r="C38" s="147"/>
      <c r="D38" s="147"/>
      <c r="E38" s="147"/>
      <c r="F38" s="147"/>
      <c r="G38" s="147"/>
      <c r="H38" s="147"/>
      <c r="I38" s="147"/>
      <c r="J38" s="147"/>
      <c r="K38" s="147"/>
    </row>
    <row r="41" spans="1:11">
      <c r="A41" s="179" t="s">
        <v>217</v>
      </c>
      <c r="B41" s="179"/>
      <c r="C41" s="179"/>
      <c r="D41" s="179"/>
      <c r="E41" s="179"/>
      <c r="F41" s="179"/>
      <c r="G41" s="179"/>
      <c r="H41" s="179"/>
      <c r="I41" s="179"/>
      <c r="J41" s="179"/>
      <c r="K41" s="179"/>
    </row>
    <row r="42" spans="1:11">
      <c r="A42" s="179"/>
      <c r="B42" s="179"/>
      <c r="C42" s="179"/>
      <c r="D42" s="179"/>
      <c r="E42" s="179"/>
      <c r="F42" s="179"/>
      <c r="G42" s="179"/>
      <c r="H42" s="179"/>
      <c r="I42" s="179"/>
      <c r="J42" s="179"/>
      <c r="K42" s="179"/>
    </row>
    <row r="43" spans="1:11">
      <c r="A43" s="179"/>
      <c r="B43" s="179"/>
      <c r="C43" s="179"/>
      <c r="D43" s="179"/>
      <c r="E43" s="180">
        <v>1</v>
      </c>
      <c r="F43" s="179"/>
      <c r="G43" s="179">
        <f>IF(E43=1,0,)</f>
        <v>0</v>
      </c>
      <c r="H43" s="179"/>
      <c r="I43" s="179">
        <f>IF(Nutzung!E24="Nachweis",0,MAX(G43:G48))</f>
        <v>0</v>
      </c>
      <c r="J43" s="179"/>
      <c r="K43" s="179"/>
    </row>
    <row r="44" spans="1:11">
      <c r="A44" s="191" t="str">
        <f>IF($C$64=1,"    5 %","    5 %")</f>
        <v xml:space="preserve">    5 %</v>
      </c>
      <c r="B44" s="179"/>
      <c r="C44" s="179"/>
      <c r="D44" s="179"/>
      <c r="E44" s="179"/>
      <c r="F44" s="179"/>
      <c r="G44" s="179">
        <f>IF(E43=2,0.05,)</f>
        <v>0</v>
      </c>
      <c r="H44" s="179"/>
      <c r="I44" s="179"/>
      <c r="J44" s="179"/>
      <c r="K44" s="179"/>
    </row>
    <row r="45" spans="1:11">
      <c r="A45" s="191" t="str">
        <f>IF($C$64=1,"  10 %","  10 %")</f>
        <v xml:space="preserve">  10 %</v>
      </c>
      <c r="B45" s="179"/>
      <c r="C45" s="179"/>
      <c r="D45" s="179"/>
      <c r="E45" s="179"/>
      <c r="F45" s="179"/>
      <c r="G45" s="179">
        <f>IF(E43=3,0.1,)</f>
        <v>0</v>
      </c>
      <c r="H45" s="179"/>
      <c r="I45" s="179"/>
      <c r="J45" s="179"/>
      <c r="K45" s="179"/>
    </row>
    <row r="46" spans="1:11">
      <c r="A46" s="191" t="str">
        <f>IF($C$64=1,"  15 %","  15 %")</f>
        <v xml:space="preserve">  15 %</v>
      </c>
      <c r="B46" s="179"/>
      <c r="C46" s="179"/>
      <c r="D46" s="179"/>
      <c r="E46" s="179"/>
      <c r="F46" s="179"/>
      <c r="G46" s="179">
        <f>IF(E43=4,0.15,)</f>
        <v>0</v>
      </c>
      <c r="H46" s="179"/>
      <c r="I46" s="179"/>
      <c r="J46" s="179"/>
      <c r="K46" s="179"/>
    </row>
    <row r="47" spans="1:11">
      <c r="A47" s="191" t="str">
        <f>IF($C$64=1,"  20 %","  20 %")</f>
        <v xml:space="preserve">  20 %</v>
      </c>
      <c r="B47" s="179"/>
      <c r="C47" s="179"/>
      <c r="D47" s="179"/>
      <c r="E47" s="179"/>
      <c r="F47" s="179"/>
      <c r="G47" s="179">
        <f>IF(E43=5,0.2,)</f>
        <v>0</v>
      </c>
      <c r="H47" s="179"/>
      <c r="I47" s="179"/>
      <c r="J47" s="179"/>
      <c r="K47" s="179"/>
    </row>
    <row r="48" spans="1:11">
      <c r="A48" s="191" t="str">
        <f>IF($C$64=1,"  25 %","  25 %")</f>
        <v xml:space="preserve">  25 %</v>
      </c>
      <c r="B48" s="179"/>
      <c r="C48" s="179"/>
      <c r="D48" s="179"/>
      <c r="E48" s="179"/>
      <c r="F48" s="179"/>
      <c r="G48" s="179">
        <f>IF(E43=6,0.25,)</f>
        <v>0</v>
      </c>
      <c r="H48" s="179"/>
      <c r="I48" s="179"/>
      <c r="J48" s="179"/>
      <c r="K48" s="179"/>
    </row>
    <row r="51" spans="1:11">
      <c r="A51" s="278"/>
      <c r="B51" s="278"/>
      <c r="C51" s="278"/>
      <c r="D51" s="278"/>
      <c r="E51" s="278"/>
      <c r="F51" s="278"/>
      <c r="G51" s="278"/>
      <c r="H51" s="278"/>
      <c r="I51" s="278"/>
      <c r="J51" s="278"/>
      <c r="K51" s="278"/>
    </row>
    <row r="52" spans="1:11">
      <c r="A52" s="278" t="s">
        <v>447</v>
      </c>
      <c r="B52" s="278"/>
      <c r="C52" s="278"/>
      <c r="D52" s="278"/>
      <c r="E52" s="278"/>
      <c r="F52" s="278"/>
      <c r="G52" s="278"/>
      <c r="H52" s="278"/>
      <c r="I52" s="278"/>
      <c r="J52" s="278"/>
      <c r="K52" s="278"/>
    </row>
    <row r="53" spans="1:11">
      <c r="A53" s="279"/>
      <c r="B53" s="278"/>
      <c r="C53" s="278"/>
      <c r="D53" s="278"/>
      <c r="E53" s="278"/>
      <c r="F53" s="278"/>
      <c r="G53" s="278"/>
      <c r="H53" s="278"/>
      <c r="I53" s="278"/>
      <c r="J53" s="278"/>
      <c r="K53" s="278"/>
    </row>
    <row r="54" spans="1:11">
      <c r="A54" s="279"/>
      <c r="B54" s="278"/>
      <c r="C54" s="278"/>
      <c r="D54" s="278"/>
      <c r="E54" s="278"/>
      <c r="F54" s="278"/>
      <c r="G54" s="278"/>
      <c r="H54" s="278"/>
      <c r="I54" s="278"/>
      <c r="J54" s="278"/>
      <c r="K54" s="278"/>
    </row>
    <row r="55" spans="1:11">
      <c r="A55" s="278"/>
      <c r="B55" s="278"/>
      <c r="C55" s="278"/>
      <c r="D55" s="278"/>
      <c r="E55" s="278"/>
      <c r="F55" s="278"/>
      <c r="G55" s="278"/>
      <c r="H55" s="278"/>
      <c r="I55" s="278"/>
      <c r="J55" s="278"/>
      <c r="K55" s="278"/>
    </row>
    <row r="57" spans="1:11">
      <c r="A57" s="136"/>
      <c r="B57" s="136"/>
      <c r="C57" s="136"/>
      <c r="D57" s="136"/>
      <c r="E57" s="136"/>
      <c r="F57" s="136"/>
      <c r="G57" s="136"/>
      <c r="H57" s="136"/>
      <c r="I57" s="136"/>
      <c r="J57" s="136"/>
      <c r="K57" s="136"/>
    </row>
    <row r="58" spans="1:11">
      <c r="A58" s="136" t="s">
        <v>549</v>
      </c>
      <c r="B58" s="136"/>
      <c r="C58" s="136"/>
      <c r="D58" s="136"/>
      <c r="E58" s="136"/>
      <c r="F58" s="136"/>
      <c r="G58" s="136"/>
      <c r="H58" s="136"/>
      <c r="I58" s="136"/>
      <c r="J58" s="136"/>
      <c r="K58" s="136"/>
    </row>
    <row r="59" spans="1:11">
      <c r="A59" s="136"/>
      <c r="B59" s="136"/>
      <c r="C59" s="136"/>
      <c r="D59" s="136"/>
      <c r="E59" s="136"/>
      <c r="F59" s="136"/>
      <c r="G59" s="136"/>
      <c r="H59" s="136"/>
      <c r="I59" s="136"/>
      <c r="J59" s="136"/>
      <c r="K59" s="136"/>
    </row>
    <row r="60" spans="1:11">
      <c r="A60" s="136" t="s">
        <v>360</v>
      </c>
      <c r="B60" s="136"/>
      <c r="C60" s="137">
        <v>1</v>
      </c>
      <c r="D60" s="136"/>
      <c r="E60" s="136"/>
      <c r="F60" s="136"/>
      <c r="G60" s="136"/>
      <c r="H60" s="136"/>
      <c r="I60" s="136"/>
      <c r="J60" s="136"/>
      <c r="K60" s="136"/>
    </row>
    <row r="61" spans="1:11">
      <c r="A61" s="136" t="s">
        <v>155</v>
      </c>
      <c r="B61" s="136"/>
      <c r="C61" s="137">
        <v>3</v>
      </c>
      <c r="D61" s="136"/>
      <c r="E61" s="136"/>
      <c r="F61" s="136"/>
      <c r="G61" s="136"/>
      <c r="H61" s="136"/>
      <c r="I61" s="136"/>
      <c r="J61" s="136"/>
      <c r="K61" s="136"/>
    </row>
    <row r="62" spans="1:11">
      <c r="A62" s="136" t="s">
        <v>77</v>
      </c>
      <c r="B62" s="136"/>
      <c r="C62" s="137">
        <v>5</v>
      </c>
      <c r="D62" s="136"/>
      <c r="E62" s="136"/>
      <c r="F62" s="136"/>
      <c r="G62" s="136"/>
      <c r="H62" s="136"/>
      <c r="I62" s="136"/>
      <c r="J62" s="136"/>
      <c r="K62" s="136"/>
    </row>
    <row r="63" spans="1:11">
      <c r="A63" s="136" t="s">
        <v>320</v>
      </c>
      <c r="B63" s="136"/>
      <c r="C63" s="137">
        <v>4</v>
      </c>
      <c r="D63" s="136"/>
      <c r="E63" s="136"/>
      <c r="F63" s="136"/>
      <c r="G63" s="136"/>
      <c r="H63" s="136"/>
      <c r="I63" s="136"/>
      <c r="J63" s="136"/>
      <c r="K63" s="136"/>
    </row>
    <row r="64" spans="1:11">
      <c r="A64" s="136" t="s">
        <v>473</v>
      </c>
      <c r="B64" s="136"/>
      <c r="C64" s="137">
        <v>6</v>
      </c>
      <c r="D64" s="136">
        <f>C64+1</f>
        <v>7</v>
      </c>
      <c r="E64" s="136"/>
      <c r="F64" s="136"/>
      <c r="G64" s="136"/>
      <c r="H64" s="136"/>
      <c r="I64" s="136"/>
      <c r="J64" s="136"/>
      <c r="K64" s="136"/>
    </row>
    <row r="65" spans="1:11">
      <c r="A65" s="136"/>
      <c r="B65" s="136"/>
      <c r="C65" s="136"/>
      <c r="D65" s="136"/>
      <c r="E65" s="136"/>
      <c r="F65" s="136"/>
      <c r="G65" s="136"/>
      <c r="H65" s="136"/>
      <c r="I65" s="136"/>
      <c r="J65" s="136"/>
      <c r="K65" s="136"/>
    </row>
    <row r="67" spans="1:11">
      <c r="A67" s="183"/>
      <c r="B67" s="183"/>
      <c r="C67" s="183"/>
      <c r="D67" s="183"/>
      <c r="E67" s="183"/>
      <c r="F67" s="183"/>
      <c r="G67" s="183"/>
      <c r="H67" s="183"/>
      <c r="I67" s="183"/>
      <c r="J67" s="183"/>
      <c r="K67" s="183"/>
    </row>
    <row r="68" spans="1:11">
      <c r="A68" s="183" t="s">
        <v>207</v>
      </c>
      <c r="B68" s="183"/>
      <c r="C68" s="183"/>
      <c r="D68" s="183"/>
      <c r="E68" s="183"/>
      <c r="F68" s="183"/>
      <c r="G68" s="183"/>
      <c r="H68" s="183"/>
      <c r="I68" s="183"/>
      <c r="J68" s="183"/>
      <c r="K68" s="183"/>
    </row>
    <row r="69" spans="1:11">
      <c r="A69" s="183"/>
      <c r="B69" s="183"/>
      <c r="C69" s="183"/>
      <c r="D69" s="183"/>
      <c r="E69" s="183"/>
      <c r="F69" s="183"/>
      <c r="G69" s="183"/>
      <c r="H69" s="183"/>
      <c r="I69" s="183"/>
      <c r="J69" s="183"/>
      <c r="K69" s="183"/>
    </row>
    <row r="70" spans="1:11">
      <c r="A70" s="183" t="s">
        <v>548</v>
      </c>
      <c r="B70" s="183"/>
      <c r="C70" s="184">
        <v>1</v>
      </c>
      <c r="D70" s="183"/>
      <c r="E70" s="183"/>
      <c r="F70" s="183"/>
      <c r="G70" s="183"/>
      <c r="H70" s="183">
        <f>IF(C64=0,"0",VLOOKUP(C70,Daten!D74:J74,D64))</f>
        <v>0</v>
      </c>
      <c r="I70" s="183"/>
      <c r="J70" s="183"/>
      <c r="K70" s="183"/>
    </row>
    <row r="71" spans="1:11">
      <c r="A71" s="183" t="s">
        <v>369</v>
      </c>
      <c r="B71" s="183"/>
      <c r="C71" s="184">
        <v>2</v>
      </c>
      <c r="D71" s="183"/>
      <c r="E71" s="183"/>
      <c r="F71" s="183"/>
      <c r="G71" s="183"/>
      <c r="H71" s="183"/>
      <c r="I71" s="183"/>
      <c r="J71" s="183"/>
      <c r="K71" s="183"/>
    </row>
    <row r="72" spans="1:11">
      <c r="A72" s="183" t="s">
        <v>509</v>
      </c>
      <c r="B72" s="183"/>
      <c r="C72" s="184">
        <v>3</v>
      </c>
      <c r="D72" s="183"/>
      <c r="E72" s="183"/>
      <c r="F72" s="183"/>
      <c r="G72" s="183"/>
      <c r="H72" s="183"/>
      <c r="I72" s="183"/>
      <c r="J72" s="183"/>
      <c r="K72" s="183"/>
    </row>
    <row r="73" spans="1:11">
      <c r="A73" s="183" t="s">
        <v>60</v>
      </c>
      <c r="B73" s="183"/>
      <c r="C73" s="184">
        <v>4</v>
      </c>
      <c r="D73" s="183"/>
      <c r="E73" s="183"/>
      <c r="F73" s="183"/>
      <c r="G73" s="183"/>
      <c r="H73" s="183"/>
      <c r="I73" s="183"/>
      <c r="J73" s="183"/>
      <c r="K73" s="183"/>
    </row>
    <row r="74" spans="1:11">
      <c r="A74" s="183" t="s">
        <v>296</v>
      </c>
      <c r="B74" s="183"/>
      <c r="C74" s="184">
        <v>5</v>
      </c>
      <c r="D74" s="183">
        <v>1</v>
      </c>
      <c r="E74" s="183" t="str">
        <f>A70</f>
        <v>Nachweis</v>
      </c>
      <c r="F74" s="183" t="str">
        <f>A71</f>
        <v>Optimierung</v>
      </c>
      <c r="G74" s="183" t="str">
        <f>A72</f>
        <v>Vordimensionierung</v>
      </c>
      <c r="H74" s="183" t="str">
        <f>A73</f>
        <v>Messwertvergleich</v>
      </c>
      <c r="I74" s="183" t="str">
        <f>A74</f>
        <v>Nachweis Minergie</v>
      </c>
      <c r="J74" s="183"/>
      <c r="K74" s="183"/>
    </row>
    <row r="75" spans="1:11">
      <c r="A75" s="183"/>
      <c r="B75" s="183"/>
      <c r="C75" s="184"/>
      <c r="D75" s="183"/>
      <c r="E75" s="183"/>
      <c r="F75" s="183"/>
      <c r="G75" s="183"/>
      <c r="H75" s="183"/>
      <c r="I75" s="183"/>
      <c r="J75" s="183"/>
      <c r="K75" s="183"/>
    </row>
    <row r="76" spans="1:11">
      <c r="A76" s="183"/>
      <c r="B76" s="183"/>
      <c r="C76" s="183"/>
      <c r="D76" s="183"/>
      <c r="E76" s="183"/>
      <c r="F76" s="183"/>
      <c r="G76" s="183"/>
      <c r="H76" s="183"/>
      <c r="I76" s="183"/>
      <c r="J76" s="183"/>
      <c r="K76" s="183"/>
    </row>
    <row r="78" spans="1:11">
      <c r="A78" s="185"/>
      <c r="B78" s="185"/>
      <c r="C78" s="185"/>
      <c r="D78" s="185"/>
      <c r="E78" s="185"/>
      <c r="F78" s="185"/>
      <c r="G78" s="185"/>
      <c r="H78" s="185"/>
      <c r="I78" s="185"/>
      <c r="J78" s="185"/>
      <c r="K78" s="185"/>
    </row>
    <row r="79" spans="1:11">
      <c r="A79" s="185" t="s">
        <v>75</v>
      </c>
      <c r="B79" s="185"/>
      <c r="C79" s="185"/>
      <c r="D79" s="185"/>
      <c r="E79" s="185"/>
      <c r="F79" s="185"/>
      <c r="G79" s="185"/>
      <c r="H79" s="185"/>
      <c r="I79" s="185"/>
      <c r="J79" s="185"/>
      <c r="K79" s="185"/>
    </row>
    <row r="80" spans="1:11">
      <c r="A80" s="185"/>
      <c r="B80" s="185"/>
      <c r="C80" s="185"/>
      <c r="D80" s="185"/>
      <c r="E80" s="185"/>
      <c r="F80" s="185"/>
      <c r="G80" s="185"/>
      <c r="H80" s="185"/>
      <c r="I80" s="185"/>
      <c r="J80" s="185"/>
      <c r="K80" s="185"/>
    </row>
    <row r="81" spans="1:11">
      <c r="A81" s="185">
        <v>1</v>
      </c>
      <c r="B81" s="185"/>
      <c r="C81" s="185">
        <v>1</v>
      </c>
      <c r="D81" s="185"/>
      <c r="E81" s="185"/>
      <c r="F81" s="185">
        <v>1</v>
      </c>
      <c r="G81" s="185"/>
      <c r="H81" s="185"/>
      <c r="I81" s="186" t="s">
        <v>266</v>
      </c>
      <c r="J81" s="186" t="s">
        <v>218</v>
      </c>
      <c r="K81" s="186" t="s">
        <v>511</v>
      </c>
    </row>
    <row r="82" spans="1:11">
      <c r="A82" s="185">
        <v>2</v>
      </c>
      <c r="B82" s="185" t="s">
        <v>559</v>
      </c>
      <c r="C82" s="185">
        <v>2</v>
      </c>
      <c r="D82" s="185" t="s">
        <v>562</v>
      </c>
      <c r="E82" s="185"/>
      <c r="F82" s="185">
        <v>2</v>
      </c>
      <c r="G82" s="185" t="s">
        <v>562</v>
      </c>
      <c r="H82" s="185"/>
      <c r="I82" s="189">
        <v>1</v>
      </c>
      <c r="J82" s="189">
        <v>1</v>
      </c>
      <c r="K82" s="189">
        <v>1</v>
      </c>
    </row>
    <row r="83" spans="1:11">
      <c r="A83" s="185">
        <v>3</v>
      </c>
      <c r="B83" s="185" t="s">
        <v>560</v>
      </c>
      <c r="C83" s="185">
        <v>3</v>
      </c>
      <c r="D83" s="185" t="s">
        <v>563</v>
      </c>
      <c r="E83" s="185"/>
      <c r="F83" s="185">
        <v>3</v>
      </c>
      <c r="G83" s="185" t="s">
        <v>563</v>
      </c>
      <c r="H83" s="185"/>
      <c r="I83" s="189">
        <f>IF(Auswahl_1="","",VLOOKUP(Auswahl_1,A81:B86,2))</f>
        <v>0</v>
      </c>
      <c r="J83" s="189">
        <f>IF(Auswahl_2="","",VLOOKUP(Auswahl_2,C81:D91,2))</f>
        <v>0</v>
      </c>
      <c r="K83" s="189">
        <f>IF(Auswahl_3="","",VLOOKUP(Auswahl_3,F81:G91,2))</f>
        <v>0</v>
      </c>
    </row>
    <row r="84" spans="1:11">
      <c r="A84" s="185">
        <v>4</v>
      </c>
      <c r="B84" s="185" t="s">
        <v>561</v>
      </c>
      <c r="C84" s="185">
        <v>4</v>
      </c>
      <c r="D84" s="185" t="s">
        <v>564</v>
      </c>
      <c r="E84" s="185"/>
      <c r="F84" s="185">
        <v>4</v>
      </c>
      <c r="G84" s="185" t="s">
        <v>564</v>
      </c>
      <c r="H84" s="185"/>
      <c r="I84" s="185"/>
      <c r="J84" s="185"/>
      <c r="K84" s="185"/>
    </row>
    <row r="85" spans="1:11">
      <c r="A85" s="185">
        <v>5</v>
      </c>
      <c r="B85" s="185" t="s">
        <v>505</v>
      </c>
      <c r="C85" s="185">
        <v>5</v>
      </c>
      <c r="D85" s="185" t="s">
        <v>565</v>
      </c>
      <c r="E85" s="185"/>
      <c r="F85" s="185">
        <v>5</v>
      </c>
      <c r="G85" s="185" t="s">
        <v>565</v>
      </c>
      <c r="H85" s="185"/>
      <c r="I85" s="185"/>
      <c r="J85" s="185"/>
      <c r="K85" s="185"/>
    </row>
    <row r="86" spans="1:11">
      <c r="A86" s="185">
        <v>6</v>
      </c>
      <c r="B86" s="185" t="s">
        <v>137</v>
      </c>
      <c r="C86" s="185">
        <v>6</v>
      </c>
      <c r="D86" s="185" t="s">
        <v>505</v>
      </c>
      <c r="E86" s="185"/>
      <c r="F86" s="185">
        <v>6</v>
      </c>
      <c r="G86" s="185" t="s">
        <v>505</v>
      </c>
      <c r="H86" s="185"/>
      <c r="I86" s="185"/>
      <c r="J86" s="185"/>
      <c r="K86" s="185"/>
    </row>
    <row r="87" spans="1:11">
      <c r="A87" s="185"/>
      <c r="B87" s="185"/>
      <c r="C87" s="185">
        <v>7</v>
      </c>
      <c r="D87" s="185" t="s">
        <v>566</v>
      </c>
      <c r="E87" s="185"/>
      <c r="F87" s="185">
        <v>7</v>
      </c>
      <c r="G87" s="185" t="s">
        <v>566</v>
      </c>
      <c r="H87" s="185"/>
      <c r="I87" s="185"/>
      <c r="J87" s="185"/>
      <c r="K87" s="185"/>
    </row>
    <row r="88" spans="1:11">
      <c r="A88" s="185"/>
      <c r="B88" s="185"/>
      <c r="C88" s="185">
        <v>8</v>
      </c>
      <c r="D88" s="185" t="s">
        <v>567</v>
      </c>
      <c r="E88" s="185"/>
      <c r="F88" s="185">
        <v>8</v>
      </c>
      <c r="G88" s="185" t="s">
        <v>567</v>
      </c>
      <c r="H88" s="185"/>
      <c r="I88" s="185"/>
      <c r="J88" s="185"/>
      <c r="K88" s="185"/>
    </row>
    <row r="89" spans="1:11">
      <c r="A89" s="185"/>
      <c r="B89" s="185"/>
      <c r="C89" s="185">
        <v>9</v>
      </c>
      <c r="D89" s="185" t="s">
        <v>568</v>
      </c>
      <c r="E89" s="185"/>
      <c r="F89" s="185">
        <v>9</v>
      </c>
      <c r="G89" s="185" t="s">
        <v>568</v>
      </c>
      <c r="H89" s="185"/>
      <c r="I89" s="185"/>
      <c r="J89" s="185"/>
      <c r="K89" s="185"/>
    </row>
    <row r="90" spans="1:11">
      <c r="A90" s="185"/>
      <c r="B90" s="185"/>
      <c r="C90" s="185">
        <v>10</v>
      </c>
      <c r="D90" s="185" t="s">
        <v>137</v>
      </c>
      <c r="E90" s="185"/>
      <c r="F90" s="185">
        <v>10</v>
      </c>
      <c r="G90" s="185" t="s">
        <v>137</v>
      </c>
      <c r="H90" s="185"/>
      <c r="I90" s="185"/>
      <c r="J90" s="185"/>
      <c r="K90" s="185"/>
    </row>
    <row r="91" spans="1:11">
      <c r="A91" s="185"/>
      <c r="B91" s="185"/>
      <c r="C91" s="185">
        <v>11</v>
      </c>
      <c r="D91" s="185" t="s">
        <v>569</v>
      </c>
      <c r="E91" s="185"/>
      <c r="F91" s="185">
        <v>11</v>
      </c>
      <c r="G91" s="185" t="s">
        <v>569</v>
      </c>
      <c r="H91" s="185"/>
      <c r="I91" s="185"/>
      <c r="J91" s="185"/>
      <c r="K91" s="185"/>
    </row>
    <row r="92" spans="1:11">
      <c r="A92" s="185"/>
      <c r="B92" s="185"/>
      <c r="C92" s="185"/>
      <c r="D92" s="185"/>
      <c r="E92" s="185"/>
      <c r="F92" s="185"/>
      <c r="G92" s="185"/>
      <c r="H92" s="185"/>
      <c r="I92" s="185"/>
      <c r="J92" s="185"/>
      <c r="K92" s="185"/>
    </row>
    <row r="93" spans="1:11">
      <c r="A93" s="185"/>
      <c r="B93" s="185"/>
      <c r="C93" s="185"/>
      <c r="D93" s="185"/>
      <c r="E93" s="185"/>
      <c r="F93" s="185"/>
      <c r="G93" s="185"/>
      <c r="H93" s="185"/>
      <c r="I93" s="185"/>
      <c r="J93" s="185"/>
      <c r="K93" s="185"/>
    </row>
    <row r="94" spans="1:11">
      <c r="A94" s="185"/>
      <c r="B94" s="185"/>
      <c r="C94" s="185"/>
      <c r="D94" s="185"/>
      <c r="E94" s="185"/>
      <c r="F94" s="185"/>
      <c r="G94" s="185"/>
      <c r="H94" s="185"/>
      <c r="I94" s="185"/>
      <c r="J94" s="185"/>
      <c r="K94" s="185"/>
    </row>
    <row r="95" spans="1:11">
      <c r="A95" s="185"/>
      <c r="B95" s="185"/>
      <c r="C95" s="185"/>
      <c r="D95" s="185"/>
      <c r="E95" s="185"/>
      <c r="F95" s="185"/>
      <c r="G95" s="185"/>
      <c r="H95" s="185"/>
      <c r="I95" s="185"/>
      <c r="J95" s="185"/>
      <c r="K95" s="185"/>
    </row>
    <row r="97" spans="1:15" ht="12">
      <c r="B97" s="1069" t="s">
        <v>101</v>
      </c>
      <c r="C97" s="1069" t="s">
        <v>591</v>
      </c>
      <c r="D97" s="1069" t="s">
        <v>191</v>
      </c>
      <c r="E97" s="1069" t="s">
        <v>592</v>
      </c>
      <c r="F97" s="1069" t="s">
        <v>593</v>
      </c>
      <c r="G97" s="1069" t="s">
        <v>503</v>
      </c>
      <c r="H97" s="1069" t="s">
        <v>594</v>
      </c>
      <c r="I97" s="1069" t="s">
        <v>83</v>
      </c>
      <c r="J97" s="1069" t="s">
        <v>595</v>
      </c>
      <c r="K97" s="1069" t="s">
        <v>54</v>
      </c>
      <c r="L97" s="1069" t="s">
        <v>588</v>
      </c>
      <c r="M97" s="1069" t="s">
        <v>589</v>
      </c>
      <c r="N97" s="1069" t="s">
        <v>590</v>
      </c>
    </row>
    <row r="99" spans="1:15" ht="12">
      <c r="A99" s="389" t="s">
        <v>193</v>
      </c>
      <c r="B99" s="385"/>
      <c r="C99" s="385"/>
      <c r="D99" s="385"/>
      <c r="E99" s="385"/>
      <c r="F99" s="385"/>
      <c r="G99" s="385"/>
      <c r="H99" s="385"/>
      <c r="I99" s="389"/>
      <c r="J99" s="385"/>
      <c r="K99" s="385"/>
      <c r="L99" s="385"/>
      <c r="M99" s="385"/>
      <c r="N99" s="385"/>
      <c r="O99" s="103"/>
    </row>
    <row r="100" spans="1:15" ht="12">
      <c r="A100" s="385"/>
      <c r="B100" s="1019" t="s">
        <v>101</v>
      </c>
      <c r="C100" s="1019" t="s">
        <v>591</v>
      </c>
      <c r="D100" s="1019" t="s">
        <v>191</v>
      </c>
      <c r="E100" s="1019" t="s">
        <v>592</v>
      </c>
      <c r="F100" s="1019" t="s">
        <v>593</v>
      </c>
      <c r="G100" s="1019" t="s">
        <v>503</v>
      </c>
      <c r="H100" s="1019" t="s">
        <v>594</v>
      </c>
      <c r="I100" s="1019" t="s">
        <v>83</v>
      </c>
      <c r="J100" s="1019" t="s">
        <v>595</v>
      </c>
      <c r="K100" s="1019" t="s">
        <v>54</v>
      </c>
      <c r="L100" s="1019" t="s">
        <v>588</v>
      </c>
      <c r="M100" s="1019" t="s">
        <v>589</v>
      </c>
      <c r="N100" s="1019" t="s">
        <v>590</v>
      </c>
    </row>
    <row r="101" spans="1:15">
      <c r="A101" s="1017">
        <v>0</v>
      </c>
      <c r="B101" s="386">
        <f t="shared" ref="B101:B132" si="0">ROUND(((D101+G101)/2),2)</f>
        <v>1</v>
      </c>
      <c r="C101" s="386">
        <f t="shared" ref="C101:C132" si="1">ROUND(((D101+B101)/2),2)</f>
        <v>1</v>
      </c>
      <c r="D101" s="1018">
        <v>1</v>
      </c>
      <c r="E101" s="386">
        <f t="shared" ref="E101:E132" si="2">ROUND(((D101+B101)/2),2)</f>
        <v>1</v>
      </c>
      <c r="F101" s="386">
        <f t="shared" ref="F101:F132" si="3">ROUND(((G101+B101)/2),2)</f>
        <v>1</v>
      </c>
      <c r="G101" s="1018">
        <v>1</v>
      </c>
      <c r="H101" s="386">
        <f t="shared" ref="H101:H132" si="4">ROUND(((G101+I101)/2),2)</f>
        <v>1</v>
      </c>
      <c r="I101" s="386">
        <f t="shared" ref="I101:I132" si="5">ROUND(((G101+K101)/2),2)</f>
        <v>1</v>
      </c>
      <c r="J101" s="386">
        <f t="shared" ref="J101:J132" si="6">ROUND(((K101+I101)/2),2)</f>
        <v>1</v>
      </c>
      <c r="K101" s="1018">
        <v>1</v>
      </c>
      <c r="L101" s="386">
        <f t="shared" ref="L101:L132" si="7">ROUND(((K101+I101)/2),2)</f>
        <v>1</v>
      </c>
      <c r="M101" s="386">
        <f t="shared" ref="M101:M132" si="8">ROUND(((G101+I101)/2),2)</f>
        <v>1</v>
      </c>
      <c r="N101" s="386">
        <f t="shared" ref="N101:N132" si="9">ROUND(((G101+B101)/2),2)</f>
        <v>1</v>
      </c>
    </row>
    <row r="102" spans="1:15">
      <c r="A102" s="385">
        <v>1</v>
      </c>
      <c r="B102" s="386">
        <f t="shared" si="0"/>
        <v>1</v>
      </c>
      <c r="C102" s="386">
        <f t="shared" si="1"/>
        <v>1</v>
      </c>
      <c r="D102" s="386">
        <v>1</v>
      </c>
      <c r="E102" s="386">
        <f t="shared" si="2"/>
        <v>1</v>
      </c>
      <c r="F102" s="386">
        <f t="shared" si="3"/>
        <v>1</v>
      </c>
      <c r="G102" s="386">
        <v>0.99</v>
      </c>
      <c r="H102" s="386">
        <f t="shared" si="4"/>
        <v>1</v>
      </c>
      <c r="I102" s="386">
        <f t="shared" si="5"/>
        <v>1</v>
      </c>
      <c r="J102" s="386">
        <f t="shared" si="6"/>
        <v>1</v>
      </c>
      <c r="K102" s="386">
        <v>1</v>
      </c>
      <c r="L102" s="386">
        <f t="shared" si="7"/>
        <v>1</v>
      </c>
      <c r="M102" s="386">
        <f t="shared" si="8"/>
        <v>1</v>
      </c>
      <c r="N102" s="386">
        <f t="shared" si="9"/>
        <v>1</v>
      </c>
    </row>
    <row r="103" spans="1:15">
      <c r="A103" s="385">
        <v>2</v>
      </c>
      <c r="B103" s="386">
        <f t="shared" si="0"/>
        <v>0.99</v>
      </c>
      <c r="C103" s="386">
        <f t="shared" si="1"/>
        <v>0.99</v>
      </c>
      <c r="D103" s="386">
        <v>0.99</v>
      </c>
      <c r="E103" s="386">
        <f t="shared" si="2"/>
        <v>0.99</v>
      </c>
      <c r="F103" s="386">
        <f t="shared" si="3"/>
        <v>0.99</v>
      </c>
      <c r="G103" s="386">
        <v>0.99</v>
      </c>
      <c r="H103" s="386">
        <f t="shared" si="4"/>
        <v>1</v>
      </c>
      <c r="I103" s="386">
        <f t="shared" si="5"/>
        <v>1</v>
      </c>
      <c r="J103" s="386">
        <f t="shared" si="6"/>
        <v>1</v>
      </c>
      <c r="K103" s="386">
        <v>1</v>
      </c>
      <c r="L103" s="386">
        <f t="shared" si="7"/>
        <v>1</v>
      </c>
      <c r="M103" s="386">
        <f t="shared" si="8"/>
        <v>1</v>
      </c>
      <c r="N103" s="386">
        <f t="shared" si="9"/>
        <v>0.99</v>
      </c>
    </row>
    <row r="104" spans="1:15">
      <c r="A104" s="385">
        <v>3</v>
      </c>
      <c r="B104" s="386">
        <f t="shared" si="0"/>
        <v>0.99</v>
      </c>
      <c r="C104" s="386">
        <f t="shared" si="1"/>
        <v>0.99</v>
      </c>
      <c r="D104" s="386">
        <v>0.99</v>
      </c>
      <c r="E104" s="386">
        <f t="shared" si="2"/>
        <v>0.99</v>
      </c>
      <c r="F104" s="386">
        <f t="shared" si="3"/>
        <v>0.99</v>
      </c>
      <c r="G104" s="386">
        <v>0.98</v>
      </c>
      <c r="H104" s="386">
        <f t="shared" si="4"/>
        <v>0.99</v>
      </c>
      <c r="I104" s="386">
        <f t="shared" si="5"/>
        <v>0.99</v>
      </c>
      <c r="J104" s="386">
        <f t="shared" si="6"/>
        <v>1</v>
      </c>
      <c r="K104" s="386">
        <v>1</v>
      </c>
      <c r="L104" s="386">
        <f t="shared" si="7"/>
        <v>1</v>
      </c>
      <c r="M104" s="386">
        <f t="shared" si="8"/>
        <v>0.99</v>
      </c>
      <c r="N104" s="386">
        <f t="shared" si="9"/>
        <v>0.99</v>
      </c>
    </row>
    <row r="105" spans="1:15">
      <c r="A105" s="385">
        <v>4</v>
      </c>
      <c r="B105" s="386">
        <f t="shared" si="0"/>
        <v>0.98</v>
      </c>
      <c r="C105" s="386">
        <f t="shared" si="1"/>
        <v>0.98</v>
      </c>
      <c r="D105" s="386">
        <v>0.98</v>
      </c>
      <c r="E105" s="386">
        <f t="shared" si="2"/>
        <v>0.98</v>
      </c>
      <c r="F105" s="386">
        <f t="shared" si="3"/>
        <v>0.98</v>
      </c>
      <c r="G105" s="386">
        <v>0.98</v>
      </c>
      <c r="H105" s="386">
        <f t="shared" si="4"/>
        <v>0.99</v>
      </c>
      <c r="I105" s="386">
        <f t="shared" si="5"/>
        <v>0.99</v>
      </c>
      <c r="J105" s="386">
        <f t="shared" si="6"/>
        <v>1</v>
      </c>
      <c r="K105" s="386">
        <v>1</v>
      </c>
      <c r="L105" s="386">
        <f t="shared" si="7"/>
        <v>1</v>
      </c>
      <c r="M105" s="386">
        <f t="shared" si="8"/>
        <v>0.99</v>
      </c>
      <c r="N105" s="386">
        <f t="shared" si="9"/>
        <v>0.98</v>
      </c>
    </row>
    <row r="106" spans="1:15">
      <c r="A106" s="385">
        <v>5</v>
      </c>
      <c r="B106" s="386">
        <f t="shared" si="0"/>
        <v>0.98</v>
      </c>
      <c r="C106" s="386">
        <f t="shared" si="1"/>
        <v>0.98</v>
      </c>
      <c r="D106" s="386">
        <v>0.98</v>
      </c>
      <c r="E106" s="386">
        <f t="shared" si="2"/>
        <v>0.98</v>
      </c>
      <c r="F106" s="386">
        <f t="shared" si="3"/>
        <v>0.98</v>
      </c>
      <c r="G106" s="386">
        <v>0.97</v>
      </c>
      <c r="H106" s="386">
        <f t="shared" si="4"/>
        <v>0.98</v>
      </c>
      <c r="I106" s="386">
        <f t="shared" si="5"/>
        <v>0.99</v>
      </c>
      <c r="J106" s="386">
        <f t="shared" si="6"/>
        <v>1</v>
      </c>
      <c r="K106" s="386">
        <v>1</v>
      </c>
      <c r="L106" s="386">
        <f t="shared" si="7"/>
        <v>1</v>
      </c>
      <c r="M106" s="386">
        <f t="shared" si="8"/>
        <v>0.98</v>
      </c>
      <c r="N106" s="386">
        <f t="shared" si="9"/>
        <v>0.98</v>
      </c>
    </row>
    <row r="107" spans="1:15">
      <c r="A107" s="385">
        <v>6</v>
      </c>
      <c r="B107" s="386">
        <f t="shared" si="0"/>
        <v>0.97</v>
      </c>
      <c r="C107" s="386">
        <f t="shared" si="1"/>
        <v>0.98</v>
      </c>
      <c r="D107" s="386">
        <v>0.98</v>
      </c>
      <c r="E107" s="386">
        <f t="shared" si="2"/>
        <v>0.98</v>
      </c>
      <c r="F107" s="386">
        <f t="shared" si="3"/>
        <v>0.97</v>
      </c>
      <c r="G107" s="386">
        <v>0.96</v>
      </c>
      <c r="H107" s="386">
        <f t="shared" si="4"/>
        <v>0.97</v>
      </c>
      <c r="I107" s="386">
        <f t="shared" si="5"/>
        <v>0.98</v>
      </c>
      <c r="J107" s="386">
        <f t="shared" si="6"/>
        <v>0.99</v>
      </c>
      <c r="K107" s="386">
        <v>1</v>
      </c>
      <c r="L107" s="386">
        <f t="shared" si="7"/>
        <v>0.99</v>
      </c>
      <c r="M107" s="386">
        <f t="shared" si="8"/>
        <v>0.97</v>
      </c>
      <c r="N107" s="386">
        <f t="shared" si="9"/>
        <v>0.97</v>
      </c>
    </row>
    <row r="108" spans="1:15">
      <c r="A108" s="385">
        <v>7</v>
      </c>
      <c r="B108" s="386">
        <f t="shared" si="0"/>
        <v>0.97</v>
      </c>
      <c r="C108" s="386">
        <f t="shared" si="1"/>
        <v>0.97</v>
      </c>
      <c r="D108" s="386">
        <v>0.97</v>
      </c>
      <c r="E108" s="386">
        <f t="shared" si="2"/>
        <v>0.97</v>
      </c>
      <c r="F108" s="386">
        <f t="shared" si="3"/>
        <v>0.97</v>
      </c>
      <c r="G108" s="386">
        <v>0.96</v>
      </c>
      <c r="H108" s="386">
        <f t="shared" si="4"/>
        <v>0.97</v>
      </c>
      <c r="I108" s="386">
        <f t="shared" si="5"/>
        <v>0.98</v>
      </c>
      <c r="J108" s="386">
        <f t="shared" si="6"/>
        <v>0.99</v>
      </c>
      <c r="K108" s="386">
        <v>1</v>
      </c>
      <c r="L108" s="386">
        <f t="shared" si="7"/>
        <v>0.99</v>
      </c>
      <c r="M108" s="386">
        <f t="shared" si="8"/>
        <v>0.97</v>
      </c>
      <c r="N108" s="386">
        <f t="shared" si="9"/>
        <v>0.97</v>
      </c>
    </row>
    <row r="109" spans="1:15">
      <c r="A109" s="385">
        <v>8</v>
      </c>
      <c r="B109" s="386">
        <f t="shared" si="0"/>
        <v>0.96</v>
      </c>
      <c r="C109" s="386">
        <f t="shared" si="1"/>
        <v>0.97</v>
      </c>
      <c r="D109" s="386">
        <v>0.97</v>
      </c>
      <c r="E109" s="386">
        <f t="shared" si="2"/>
        <v>0.97</v>
      </c>
      <c r="F109" s="386">
        <f t="shared" si="3"/>
        <v>0.96</v>
      </c>
      <c r="G109" s="386">
        <v>0.95</v>
      </c>
      <c r="H109" s="386">
        <f t="shared" si="4"/>
        <v>0.97</v>
      </c>
      <c r="I109" s="386">
        <f t="shared" si="5"/>
        <v>0.98</v>
      </c>
      <c r="J109" s="386">
        <f t="shared" si="6"/>
        <v>0.99</v>
      </c>
      <c r="K109" s="386">
        <v>1</v>
      </c>
      <c r="L109" s="386">
        <f t="shared" si="7"/>
        <v>0.99</v>
      </c>
      <c r="M109" s="386">
        <f t="shared" si="8"/>
        <v>0.97</v>
      </c>
      <c r="N109" s="386">
        <f t="shared" si="9"/>
        <v>0.96</v>
      </c>
    </row>
    <row r="110" spans="1:15">
      <c r="A110" s="385">
        <v>9</v>
      </c>
      <c r="B110" s="386">
        <f t="shared" si="0"/>
        <v>0.96</v>
      </c>
      <c r="C110" s="386">
        <f t="shared" si="1"/>
        <v>0.96</v>
      </c>
      <c r="D110" s="386">
        <v>0.96</v>
      </c>
      <c r="E110" s="386">
        <f t="shared" si="2"/>
        <v>0.96</v>
      </c>
      <c r="F110" s="386">
        <f t="shared" si="3"/>
        <v>0.96</v>
      </c>
      <c r="G110" s="386">
        <v>0.95</v>
      </c>
      <c r="H110" s="386">
        <f t="shared" si="4"/>
        <v>0.97</v>
      </c>
      <c r="I110" s="386">
        <f t="shared" si="5"/>
        <v>0.98</v>
      </c>
      <c r="J110" s="386">
        <f t="shared" si="6"/>
        <v>0.99</v>
      </c>
      <c r="K110" s="386">
        <v>1</v>
      </c>
      <c r="L110" s="386">
        <f t="shared" si="7"/>
        <v>0.99</v>
      </c>
      <c r="M110" s="386">
        <f t="shared" si="8"/>
        <v>0.97</v>
      </c>
      <c r="N110" s="386">
        <f t="shared" si="9"/>
        <v>0.96</v>
      </c>
    </row>
    <row r="111" spans="1:15">
      <c r="A111" s="387">
        <v>10</v>
      </c>
      <c r="B111" s="386">
        <f t="shared" si="0"/>
        <v>0.95</v>
      </c>
      <c r="C111" s="386">
        <f t="shared" si="1"/>
        <v>0.96</v>
      </c>
      <c r="D111" s="388">
        <v>0.96</v>
      </c>
      <c r="E111" s="386">
        <f t="shared" si="2"/>
        <v>0.96</v>
      </c>
      <c r="F111" s="386">
        <f t="shared" si="3"/>
        <v>0.95</v>
      </c>
      <c r="G111" s="388">
        <v>0.94</v>
      </c>
      <c r="H111" s="386">
        <f t="shared" si="4"/>
        <v>0.96</v>
      </c>
      <c r="I111" s="386">
        <f t="shared" si="5"/>
        <v>0.97</v>
      </c>
      <c r="J111" s="386">
        <f t="shared" si="6"/>
        <v>0.99</v>
      </c>
      <c r="K111" s="388">
        <v>1</v>
      </c>
      <c r="L111" s="386">
        <f t="shared" si="7"/>
        <v>0.99</v>
      </c>
      <c r="M111" s="386">
        <f t="shared" si="8"/>
        <v>0.96</v>
      </c>
      <c r="N111" s="386">
        <f t="shared" si="9"/>
        <v>0.95</v>
      </c>
    </row>
    <row r="112" spans="1:15">
      <c r="A112" s="385">
        <v>11</v>
      </c>
      <c r="B112" s="386">
        <f t="shared" si="0"/>
        <v>0.94</v>
      </c>
      <c r="C112" s="386">
        <f t="shared" si="1"/>
        <v>0.95</v>
      </c>
      <c r="D112" s="386">
        <v>0.95</v>
      </c>
      <c r="E112" s="386">
        <f t="shared" si="2"/>
        <v>0.95</v>
      </c>
      <c r="F112" s="386">
        <f t="shared" si="3"/>
        <v>0.93</v>
      </c>
      <c r="G112" s="386">
        <v>0.92</v>
      </c>
      <c r="H112" s="386">
        <f t="shared" si="4"/>
        <v>0.94</v>
      </c>
      <c r="I112" s="386">
        <f t="shared" si="5"/>
        <v>0.96</v>
      </c>
      <c r="J112" s="386">
        <f t="shared" si="6"/>
        <v>0.98</v>
      </c>
      <c r="K112" s="386">
        <v>1</v>
      </c>
      <c r="L112" s="386">
        <f t="shared" si="7"/>
        <v>0.98</v>
      </c>
      <c r="M112" s="386">
        <f t="shared" si="8"/>
        <v>0.94</v>
      </c>
      <c r="N112" s="386">
        <f t="shared" si="9"/>
        <v>0.93</v>
      </c>
    </row>
    <row r="113" spans="1:14">
      <c r="A113" s="385">
        <v>12</v>
      </c>
      <c r="B113" s="386">
        <f t="shared" si="0"/>
        <v>0.92</v>
      </c>
      <c r="C113" s="386">
        <f t="shared" si="1"/>
        <v>0.93</v>
      </c>
      <c r="D113" s="386">
        <v>0.93</v>
      </c>
      <c r="E113" s="386">
        <f t="shared" si="2"/>
        <v>0.93</v>
      </c>
      <c r="F113" s="386">
        <f t="shared" si="3"/>
        <v>0.92</v>
      </c>
      <c r="G113" s="386">
        <v>0.91</v>
      </c>
      <c r="H113" s="386">
        <f t="shared" si="4"/>
        <v>0.93</v>
      </c>
      <c r="I113" s="386">
        <f t="shared" si="5"/>
        <v>0.95</v>
      </c>
      <c r="J113" s="386">
        <f t="shared" si="6"/>
        <v>0.97</v>
      </c>
      <c r="K113" s="386">
        <v>0.99</v>
      </c>
      <c r="L113" s="386">
        <f t="shared" si="7"/>
        <v>0.97</v>
      </c>
      <c r="M113" s="386">
        <f t="shared" si="8"/>
        <v>0.93</v>
      </c>
      <c r="N113" s="386">
        <f t="shared" si="9"/>
        <v>0.92</v>
      </c>
    </row>
    <row r="114" spans="1:14">
      <c r="A114" s="385">
        <v>13</v>
      </c>
      <c r="B114" s="386">
        <f t="shared" si="0"/>
        <v>0.91</v>
      </c>
      <c r="C114" s="386">
        <f t="shared" si="1"/>
        <v>0.92</v>
      </c>
      <c r="D114" s="386">
        <v>0.92</v>
      </c>
      <c r="E114" s="386">
        <f t="shared" si="2"/>
        <v>0.92</v>
      </c>
      <c r="F114" s="386">
        <f t="shared" si="3"/>
        <v>0.9</v>
      </c>
      <c r="G114" s="386">
        <v>0.89</v>
      </c>
      <c r="H114" s="386">
        <f t="shared" si="4"/>
        <v>0.92</v>
      </c>
      <c r="I114" s="386">
        <f t="shared" si="5"/>
        <v>0.94</v>
      </c>
      <c r="J114" s="386">
        <f t="shared" si="6"/>
        <v>0.97</v>
      </c>
      <c r="K114" s="386">
        <v>0.99</v>
      </c>
      <c r="L114" s="386">
        <f t="shared" si="7"/>
        <v>0.97</v>
      </c>
      <c r="M114" s="386">
        <f t="shared" si="8"/>
        <v>0.92</v>
      </c>
      <c r="N114" s="386">
        <f t="shared" si="9"/>
        <v>0.9</v>
      </c>
    </row>
    <row r="115" spans="1:14">
      <c r="A115" s="385">
        <v>14</v>
      </c>
      <c r="B115" s="386">
        <f t="shared" si="0"/>
        <v>0.89</v>
      </c>
      <c r="C115" s="386">
        <f t="shared" si="1"/>
        <v>0.9</v>
      </c>
      <c r="D115" s="386">
        <v>0.9</v>
      </c>
      <c r="E115" s="386">
        <f t="shared" si="2"/>
        <v>0.9</v>
      </c>
      <c r="F115" s="386">
        <f t="shared" si="3"/>
        <v>0.89</v>
      </c>
      <c r="G115" s="386">
        <v>0.88</v>
      </c>
      <c r="H115" s="386">
        <f t="shared" si="4"/>
        <v>0.91</v>
      </c>
      <c r="I115" s="386">
        <f t="shared" si="5"/>
        <v>0.94</v>
      </c>
      <c r="J115" s="386">
        <f t="shared" si="6"/>
        <v>0.97</v>
      </c>
      <c r="K115" s="386">
        <v>0.99</v>
      </c>
      <c r="L115" s="386">
        <f t="shared" si="7"/>
        <v>0.97</v>
      </c>
      <c r="M115" s="386">
        <f t="shared" si="8"/>
        <v>0.91</v>
      </c>
      <c r="N115" s="386">
        <f t="shared" si="9"/>
        <v>0.89</v>
      </c>
    </row>
    <row r="116" spans="1:14">
      <c r="A116" s="385">
        <v>15</v>
      </c>
      <c r="B116" s="386">
        <f t="shared" si="0"/>
        <v>0.88</v>
      </c>
      <c r="C116" s="386">
        <f t="shared" si="1"/>
        <v>0.89</v>
      </c>
      <c r="D116" s="386">
        <v>0.89</v>
      </c>
      <c r="E116" s="386">
        <f t="shared" si="2"/>
        <v>0.89</v>
      </c>
      <c r="F116" s="386">
        <f t="shared" si="3"/>
        <v>0.88</v>
      </c>
      <c r="G116" s="386">
        <v>0.87</v>
      </c>
      <c r="H116" s="386">
        <f t="shared" si="4"/>
        <v>0.9</v>
      </c>
      <c r="I116" s="386">
        <f t="shared" si="5"/>
        <v>0.93</v>
      </c>
      <c r="J116" s="386">
        <f t="shared" si="6"/>
        <v>0.96</v>
      </c>
      <c r="K116" s="386">
        <v>0.99</v>
      </c>
      <c r="L116" s="386">
        <f t="shared" si="7"/>
        <v>0.96</v>
      </c>
      <c r="M116" s="386">
        <f t="shared" si="8"/>
        <v>0.9</v>
      </c>
      <c r="N116" s="386">
        <f t="shared" si="9"/>
        <v>0.88</v>
      </c>
    </row>
    <row r="117" spans="1:14">
      <c r="A117" s="385">
        <v>16</v>
      </c>
      <c r="B117" s="386">
        <f t="shared" si="0"/>
        <v>0.87</v>
      </c>
      <c r="C117" s="386">
        <f t="shared" si="1"/>
        <v>0.88</v>
      </c>
      <c r="D117" s="386">
        <v>0.88</v>
      </c>
      <c r="E117" s="386">
        <f t="shared" si="2"/>
        <v>0.88</v>
      </c>
      <c r="F117" s="386">
        <f t="shared" si="3"/>
        <v>0.87</v>
      </c>
      <c r="G117" s="386">
        <v>0.86</v>
      </c>
      <c r="H117" s="386">
        <f t="shared" si="4"/>
        <v>0.89</v>
      </c>
      <c r="I117" s="386">
        <f t="shared" si="5"/>
        <v>0.92</v>
      </c>
      <c r="J117" s="386">
        <f t="shared" si="6"/>
        <v>0.95</v>
      </c>
      <c r="K117" s="386">
        <v>0.98</v>
      </c>
      <c r="L117" s="386">
        <f t="shared" si="7"/>
        <v>0.95</v>
      </c>
      <c r="M117" s="386">
        <f t="shared" si="8"/>
        <v>0.89</v>
      </c>
      <c r="N117" s="386">
        <f t="shared" si="9"/>
        <v>0.87</v>
      </c>
    </row>
    <row r="118" spans="1:14">
      <c r="A118" s="385">
        <v>17</v>
      </c>
      <c r="B118" s="386">
        <f t="shared" si="0"/>
        <v>0.86</v>
      </c>
      <c r="C118" s="386">
        <f t="shared" si="1"/>
        <v>0.86</v>
      </c>
      <c r="D118" s="386">
        <v>0.86</v>
      </c>
      <c r="E118" s="386">
        <f t="shared" si="2"/>
        <v>0.86</v>
      </c>
      <c r="F118" s="386">
        <f t="shared" si="3"/>
        <v>0.86</v>
      </c>
      <c r="G118" s="386">
        <v>0.85</v>
      </c>
      <c r="H118" s="386">
        <f t="shared" si="4"/>
        <v>0.89</v>
      </c>
      <c r="I118" s="386">
        <f t="shared" si="5"/>
        <v>0.92</v>
      </c>
      <c r="J118" s="386">
        <f t="shared" si="6"/>
        <v>0.95</v>
      </c>
      <c r="K118" s="386">
        <v>0.98</v>
      </c>
      <c r="L118" s="386">
        <f t="shared" si="7"/>
        <v>0.95</v>
      </c>
      <c r="M118" s="386">
        <f t="shared" si="8"/>
        <v>0.89</v>
      </c>
      <c r="N118" s="386">
        <f t="shared" si="9"/>
        <v>0.86</v>
      </c>
    </row>
    <row r="119" spans="1:14">
      <c r="A119" s="385">
        <v>18</v>
      </c>
      <c r="B119" s="386">
        <f t="shared" si="0"/>
        <v>0.84</v>
      </c>
      <c r="C119" s="386">
        <f t="shared" si="1"/>
        <v>0.85</v>
      </c>
      <c r="D119" s="386">
        <v>0.85</v>
      </c>
      <c r="E119" s="386">
        <f t="shared" si="2"/>
        <v>0.85</v>
      </c>
      <c r="F119" s="386">
        <f t="shared" si="3"/>
        <v>0.84</v>
      </c>
      <c r="G119" s="386">
        <v>0.83</v>
      </c>
      <c r="H119" s="386">
        <f t="shared" si="4"/>
        <v>0.87</v>
      </c>
      <c r="I119" s="386">
        <f t="shared" si="5"/>
        <v>0.91</v>
      </c>
      <c r="J119" s="386">
        <f t="shared" si="6"/>
        <v>0.95</v>
      </c>
      <c r="K119" s="386">
        <v>0.98</v>
      </c>
      <c r="L119" s="386">
        <f t="shared" si="7"/>
        <v>0.95</v>
      </c>
      <c r="M119" s="386">
        <f t="shared" si="8"/>
        <v>0.87</v>
      </c>
      <c r="N119" s="386">
        <f t="shared" si="9"/>
        <v>0.84</v>
      </c>
    </row>
    <row r="120" spans="1:14">
      <c r="A120" s="385">
        <v>19</v>
      </c>
      <c r="B120" s="386">
        <f t="shared" si="0"/>
        <v>0.83</v>
      </c>
      <c r="C120" s="386">
        <f t="shared" si="1"/>
        <v>0.83</v>
      </c>
      <c r="D120" s="386">
        <v>0.83</v>
      </c>
      <c r="E120" s="386">
        <f t="shared" si="2"/>
        <v>0.83</v>
      </c>
      <c r="F120" s="386">
        <f t="shared" si="3"/>
        <v>0.83</v>
      </c>
      <c r="G120" s="386">
        <v>0.82</v>
      </c>
      <c r="H120" s="386">
        <f t="shared" si="4"/>
        <v>0.86</v>
      </c>
      <c r="I120" s="386">
        <f t="shared" si="5"/>
        <v>0.9</v>
      </c>
      <c r="J120" s="386">
        <f t="shared" si="6"/>
        <v>0.94</v>
      </c>
      <c r="K120" s="386">
        <v>0.97</v>
      </c>
      <c r="L120" s="386">
        <f t="shared" si="7"/>
        <v>0.94</v>
      </c>
      <c r="M120" s="386">
        <f t="shared" si="8"/>
        <v>0.86</v>
      </c>
      <c r="N120" s="386">
        <f t="shared" si="9"/>
        <v>0.83</v>
      </c>
    </row>
    <row r="121" spans="1:14">
      <c r="A121" s="387">
        <v>20</v>
      </c>
      <c r="B121" s="386">
        <f t="shared" si="0"/>
        <v>0.82</v>
      </c>
      <c r="C121" s="386">
        <f t="shared" si="1"/>
        <v>0.82</v>
      </c>
      <c r="D121" s="388">
        <v>0.82</v>
      </c>
      <c r="E121" s="386">
        <f t="shared" si="2"/>
        <v>0.82</v>
      </c>
      <c r="F121" s="386">
        <f t="shared" si="3"/>
        <v>0.82</v>
      </c>
      <c r="G121" s="388">
        <v>0.81</v>
      </c>
      <c r="H121" s="386">
        <f t="shared" si="4"/>
        <v>0.85</v>
      </c>
      <c r="I121" s="386">
        <f t="shared" si="5"/>
        <v>0.89</v>
      </c>
      <c r="J121" s="386">
        <f t="shared" si="6"/>
        <v>0.93</v>
      </c>
      <c r="K121" s="388">
        <v>0.97</v>
      </c>
      <c r="L121" s="386">
        <f t="shared" si="7"/>
        <v>0.93</v>
      </c>
      <c r="M121" s="386">
        <f t="shared" si="8"/>
        <v>0.85</v>
      </c>
      <c r="N121" s="386">
        <f t="shared" si="9"/>
        <v>0.82</v>
      </c>
    </row>
    <row r="122" spans="1:14">
      <c r="A122" s="385">
        <v>21</v>
      </c>
      <c r="B122" s="386">
        <f t="shared" si="0"/>
        <v>0.8</v>
      </c>
      <c r="C122" s="386">
        <f t="shared" si="1"/>
        <v>0.8</v>
      </c>
      <c r="D122" s="386">
        <v>0.8</v>
      </c>
      <c r="E122" s="386">
        <f t="shared" si="2"/>
        <v>0.8</v>
      </c>
      <c r="F122" s="386">
        <f t="shared" si="3"/>
        <v>0.8</v>
      </c>
      <c r="G122" s="386">
        <v>0.8</v>
      </c>
      <c r="H122" s="386">
        <f t="shared" si="4"/>
        <v>0.85</v>
      </c>
      <c r="I122" s="386">
        <f t="shared" si="5"/>
        <v>0.89</v>
      </c>
      <c r="J122" s="386">
        <f t="shared" si="6"/>
        <v>0.93</v>
      </c>
      <c r="K122" s="386">
        <v>0.97</v>
      </c>
      <c r="L122" s="386">
        <f t="shared" si="7"/>
        <v>0.93</v>
      </c>
      <c r="M122" s="386">
        <f t="shared" si="8"/>
        <v>0.85</v>
      </c>
      <c r="N122" s="386">
        <f t="shared" si="9"/>
        <v>0.8</v>
      </c>
    </row>
    <row r="123" spans="1:14">
      <c r="A123" s="385">
        <v>22</v>
      </c>
      <c r="B123" s="386">
        <f t="shared" si="0"/>
        <v>0.78</v>
      </c>
      <c r="C123" s="386">
        <f t="shared" si="1"/>
        <v>0.78</v>
      </c>
      <c r="D123" s="386">
        <v>0.77</v>
      </c>
      <c r="E123" s="386">
        <f t="shared" si="2"/>
        <v>0.78</v>
      </c>
      <c r="F123" s="386">
        <f t="shared" si="3"/>
        <v>0.78</v>
      </c>
      <c r="G123" s="386">
        <v>0.78</v>
      </c>
      <c r="H123" s="386">
        <f t="shared" si="4"/>
        <v>0.83</v>
      </c>
      <c r="I123" s="386">
        <f t="shared" si="5"/>
        <v>0.87</v>
      </c>
      <c r="J123" s="386">
        <f t="shared" si="6"/>
        <v>0.92</v>
      </c>
      <c r="K123" s="386">
        <v>0.96</v>
      </c>
      <c r="L123" s="386">
        <f t="shared" si="7"/>
        <v>0.92</v>
      </c>
      <c r="M123" s="386">
        <f t="shared" si="8"/>
        <v>0.83</v>
      </c>
      <c r="N123" s="386">
        <f t="shared" si="9"/>
        <v>0.78</v>
      </c>
    </row>
    <row r="124" spans="1:14">
      <c r="A124" s="385">
        <v>23</v>
      </c>
      <c r="B124" s="386">
        <f t="shared" si="0"/>
        <v>0.76</v>
      </c>
      <c r="C124" s="386">
        <f t="shared" si="1"/>
        <v>0.76</v>
      </c>
      <c r="D124" s="386">
        <v>0.75</v>
      </c>
      <c r="E124" s="386">
        <f t="shared" si="2"/>
        <v>0.76</v>
      </c>
      <c r="F124" s="386">
        <f t="shared" si="3"/>
        <v>0.77</v>
      </c>
      <c r="G124" s="386">
        <v>0.77</v>
      </c>
      <c r="H124" s="386">
        <f t="shared" si="4"/>
        <v>0.82</v>
      </c>
      <c r="I124" s="386">
        <f t="shared" si="5"/>
        <v>0.87</v>
      </c>
      <c r="J124" s="386">
        <f t="shared" si="6"/>
        <v>0.92</v>
      </c>
      <c r="K124" s="386">
        <v>0.96</v>
      </c>
      <c r="L124" s="386">
        <f t="shared" si="7"/>
        <v>0.92</v>
      </c>
      <c r="M124" s="386">
        <f t="shared" si="8"/>
        <v>0.82</v>
      </c>
      <c r="N124" s="386">
        <f t="shared" si="9"/>
        <v>0.77</v>
      </c>
    </row>
    <row r="125" spans="1:14">
      <c r="A125" s="385">
        <v>24</v>
      </c>
      <c r="B125" s="386">
        <f t="shared" si="0"/>
        <v>0.75</v>
      </c>
      <c r="C125" s="386">
        <f t="shared" si="1"/>
        <v>0.74</v>
      </c>
      <c r="D125" s="386">
        <v>0.73</v>
      </c>
      <c r="E125" s="386">
        <f t="shared" si="2"/>
        <v>0.74</v>
      </c>
      <c r="F125" s="386">
        <f t="shared" si="3"/>
        <v>0.76</v>
      </c>
      <c r="G125" s="386">
        <v>0.76</v>
      </c>
      <c r="H125" s="386">
        <f t="shared" si="4"/>
        <v>0.81</v>
      </c>
      <c r="I125" s="386">
        <f t="shared" si="5"/>
        <v>0.86</v>
      </c>
      <c r="J125" s="386">
        <f t="shared" si="6"/>
        <v>0.91</v>
      </c>
      <c r="K125" s="386">
        <v>0.96</v>
      </c>
      <c r="L125" s="386">
        <f t="shared" si="7"/>
        <v>0.91</v>
      </c>
      <c r="M125" s="386">
        <f t="shared" si="8"/>
        <v>0.81</v>
      </c>
      <c r="N125" s="386">
        <f t="shared" si="9"/>
        <v>0.76</v>
      </c>
    </row>
    <row r="126" spans="1:14">
      <c r="A126" s="385">
        <v>25</v>
      </c>
      <c r="B126" s="386">
        <f t="shared" si="0"/>
        <v>0.73</v>
      </c>
      <c r="C126" s="386">
        <f t="shared" si="1"/>
        <v>0.72</v>
      </c>
      <c r="D126" s="386">
        <v>0.71</v>
      </c>
      <c r="E126" s="386">
        <f t="shared" si="2"/>
        <v>0.72</v>
      </c>
      <c r="F126" s="386">
        <f t="shared" si="3"/>
        <v>0.74</v>
      </c>
      <c r="G126" s="386">
        <v>0.75</v>
      </c>
      <c r="H126" s="386">
        <f t="shared" si="4"/>
        <v>0.81</v>
      </c>
      <c r="I126" s="386">
        <f t="shared" si="5"/>
        <v>0.86</v>
      </c>
      <c r="J126" s="386">
        <f t="shared" si="6"/>
        <v>0.91</v>
      </c>
      <c r="K126" s="386">
        <v>0.96</v>
      </c>
      <c r="L126" s="386">
        <f t="shared" si="7"/>
        <v>0.91</v>
      </c>
      <c r="M126" s="386">
        <f t="shared" si="8"/>
        <v>0.81</v>
      </c>
      <c r="N126" s="386">
        <f t="shared" si="9"/>
        <v>0.74</v>
      </c>
    </row>
    <row r="127" spans="1:14">
      <c r="A127" s="385">
        <v>26</v>
      </c>
      <c r="B127" s="386">
        <f t="shared" si="0"/>
        <v>0.71</v>
      </c>
      <c r="C127" s="386">
        <f t="shared" si="1"/>
        <v>0.7</v>
      </c>
      <c r="D127" s="386">
        <v>0.68</v>
      </c>
      <c r="E127" s="386">
        <f t="shared" si="2"/>
        <v>0.7</v>
      </c>
      <c r="F127" s="386">
        <f t="shared" si="3"/>
        <v>0.72</v>
      </c>
      <c r="G127" s="386">
        <v>0.73</v>
      </c>
      <c r="H127" s="386">
        <f t="shared" si="4"/>
        <v>0.79</v>
      </c>
      <c r="I127" s="386">
        <f t="shared" si="5"/>
        <v>0.84</v>
      </c>
      <c r="J127" s="386">
        <f t="shared" si="6"/>
        <v>0.9</v>
      </c>
      <c r="K127" s="386">
        <v>0.95</v>
      </c>
      <c r="L127" s="386">
        <f t="shared" si="7"/>
        <v>0.9</v>
      </c>
      <c r="M127" s="386">
        <f t="shared" si="8"/>
        <v>0.79</v>
      </c>
      <c r="N127" s="386">
        <f t="shared" si="9"/>
        <v>0.72</v>
      </c>
    </row>
    <row r="128" spans="1:14">
      <c r="A128" s="385">
        <v>27</v>
      </c>
      <c r="B128" s="386">
        <f t="shared" si="0"/>
        <v>0.69</v>
      </c>
      <c r="C128" s="386">
        <f t="shared" si="1"/>
        <v>0.68</v>
      </c>
      <c r="D128" s="386">
        <v>0.66</v>
      </c>
      <c r="E128" s="386">
        <f t="shared" si="2"/>
        <v>0.68</v>
      </c>
      <c r="F128" s="386">
        <f t="shared" si="3"/>
        <v>0.71</v>
      </c>
      <c r="G128" s="386">
        <v>0.72</v>
      </c>
      <c r="H128" s="386">
        <f t="shared" si="4"/>
        <v>0.78</v>
      </c>
      <c r="I128" s="386">
        <f t="shared" si="5"/>
        <v>0.84</v>
      </c>
      <c r="J128" s="386">
        <f t="shared" si="6"/>
        <v>0.9</v>
      </c>
      <c r="K128" s="386">
        <v>0.95</v>
      </c>
      <c r="L128" s="386">
        <f t="shared" si="7"/>
        <v>0.9</v>
      </c>
      <c r="M128" s="386">
        <f t="shared" si="8"/>
        <v>0.78</v>
      </c>
      <c r="N128" s="386">
        <f t="shared" si="9"/>
        <v>0.71</v>
      </c>
    </row>
    <row r="129" spans="1:14">
      <c r="A129" s="385">
        <v>28</v>
      </c>
      <c r="B129" s="386">
        <f t="shared" si="0"/>
        <v>0.68</v>
      </c>
      <c r="C129" s="386">
        <f t="shared" si="1"/>
        <v>0.66</v>
      </c>
      <c r="D129" s="386">
        <v>0.64</v>
      </c>
      <c r="E129" s="386">
        <f t="shared" si="2"/>
        <v>0.66</v>
      </c>
      <c r="F129" s="386">
        <f t="shared" si="3"/>
        <v>0.7</v>
      </c>
      <c r="G129" s="386">
        <v>0.71</v>
      </c>
      <c r="H129" s="386">
        <f t="shared" si="4"/>
        <v>0.77</v>
      </c>
      <c r="I129" s="386">
        <f t="shared" si="5"/>
        <v>0.83</v>
      </c>
      <c r="J129" s="386">
        <f t="shared" si="6"/>
        <v>0.89</v>
      </c>
      <c r="K129" s="386">
        <v>0.95</v>
      </c>
      <c r="L129" s="386">
        <f t="shared" si="7"/>
        <v>0.89</v>
      </c>
      <c r="M129" s="386">
        <f t="shared" si="8"/>
        <v>0.77</v>
      </c>
      <c r="N129" s="386">
        <f t="shared" si="9"/>
        <v>0.7</v>
      </c>
    </row>
    <row r="130" spans="1:14">
      <c r="A130" s="385">
        <v>29</v>
      </c>
      <c r="B130" s="386">
        <f t="shared" si="0"/>
        <v>0.65</v>
      </c>
      <c r="C130" s="386">
        <f t="shared" si="1"/>
        <v>0.63</v>
      </c>
      <c r="D130" s="386">
        <v>0.61</v>
      </c>
      <c r="E130" s="386">
        <f t="shared" si="2"/>
        <v>0.63</v>
      </c>
      <c r="F130" s="386">
        <f t="shared" si="3"/>
        <v>0.67</v>
      </c>
      <c r="G130" s="386">
        <v>0.69</v>
      </c>
      <c r="H130" s="386">
        <f t="shared" si="4"/>
        <v>0.76</v>
      </c>
      <c r="I130" s="386">
        <f t="shared" si="5"/>
        <v>0.82</v>
      </c>
      <c r="J130" s="386">
        <f t="shared" si="6"/>
        <v>0.88</v>
      </c>
      <c r="K130" s="386">
        <v>0.94</v>
      </c>
      <c r="L130" s="386">
        <f t="shared" si="7"/>
        <v>0.88</v>
      </c>
      <c r="M130" s="386">
        <f t="shared" si="8"/>
        <v>0.76</v>
      </c>
      <c r="N130" s="386">
        <f t="shared" si="9"/>
        <v>0.67</v>
      </c>
    </row>
    <row r="131" spans="1:14">
      <c r="A131" s="387">
        <v>30</v>
      </c>
      <c r="B131" s="386">
        <f t="shared" si="0"/>
        <v>0.64</v>
      </c>
      <c r="C131" s="386">
        <f t="shared" si="1"/>
        <v>0.62</v>
      </c>
      <c r="D131" s="388">
        <v>0.59</v>
      </c>
      <c r="E131" s="386">
        <f t="shared" si="2"/>
        <v>0.62</v>
      </c>
      <c r="F131" s="386">
        <f t="shared" si="3"/>
        <v>0.66</v>
      </c>
      <c r="G131" s="388">
        <v>0.68</v>
      </c>
      <c r="H131" s="386">
        <f t="shared" si="4"/>
        <v>0.75</v>
      </c>
      <c r="I131" s="386">
        <f t="shared" si="5"/>
        <v>0.81</v>
      </c>
      <c r="J131" s="386">
        <f t="shared" si="6"/>
        <v>0.88</v>
      </c>
      <c r="K131" s="388">
        <v>0.94</v>
      </c>
      <c r="L131" s="386">
        <f t="shared" si="7"/>
        <v>0.88</v>
      </c>
      <c r="M131" s="386">
        <f t="shared" si="8"/>
        <v>0.75</v>
      </c>
      <c r="N131" s="386">
        <f t="shared" si="9"/>
        <v>0.66</v>
      </c>
    </row>
    <row r="132" spans="1:14">
      <c r="A132" s="385">
        <v>31</v>
      </c>
      <c r="B132" s="386">
        <f t="shared" si="0"/>
        <v>0.63</v>
      </c>
      <c r="C132" s="386">
        <f t="shared" si="1"/>
        <v>0.61</v>
      </c>
      <c r="D132" s="386">
        <v>0.57999999999999996</v>
      </c>
      <c r="E132" s="386">
        <f t="shared" si="2"/>
        <v>0.61</v>
      </c>
      <c r="F132" s="386">
        <f t="shared" si="3"/>
        <v>0.65</v>
      </c>
      <c r="G132" s="386">
        <v>0.67</v>
      </c>
      <c r="H132" s="386">
        <f t="shared" si="4"/>
        <v>0.74</v>
      </c>
      <c r="I132" s="386">
        <f t="shared" si="5"/>
        <v>0.81</v>
      </c>
      <c r="J132" s="386">
        <f t="shared" si="6"/>
        <v>0.88</v>
      </c>
      <c r="K132" s="386">
        <v>0.94</v>
      </c>
      <c r="L132" s="386">
        <f t="shared" si="7"/>
        <v>0.88</v>
      </c>
      <c r="M132" s="386">
        <f t="shared" si="8"/>
        <v>0.74</v>
      </c>
      <c r="N132" s="386">
        <f t="shared" si="9"/>
        <v>0.65</v>
      </c>
    </row>
    <row r="133" spans="1:14">
      <c r="A133" s="385">
        <v>32</v>
      </c>
      <c r="B133" s="386">
        <f t="shared" ref="B133:B164" si="10">ROUND(((D133+G133)/2),2)</f>
        <v>0.61</v>
      </c>
      <c r="C133" s="386">
        <f t="shared" ref="C133:C164" si="11">ROUND(((D133+B133)/2),2)</f>
        <v>0.59</v>
      </c>
      <c r="D133" s="386">
        <v>0.56000000000000005</v>
      </c>
      <c r="E133" s="386">
        <f t="shared" ref="E133:E164" si="12">ROUND(((D133+B133)/2),2)</f>
        <v>0.59</v>
      </c>
      <c r="F133" s="386">
        <f t="shared" ref="F133:F164" si="13">ROUND(((G133+B133)/2),2)</f>
        <v>0.64</v>
      </c>
      <c r="G133" s="386">
        <v>0.66</v>
      </c>
      <c r="H133" s="386">
        <f t="shared" ref="H133:H164" si="14">ROUND(((G133+I133)/2),2)</f>
        <v>0.73</v>
      </c>
      <c r="I133" s="386">
        <f t="shared" ref="I133:I164" si="15">ROUND(((G133+K133)/2),2)</f>
        <v>0.8</v>
      </c>
      <c r="J133" s="386">
        <f t="shared" ref="J133:J164" si="16">ROUND(((K133+I133)/2),2)</f>
        <v>0.87</v>
      </c>
      <c r="K133" s="386">
        <v>0.93</v>
      </c>
      <c r="L133" s="386">
        <f t="shared" ref="L133:L164" si="17">ROUND(((K133+I133)/2),2)</f>
        <v>0.87</v>
      </c>
      <c r="M133" s="386">
        <f t="shared" ref="M133:M164" si="18">ROUND(((G133+I133)/2),2)</f>
        <v>0.73</v>
      </c>
      <c r="N133" s="386">
        <f t="shared" ref="N133:N164" si="19">ROUND(((G133+B133)/2),2)</f>
        <v>0.64</v>
      </c>
    </row>
    <row r="134" spans="1:14">
      <c r="A134" s="385">
        <v>33</v>
      </c>
      <c r="B134" s="386">
        <f t="shared" si="10"/>
        <v>0.61</v>
      </c>
      <c r="C134" s="386">
        <f t="shared" si="11"/>
        <v>0.57999999999999996</v>
      </c>
      <c r="D134" s="386">
        <v>0.55000000000000004</v>
      </c>
      <c r="E134" s="386">
        <f t="shared" si="12"/>
        <v>0.57999999999999996</v>
      </c>
      <c r="F134" s="386">
        <f t="shared" si="13"/>
        <v>0.64</v>
      </c>
      <c r="G134" s="386">
        <v>0.66</v>
      </c>
      <c r="H134" s="386">
        <f t="shared" si="14"/>
        <v>0.73</v>
      </c>
      <c r="I134" s="386">
        <f t="shared" si="15"/>
        <v>0.8</v>
      </c>
      <c r="J134" s="386">
        <f t="shared" si="16"/>
        <v>0.87</v>
      </c>
      <c r="K134" s="386">
        <v>0.93</v>
      </c>
      <c r="L134" s="386">
        <f t="shared" si="17"/>
        <v>0.87</v>
      </c>
      <c r="M134" s="386">
        <f t="shared" si="18"/>
        <v>0.73</v>
      </c>
      <c r="N134" s="386">
        <f t="shared" si="19"/>
        <v>0.64</v>
      </c>
    </row>
    <row r="135" spans="1:14">
      <c r="A135" s="385">
        <v>34</v>
      </c>
      <c r="B135" s="386">
        <f t="shared" si="10"/>
        <v>0.59</v>
      </c>
      <c r="C135" s="386">
        <f t="shared" si="11"/>
        <v>0.56000000000000005</v>
      </c>
      <c r="D135" s="386">
        <v>0.53</v>
      </c>
      <c r="E135" s="386">
        <f t="shared" si="12"/>
        <v>0.56000000000000005</v>
      </c>
      <c r="F135" s="386">
        <f t="shared" si="13"/>
        <v>0.62</v>
      </c>
      <c r="G135" s="386">
        <v>0.65</v>
      </c>
      <c r="H135" s="386">
        <f t="shared" si="14"/>
        <v>0.72</v>
      </c>
      <c r="I135" s="386">
        <f t="shared" si="15"/>
        <v>0.79</v>
      </c>
      <c r="J135" s="386">
        <f t="shared" si="16"/>
        <v>0.86</v>
      </c>
      <c r="K135" s="386">
        <v>0.92</v>
      </c>
      <c r="L135" s="386">
        <f t="shared" si="17"/>
        <v>0.86</v>
      </c>
      <c r="M135" s="386">
        <f t="shared" si="18"/>
        <v>0.72</v>
      </c>
      <c r="N135" s="386">
        <f t="shared" si="19"/>
        <v>0.62</v>
      </c>
    </row>
    <row r="136" spans="1:14">
      <c r="A136" s="385">
        <v>35</v>
      </c>
      <c r="B136" s="386">
        <f t="shared" si="10"/>
        <v>0.57999999999999996</v>
      </c>
      <c r="C136" s="386">
        <f t="shared" si="11"/>
        <v>0.55000000000000004</v>
      </c>
      <c r="D136" s="386">
        <v>0.52</v>
      </c>
      <c r="E136" s="386">
        <f t="shared" si="12"/>
        <v>0.55000000000000004</v>
      </c>
      <c r="F136" s="386">
        <f t="shared" si="13"/>
        <v>0.61</v>
      </c>
      <c r="G136" s="386">
        <v>0.64</v>
      </c>
      <c r="H136" s="386">
        <f t="shared" si="14"/>
        <v>0.71</v>
      </c>
      <c r="I136" s="386">
        <f t="shared" si="15"/>
        <v>0.78</v>
      </c>
      <c r="J136" s="386">
        <f t="shared" si="16"/>
        <v>0.85</v>
      </c>
      <c r="K136" s="386">
        <v>0.92</v>
      </c>
      <c r="L136" s="386">
        <f t="shared" si="17"/>
        <v>0.85</v>
      </c>
      <c r="M136" s="386">
        <f t="shared" si="18"/>
        <v>0.71</v>
      </c>
      <c r="N136" s="386">
        <f t="shared" si="19"/>
        <v>0.61</v>
      </c>
    </row>
    <row r="137" spans="1:14">
      <c r="A137" s="385">
        <v>36</v>
      </c>
      <c r="B137" s="386">
        <f t="shared" si="10"/>
        <v>0.56999999999999995</v>
      </c>
      <c r="C137" s="386">
        <f t="shared" si="11"/>
        <v>0.54</v>
      </c>
      <c r="D137" s="386">
        <v>0.51</v>
      </c>
      <c r="E137" s="386">
        <f t="shared" si="12"/>
        <v>0.54</v>
      </c>
      <c r="F137" s="386">
        <f t="shared" si="13"/>
        <v>0.6</v>
      </c>
      <c r="G137" s="386">
        <v>0.63</v>
      </c>
      <c r="H137" s="386">
        <f t="shared" si="14"/>
        <v>0.71</v>
      </c>
      <c r="I137" s="386">
        <f t="shared" si="15"/>
        <v>0.78</v>
      </c>
      <c r="J137" s="386">
        <f t="shared" si="16"/>
        <v>0.85</v>
      </c>
      <c r="K137" s="386">
        <v>0.92</v>
      </c>
      <c r="L137" s="386">
        <f t="shared" si="17"/>
        <v>0.85</v>
      </c>
      <c r="M137" s="386">
        <f t="shared" si="18"/>
        <v>0.71</v>
      </c>
      <c r="N137" s="386">
        <f t="shared" si="19"/>
        <v>0.6</v>
      </c>
    </row>
    <row r="138" spans="1:14">
      <c r="A138" s="385">
        <v>37</v>
      </c>
      <c r="B138" s="386">
        <f t="shared" si="10"/>
        <v>0.56000000000000005</v>
      </c>
      <c r="C138" s="386">
        <f t="shared" si="11"/>
        <v>0.53</v>
      </c>
      <c r="D138" s="386">
        <v>0.49</v>
      </c>
      <c r="E138" s="386">
        <f t="shared" si="12"/>
        <v>0.53</v>
      </c>
      <c r="F138" s="386">
        <f t="shared" si="13"/>
        <v>0.59</v>
      </c>
      <c r="G138" s="386">
        <v>0.62</v>
      </c>
      <c r="H138" s="386">
        <f t="shared" si="14"/>
        <v>0.7</v>
      </c>
      <c r="I138" s="386">
        <f t="shared" si="15"/>
        <v>0.77</v>
      </c>
      <c r="J138" s="386">
        <f t="shared" si="16"/>
        <v>0.84</v>
      </c>
      <c r="K138" s="386">
        <v>0.91</v>
      </c>
      <c r="L138" s="386">
        <f t="shared" si="17"/>
        <v>0.84</v>
      </c>
      <c r="M138" s="386">
        <f t="shared" si="18"/>
        <v>0.7</v>
      </c>
      <c r="N138" s="386">
        <f t="shared" si="19"/>
        <v>0.59</v>
      </c>
    </row>
    <row r="139" spans="1:14">
      <c r="A139" s="385">
        <v>38</v>
      </c>
      <c r="B139" s="386">
        <f t="shared" si="10"/>
        <v>0.55000000000000004</v>
      </c>
      <c r="C139" s="386">
        <f t="shared" si="11"/>
        <v>0.52</v>
      </c>
      <c r="D139" s="386">
        <v>0.48</v>
      </c>
      <c r="E139" s="386">
        <f t="shared" si="12"/>
        <v>0.52</v>
      </c>
      <c r="F139" s="386">
        <f t="shared" si="13"/>
        <v>0.59</v>
      </c>
      <c r="G139" s="386">
        <v>0.62</v>
      </c>
      <c r="H139" s="386">
        <f t="shared" si="14"/>
        <v>0.7</v>
      </c>
      <c r="I139" s="386">
        <f t="shared" si="15"/>
        <v>0.77</v>
      </c>
      <c r="J139" s="386">
        <f t="shared" si="16"/>
        <v>0.84</v>
      </c>
      <c r="K139" s="386">
        <v>0.91</v>
      </c>
      <c r="L139" s="386">
        <f t="shared" si="17"/>
        <v>0.84</v>
      </c>
      <c r="M139" s="386">
        <f t="shared" si="18"/>
        <v>0.7</v>
      </c>
      <c r="N139" s="386">
        <f t="shared" si="19"/>
        <v>0.59</v>
      </c>
    </row>
    <row r="140" spans="1:14">
      <c r="A140" s="385">
        <v>39</v>
      </c>
      <c r="B140" s="386">
        <f t="shared" si="10"/>
        <v>0.54</v>
      </c>
      <c r="C140" s="386">
        <f t="shared" si="11"/>
        <v>0.5</v>
      </c>
      <c r="D140" s="386">
        <v>0.46</v>
      </c>
      <c r="E140" s="386">
        <f t="shared" si="12"/>
        <v>0.5</v>
      </c>
      <c r="F140" s="386">
        <f t="shared" si="13"/>
        <v>0.57999999999999996</v>
      </c>
      <c r="G140" s="386">
        <v>0.61</v>
      </c>
      <c r="H140" s="386">
        <f t="shared" si="14"/>
        <v>0.69</v>
      </c>
      <c r="I140" s="386">
        <f t="shared" si="15"/>
        <v>0.76</v>
      </c>
      <c r="J140" s="386">
        <f t="shared" si="16"/>
        <v>0.83</v>
      </c>
      <c r="K140" s="386">
        <v>0.9</v>
      </c>
      <c r="L140" s="386">
        <f t="shared" si="17"/>
        <v>0.83</v>
      </c>
      <c r="M140" s="386">
        <f t="shared" si="18"/>
        <v>0.69</v>
      </c>
      <c r="N140" s="386">
        <f t="shared" si="19"/>
        <v>0.57999999999999996</v>
      </c>
    </row>
    <row r="141" spans="1:14">
      <c r="A141" s="387">
        <v>40</v>
      </c>
      <c r="B141" s="386">
        <f t="shared" si="10"/>
        <v>0.53</v>
      </c>
      <c r="C141" s="386">
        <f t="shared" si="11"/>
        <v>0.49</v>
      </c>
      <c r="D141" s="388">
        <v>0.45</v>
      </c>
      <c r="E141" s="386">
        <f t="shared" si="12"/>
        <v>0.49</v>
      </c>
      <c r="F141" s="386">
        <f t="shared" si="13"/>
        <v>0.56999999999999995</v>
      </c>
      <c r="G141" s="388">
        <v>0.6</v>
      </c>
      <c r="H141" s="386">
        <f t="shared" si="14"/>
        <v>0.68</v>
      </c>
      <c r="I141" s="386">
        <f t="shared" si="15"/>
        <v>0.75</v>
      </c>
      <c r="J141" s="386">
        <f t="shared" si="16"/>
        <v>0.83</v>
      </c>
      <c r="K141" s="388">
        <v>0.9</v>
      </c>
      <c r="L141" s="386">
        <f t="shared" si="17"/>
        <v>0.83</v>
      </c>
      <c r="M141" s="386">
        <f t="shared" si="18"/>
        <v>0.68</v>
      </c>
      <c r="N141" s="386">
        <f t="shared" si="19"/>
        <v>0.56999999999999995</v>
      </c>
    </row>
    <row r="142" spans="1:14">
      <c r="A142" s="385">
        <v>41</v>
      </c>
      <c r="B142" s="386">
        <f t="shared" si="10"/>
        <v>0.52</v>
      </c>
      <c r="C142" s="386">
        <f t="shared" si="11"/>
        <v>0.48</v>
      </c>
      <c r="D142" s="386">
        <v>0.44</v>
      </c>
      <c r="E142" s="386">
        <f t="shared" si="12"/>
        <v>0.48</v>
      </c>
      <c r="F142" s="386">
        <f t="shared" si="13"/>
        <v>0.56000000000000005</v>
      </c>
      <c r="G142" s="386">
        <v>0.59</v>
      </c>
      <c r="H142" s="386">
        <f t="shared" si="14"/>
        <v>0.67</v>
      </c>
      <c r="I142" s="386">
        <f t="shared" si="15"/>
        <v>0.75</v>
      </c>
      <c r="J142" s="386">
        <f t="shared" si="16"/>
        <v>0.83</v>
      </c>
      <c r="K142" s="386">
        <v>0.9</v>
      </c>
      <c r="L142" s="386">
        <f t="shared" si="17"/>
        <v>0.83</v>
      </c>
      <c r="M142" s="386">
        <f t="shared" si="18"/>
        <v>0.67</v>
      </c>
      <c r="N142" s="386">
        <f t="shared" si="19"/>
        <v>0.56000000000000005</v>
      </c>
    </row>
    <row r="143" spans="1:14">
      <c r="A143" s="385">
        <v>42</v>
      </c>
      <c r="B143" s="386">
        <f t="shared" si="10"/>
        <v>0.51</v>
      </c>
      <c r="C143" s="386">
        <f t="shared" si="11"/>
        <v>0.47</v>
      </c>
      <c r="D143" s="386">
        <v>0.43</v>
      </c>
      <c r="E143" s="386">
        <f t="shared" si="12"/>
        <v>0.47</v>
      </c>
      <c r="F143" s="386">
        <f t="shared" si="13"/>
        <v>0.55000000000000004</v>
      </c>
      <c r="G143" s="386">
        <v>0.57999999999999996</v>
      </c>
      <c r="H143" s="386">
        <f t="shared" si="14"/>
        <v>0.66</v>
      </c>
      <c r="I143" s="386">
        <f t="shared" si="15"/>
        <v>0.74</v>
      </c>
      <c r="J143" s="386">
        <f t="shared" si="16"/>
        <v>0.82</v>
      </c>
      <c r="K143" s="386">
        <v>0.89</v>
      </c>
      <c r="L143" s="386">
        <f t="shared" si="17"/>
        <v>0.82</v>
      </c>
      <c r="M143" s="386">
        <f t="shared" si="18"/>
        <v>0.66</v>
      </c>
      <c r="N143" s="386">
        <f t="shared" si="19"/>
        <v>0.55000000000000004</v>
      </c>
    </row>
    <row r="144" spans="1:14">
      <c r="A144" s="385">
        <v>43</v>
      </c>
      <c r="B144" s="386">
        <f t="shared" si="10"/>
        <v>0.5</v>
      </c>
      <c r="C144" s="386">
        <f t="shared" si="11"/>
        <v>0.46</v>
      </c>
      <c r="D144" s="386">
        <v>0.42</v>
      </c>
      <c r="E144" s="386">
        <f t="shared" si="12"/>
        <v>0.46</v>
      </c>
      <c r="F144" s="386">
        <f t="shared" si="13"/>
        <v>0.54</v>
      </c>
      <c r="G144" s="386">
        <v>0.56999999999999995</v>
      </c>
      <c r="H144" s="386">
        <f t="shared" si="14"/>
        <v>0.65</v>
      </c>
      <c r="I144" s="386">
        <f t="shared" si="15"/>
        <v>0.73</v>
      </c>
      <c r="J144" s="386">
        <f t="shared" si="16"/>
        <v>0.81</v>
      </c>
      <c r="K144" s="386">
        <v>0.89</v>
      </c>
      <c r="L144" s="386">
        <f t="shared" si="17"/>
        <v>0.81</v>
      </c>
      <c r="M144" s="386">
        <f t="shared" si="18"/>
        <v>0.65</v>
      </c>
      <c r="N144" s="386">
        <f t="shared" si="19"/>
        <v>0.54</v>
      </c>
    </row>
    <row r="145" spans="1:14">
      <c r="A145" s="385">
        <v>44</v>
      </c>
      <c r="B145" s="386">
        <f t="shared" si="10"/>
        <v>0.49</v>
      </c>
      <c r="C145" s="386">
        <f t="shared" si="11"/>
        <v>0.45</v>
      </c>
      <c r="D145" s="386">
        <v>0.41</v>
      </c>
      <c r="E145" s="386">
        <f t="shared" si="12"/>
        <v>0.45</v>
      </c>
      <c r="F145" s="386">
        <f t="shared" si="13"/>
        <v>0.53</v>
      </c>
      <c r="G145" s="386">
        <v>0.56000000000000005</v>
      </c>
      <c r="H145" s="386">
        <f t="shared" si="14"/>
        <v>0.64</v>
      </c>
      <c r="I145" s="386">
        <f t="shared" si="15"/>
        <v>0.72</v>
      </c>
      <c r="J145" s="386">
        <f t="shared" si="16"/>
        <v>0.8</v>
      </c>
      <c r="K145" s="386">
        <v>0.88</v>
      </c>
      <c r="L145" s="386">
        <f t="shared" si="17"/>
        <v>0.8</v>
      </c>
      <c r="M145" s="386">
        <f t="shared" si="18"/>
        <v>0.64</v>
      </c>
      <c r="N145" s="386">
        <f t="shared" si="19"/>
        <v>0.53</v>
      </c>
    </row>
    <row r="146" spans="1:14">
      <c r="A146" s="385">
        <v>45</v>
      </c>
      <c r="B146" s="386">
        <f t="shared" si="10"/>
        <v>0.48</v>
      </c>
      <c r="C146" s="386">
        <f t="shared" si="11"/>
        <v>0.45</v>
      </c>
      <c r="D146" s="386">
        <v>0.41</v>
      </c>
      <c r="E146" s="386">
        <f t="shared" si="12"/>
        <v>0.45</v>
      </c>
      <c r="F146" s="386">
        <f t="shared" si="13"/>
        <v>0.52</v>
      </c>
      <c r="G146" s="386">
        <v>0.55000000000000004</v>
      </c>
      <c r="H146" s="386">
        <f t="shared" si="14"/>
        <v>0.64</v>
      </c>
      <c r="I146" s="386">
        <f t="shared" si="15"/>
        <v>0.72</v>
      </c>
      <c r="J146" s="386">
        <f t="shared" si="16"/>
        <v>0.8</v>
      </c>
      <c r="K146" s="386">
        <v>0.88</v>
      </c>
      <c r="L146" s="386">
        <f t="shared" si="17"/>
        <v>0.8</v>
      </c>
      <c r="M146" s="386">
        <f t="shared" si="18"/>
        <v>0.64</v>
      </c>
      <c r="N146" s="386">
        <f t="shared" si="19"/>
        <v>0.52</v>
      </c>
    </row>
    <row r="147" spans="1:14">
      <c r="A147" s="385">
        <v>46</v>
      </c>
      <c r="B147" s="386">
        <f t="shared" si="10"/>
        <v>0.47</v>
      </c>
      <c r="C147" s="386">
        <f t="shared" si="11"/>
        <v>0.44</v>
      </c>
      <c r="D147" s="386">
        <v>0.4</v>
      </c>
      <c r="E147" s="386">
        <f t="shared" si="12"/>
        <v>0.44</v>
      </c>
      <c r="F147" s="386">
        <f t="shared" si="13"/>
        <v>0.51</v>
      </c>
      <c r="G147" s="386">
        <v>0.54</v>
      </c>
      <c r="H147" s="386">
        <f t="shared" si="14"/>
        <v>0.63</v>
      </c>
      <c r="I147" s="386">
        <f t="shared" si="15"/>
        <v>0.71</v>
      </c>
      <c r="J147" s="386">
        <f t="shared" si="16"/>
        <v>0.8</v>
      </c>
      <c r="K147" s="386">
        <v>0.88</v>
      </c>
      <c r="L147" s="386">
        <f t="shared" si="17"/>
        <v>0.8</v>
      </c>
      <c r="M147" s="386">
        <f t="shared" si="18"/>
        <v>0.63</v>
      </c>
      <c r="N147" s="386">
        <f t="shared" si="19"/>
        <v>0.51</v>
      </c>
    </row>
    <row r="148" spans="1:14">
      <c r="A148" s="385">
        <v>47</v>
      </c>
      <c r="B148" s="386">
        <f t="shared" si="10"/>
        <v>0.46</v>
      </c>
      <c r="C148" s="386">
        <f t="shared" si="11"/>
        <v>0.43</v>
      </c>
      <c r="D148" s="386">
        <v>0.39</v>
      </c>
      <c r="E148" s="386">
        <f t="shared" si="12"/>
        <v>0.43</v>
      </c>
      <c r="F148" s="386">
        <f t="shared" si="13"/>
        <v>0.5</v>
      </c>
      <c r="G148" s="386">
        <v>0.53</v>
      </c>
      <c r="H148" s="386">
        <f t="shared" si="14"/>
        <v>0.62</v>
      </c>
      <c r="I148" s="386">
        <f t="shared" si="15"/>
        <v>0.7</v>
      </c>
      <c r="J148" s="386">
        <f t="shared" si="16"/>
        <v>0.79</v>
      </c>
      <c r="K148" s="386">
        <v>0.87</v>
      </c>
      <c r="L148" s="386">
        <f t="shared" si="17"/>
        <v>0.79</v>
      </c>
      <c r="M148" s="386">
        <f t="shared" si="18"/>
        <v>0.62</v>
      </c>
      <c r="N148" s="386">
        <f t="shared" si="19"/>
        <v>0.5</v>
      </c>
    </row>
    <row r="149" spans="1:14">
      <c r="A149" s="385">
        <v>48</v>
      </c>
      <c r="B149" s="386">
        <f t="shared" si="10"/>
        <v>0.45</v>
      </c>
      <c r="C149" s="386">
        <f t="shared" si="11"/>
        <v>0.42</v>
      </c>
      <c r="D149" s="386">
        <v>0.38</v>
      </c>
      <c r="E149" s="386">
        <f t="shared" si="12"/>
        <v>0.42</v>
      </c>
      <c r="F149" s="386">
        <f t="shared" si="13"/>
        <v>0.49</v>
      </c>
      <c r="G149" s="386">
        <v>0.52</v>
      </c>
      <c r="H149" s="386">
        <f t="shared" si="14"/>
        <v>0.61</v>
      </c>
      <c r="I149" s="386">
        <f t="shared" si="15"/>
        <v>0.7</v>
      </c>
      <c r="J149" s="386">
        <f t="shared" si="16"/>
        <v>0.79</v>
      </c>
      <c r="K149" s="386">
        <v>0.87</v>
      </c>
      <c r="L149" s="386">
        <f t="shared" si="17"/>
        <v>0.79</v>
      </c>
      <c r="M149" s="386">
        <f t="shared" si="18"/>
        <v>0.61</v>
      </c>
      <c r="N149" s="386">
        <f t="shared" si="19"/>
        <v>0.49</v>
      </c>
    </row>
    <row r="150" spans="1:14">
      <c r="A150" s="385">
        <v>49</v>
      </c>
      <c r="B150" s="386">
        <f t="shared" si="10"/>
        <v>0.44</v>
      </c>
      <c r="C150" s="386">
        <f t="shared" si="11"/>
        <v>0.41</v>
      </c>
      <c r="D150" s="386">
        <v>0.37</v>
      </c>
      <c r="E150" s="386">
        <f t="shared" si="12"/>
        <v>0.41</v>
      </c>
      <c r="F150" s="386">
        <f t="shared" si="13"/>
        <v>0.48</v>
      </c>
      <c r="G150" s="386">
        <v>0.51</v>
      </c>
      <c r="H150" s="386">
        <f t="shared" si="14"/>
        <v>0.6</v>
      </c>
      <c r="I150" s="386">
        <f t="shared" si="15"/>
        <v>0.69</v>
      </c>
      <c r="J150" s="386">
        <f t="shared" si="16"/>
        <v>0.78</v>
      </c>
      <c r="K150" s="386">
        <v>0.86</v>
      </c>
      <c r="L150" s="386">
        <f t="shared" si="17"/>
        <v>0.78</v>
      </c>
      <c r="M150" s="386">
        <f t="shared" si="18"/>
        <v>0.6</v>
      </c>
      <c r="N150" s="386">
        <f t="shared" si="19"/>
        <v>0.48</v>
      </c>
    </row>
    <row r="151" spans="1:14">
      <c r="A151" s="1017">
        <v>50</v>
      </c>
      <c r="B151" s="386">
        <f t="shared" si="10"/>
        <v>0.43</v>
      </c>
      <c r="C151" s="386">
        <f t="shared" si="11"/>
        <v>0.4</v>
      </c>
      <c r="D151" s="388">
        <v>0.36</v>
      </c>
      <c r="E151" s="386">
        <f t="shared" si="12"/>
        <v>0.4</v>
      </c>
      <c r="F151" s="386">
        <f t="shared" si="13"/>
        <v>0.47</v>
      </c>
      <c r="G151" s="388">
        <v>0.5</v>
      </c>
      <c r="H151" s="386">
        <f t="shared" si="14"/>
        <v>0.59</v>
      </c>
      <c r="I151" s="386">
        <f t="shared" si="15"/>
        <v>0.68</v>
      </c>
      <c r="J151" s="386">
        <f t="shared" si="16"/>
        <v>0.77</v>
      </c>
      <c r="K151" s="388">
        <v>0.86</v>
      </c>
      <c r="L151" s="386">
        <f t="shared" si="17"/>
        <v>0.77</v>
      </c>
      <c r="M151" s="386">
        <f t="shared" si="18"/>
        <v>0.59</v>
      </c>
      <c r="N151" s="386">
        <f t="shared" si="19"/>
        <v>0.47</v>
      </c>
    </row>
    <row r="152" spans="1:14">
      <c r="A152" s="385">
        <v>51</v>
      </c>
      <c r="B152" s="386">
        <f t="shared" si="10"/>
        <v>0.42</v>
      </c>
      <c r="C152" s="386">
        <f t="shared" si="11"/>
        <v>0.39</v>
      </c>
      <c r="D152" s="386">
        <v>0.35</v>
      </c>
      <c r="E152" s="386">
        <f t="shared" si="12"/>
        <v>0.39</v>
      </c>
      <c r="F152" s="386">
        <f t="shared" si="13"/>
        <v>0.46</v>
      </c>
      <c r="G152" s="386">
        <v>0.49</v>
      </c>
      <c r="H152" s="386">
        <f t="shared" si="14"/>
        <v>0.59</v>
      </c>
      <c r="I152" s="386">
        <f t="shared" si="15"/>
        <v>0.68</v>
      </c>
      <c r="J152" s="386">
        <f t="shared" si="16"/>
        <v>0.77</v>
      </c>
      <c r="K152" s="386">
        <v>0.86</v>
      </c>
      <c r="L152" s="386">
        <f t="shared" si="17"/>
        <v>0.77</v>
      </c>
      <c r="M152" s="386">
        <f t="shared" si="18"/>
        <v>0.59</v>
      </c>
      <c r="N152" s="386">
        <f t="shared" si="19"/>
        <v>0.46</v>
      </c>
    </row>
    <row r="153" spans="1:14">
      <c r="A153" s="385">
        <v>52</v>
      </c>
      <c r="B153" s="386">
        <f t="shared" si="10"/>
        <v>0.41</v>
      </c>
      <c r="C153" s="386">
        <f t="shared" si="11"/>
        <v>0.38</v>
      </c>
      <c r="D153" s="386">
        <v>0.34</v>
      </c>
      <c r="E153" s="386">
        <f t="shared" si="12"/>
        <v>0.38</v>
      </c>
      <c r="F153" s="386">
        <f t="shared" si="13"/>
        <v>0.45</v>
      </c>
      <c r="G153" s="386">
        <v>0.48</v>
      </c>
      <c r="H153" s="386">
        <f t="shared" si="14"/>
        <v>0.57999999999999996</v>
      </c>
      <c r="I153" s="386">
        <f t="shared" si="15"/>
        <v>0.67</v>
      </c>
      <c r="J153" s="386">
        <f t="shared" si="16"/>
        <v>0.76</v>
      </c>
      <c r="K153" s="386">
        <v>0.85</v>
      </c>
      <c r="L153" s="386">
        <f t="shared" si="17"/>
        <v>0.76</v>
      </c>
      <c r="M153" s="386">
        <f t="shared" si="18"/>
        <v>0.57999999999999996</v>
      </c>
      <c r="N153" s="386">
        <f t="shared" si="19"/>
        <v>0.45</v>
      </c>
    </row>
    <row r="154" spans="1:14">
      <c r="A154" s="385">
        <v>53</v>
      </c>
      <c r="B154" s="386">
        <f t="shared" si="10"/>
        <v>0.4</v>
      </c>
      <c r="C154" s="386">
        <f t="shared" si="11"/>
        <v>0.37</v>
      </c>
      <c r="D154" s="386">
        <v>0.33</v>
      </c>
      <c r="E154" s="386">
        <f t="shared" si="12"/>
        <v>0.37</v>
      </c>
      <c r="F154" s="386">
        <f t="shared" si="13"/>
        <v>0.44</v>
      </c>
      <c r="G154" s="386">
        <v>0.47</v>
      </c>
      <c r="H154" s="386">
        <f t="shared" si="14"/>
        <v>0.56999999999999995</v>
      </c>
      <c r="I154" s="386">
        <f t="shared" si="15"/>
        <v>0.66</v>
      </c>
      <c r="J154" s="386">
        <f t="shared" si="16"/>
        <v>0.76</v>
      </c>
      <c r="K154" s="386">
        <v>0.85</v>
      </c>
      <c r="L154" s="386">
        <f t="shared" si="17"/>
        <v>0.76</v>
      </c>
      <c r="M154" s="386">
        <f t="shared" si="18"/>
        <v>0.56999999999999995</v>
      </c>
      <c r="N154" s="386">
        <f t="shared" si="19"/>
        <v>0.44</v>
      </c>
    </row>
    <row r="155" spans="1:14">
      <c r="A155" s="385">
        <v>54</v>
      </c>
      <c r="B155" s="386">
        <f t="shared" si="10"/>
        <v>0.39</v>
      </c>
      <c r="C155" s="386">
        <f t="shared" si="11"/>
        <v>0.36</v>
      </c>
      <c r="D155" s="386">
        <v>0.32</v>
      </c>
      <c r="E155" s="386">
        <f t="shared" si="12"/>
        <v>0.36</v>
      </c>
      <c r="F155" s="386">
        <f t="shared" si="13"/>
        <v>0.43</v>
      </c>
      <c r="G155" s="386">
        <v>0.46</v>
      </c>
      <c r="H155" s="386">
        <f t="shared" si="14"/>
        <v>0.56000000000000005</v>
      </c>
      <c r="I155" s="386">
        <f t="shared" si="15"/>
        <v>0.65</v>
      </c>
      <c r="J155" s="386">
        <f t="shared" si="16"/>
        <v>0.75</v>
      </c>
      <c r="K155" s="386">
        <v>0.84</v>
      </c>
      <c r="L155" s="386">
        <f t="shared" si="17"/>
        <v>0.75</v>
      </c>
      <c r="M155" s="386">
        <f t="shared" si="18"/>
        <v>0.56000000000000005</v>
      </c>
      <c r="N155" s="386">
        <f t="shared" si="19"/>
        <v>0.43</v>
      </c>
    </row>
    <row r="156" spans="1:14">
      <c r="A156" s="385">
        <v>55</v>
      </c>
      <c r="B156" s="386">
        <f t="shared" si="10"/>
        <v>0.39</v>
      </c>
      <c r="C156" s="386">
        <f t="shared" si="11"/>
        <v>0.36</v>
      </c>
      <c r="D156" s="386">
        <v>0.32</v>
      </c>
      <c r="E156" s="386">
        <f t="shared" si="12"/>
        <v>0.36</v>
      </c>
      <c r="F156" s="386">
        <f t="shared" si="13"/>
        <v>0.42</v>
      </c>
      <c r="G156" s="386">
        <v>0.45</v>
      </c>
      <c r="H156" s="386">
        <f t="shared" si="14"/>
        <v>0.55000000000000004</v>
      </c>
      <c r="I156" s="386">
        <f t="shared" si="15"/>
        <v>0.65</v>
      </c>
      <c r="J156" s="386">
        <f t="shared" si="16"/>
        <v>0.75</v>
      </c>
      <c r="K156" s="386">
        <v>0.84</v>
      </c>
      <c r="L156" s="386">
        <f t="shared" si="17"/>
        <v>0.75</v>
      </c>
      <c r="M156" s="386">
        <f t="shared" si="18"/>
        <v>0.55000000000000004</v>
      </c>
      <c r="N156" s="386">
        <f t="shared" si="19"/>
        <v>0.42</v>
      </c>
    </row>
    <row r="157" spans="1:14">
      <c r="A157" s="385">
        <v>56</v>
      </c>
      <c r="B157" s="386">
        <f t="shared" si="10"/>
        <v>0.38</v>
      </c>
      <c r="C157" s="386">
        <f t="shared" si="11"/>
        <v>0.35</v>
      </c>
      <c r="D157" s="386">
        <v>0.31</v>
      </c>
      <c r="E157" s="386">
        <f t="shared" si="12"/>
        <v>0.35</v>
      </c>
      <c r="F157" s="386">
        <f t="shared" si="13"/>
        <v>0.41</v>
      </c>
      <c r="G157" s="386">
        <v>0.44</v>
      </c>
      <c r="H157" s="386">
        <f t="shared" si="14"/>
        <v>0.54</v>
      </c>
      <c r="I157" s="386">
        <f t="shared" si="15"/>
        <v>0.64</v>
      </c>
      <c r="J157" s="386">
        <f t="shared" si="16"/>
        <v>0.74</v>
      </c>
      <c r="K157" s="386">
        <v>0.84</v>
      </c>
      <c r="L157" s="386">
        <f t="shared" si="17"/>
        <v>0.74</v>
      </c>
      <c r="M157" s="386">
        <f t="shared" si="18"/>
        <v>0.54</v>
      </c>
      <c r="N157" s="386">
        <f t="shared" si="19"/>
        <v>0.41</v>
      </c>
    </row>
    <row r="158" spans="1:14">
      <c r="A158" s="385">
        <v>57</v>
      </c>
      <c r="B158" s="386">
        <f t="shared" si="10"/>
        <v>0.37</v>
      </c>
      <c r="C158" s="386">
        <f t="shared" si="11"/>
        <v>0.34</v>
      </c>
      <c r="D158" s="386">
        <v>0.3</v>
      </c>
      <c r="E158" s="386">
        <f t="shared" si="12"/>
        <v>0.34</v>
      </c>
      <c r="F158" s="386">
        <f t="shared" si="13"/>
        <v>0.4</v>
      </c>
      <c r="G158" s="386">
        <v>0.43</v>
      </c>
      <c r="H158" s="386">
        <f t="shared" si="14"/>
        <v>0.53</v>
      </c>
      <c r="I158" s="386">
        <f t="shared" si="15"/>
        <v>0.63</v>
      </c>
      <c r="J158" s="386">
        <f t="shared" si="16"/>
        <v>0.73</v>
      </c>
      <c r="K158" s="386">
        <v>0.83</v>
      </c>
      <c r="L158" s="386">
        <f t="shared" si="17"/>
        <v>0.73</v>
      </c>
      <c r="M158" s="386">
        <f t="shared" si="18"/>
        <v>0.53</v>
      </c>
      <c r="N158" s="386">
        <f t="shared" si="19"/>
        <v>0.4</v>
      </c>
    </row>
    <row r="159" spans="1:14">
      <c r="A159" s="385">
        <v>58</v>
      </c>
      <c r="B159" s="386">
        <f t="shared" si="10"/>
        <v>0.36</v>
      </c>
      <c r="C159" s="386">
        <f t="shared" si="11"/>
        <v>0.33</v>
      </c>
      <c r="D159" s="386">
        <v>0.28999999999999998</v>
      </c>
      <c r="E159" s="386">
        <f t="shared" si="12"/>
        <v>0.33</v>
      </c>
      <c r="F159" s="386">
        <f t="shared" si="13"/>
        <v>0.39</v>
      </c>
      <c r="G159" s="386">
        <v>0.42</v>
      </c>
      <c r="H159" s="386">
        <f t="shared" si="14"/>
        <v>0.53</v>
      </c>
      <c r="I159" s="386">
        <f t="shared" si="15"/>
        <v>0.63</v>
      </c>
      <c r="J159" s="386">
        <f t="shared" si="16"/>
        <v>0.73</v>
      </c>
      <c r="K159" s="386">
        <v>0.83</v>
      </c>
      <c r="L159" s="386">
        <f t="shared" si="17"/>
        <v>0.73</v>
      </c>
      <c r="M159" s="386">
        <f t="shared" si="18"/>
        <v>0.53</v>
      </c>
      <c r="N159" s="386">
        <f t="shared" si="19"/>
        <v>0.39</v>
      </c>
    </row>
    <row r="160" spans="1:14">
      <c r="A160" s="385">
        <v>59</v>
      </c>
      <c r="B160" s="386">
        <f t="shared" si="10"/>
        <v>0.35</v>
      </c>
      <c r="C160" s="386">
        <f t="shared" si="11"/>
        <v>0.32</v>
      </c>
      <c r="D160" s="386">
        <v>0.28000000000000003</v>
      </c>
      <c r="E160" s="386">
        <f t="shared" si="12"/>
        <v>0.32</v>
      </c>
      <c r="F160" s="386">
        <f t="shared" si="13"/>
        <v>0.38</v>
      </c>
      <c r="G160" s="386">
        <v>0.41</v>
      </c>
      <c r="H160" s="386">
        <f t="shared" si="14"/>
        <v>0.52</v>
      </c>
      <c r="I160" s="386">
        <f t="shared" si="15"/>
        <v>0.62</v>
      </c>
      <c r="J160" s="386">
        <f t="shared" si="16"/>
        <v>0.72</v>
      </c>
      <c r="K160" s="386">
        <v>0.82</v>
      </c>
      <c r="L160" s="386">
        <f t="shared" si="17"/>
        <v>0.72</v>
      </c>
      <c r="M160" s="386">
        <f t="shared" si="18"/>
        <v>0.52</v>
      </c>
      <c r="N160" s="386">
        <f t="shared" si="19"/>
        <v>0.38</v>
      </c>
    </row>
    <row r="161" spans="1:14">
      <c r="A161" s="1017">
        <v>60</v>
      </c>
      <c r="B161" s="386">
        <f t="shared" si="10"/>
        <v>0.34</v>
      </c>
      <c r="C161" s="386">
        <f t="shared" si="11"/>
        <v>0.31</v>
      </c>
      <c r="D161" s="388">
        <v>0.27</v>
      </c>
      <c r="E161" s="386">
        <f t="shared" si="12"/>
        <v>0.31</v>
      </c>
      <c r="F161" s="386">
        <f t="shared" si="13"/>
        <v>0.37</v>
      </c>
      <c r="G161" s="388">
        <v>0.4</v>
      </c>
      <c r="H161" s="386">
        <f t="shared" si="14"/>
        <v>0.51</v>
      </c>
      <c r="I161" s="386">
        <f t="shared" si="15"/>
        <v>0.61</v>
      </c>
      <c r="J161" s="386">
        <f t="shared" si="16"/>
        <v>0.72</v>
      </c>
      <c r="K161" s="388">
        <v>0.82</v>
      </c>
      <c r="L161" s="386">
        <f t="shared" si="17"/>
        <v>0.72</v>
      </c>
      <c r="M161" s="386">
        <f t="shared" si="18"/>
        <v>0.51</v>
      </c>
      <c r="N161" s="386">
        <f t="shared" si="19"/>
        <v>0.37</v>
      </c>
    </row>
    <row r="162" spans="1:14">
      <c r="A162" s="385">
        <v>61</v>
      </c>
      <c r="B162" s="386">
        <f t="shared" si="10"/>
        <v>0.33</v>
      </c>
      <c r="C162" s="386">
        <f t="shared" si="11"/>
        <v>0.3</v>
      </c>
      <c r="D162" s="386">
        <v>0.26</v>
      </c>
      <c r="E162" s="386">
        <f t="shared" si="12"/>
        <v>0.3</v>
      </c>
      <c r="F162" s="386">
        <f t="shared" si="13"/>
        <v>0.36</v>
      </c>
      <c r="G162" s="386">
        <v>0.39</v>
      </c>
      <c r="H162" s="386">
        <f t="shared" si="14"/>
        <v>0.5</v>
      </c>
      <c r="I162" s="386">
        <f t="shared" si="15"/>
        <v>0.61</v>
      </c>
      <c r="J162" s="386">
        <f t="shared" si="16"/>
        <v>0.72</v>
      </c>
      <c r="K162" s="386">
        <v>0.82</v>
      </c>
      <c r="L162" s="386">
        <f t="shared" si="17"/>
        <v>0.72</v>
      </c>
      <c r="M162" s="386">
        <f t="shared" si="18"/>
        <v>0.5</v>
      </c>
      <c r="N162" s="386">
        <f t="shared" si="19"/>
        <v>0.36</v>
      </c>
    </row>
    <row r="163" spans="1:14">
      <c r="A163" s="385">
        <v>62</v>
      </c>
      <c r="B163" s="386">
        <f t="shared" si="10"/>
        <v>0.32</v>
      </c>
      <c r="C163" s="386">
        <f t="shared" si="11"/>
        <v>0.28999999999999998</v>
      </c>
      <c r="D163" s="386">
        <v>0.25</v>
      </c>
      <c r="E163" s="386">
        <f t="shared" si="12"/>
        <v>0.28999999999999998</v>
      </c>
      <c r="F163" s="386">
        <f t="shared" si="13"/>
        <v>0.35</v>
      </c>
      <c r="G163" s="386">
        <v>0.38</v>
      </c>
      <c r="H163" s="386">
        <f t="shared" si="14"/>
        <v>0.49</v>
      </c>
      <c r="I163" s="386">
        <f t="shared" si="15"/>
        <v>0.6</v>
      </c>
      <c r="J163" s="386">
        <f t="shared" si="16"/>
        <v>0.71</v>
      </c>
      <c r="K163" s="386">
        <v>0.81</v>
      </c>
      <c r="L163" s="386">
        <f t="shared" si="17"/>
        <v>0.71</v>
      </c>
      <c r="M163" s="386">
        <f t="shared" si="18"/>
        <v>0.49</v>
      </c>
      <c r="N163" s="386">
        <f t="shared" si="19"/>
        <v>0.35</v>
      </c>
    </row>
    <row r="164" spans="1:14">
      <c r="A164" s="385">
        <v>63</v>
      </c>
      <c r="B164" s="386">
        <f t="shared" si="10"/>
        <v>0.31</v>
      </c>
      <c r="C164" s="386">
        <f t="shared" si="11"/>
        <v>0.28000000000000003</v>
      </c>
      <c r="D164" s="386">
        <v>0.25</v>
      </c>
      <c r="E164" s="386">
        <f t="shared" si="12"/>
        <v>0.28000000000000003</v>
      </c>
      <c r="F164" s="386">
        <f t="shared" si="13"/>
        <v>0.34</v>
      </c>
      <c r="G164" s="386">
        <v>0.37</v>
      </c>
      <c r="H164" s="386">
        <f t="shared" si="14"/>
        <v>0.48</v>
      </c>
      <c r="I164" s="386">
        <f t="shared" si="15"/>
        <v>0.59</v>
      </c>
      <c r="J164" s="386">
        <f t="shared" si="16"/>
        <v>0.7</v>
      </c>
      <c r="K164" s="386">
        <v>0.81</v>
      </c>
      <c r="L164" s="386">
        <f t="shared" si="17"/>
        <v>0.7</v>
      </c>
      <c r="M164" s="386">
        <f t="shared" si="18"/>
        <v>0.48</v>
      </c>
      <c r="N164" s="386">
        <f t="shared" si="19"/>
        <v>0.34</v>
      </c>
    </row>
    <row r="165" spans="1:14">
      <c r="A165" s="385">
        <v>64</v>
      </c>
      <c r="B165" s="386">
        <f t="shared" ref="B165:B171" si="20">ROUND(((D165+G165)/2),2)</f>
        <v>0.3</v>
      </c>
      <c r="C165" s="386">
        <f t="shared" ref="C165:C171" si="21">ROUND(((D165+B165)/2),2)</f>
        <v>0.27</v>
      </c>
      <c r="D165" s="386">
        <v>0.24</v>
      </c>
      <c r="E165" s="386">
        <f t="shared" ref="E165:E171" si="22">ROUND(((D165+B165)/2),2)</f>
        <v>0.27</v>
      </c>
      <c r="F165" s="386">
        <f t="shared" ref="F165:F171" si="23">ROUND(((G165+B165)/2),2)</f>
        <v>0.33</v>
      </c>
      <c r="G165" s="386">
        <v>0.36</v>
      </c>
      <c r="H165" s="386">
        <f t="shared" ref="H165:H171" si="24">ROUND(((G165+I165)/2),2)</f>
        <v>0.47</v>
      </c>
      <c r="I165" s="386">
        <f t="shared" ref="I165:I171" si="25">ROUND(((G165+K165)/2),2)</f>
        <v>0.57999999999999996</v>
      </c>
      <c r="J165" s="386">
        <f t="shared" ref="J165:J171" si="26">ROUND(((K165+I165)/2),2)</f>
        <v>0.69</v>
      </c>
      <c r="K165" s="386">
        <v>0.8</v>
      </c>
      <c r="L165" s="386">
        <f t="shared" ref="L165:L171" si="27">ROUND(((K165+I165)/2),2)</f>
        <v>0.69</v>
      </c>
      <c r="M165" s="386">
        <f t="shared" ref="M165:M171" si="28">ROUND(((G165+I165)/2),2)</f>
        <v>0.47</v>
      </c>
      <c r="N165" s="386">
        <f t="shared" ref="N165:N171" si="29">ROUND(((G165+B165)/2),2)</f>
        <v>0.33</v>
      </c>
    </row>
    <row r="166" spans="1:14">
      <c r="A166" s="385">
        <v>65</v>
      </c>
      <c r="B166" s="386">
        <f t="shared" si="20"/>
        <v>0.28999999999999998</v>
      </c>
      <c r="C166" s="386">
        <f t="shared" si="21"/>
        <v>0.26</v>
      </c>
      <c r="D166" s="386">
        <v>0.23</v>
      </c>
      <c r="E166" s="386">
        <f t="shared" si="22"/>
        <v>0.26</v>
      </c>
      <c r="F166" s="386">
        <f t="shared" si="23"/>
        <v>0.32</v>
      </c>
      <c r="G166" s="386">
        <v>0.35</v>
      </c>
      <c r="H166" s="386">
        <f t="shared" si="24"/>
        <v>0.47</v>
      </c>
      <c r="I166" s="386">
        <f t="shared" si="25"/>
        <v>0.57999999999999996</v>
      </c>
      <c r="J166" s="386">
        <f t="shared" si="26"/>
        <v>0.69</v>
      </c>
      <c r="K166" s="386">
        <v>0.8</v>
      </c>
      <c r="L166" s="386">
        <f t="shared" si="27"/>
        <v>0.69</v>
      </c>
      <c r="M166" s="386">
        <f t="shared" si="28"/>
        <v>0.47</v>
      </c>
      <c r="N166" s="386">
        <f t="shared" si="29"/>
        <v>0.32</v>
      </c>
    </row>
    <row r="167" spans="1:14">
      <c r="A167" s="385">
        <v>66</v>
      </c>
      <c r="B167" s="386">
        <f t="shared" si="20"/>
        <v>0.28000000000000003</v>
      </c>
      <c r="C167" s="386">
        <f t="shared" si="21"/>
        <v>0.25</v>
      </c>
      <c r="D167" s="386">
        <v>0.22</v>
      </c>
      <c r="E167" s="386">
        <f t="shared" si="22"/>
        <v>0.25</v>
      </c>
      <c r="F167" s="386">
        <f t="shared" si="23"/>
        <v>0.31</v>
      </c>
      <c r="G167" s="386">
        <v>0.34</v>
      </c>
      <c r="H167" s="386">
        <f t="shared" si="24"/>
        <v>0.46</v>
      </c>
      <c r="I167" s="386">
        <f t="shared" si="25"/>
        <v>0.56999999999999995</v>
      </c>
      <c r="J167" s="386">
        <f t="shared" si="26"/>
        <v>0.69</v>
      </c>
      <c r="K167" s="386">
        <v>0.8</v>
      </c>
      <c r="L167" s="386">
        <f t="shared" si="27"/>
        <v>0.69</v>
      </c>
      <c r="M167" s="386">
        <f t="shared" si="28"/>
        <v>0.46</v>
      </c>
      <c r="N167" s="386">
        <f t="shared" si="29"/>
        <v>0.31</v>
      </c>
    </row>
    <row r="168" spans="1:14">
      <c r="A168" s="385">
        <v>67</v>
      </c>
      <c r="B168" s="386">
        <f t="shared" si="20"/>
        <v>0.27</v>
      </c>
      <c r="C168" s="386">
        <f t="shared" si="21"/>
        <v>0.24</v>
      </c>
      <c r="D168" s="386">
        <v>0.21</v>
      </c>
      <c r="E168" s="386">
        <f t="shared" si="22"/>
        <v>0.24</v>
      </c>
      <c r="F168" s="386">
        <f t="shared" si="23"/>
        <v>0.3</v>
      </c>
      <c r="G168" s="386">
        <v>0.33</v>
      </c>
      <c r="H168" s="386">
        <f t="shared" si="24"/>
        <v>0.45</v>
      </c>
      <c r="I168" s="386">
        <f t="shared" si="25"/>
        <v>0.56000000000000005</v>
      </c>
      <c r="J168" s="386">
        <f t="shared" si="26"/>
        <v>0.68</v>
      </c>
      <c r="K168" s="386">
        <v>0.79</v>
      </c>
      <c r="L168" s="386">
        <f t="shared" si="27"/>
        <v>0.68</v>
      </c>
      <c r="M168" s="386">
        <f t="shared" si="28"/>
        <v>0.45</v>
      </c>
      <c r="N168" s="386">
        <f t="shared" si="29"/>
        <v>0.3</v>
      </c>
    </row>
    <row r="169" spans="1:14">
      <c r="A169" s="385">
        <v>68</v>
      </c>
      <c r="B169" s="386">
        <f t="shared" si="20"/>
        <v>0.27</v>
      </c>
      <c r="C169" s="386">
        <f t="shared" si="21"/>
        <v>0.24</v>
      </c>
      <c r="D169" s="386">
        <v>0.21</v>
      </c>
      <c r="E169" s="386">
        <f t="shared" si="22"/>
        <v>0.24</v>
      </c>
      <c r="F169" s="386">
        <f t="shared" si="23"/>
        <v>0.3</v>
      </c>
      <c r="G169" s="386">
        <v>0.32</v>
      </c>
      <c r="H169" s="386">
        <f t="shared" si="24"/>
        <v>0.44</v>
      </c>
      <c r="I169" s="386">
        <f t="shared" si="25"/>
        <v>0.56000000000000005</v>
      </c>
      <c r="J169" s="386">
        <f t="shared" si="26"/>
        <v>0.68</v>
      </c>
      <c r="K169" s="386">
        <v>0.79</v>
      </c>
      <c r="L169" s="386">
        <f t="shared" si="27"/>
        <v>0.68</v>
      </c>
      <c r="M169" s="386">
        <f t="shared" si="28"/>
        <v>0.44</v>
      </c>
      <c r="N169" s="386">
        <f t="shared" si="29"/>
        <v>0.3</v>
      </c>
    </row>
    <row r="170" spans="1:14">
      <c r="A170" s="385">
        <v>69</v>
      </c>
      <c r="B170" s="386">
        <f t="shared" si="20"/>
        <v>0.26</v>
      </c>
      <c r="C170" s="386">
        <f t="shared" si="21"/>
        <v>0.23</v>
      </c>
      <c r="D170" s="386">
        <v>0.2</v>
      </c>
      <c r="E170" s="386">
        <f t="shared" si="22"/>
        <v>0.23</v>
      </c>
      <c r="F170" s="386">
        <f t="shared" si="23"/>
        <v>0.28999999999999998</v>
      </c>
      <c r="G170" s="386">
        <v>0.31</v>
      </c>
      <c r="H170" s="386">
        <f t="shared" si="24"/>
        <v>0.43</v>
      </c>
      <c r="I170" s="386">
        <f t="shared" si="25"/>
        <v>0.55000000000000004</v>
      </c>
      <c r="J170" s="386">
        <f t="shared" si="26"/>
        <v>0.67</v>
      </c>
      <c r="K170" s="386">
        <v>0.78</v>
      </c>
      <c r="L170" s="386">
        <f t="shared" si="27"/>
        <v>0.67</v>
      </c>
      <c r="M170" s="386">
        <f t="shared" si="28"/>
        <v>0.43</v>
      </c>
      <c r="N170" s="386">
        <f t="shared" si="29"/>
        <v>0.28999999999999998</v>
      </c>
    </row>
    <row r="171" spans="1:14">
      <c r="A171" s="1017">
        <v>70</v>
      </c>
      <c r="B171" s="386">
        <f t="shared" si="20"/>
        <v>0.25</v>
      </c>
      <c r="C171" s="386">
        <f t="shared" si="21"/>
        <v>0.22</v>
      </c>
      <c r="D171" s="388">
        <v>0.19</v>
      </c>
      <c r="E171" s="386">
        <f t="shared" si="22"/>
        <v>0.22</v>
      </c>
      <c r="F171" s="386">
        <f t="shared" si="23"/>
        <v>0.28000000000000003</v>
      </c>
      <c r="G171" s="388">
        <v>0.3</v>
      </c>
      <c r="H171" s="386">
        <f t="shared" si="24"/>
        <v>0.42</v>
      </c>
      <c r="I171" s="386">
        <f t="shared" si="25"/>
        <v>0.54</v>
      </c>
      <c r="J171" s="386">
        <f t="shared" si="26"/>
        <v>0.66</v>
      </c>
      <c r="K171" s="388">
        <v>0.78</v>
      </c>
      <c r="L171" s="386">
        <f t="shared" si="27"/>
        <v>0.66</v>
      </c>
      <c r="M171" s="386">
        <f t="shared" si="28"/>
        <v>0.42</v>
      </c>
      <c r="N171" s="386">
        <f t="shared" si="29"/>
        <v>0.28000000000000003</v>
      </c>
    </row>
    <row r="173" spans="1:14" ht="12">
      <c r="B173" s="1069" t="s">
        <v>101</v>
      </c>
      <c r="C173" s="1069" t="s">
        <v>591</v>
      </c>
      <c r="D173" s="1069" t="s">
        <v>191</v>
      </c>
      <c r="E173" s="1069" t="s">
        <v>592</v>
      </c>
      <c r="F173" s="1069" t="s">
        <v>593</v>
      </c>
      <c r="G173" s="1069" t="s">
        <v>503</v>
      </c>
      <c r="H173" s="1069" t="s">
        <v>594</v>
      </c>
      <c r="I173" s="1069" t="s">
        <v>83</v>
      </c>
      <c r="J173" s="1069" t="s">
        <v>595</v>
      </c>
      <c r="K173" s="1069" t="s">
        <v>54</v>
      </c>
      <c r="L173" s="1069" t="s">
        <v>588</v>
      </c>
      <c r="M173" s="1069" t="s">
        <v>589</v>
      </c>
      <c r="N173" s="1069" t="s">
        <v>590</v>
      </c>
    </row>
    <row r="175" spans="1:14" ht="12">
      <c r="A175" s="389" t="s">
        <v>7</v>
      </c>
      <c r="B175" s="385"/>
      <c r="C175" s="385"/>
      <c r="D175" s="385"/>
      <c r="E175" s="385"/>
      <c r="F175" s="385"/>
      <c r="G175" s="385"/>
      <c r="H175" s="385"/>
      <c r="I175" s="385"/>
      <c r="J175" s="385"/>
      <c r="K175" s="385"/>
      <c r="L175" s="385"/>
      <c r="M175" s="385"/>
      <c r="N175" s="385"/>
    </row>
    <row r="176" spans="1:14" ht="12">
      <c r="A176" s="385"/>
      <c r="B176" s="1019" t="s">
        <v>101</v>
      </c>
      <c r="C176" s="1019" t="s">
        <v>591</v>
      </c>
      <c r="D176" s="1019" t="s">
        <v>191</v>
      </c>
      <c r="E176" s="1019" t="s">
        <v>592</v>
      </c>
      <c r="F176" s="1019" t="s">
        <v>593</v>
      </c>
      <c r="G176" s="1019" t="s">
        <v>503</v>
      </c>
      <c r="H176" s="1019" t="s">
        <v>594</v>
      </c>
      <c r="I176" s="1019" t="s">
        <v>83</v>
      </c>
      <c r="J176" s="1019" t="s">
        <v>595</v>
      </c>
      <c r="K176" s="1019" t="s">
        <v>54</v>
      </c>
      <c r="L176" s="1019" t="s">
        <v>588</v>
      </c>
      <c r="M176" s="1019" t="s">
        <v>589</v>
      </c>
      <c r="N176" s="1019" t="s">
        <v>590</v>
      </c>
    </row>
    <row r="177" spans="1:14">
      <c r="A177" s="387">
        <v>0</v>
      </c>
      <c r="B177" s="386">
        <f t="shared" ref="B177:B208" si="30">ROUND(((D177+G177)/2),2)</f>
        <v>1</v>
      </c>
      <c r="C177" s="386">
        <f t="shared" ref="C177:C208" si="31">ROUND(((D177+B177)/2),2)</f>
        <v>1</v>
      </c>
      <c r="D177" s="388">
        <v>1</v>
      </c>
      <c r="E177" s="386">
        <f t="shared" ref="E177:E208" si="32">ROUND(((D177+B177)/2),2)</f>
        <v>1</v>
      </c>
      <c r="F177" s="386">
        <f t="shared" ref="F177:F208" si="33">ROUND(((G177+B177)/2),2)</f>
        <v>1</v>
      </c>
      <c r="G177" s="388">
        <v>1</v>
      </c>
      <c r="H177" s="386">
        <f t="shared" ref="H177:H208" si="34">ROUND(((G177+I177)/2),2)</f>
        <v>1</v>
      </c>
      <c r="I177" s="386">
        <f t="shared" ref="I177:I208" si="35">ROUND(((G177+K177)/2),2)</f>
        <v>1</v>
      </c>
      <c r="J177" s="386">
        <f t="shared" ref="J177:J208" si="36">ROUND(((K177+I177)/2),2)</f>
        <v>1</v>
      </c>
      <c r="K177" s="388">
        <v>1</v>
      </c>
      <c r="L177" s="386">
        <f t="shared" ref="L177:L208" si="37">ROUND(((K177+I177)/2),2)</f>
        <v>1</v>
      </c>
      <c r="M177" s="386">
        <f t="shared" ref="M177:M208" si="38">ROUND(((G177+I177)/2),2)</f>
        <v>1</v>
      </c>
      <c r="N177" s="386">
        <f t="shared" ref="N177:N208" si="39">ROUND(((G177+B177)/2),2)</f>
        <v>1</v>
      </c>
    </row>
    <row r="178" spans="1:14">
      <c r="A178" s="385">
        <v>1</v>
      </c>
      <c r="B178" s="386">
        <f t="shared" si="30"/>
        <v>1</v>
      </c>
      <c r="C178" s="386">
        <f t="shared" si="31"/>
        <v>1</v>
      </c>
      <c r="D178" s="386">
        <v>1</v>
      </c>
      <c r="E178" s="386">
        <f t="shared" si="32"/>
        <v>1</v>
      </c>
      <c r="F178" s="386">
        <f t="shared" si="33"/>
        <v>1</v>
      </c>
      <c r="G178" s="386">
        <v>1</v>
      </c>
      <c r="H178" s="386">
        <f t="shared" si="34"/>
        <v>1</v>
      </c>
      <c r="I178" s="386">
        <f t="shared" si="35"/>
        <v>1</v>
      </c>
      <c r="J178" s="386">
        <f t="shared" si="36"/>
        <v>1</v>
      </c>
      <c r="K178" s="386">
        <v>1</v>
      </c>
      <c r="L178" s="386">
        <f t="shared" si="37"/>
        <v>1</v>
      </c>
      <c r="M178" s="386">
        <f t="shared" si="38"/>
        <v>1</v>
      </c>
      <c r="N178" s="386">
        <f t="shared" si="39"/>
        <v>1</v>
      </c>
    </row>
    <row r="179" spans="1:14">
      <c r="A179" s="385">
        <v>2</v>
      </c>
      <c r="B179" s="386">
        <f t="shared" si="30"/>
        <v>0.99</v>
      </c>
      <c r="C179" s="386">
        <f t="shared" si="31"/>
        <v>0.99</v>
      </c>
      <c r="D179" s="386">
        <v>0.99</v>
      </c>
      <c r="E179" s="386">
        <f t="shared" si="32"/>
        <v>0.99</v>
      </c>
      <c r="F179" s="386">
        <f t="shared" si="33"/>
        <v>0.99</v>
      </c>
      <c r="G179" s="386">
        <v>0.99</v>
      </c>
      <c r="H179" s="386">
        <f t="shared" si="34"/>
        <v>0.99</v>
      </c>
      <c r="I179" s="386">
        <f t="shared" si="35"/>
        <v>0.99</v>
      </c>
      <c r="J179" s="386">
        <f t="shared" si="36"/>
        <v>0.99</v>
      </c>
      <c r="K179" s="386">
        <v>0.99</v>
      </c>
      <c r="L179" s="386">
        <f t="shared" si="37"/>
        <v>0.99</v>
      </c>
      <c r="M179" s="386">
        <f t="shared" si="38"/>
        <v>0.99</v>
      </c>
      <c r="N179" s="386">
        <f t="shared" si="39"/>
        <v>0.99</v>
      </c>
    </row>
    <row r="180" spans="1:14">
      <c r="A180" s="385">
        <v>3</v>
      </c>
      <c r="B180" s="386">
        <f t="shared" si="30"/>
        <v>0.99</v>
      </c>
      <c r="C180" s="386">
        <f t="shared" si="31"/>
        <v>0.99</v>
      </c>
      <c r="D180" s="386">
        <v>0.99</v>
      </c>
      <c r="E180" s="386">
        <f t="shared" si="32"/>
        <v>0.99</v>
      </c>
      <c r="F180" s="386">
        <f t="shared" si="33"/>
        <v>0.99</v>
      </c>
      <c r="G180" s="386">
        <v>0.99</v>
      </c>
      <c r="H180" s="386">
        <f t="shared" si="34"/>
        <v>0.99</v>
      </c>
      <c r="I180" s="386">
        <f t="shared" si="35"/>
        <v>0.99</v>
      </c>
      <c r="J180" s="386">
        <f t="shared" si="36"/>
        <v>0.99</v>
      </c>
      <c r="K180" s="386">
        <v>0.99</v>
      </c>
      <c r="L180" s="386">
        <f t="shared" si="37"/>
        <v>0.99</v>
      </c>
      <c r="M180" s="386">
        <f t="shared" si="38"/>
        <v>0.99</v>
      </c>
      <c r="N180" s="386">
        <f t="shared" si="39"/>
        <v>0.99</v>
      </c>
    </row>
    <row r="181" spans="1:14">
      <c r="A181" s="385">
        <v>4</v>
      </c>
      <c r="B181" s="386">
        <f t="shared" si="30"/>
        <v>0.99</v>
      </c>
      <c r="C181" s="386">
        <f t="shared" si="31"/>
        <v>0.99</v>
      </c>
      <c r="D181" s="386">
        <v>0.99</v>
      </c>
      <c r="E181" s="386">
        <f t="shared" si="32"/>
        <v>0.99</v>
      </c>
      <c r="F181" s="386">
        <f t="shared" si="33"/>
        <v>0.99</v>
      </c>
      <c r="G181" s="386">
        <v>0.99</v>
      </c>
      <c r="H181" s="386">
        <f t="shared" si="34"/>
        <v>0.99</v>
      </c>
      <c r="I181" s="386">
        <f t="shared" si="35"/>
        <v>0.99</v>
      </c>
      <c r="J181" s="386">
        <f t="shared" si="36"/>
        <v>0.99</v>
      </c>
      <c r="K181" s="386">
        <v>0.99</v>
      </c>
      <c r="L181" s="386">
        <f t="shared" si="37"/>
        <v>0.99</v>
      </c>
      <c r="M181" s="386">
        <f t="shared" si="38"/>
        <v>0.99</v>
      </c>
      <c r="N181" s="386">
        <f t="shared" si="39"/>
        <v>0.99</v>
      </c>
    </row>
    <row r="182" spans="1:14">
      <c r="A182" s="385">
        <v>5</v>
      </c>
      <c r="B182" s="386">
        <f t="shared" si="30"/>
        <v>0.98</v>
      </c>
      <c r="C182" s="386">
        <f t="shared" si="31"/>
        <v>0.98</v>
      </c>
      <c r="D182" s="386">
        <v>0.98</v>
      </c>
      <c r="E182" s="386">
        <f t="shared" si="32"/>
        <v>0.98</v>
      </c>
      <c r="F182" s="386">
        <f t="shared" si="33"/>
        <v>0.98</v>
      </c>
      <c r="G182" s="386">
        <v>0.98</v>
      </c>
      <c r="H182" s="386">
        <f t="shared" si="34"/>
        <v>0.99</v>
      </c>
      <c r="I182" s="386">
        <f t="shared" si="35"/>
        <v>0.99</v>
      </c>
      <c r="J182" s="386">
        <f t="shared" si="36"/>
        <v>0.99</v>
      </c>
      <c r="K182" s="386">
        <v>0.99</v>
      </c>
      <c r="L182" s="386">
        <f t="shared" si="37"/>
        <v>0.99</v>
      </c>
      <c r="M182" s="386">
        <f t="shared" si="38"/>
        <v>0.99</v>
      </c>
      <c r="N182" s="386">
        <f t="shared" si="39"/>
        <v>0.98</v>
      </c>
    </row>
    <row r="183" spans="1:14">
      <c r="A183" s="385">
        <v>6</v>
      </c>
      <c r="B183" s="386">
        <f t="shared" si="30"/>
        <v>0.98</v>
      </c>
      <c r="C183" s="386">
        <f t="shared" si="31"/>
        <v>0.98</v>
      </c>
      <c r="D183" s="386">
        <v>0.98</v>
      </c>
      <c r="E183" s="386">
        <f t="shared" si="32"/>
        <v>0.98</v>
      </c>
      <c r="F183" s="386">
        <f t="shared" si="33"/>
        <v>0.98</v>
      </c>
      <c r="G183" s="386">
        <v>0.98</v>
      </c>
      <c r="H183" s="386">
        <f t="shared" si="34"/>
        <v>0.98</v>
      </c>
      <c r="I183" s="386">
        <f t="shared" si="35"/>
        <v>0.98</v>
      </c>
      <c r="J183" s="386">
        <f t="shared" si="36"/>
        <v>0.98</v>
      </c>
      <c r="K183" s="386">
        <v>0.98</v>
      </c>
      <c r="L183" s="386">
        <f t="shared" si="37"/>
        <v>0.98</v>
      </c>
      <c r="M183" s="386">
        <f t="shared" si="38"/>
        <v>0.98</v>
      </c>
      <c r="N183" s="386">
        <f t="shared" si="39"/>
        <v>0.98</v>
      </c>
    </row>
    <row r="184" spans="1:14">
      <c r="A184" s="385">
        <v>7</v>
      </c>
      <c r="B184" s="386">
        <f t="shared" si="30"/>
        <v>0.98</v>
      </c>
      <c r="C184" s="386">
        <f t="shared" si="31"/>
        <v>0.98</v>
      </c>
      <c r="D184" s="386">
        <v>0.98</v>
      </c>
      <c r="E184" s="386">
        <f t="shared" si="32"/>
        <v>0.98</v>
      </c>
      <c r="F184" s="386">
        <f t="shared" si="33"/>
        <v>0.98</v>
      </c>
      <c r="G184" s="386">
        <v>0.98</v>
      </c>
      <c r="H184" s="386">
        <f t="shared" si="34"/>
        <v>0.98</v>
      </c>
      <c r="I184" s="386">
        <f t="shared" si="35"/>
        <v>0.98</v>
      </c>
      <c r="J184" s="386">
        <f t="shared" si="36"/>
        <v>0.98</v>
      </c>
      <c r="K184" s="386">
        <v>0.98</v>
      </c>
      <c r="L184" s="386">
        <f t="shared" si="37"/>
        <v>0.98</v>
      </c>
      <c r="M184" s="386">
        <f t="shared" si="38"/>
        <v>0.98</v>
      </c>
      <c r="N184" s="386">
        <f t="shared" si="39"/>
        <v>0.98</v>
      </c>
    </row>
    <row r="185" spans="1:14">
      <c r="A185" s="385">
        <v>8</v>
      </c>
      <c r="B185" s="386">
        <f t="shared" si="30"/>
        <v>0.97</v>
      </c>
      <c r="C185" s="386">
        <f t="shared" si="31"/>
        <v>0.97</v>
      </c>
      <c r="D185" s="386">
        <v>0.97</v>
      </c>
      <c r="E185" s="386">
        <f t="shared" si="32"/>
        <v>0.97</v>
      </c>
      <c r="F185" s="386">
        <f t="shared" si="33"/>
        <v>0.97</v>
      </c>
      <c r="G185" s="386">
        <v>0.97</v>
      </c>
      <c r="H185" s="386">
        <f t="shared" si="34"/>
        <v>0.98</v>
      </c>
      <c r="I185" s="386">
        <f t="shared" si="35"/>
        <v>0.98</v>
      </c>
      <c r="J185" s="386">
        <f t="shared" si="36"/>
        <v>0.98</v>
      </c>
      <c r="K185" s="386">
        <v>0.98</v>
      </c>
      <c r="L185" s="386">
        <f t="shared" si="37"/>
        <v>0.98</v>
      </c>
      <c r="M185" s="386">
        <f t="shared" si="38"/>
        <v>0.98</v>
      </c>
      <c r="N185" s="386">
        <f t="shared" si="39"/>
        <v>0.97</v>
      </c>
    </row>
    <row r="186" spans="1:14">
      <c r="A186" s="385">
        <v>9</v>
      </c>
      <c r="B186" s="386">
        <f t="shared" si="30"/>
        <v>0.97</v>
      </c>
      <c r="C186" s="386">
        <f t="shared" si="31"/>
        <v>0.97</v>
      </c>
      <c r="D186" s="386">
        <v>0.97</v>
      </c>
      <c r="E186" s="386">
        <f t="shared" si="32"/>
        <v>0.97</v>
      </c>
      <c r="F186" s="386">
        <f t="shared" si="33"/>
        <v>0.97</v>
      </c>
      <c r="G186" s="386">
        <v>0.97</v>
      </c>
      <c r="H186" s="386">
        <f t="shared" si="34"/>
        <v>0.98</v>
      </c>
      <c r="I186" s="386">
        <f t="shared" si="35"/>
        <v>0.98</v>
      </c>
      <c r="J186" s="386">
        <f t="shared" si="36"/>
        <v>0.98</v>
      </c>
      <c r="K186" s="386">
        <v>0.98</v>
      </c>
      <c r="L186" s="386">
        <f t="shared" si="37"/>
        <v>0.98</v>
      </c>
      <c r="M186" s="386">
        <f t="shared" si="38"/>
        <v>0.98</v>
      </c>
      <c r="N186" s="386">
        <f t="shared" si="39"/>
        <v>0.97</v>
      </c>
    </row>
    <row r="187" spans="1:14">
      <c r="A187" s="385">
        <v>10</v>
      </c>
      <c r="B187" s="386">
        <f t="shared" si="30"/>
        <v>0.97</v>
      </c>
      <c r="C187" s="386">
        <f t="shared" si="31"/>
        <v>0.97</v>
      </c>
      <c r="D187" s="386">
        <v>0.97</v>
      </c>
      <c r="E187" s="386">
        <f t="shared" si="32"/>
        <v>0.97</v>
      </c>
      <c r="F187" s="386">
        <f t="shared" si="33"/>
        <v>0.97</v>
      </c>
      <c r="G187" s="386">
        <v>0.97</v>
      </c>
      <c r="H187" s="386">
        <f t="shared" si="34"/>
        <v>0.97</v>
      </c>
      <c r="I187" s="386">
        <f t="shared" si="35"/>
        <v>0.97</v>
      </c>
      <c r="J187" s="386">
        <f t="shared" si="36"/>
        <v>0.97</v>
      </c>
      <c r="K187" s="386">
        <v>0.97</v>
      </c>
      <c r="L187" s="386">
        <f t="shared" si="37"/>
        <v>0.97</v>
      </c>
      <c r="M187" s="386">
        <f t="shared" si="38"/>
        <v>0.97</v>
      </c>
      <c r="N187" s="386">
        <f t="shared" si="39"/>
        <v>0.97</v>
      </c>
    </row>
    <row r="188" spans="1:14">
      <c r="A188" s="385">
        <v>11</v>
      </c>
      <c r="B188" s="386">
        <f t="shared" si="30"/>
        <v>0.96</v>
      </c>
      <c r="C188" s="386">
        <f t="shared" si="31"/>
        <v>0.96</v>
      </c>
      <c r="D188" s="386">
        <v>0.96</v>
      </c>
      <c r="E188" s="386">
        <f t="shared" si="32"/>
        <v>0.96</v>
      </c>
      <c r="F188" s="386">
        <f t="shared" si="33"/>
        <v>0.96</v>
      </c>
      <c r="G188" s="386">
        <v>0.96</v>
      </c>
      <c r="H188" s="386">
        <f t="shared" si="34"/>
        <v>0.97</v>
      </c>
      <c r="I188" s="386">
        <f t="shared" si="35"/>
        <v>0.97</v>
      </c>
      <c r="J188" s="386">
        <f t="shared" si="36"/>
        <v>0.97</v>
      </c>
      <c r="K188" s="386">
        <v>0.97</v>
      </c>
      <c r="L188" s="386">
        <f t="shared" si="37"/>
        <v>0.97</v>
      </c>
      <c r="M188" s="386">
        <f t="shared" si="38"/>
        <v>0.97</v>
      </c>
      <c r="N188" s="386">
        <f t="shared" si="39"/>
        <v>0.96</v>
      </c>
    </row>
    <row r="189" spans="1:14">
      <c r="A189" s="385">
        <v>12</v>
      </c>
      <c r="B189" s="386">
        <f t="shared" si="30"/>
        <v>0.96</v>
      </c>
      <c r="C189" s="386">
        <f t="shared" si="31"/>
        <v>0.96</v>
      </c>
      <c r="D189" s="386">
        <v>0.96</v>
      </c>
      <c r="E189" s="386">
        <f t="shared" si="32"/>
        <v>0.96</v>
      </c>
      <c r="F189" s="386">
        <f t="shared" si="33"/>
        <v>0.96</v>
      </c>
      <c r="G189" s="386">
        <v>0.96</v>
      </c>
      <c r="H189" s="386">
        <f t="shared" si="34"/>
        <v>0.97</v>
      </c>
      <c r="I189" s="386">
        <f t="shared" si="35"/>
        <v>0.97</v>
      </c>
      <c r="J189" s="386">
        <f t="shared" si="36"/>
        <v>0.97</v>
      </c>
      <c r="K189" s="386">
        <v>0.97</v>
      </c>
      <c r="L189" s="386">
        <f t="shared" si="37"/>
        <v>0.97</v>
      </c>
      <c r="M189" s="386">
        <f t="shared" si="38"/>
        <v>0.97</v>
      </c>
      <c r="N189" s="386">
        <f t="shared" si="39"/>
        <v>0.96</v>
      </c>
    </row>
    <row r="190" spans="1:14">
      <c r="A190" s="385">
        <v>13</v>
      </c>
      <c r="B190" s="386">
        <f t="shared" si="30"/>
        <v>0.96</v>
      </c>
      <c r="C190" s="386">
        <f t="shared" si="31"/>
        <v>0.96</v>
      </c>
      <c r="D190" s="386">
        <v>0.96</v>
      </c>
      <c r="E190" s="386">
        <f t="shared" si="32"/>
        <v>0.96</v>
      </c>
      <c r="F190" s="386">
        <f t="shared" si="33"/>
        <v>0.96</v>
      </c>
      <c r="G190" s="386">
        <v>0.96</v>
      </c>
      <c r="H190" s="386">
        <f t="shared" si="34"/>
        <v>0.97</v>
      </c>
      <c r="I190" s="386">
        <f t="shared" si="35"/>
        <v>0.97</v>
      </c>
      <c r="J190" s="386">
        <f t="shared" si="36"/>
        <v>0.97</v>
      </c>
      <c r="K190" s="386">
        <v>0.97</v>
      </c>
      <c r="L190" s="386">
        <f t="shared" si="37"/>
        <v>0.97</v>
      </c>
      <c r="M190" s="386">
        <f t="shared" si="38"/>
        <v>0.97</v>
      </c>
      <c r="N190" s="386">
        <f t="shared" si="39"/>
        <v>0.96</v>
      </c>
    </row>
    <row r="191" spans="1:14">
      <c r="A191" s="385">
        <v>14</v>
      </c>
      <c r="B191" s="386">
        <f t="shared" si="30"/>
        <v>0.95</v>
      </c>
      <c r="C191" s="386">
        <f t="shared" si="31"/>
        <v>0.95</v>
      </c>
      <c r="D191" s="386">
        <v>0.95</v>
      </c>
      <c r="E191" s="386">
        <f t="shared" si="32"/>
        <v>0.95</v>
      </c>
      <c r="F191" s="386">
        <f t="shared" si="33"/>
        <v>0.95</v>
      </c>
      <c r="G191" s="386">
        <v>0.95</v>
      </c>
      <c r="H191" s="386">
        <f t="shared" si="34"/>
        <v>0.96</v>
      </c>
      <c r="I191" s="386">
        <f t="shared" si="35"/>
        <v>0.96</v>
      </c>
      <c r="J191" s="386">
        <f t="shared" si="36"/>
        <v>0.96</v>
      </c>
      <c r="K191" s="386">
        <v>0.96</v>
      </c>
      <c r="L191" s="386">
        <f t="shared" si="37"/>
        <v>0.96</v>
      </c>
      <c r="M191" s="386">
        <f t="shared" si="38"/>
        <v>0.96</v>
      </c>
      <c r="N191" s="386">
        <f t="shared" si="39"/>
        <v>0.95</v>
      </c>
    </row>
    <row r="192" spans="1:14">
      <c r="A192" s="387">
        <v>15</v>
      </c>
      <c r="B192" s="386">
        <f t="shared" si="30"/>
        <v>0.95</v>
      </c>
      <c r="C192" s="386">
        <f t="shared" si="31"/>
        <v>0.95</v>
      </c>
      <c r="D192" s="388">
        <v>0.95</v>
      </c>
      <c r="E192" s="386">
        <f t="shared" si="32"/>
        <v>0.95</v>
      </c>
      <c r="F192" s="386">
        <f t="shared" si="33"/>
        <v>0.95</v>
      </c>
      <c r="G192" s="388">
        <v>0.95</v>
      </c>
      <c r="H192" s="386">
        <f t="shared" si="34"/>
        <v>0.96</v>
      </c>
      <c r="I192" s="386">
        <f t="shared" si="35"/>
        <v>0.96</v>
      </c>
      <c r="J192" s="386">
        <f t="shared" si="36"/>
        <v>0.96</v>
      </c>
      <c r="K192" s="388">
        <v>0.96</v>
      </c>
      <c r="L192" s="386">
        <f t="shared" si="37"/>
        <v>0.96</v>
      </c>
      <c r="M192" s="386">
        <f t="shared" si="38"/>
        <v>0.96</v>
      </c>
      <c r="N192" s="386">
        <f t="shared" si="39"/>
        <v>0.95</v>
      </c>
    </row>
    <row r="193" spans="1:14">
      <c r="A193" s="385">
        <v>16</v>
      </c>
      <c r="B193" s="386">
        <f t="shared" si="30"/>
        <v>0.95</v>
      </c>
      <c r="C193" s="386">
        <f t="shared" si="31"/>
        <v>0.95</v>
      </c>
      <c r="D193" s="386">
        <v>0.95</v>
      </c>
      <c r="E193" s="386">
        <f t="shared" si="32"/>
        <v>0.95</v>
      </c>
      <c r="F193" s="386">
        <f t="shared" si="33"/>
        <v>0.95</v>
      </c>
      <c r="G193" s="386">
        <v>0.95</v>
      </c>
      <c r="H193" s="386">
        <f t="shared" si="34"/>
        <v>0.96</v>
      </c>
      <c r="I193" s="386">
        <f t="shared" si="35"/>
        <v>0.96</v>
      </c>
      <c r="J193" s="386">
        <f t="shared" si="36"/>
        <v>0.96</v>
      </c>
      <c r="K193" s="386">
        <v>0.96</v>
      </c>
      <c r="L193" s="386">
        <f t="shared" si="37"/>
        <v>0.96</v>
      </c>
      <c r="M193" s="386">
        <f t="shared" si="38"/>
        <v>0.96</v>
      </c>
      <c r="N193" s="386">
        <f t="shared" si="39"/>
        <v>0.95</v>
      </c>
    </row>
    <row r="194" spans="1:14">
      <c r="A194" s="385">
        <v>17</v>
      </c>
      <c r="B194" s="386">
        <f t="shared" si="30"/>
        <v>0.94</v>
      </c>
      <c r="C194" s="386">
        <f t="shared" si="31"/>
        <v>0.94</v>
      </c>
      <c r="D194" s="386">
        <v>0.94</v>
      </c>
      <c r="E194" s="386">
        <f t="shared" si="32"/>
        <v>0.94</v>
      </c>
      <c r="F194" s="386">
        <f t="shared" si="33"/>
        <v>0.94</v>
      </c>
      <c r="G194" s="386">
        <v>0.94</v>
      </c>
      <c r="H194" s="386">
        <f t="shared" si="34"/>
        <v>0.95</v>
      </c>
      <c r="I194" s="386">
        <f t="shared" si="35"/>
        <v>0.95</v>
      </c>
      <c r="J194" s="386">
        <f t="shared" si="36"/>
        <v>0.95</v>
      </c>
      <c r="K194" s="386">
        <v>0.95</v>
      </c>
      <c r="L194" s="386">
        <f t="shared" si="37"/>
        <v>0.95</v>
      </c>
      <c r="M194" s="386">
        <f t="shared" si="38"/>
        <v>0.95</v>
      </c>
      <c r="N194" s="386">
        <f t="shared" si="39"/>
        <v>0.94</v>
      </c>
    </row>
    <row r="195" spans="1:14">
      <c r="A195" s="385">
        <v>18</v>
      </c>
      <c r="B195" s="386">
        <f t="shared" si="30"/>
        <v>0.94</v>
      </c>
      <c r="C195" s="386">
        <f t="shared" si="31"/>
        <v>0.94</v>
      </c>
      <c r="D195" s="386">
        <v>0.94</v>
      </c>
      <c r="E195" s="386">
        <f t="shared" si="32"/>
        <v>0.94</v>
      </c>
      <c r="F195" s="386">
        <f t="shared" si="33"/>
        <v>0.94</v>
      </c>
      <c r="G195" s="386">
        <v>0.94</v>
      </c>
      <c r="H195" s="386">
        <f t="shared" si="34"/>
        <v>0.95</v>
      </c>
      <c r="I195" s="386">
        <f t="shared" si="35"/>
        <v>0.95</v>
      </c>
      <c r="J195" s="386">
        <f t="shared" si="36"/>
        <v>0.95</v>
      </c>
      <c r="K195" s="386">
        <v>0.95</v>
      </c>
      <c r="L195" s="386">
        <f t="shared" si="37"/>
        <v>0.95</v>
      </c>
      <c r="M195" s="386">
        <f t="shared" si="38"/>
        <v>0.95</v>
      </c>
      <c r="N195" s="386">
        <f t="shared" si="39"/>
        <v>0.94</v>
      </c>
    </row>
    <row r="196" spans="1:14">
      <c r="A196" s="385">
        <v>19</v>
      </c>
      <c r="B196" s="386">
        <f t="shared" si="30"/>
        <v>0.94</v>
      </c>
      <c r="C196" s="386">
        <f t="shared" si="31"/>
        <v>0.94</v>
      </c>
      <c r="D196" s="386">
        <v>0.94</v>
      </c>
      <c r="E196" s="386">
        <f t="shared" si="32"/>
        <v>0.94</v>
      </c>
      <c r="F196" s="386">
        <f t="shared" si="33"/>
        <v>0.94</v>
      </c>
      <c r="G196" s="386">
        <v>0.93</v>
      </c>
      <c r="H196" s="386">
        <f t="shared" si="34"/>
        <v>0.94</v>
      </c>
      <c r="I196" s="386">
        <f t="shared" si="35"/>
        <v>0.94</v>
      </c>
      <c r="J196" s="386">
        <f t="shared" si="36"/>
        <v>0.95</v>
      </c>
      <c r="K196" s="386">
        <v>0.95</v>
      </c>
      <c r="L196" s="386">
        <f t="shared" si="37"/>
        <v>0.95</v>
      </c>
      <c r="M196" s="386">
        <f t="shared" si="38"/>
        <v>0.94</v>
      </c>
      <c r="N196" s="386">
        <f t="shared" si="39"/>
        <v>0.94</v>
      </c>
    </row>
    <row r="197" spans="1:14">
      <c r="A197" s="385">
        <v>20</v>
      </c>
      <c r="B197" s="386">
        <f t="shared" si="30"/>
        <v>0.94</v>
      </c>
      <c r="C197" s="386">
        <f t="shared" si="31"/>
        <v>0.94</v>
      </c>
      <c r="D197" s="386">
        <v>0.94</v>
      </c>
      <c r="E197" s="386">
        <f t="shared" si="32"/>
        <v>0.94</v>
      </c>
      <c r="F197" s="386">
        <f t="shared" si="33"/>
        <v>0.94</v>
      </c>
      <c r="G197" s="386">
        <v>0.93</v>
      </c>
      <c r="H197" s="386">
        <f t="shared" si="34"/>
        <v>0.94</v>
      </c>
      <c r="I197" s="386">
        <f t="shared" si="35"/>
        <v>0.94</v>
      </c>
      <c r="J197" s="386">
        <f t="shared" si="36"/>
        <v>0.94</v>
      </c>
      <c r="K197" s="386">
        <v>0.94</v>
      </c>
      <c r="L197" s="386">
        <f t="shared" si="37"/>
        <v>0.94</v>
      </c>
      <c r="M197" s="386">
        <f t="shared" si="38"/>
        <v>0.94</v>
      </c>
      <c r="N197" s="386">
        <f t="shared" si="39"/>
        <v>0.94</v>
      </c>
    </row>
    <row r="198" spans="1:14">
      <c r="A198" s="385">
        <v>21</v>
      </c>
      <c r="B198" s="386">
        <f t="shared" si="30"/>
        <v>0.93</v>
      </c>
      <c r="C198" s="386">
        <f t="shared" si="31"/>
        <v>0.93</v>
      </c>
      <c r="D198" s="386">
        <v>0.93</v>
      </c>
      <c r="E198" s="386">
        <f t="shared" si="32"/>
        <v>0.93</v>
      </c>
      <c r="F198" s="386">
        <f t="shared" si="33"/>
        <v>0.93</v>
      </c>
      <c r="G198" s="386">
        <v>0.93</v>
      </c>
      <c r="H198" s="386">
        <f t="shared" si="34"/>
        <v>0.94</v>
      </c>
      <c r="I198" s="386">
        <f t="shared" si="35"/>
        <v>0.94</v>
      </c>
      <c r="J198" s="386">
        <f t="shared" si="36"/>
        <v>0.94</v>
      </c>
      <c r="K198" s="386">
        <v>0.94</v>
      </c>
      <c r="L198" s="386">
        <f t="shared" si="37"/>
        <v>0.94</v>
      </c>
      <c r="M198" s="386">
        <f t="shared" si="38"/>
        <v>0.94</v>
      </c>
      <c r="N198" s="386">
        <f t="shared" si="39"/>
        <v>0.93</v>
      </c>
    </row>
    <row r="199" spans="1:14">
      <c r="A199" s="385">
        <v>22</v>
      </c>
      <c r="B199" s="386">
        <f t="shared" si="30"/>
        <v>0.93</v>
      </c>
      <c r="C199" s="386">
        <f t="shared" si="31"/>
        <v>0.93</v>
      </c>
      <c r="D199" s="386">
        <v>0.93</v>
      </c>
      <c r="E199" s="386">
        <f t="shared" si="32"/>
        <v>0.93</v>
      </c>
      <c r="F199" s="386">
        <f t="shared" si="33"/>
        <v>0.93</v>
      </c>
      <c r="G199" s="386">
        <v>0.92</v>
      </c>
      <c r="H199" s="386">
        <f t="shared" si="34"/>
        <v>0.93</v>
      </c>
      <c r="I199" s="386">
        <f t="shared" si="35"/>
        <v>0.93</v>
      </c>
      <c r="J199" s="386">
        <f t="shared" si="36"/>
        <v>0.94</v>
      </c>
      <c r="K199" s="386">
        <v>0.94</v>
      </c>
      <c r="L199" s="386">
        <f t="shared" si="37"/>
        <v>0.94</v>
      </c>
      <c r="M199" s="386">
        <f t="shared" si="38"/>
        <v>0.93</v>
      </c>
      <c r="N199" s="386">
        <f t="shared" si="39"/>
        <v>0.93</v>
      </c>
    </row>
    <row r="200" spans="1:14">
      <c r="A200" s="385">
        <v>23</v>
      </c>
      <c r="B200" s="386">
        <f t="shared" si="30"/>
        <v>0.93</v>
      </c>
      <c r="C200" s="386">
        <f t="shared" si="31"/>
        <v>0.93</v>
      </c>
      <c r="D200" s="386">
        <v>0.93</v>
      </c>
      <c r="E200" s="386">
        <f t="shared" si="32"/>
        <v>0.93</v>
      </c>
      <c r="F200" s="386">
        <f t="shared" si="33"/>
        <v>0.93</v>
      </c>
      <c r="G200" s="386">
        <v>0.92</v>
      </c>
      <c r="H200" s="386">
        <f t="shared" si="34"/>
        <v>0.93</v>
      </c>
      <c r="I200" s="386">
        <f t="shared" si="35"/>
        <v>0.93</v>
      </c>
      <c r="J200" s="386">
        <f t="shared" si="36"/>
        <v>0.93</v>
      </c>
      <c r="K200" s="386">
        <v>0.93</v>
      </c>
      <c r="L200" s="386">
        <f t="shared" si="37"/>
        <v>0.93</v>
      </c>
      <c r="M200" s="386">
        <f t="shared" si="38"/>
        <v>0.93</v>
      </c>
      <c r="N200" s="386">
        <f t="shared" si="39"/>
        <v>0.93</v>
      </c>
    </row>
    <row r="201" spans="1:14">
      <c r="A201" s="385">
        <v>24</v>
      </c>
      <c r="B201" s="386">
        <f t="shared" si="30"/>
        <v>0.92</v>
      </c>
      <c r="C201" s="386">
        <f t="shared" si="31"/>
        <v>0.93</v>
      </c>
      <c r="D201" s="386">
        <v>0.93</v>
      </c>
      <c r="E201" s="386">
        <f t="shared" si="32"/>
        <v>0.93</v>
      </c>
      <c r="F201" s="386">
        <f t="shared" si="33"/>
        <v>0.92</v>
      </c>
      <c r="G201" s="386">
        <v>0.91</v>
      </c>
      <c r="H201" s="386">
        <f t="shared" si="34"/>
        <v>0.92</v>
      </c>
      <c r="I201" s="386">
        <f t="shared" si="35"/>
        <v>0.92</v>
      </c>
      <c r="J201" s="386">
        <f t="shared" si="36"/>
        <v>0.93</v>
      </c>
      <c r="K201" s="386">
        <v>0.93</v>
      </c>
      <c r="L201" s="386">
        <f t="shared" si="37"/>
        <v>0.93</v>
      </c>
      <c r="M201" s="386">
        <f t="shared" si="38"/>
        <v>0.92</v>
      </c>
      <c r="N201" s="386">
        <f t="shared" si="39"/>
        <v>0.92</v>
      </c>
    </row>
    <row r="202" spans="1:14">
      <c r="A202" s="385">
        <v>25</v>
      </c>
      <c r="B202" s="386">
        <f t="shared" si="30"/>
        <v>0.92</v>
      </c>
      <c r="C202" s="386">
        <f t="shared" si="31"/>
        <v>0.92</v>
      </c>
      <c r="D202" s="386">
        <v>0.92</v>
      </c>
      <c r="E202" s="386">
        <f t="shared" si="32"/>
        <v>0.92</v>
      </c>
      <c r="F202" s="386">
        <f t="shared" si="33"/>
        <v>0.92</v>
      </c>
      <c r="G202" s="386">
        <v>0.91</v>
      </c>
      <c r="H202" s="386">
        <f t="shared" si="34"/>
        <v>0.92</v>
      </c>
      <c r="I202" s="386">
        <f t="shared" si="35"/>
        <v>0.92</v>
      </c>
      <c r="J202" s="386">
        <f t="shared" si="36"/>
        <v>0.93</v>
      </c>
      <c r="K202" s="386">
        <v>0.93</v>
      </c>
      <c r="L202" s="386">
        <f t="shared" si="37"/>
        <v>0.93</v>
      </c>
      <c r="M202" s="386">
        <f t="shared" si="38"/>
        <v>0.92</v>
      </c>
      <c r="N202" s="386">
        <f t="shared" si="39"/>
        <v>0.92</v>
      </c>
    </row>
    <row r="203" spans="1:14">
      <c r="A203" s="385">
        <v>26</v>
      </c>
      <c r="B203" s="386">
        <f t="shared" si="30"/>
        <v>0.92</v>
      </c>
      <c r="C203" s="386">
        <f t="shared" si="31"/>
        <v>0.92</v>
      </c>
      <c r="D203" s="386">
        <v>0.92</v>
      </c>
      <c r="E203" s="386">
        <f t="shared" si="32"/>
        <v>0.92</v>
      </c>
      <c r="F203" s="386">
        <f t="shared" si="33"/>
        <v>0.92</v>
      </c>
      <c r="G203" s="386">
        <v>0.91</v>
      </c>
      <c r="H203" s="386">
        <f t="shared" si="34"/>
        <v>0.92</v>
      </c>
      <c r="I203" s="386">
        <f t="shared" si="35"/>
        <v>0.92</v>
      </c>
      <c r="J203" s="386">
        <f t="shared" si="36"/>
        <v>0.92</v>
      </c>
      <c r="K203" s="386">
        <v>0.92</v>
      </c>
      <c r="L203" s="386">
        <f t="shared" si="37"/>
        <v>0.92</v>
      </c>
      <c r="M203" s="386">
        <f t="shared" si="38"/>
        <v>0.92</v>
      </c>
      <c r="N203" s="386">
        <f t="shared" si="39"/>
        <v>0.92</v>
      </c>
    </row>
    <row r="204" spans="1:14">
      <c r="A204" s="385">
        <v>27</v>
      </c>
      <c r="B204" s="386">
        <f t="shared" si="30"/>
        <v>0.91</v>
      </c>
      <c r="C204" s="386">
        <f t="shared" si="31"/>
        <v>0.92</v>
      </c>
      <c r="D204" s="386">
        <v>0.92</v>
      </c>
      <c r="E204" s="386">
        <f t="shared" si="32"/>
        <v>0.92</v>
      </c>
      <c r="F204" s="386">
        <f t="shared" si="33"/>
        <v>0.91</v>
      </c>
      <c r="G204" s="386">
        <v>0.9</v>
      </c>
      <c r="H204" s="386">
        <f t="shared" si="34"/>
        <v>0.91</v>
      </c>
      <c r="I204" s="386">
        <f t="shared" si="35"/>
        <v>0.91</v>
      </c>
      <c r="J204" s="386">
        <f t="shared" si="36"/>
        <v>0.92</v>
      </c>
      <c r="K204" s="386">
        <v>0.92</v>
      </c>
      <c r="L204" s="386">
        <f t="shared" si="37"/>
        <v>0.92</v>
      </c>
      <c r="M204" s="386">
        <f t="shared" si="38"/>
        <v>0.91</v>
      </c>
      <c r="N204" s="386">
        <f t="shared" si="39"/>
        <v>0.91</v>
      </c>
    </row>
    <row r="205" spans="1:14">
      <c r="A205" s="385">
        <v>28</v>
      </c>
      <c r="B205" s="386">
        <f t="shared" si="30"/>
        <v>0.91</v>
      </c>
      <c r="C205" s="386">
        <f t="shared" si="31"/>
        <v>0.92</v>
      </c>
      <c r="D205" s="386">
        <v>0.92</v>
      </c>
      <c r="E205" s="386">
        <f t="shared" si="32"/>
        <v>0.92</v>
      </c>
      <c r="F205" s="386">
        <f t="shared" si="33"/>
        <v>0.91</v>
      </c>
      <c r="G205" s="386">
        <v>0.9</v>
      </c>
      <c r="H205" s="386">
        <f t="shared" si="34"/>
        <v>0.91</v>
      </c>
      <c r="I205" s="386">
        <f t="shared" si="35"/>
        <v>0.91</v>
      </c>
      <c r="J205" s="386">
        <f t="shared" si="36"/>
        <v>0.92</v>
      </c>
      <c r="K205" s="386">
        <v>0.92</v>
      </c>
      <c r="L205" s="386">
        <f t="shared" si="37"/>
        <v>0.92</v>
      </c>
      <c r="M205" s="386">
        <f t="shared" si="38"/>
        <v>0.91</v>
      </c>
      <c r="N205" s="386">
        <f t="shared" si="39"/>
        <v>0.91</v>
      </c>
    </row>
    <row r="206" spans="1:14">
      <c r="A206" s="385">
        <v>29</v>
      </c>
      <c r="B206" s="386">
        <f t="shared" si="30"/>
        <v>0.9</v>
      </c>
      <c r="C206" s="386">
        <f t="shared" si="31"/>
        <v>0.91</v>
      </c>
      <c r="D206" s="386">
        <v>0.91</v>
      </c>
      <c r="E206" s="386">
        <f t="shared" si="32"/>
        <v>0.91</v>
      </c>
      <c r="F206" s="386">
        <f t="shared" si="33"/>
        <v>0.9</v>
      </c>
      <c r="G206" s="386">
        <v>0.89</v>
      </c>
      <c r="H206" s="386">
        <f t="shared" si="34"/>
        <v>0.9</v>
      </c>
      <c r="I206" s="386">
        <f t="shared" si="35"/>
        <v>0.9</v>
      </c>
      <c r="J206" s="386">
        <f t="shared" si="36"/>
        <v>0.91</v>
      </c>
      <c r="K206" s="386">
        <v>0.91</v>
      </c>
      <c r="L206" s="386">
        <f t="shared" si="37"/>
        <v>0.91</v>
      </c>
      <c r="M206" s="386">
        <f t="shared" si="38"/>
        <v>0.9</v>
      </c>
      <c r="N206" s="386">
        <f t="shared" si="39"/>
        <v>0.9</v>
      </c>
    </row>
    <row r="207" spans="1:14">
      <c r="A207" s="387">
        <v>30</v>
      </c>
      <c r="B207" s="386">
        <f t="shared" si="30"/>
        <v>0.9</v>
      </c>
      <c r="C207" s="386">
        <f t="shared" si="31"/>
        <v>0.91</v>
      </c>
      <c r="D207" s="388">
        <v>0.91</v>
      </c>
      <c r="E207" s="386">
        <f t="shared" si="32"/>
        <v>0.91</v>
      </c>
      <c r="F207" s="386">
        <f t="shared" si="33"/>
        <v>0.9</v>
      </c>
      <c r="G207" s="388">
        <v>0.89</v>
      </c>
      <c r="H207" s="386">
        <f t="shared" si="34"/>
        <v>0.9</v>
      </c>
      <c r="I207" s="386">
        <f t="shared" si="35"/>
        <v>0.9</v>
      </c>
      <c r="J207" s="386">
        <f t="shared" si="36"/>
        <v>0.91</v>
      </c>
      <c r="K207" s="388">
        <v>0.91</v>
      </c>
      <c r="L207" s="386">
        <f t="shared" si="37"/>
        <v>0.91</v>
      </c>
      <c r="M207" s="386">
        <f t="shared" si="38"/>
        <v>0.9</v>
      </c>
      <c r="N207" s="386">
        <f t="shared" si="39"/>
        <v>0.9</v>
      </c>
    </row>
    <row r="208" spans="1:14">
      <c r="A208" s="385">
        <v>31</v>
      </c>
      <c r="B208" s="386">
        <f t="shared" si="30"/>
        <v>0.89</v>
      </c>
      <c r="C208" s="386">
        <f t="shared" si="31"/>
        <v>0.9</v>
      </c>
      <c r="D208" s="386">
        <v>0.9</v>
      </c>
      <c r="E208" s="386">
        <f t="shared" si="32"/>
        <v>0.9</v>
      </c>
      <c r="F208" s="386">
        <f t="shared" si="33"/>
        <v>0.89</v>
      </c>
      <c r="G208" s="386">
        <v>0.88</v>
      </c>
      <c r="H208" s="386">
        <f t="shared" si="34"/>
        <v>0.89</v>
      </c>
      <c r="I208" s="386">
        <f t="shared" si="35"/>
        <v>0.89</v>
      </c>
      <c r="J208" s="386">
        <f t="shared" si="36"/>
        <v>0.9</v>
      </c>
      <c r="K208" s="386">
        <v>0.9</v>
      </c>
      <c r="L208" s="386">
        <f t="shared" si="37"/>
        <v>0.9</v>
      </c>
      <c r="M208" s="386">
        <f t="shared" si="38"/>
        <v>0.89</v>
      </c>
      <c r="N208" s="386">
        <f t="shared" si="39"/>
        <v>0.89</v>
      </c>
    </row>
    <row r="209" spans="1:14">
      <c r="A209" s="385">
        <v>32</v>
      </c>
      <c r="B209" s="386">
        <f t="shared" ref="B209:B240" si="40">ROUND(((D209+G209)/2),2)</f>
        <v>0.88</v>
      </c>
      <c r="C209" s="386">
        <f t="shared" ref="C209:C240" si="41">ROUND(((D209+B209)/2),2)</f>
        <v>0.89</v>
      </c>
      <c r="D209" s="386">
        <v>0.89</v>
      </c>
      <c r="E209" s="386">
        <f t="shared" ref="E209:E240" si="42">ROUND(((D209+B209)/2),2)</f>
        <v>0.89</v>
      </c>
      <c r="F209" s="386">
        <f t="shared" ref="F209:F240" si="43">ROUND(((G209+B209)/2),2)</f>
        <v>0.88</v>
      </c>
      <c r="G209" s="386">
        <v>0.87</v>
      </c>
      <c r="H209" s="386">
        <f t="shared" ref="H209:H240" si="44">ROUND(((G209+I209)/2),2)</f>
        <v>0.88</v>
      </c>
      <c r="I209" s="386">
        <f t="shared" ref="I209:I240" si="45">ROUND(((G209+K209)/2),2)</f>
        <v>0.89</v>
      </c>
      <c r="J209" s="386">
        <f t="shared" ref="J209:J240" si="46">ROUND(((K209+I209)/2),2)</f>
        <v>0.9</v>
      </c>
      <c r="K209" s="386">
        <v>0.9</v>
      </c>
      <c r="L209" s="386">
        <f t="shared" ref="L209:L240" si="47">ROUND(((K209+I209)/2),2)</f>
        <v>0.9</v>
      </c>
      <c r="M209" s="386">
        <f t="shared" ref="M209:M240" si="48">ROUND(((G209+I209)/2),2)</f>
        <v>0.88</v>
      </c>
      <c r="N209" s="386">
        <f t="shared" ref="N209:N240" si="49">ROUND(((G209+B209)/2),2)</f>
        <v>0.88</v>
      </c>
    </row>
    <row r="210" spans="1:14">
      <c r="A210" s="385">
        <v>33</v>
      </c>
      <c r="B210" s="386">
        <f t="shared" si="40"/>
        <v>0.88</v>
      </c>
      <c r="C210" s="386">
        <f t="shared" si="41"/>
        <v>0.88</v>
      </c>
      <c r="D210" s="386">
        <v>0.88</v>
      </c>
      <c r="E210" s="386">
        <f t="shared" si="42"/>
        <v>0.88</v>
      </c>
      <c r="F210" s="386">
        <f t="shared" si="43"/>
        <v>0.88</v>
      </c>
      <c r="G210" s="386">
        <v>0.87</v>
      </c>
      <c r="H210" s="386">
        <f t="shared" si="44"/>
        <v>0.88</v>
      </c>
      <c r="I210" s="386">
        <f t="shared" si="45"/>
        <v>0.88</v>
      </c>
      <c r="J210" s="386">
        <f t="shared" si="46"/>
        <v>0.89</v>
      </c>
      <c r="K210" s="386">
        <v>0.89</v>
      </c>
      <c r="L210" s="386">
        <f t="shared" si="47"/>
        <v>0.89</v>
      </c>
      <c r="M210" s="386">
        <f t="shared" si="48"/>
        <v>0.88</v>
      </c>
      <c r="N210" s="386">
        <f t="shared" si="49"/>
        <v>0.88</v>
      </c>
    </row>
    <row r="211" spans="1:14">
      <c r="A211" s="385">
        <v>34</v>
      </c>
      <c r="B211" s="386">
        <f t="shared" si="40"/>
        <v>0.87</v>
      </c>
      <c r="C211" s="386">
        <f t="shared" si="41"/>
        <v>0.87</v>
      </c>
      <c r="D211" s="386">
        <v>0.87</v>
      </c>
      <c r="E211" s="386">
        <f t="shared" si="42"/>
        <v>0.87</v>
      </c>
      <c r="F211" s="386">
        <f t="shared" si="43"/>
        <v>0.87</v>
      </c>
      <c r="G211" s="386">
        <v>0.86</v>
      </c>
      <c r="H211" s="386">
        <f t="shared" si="44"/>
        <v>0.87</v>
      </c>
      <c r="I211" s="386">
        <f t="shared" si="45"/>
        <v>0.87</v>
      </c>
      <c r="J211" s="386">
        <f t="shared" si="46"/>
        <v>0.88</v>
      </c>
      <c r="K211" s="386">
        <v>0.88</v>
      </c>
      <c r="L211" s="386">
        <f t="shared" si="47"/>
        <v>0.88</v>
      </c>
      <c r="M211" s="386">
        <f t="shared" si="48"/>
        <v>0.87</v>
      </c>
      <c r="N211" s="386">
        <f t="shared" si="49"/>
        <v>0.87</v>
      </c>
    </row>
    <row r="212" spans="1:14">
      <c r="A212" s="385">
        <v>35</v>
      </c>
      <c r="B212" s="386">
        <f t="shared" si="40"/>
        <v>0.86</v>
      </c>
      <c r="C212" s="386">
        <f t="shared" si="41"/>
        <v>0.86</v>
      </c>
      <c r="D212" s="386">
        <v>0.86</v>
      </c>
      <c r="E212" s="386">
        <f t="shared" si="42"/>
        <v>0.86</v>
      </c>
      <c r="F212" s="386">
        <f t="shared" si="43"/>
        <v>0.86</v>
      </c>
      <c r="G212" s="386">
        <v>0.85</v>
      </c>
      <c r="H212" s="386">
        <f t="shared" si="44"/>
        <v>0.86</v>
      </c>
      <c r="I212" s="386">
        <f t="shared" si="45"/>
        <v>0.86</v>
      </c>
      <c r="J212" s="386">
        <f t="shared" si="46"/>
        <v>0.87</v>
      </c>
      <c r="K212" s="386">
        <v>0.87</v>
      </c>
      <c r="L212" s="386">
        <f t="shared" si="47"/>
        <v>0.87</v>
      </c>
      <c r="M212" s="386">
        <f t="shared" si="48"/>
        <v>0.86</v>
      </c>
      <c r="N212" s="386">
        <f t="shared" si="49"/>
        <v>0.86</v>
      </c>
    </row>
    <row r="213" spans="1:14">
      <c r="A213" s="385">
        <v>36</v>
      </c>
      <c r="B213" s="386">
        <f t="shared" si="40"/>
        <v>0.85</v>
      </c>
      <c r="C213" s="386">
        <f t="shared" si="41"/>
        <v>0.85</v>
      </c>
      <c r="D213" s="386">
        <v>0.85</v>
      </c>
      <c r="E213" s="386">
        <f t="shared" si="42"/>
        <v>0.85</v>
      </c>
      <c r="F213" s="386">
        <f t="shared" si="43"/>
        <v>0.85</v>
      </c>
      <c r="G213" s="386">
        <v>0.84</v>
      </c>
      <c r="H213" s="386">
        <f t="shared" si="44"/>
        <v>0.85</v>
      </c>
      <c r="I213" s="386">
        <f t="shared" si="45"/>
        <v>0.86</v>
      </c>
      <c r="J213" s="386">
        <f t="shared" si="46"/>
        <v>0.87</v>
      </c>
      <c r="K213" s="386">
        <v>0.87</v>
      </c>
      <c r="L213" s="386">
        <f t="shared" si="47"/>
        <v>0.87</v>
      </c>
      <c r="M213" s="386">
        <f t="shared" si="48"/>
        <v>0.85</v>
      </c>
      <c r="N213" s="386">
        <f t="shared" si="49"/>
        <v>0.85</v>
      </c>
    </row>
    <row r="214" spans="1:14">
      <c r="A214" s="385">
        <v>37</v>
      </c>
      <c r="B214" s="386">
        <f t="shared" si="40"/>
        <v>0.84</v>
      </c>
      <c r="C214" s="386">
        <f t="shared" si="41"/>
        <v>0.84</v>
      </c>
      <c r="D214" s="386">
        <v>0.84</v>
      </c>
      <c r="E214" s="386">
        <f t="shared" si="42"/>
        <v>0.84</v>
      </c>
      <c r="F214" s="386">
        <f t="shared" si="43"/>
        <v>0.84</v>
      </c>
      <c r="G214" s="386">
        <v>0.83</v>
      </c>
      <c r="H214" s="386">
        <f t="shared" si="44"/>
        <v>0.84</v>
      </c>
      <c r="I214" s="386">
        <f t="shared" si="45"/>
        <v>0.85</v>
      </c>
      <c r="J214" s="386">
        <f t="shared" si="46"/>
        <v>0.86</v>
      </c>
      <c r="K214" s="386">
        <v>0.86</v>
      </c>
      <c r="L214" s="386">
        <f t="shared" si="47"/>
        <v>0.86</v>
      </c>
      <c r="M214" s="386">
        <f t="shared" si="48"/>
        <v>0.84</v>
      </c>
      <c r="N214" s="386">
        <f t="shared" si="49"/>
        <v>0.84</v>
      </c>
    </row>
    <row r="215" spans="1:14">
      <c r="A215" s="385">
        <v>38</v>
      </c>
      <c r="B215" s="386">
        <f t="shared" si="40"/>
        <v>0.83</v>
      </c>
      <c r="C215" s="386">
        <f t="shared" si="41"/>
        <v>0.83</v>
      </c>
      <c r="D215" s="386">
        <v>0.82</v>
      </c>
      <c r="E215" s="386">
        <f t="shared" si="42"/>
        <v>0.83</v>
      </c>
      <c r="F215" s="386">
        <f t="shared" si="43"/>
        <v>0.83</v>
      </c>
      <c r="G215" s="386">
        <v>0.83</v>
      </c>
      <c r="H215" s="386">
        <f t="shared" si="44"/>
        <v>0.84</v>
      </c>
      <c r="I215" s="386">
        <f t="shared" si="45"/>
        <v>0.84</v>
      </c>
      <c r="J215" s="386">
        <f t="shared" si="46"/>
        <v>0.85</v>
      </c>
      <c r="K215" s="386">
        <v>0.85</v>
      </c>
      <c r="L215" s="386">
        <f t="shared" si="47"/>
        <v>0.85</v>
      </c>
      <c r="M215" s="386">
        <f t="shared" si="48"/>
        <v>0.84</v>
      </c>
      <c r="N215" s="386">
        <f t="shared" si="49"/>
        <v>0.83</v>
      </c>
    </row>
    <row r="216" spans="1:14">
      <c r="A216" s="385">
        <v>39</v>
      </c>
      <c r="B216" s="386">
        <f t="shared" si="40"/>
        <v>0.82</v>
      </c>
      <c r="C216" s="386">
        <f t="shared" si="41"/>
        <v>0.82</v>
      </c>
      <c r="D216" s="386">
        <v>0.81</v>
      </c>
      <c r="E216" s="386">
        <f t="shared" si="42"/>
        <v>0.82</v>
      </c>
      <c r="F216" s="386">
        <f t="shared" si="43"/>
        <v>0.82</v>
      </c>
      <c r="G216" s="386">
        <v>0.82</v>
      </c>
      <c r="H216" s="386">
        <f t="shared" si="44"/>
        <v>0.83</v>
      </c>
      <c r="I216" s="386">
        <f t="shared" si="45"/>
        <v>0.83</v>
      </c>
      <c r="J216" s="386">
        <f t="shared" si="46"/>
        <v>0.84</v>
      </c>
      <c r="K216" s="386">
        <v>0.84</v>
      </c>
      <c r="L216" s="386">
        <f t="shared" si="47"/>
        <v>0.84</v>
      </c>
      <c r="M216" s="386">
        <f t="shared" si="48"/>
        <v>0.83</v>
      </c>
      <c r="N216" s="386">
        <f t="shared" si="49"/>
        <v>0.82</v>
      </c>
    </row>
    <row r="217" spans="1:14">
      <c r="A217" s="385">
        <v>40</v>
      </c>
      <c r="B217" s="386">
        <f t="shared" si="40"/>
        <v>0.81</v>
      </c>
      <c r="C217" s="386">
        <f t="shared" si="41"/>
        <v>0.81</v>
      </c>
      <c r="D217" s="386">
        <v>0.8</v>
      </c>
      <c r="E217" s="386">
        <f t="shared" si="42"/>
        <v>0.81</v>
      </c>
      <c r="F217" s="386">
        <f t="shared" si="43"/>
        <v>0.81</v>
      </c>
      <c r="G217" s="386">
        <v>0.81</v>
      </c>
      <c r="H217" s="386">
        <f t="shared" si="44"/>
        <v>0.82</v>
      </c>
      <c r="I217" s="386">
        <f t="shared" si="45"/>
        <v>0.83</v>
      </c>
      <c r="J217" s="386">
        <f t="shared" si="46"/>
        <v>0.84</v>
      </c>
      <c r="K217" s="386">
        <v>0.84</v>
      </c>
      <c r="L217" s="386">
        <f t="shared" si="47"/>
        <v>0.84</v>
      </c>
      <c r="M217" s="386">
        <f t="shared" si="48"/>
        <v>0.82</v>
      </c>
      <c r="N217" s="386">
        <f t="shared" si="49"/>
        <v>0.81</v>
      </c>
    </row>
    <row r="218" spans="1:14">
      <c r="A218" s="385">
        <v>41</v>
      </c>
      <c r="B218" s="386">
        <f t="shared" si="40"/>
        <v>0.8</v>
      </c>
      <c r="C218" s="386">
        <f t="shared" si="41"/>
        <v>0.8</v>
      </c>
      <c r="D218" s="386">
        <v>0.79</v>
      </c>
      <c r="E218" s="386">
        <f t="shared" si="42"/>
        <v>0.8</v>
      </c>
      <c r="F218" s="386">
        <f t="shared" si="43"/>
        <v>0.8</v>
      </c>
      <c r="G218" s="386">
        <v>0.8</v>
      </c>
      <c r="H218" s="386">
        <f t="shared" si="44"/>
        <v>0.81</v>
      </c>
      <c r="I218" s="386">
        <f t="shared" si="45"/>
        <v>0.82</v>
      </c>
      <c r="J218" s="386">
        <f t="shared" si="46"/>
        <v>0.83</v>
      </c>
      <c r="K218" s="386">
        <v>0.83</v>
      </c>
      <c r="L218" s="386">
        <f t="shared" si="47"/>
        <v>0.83</v>
      </c>
      <c r="M218" s="386">
        <f t="shared" si="48"/>
        <v>0.81</v>
      </c>
      <c r="N218" s="386">
        <f t="shared" si="49"/>
        <v>0.8</v>
      </c>
    </row>
    <row r="219" spans="1:14">
      <c r="A219" s="385">
        <v>42</v>
      </c>
      <c r="B219" s="386">
        <f t="shared" si="40"/>
        <v>0.79</v>
      </c>
      <c r="C219" s="386">
        <f t="shared" si="41"/>
        <v>0.79</v>
      </c>
      <c r="D219" s="386">
        <v>0.78</v>
      </c>
      <c r="E219" s="386">
        <f t="shared" si="42"/>
        <v>0.79</v>
      </c>
      <c r="F219" s="386">
        <f t="shared" si="43"/>
        <v>0.79</v>
      </c>
      <c r="G219" s="386">
        <v>0.79</v>
      </c>
      <c r="H219" s="386">
        <f t="shared" si="44"/>
        <v>0.8</v>
      </c>
      <c r="I219" s="386">
        <f t="shared" si="45"/>
        <v>0.81</v>
      </c>
      <c r="J219" s="386">
        <f t="shared" si="46"/>
        <v>0.82</v>
      </c>
      <c r="K219" s="386">
        <v>0.82</v>
      </c>
      <c r="L219" s="386">
        <f t="shared" si="47"/>
        <v>0.82</v>
      </c>
      <c r="M219" s="386">
        <f t="shared" si="48"/>
        <v>0.8</v>
      </c>
      <c r="N219" s="386">
        <f t="shared" si="49"/>
        <v>0.79</v>
      </c>
    </row>
    <row r="220" spans="1:14">
      <c r="A220" s="385">
        <v>43</v>
      </c>
      <c r="B220" s="386">
        <f t="shared" si="40"/>
        <v>0.78</v>
      </c>
      <c r="C220" s="386">
        <f t="shared" si="41"/>
        <v>0.78</v>
      </c>
      <c r="D220" s="386">
        <v>0.77</v>
      </c>
      <c r="E220" s="386">
        <f t="shared" si="42"/>
        <v>0.78</v>
      </c>
      <c r="F220" s="386">
        <f t="shared" si="43"/>
        <v>0.79</v>
      </c>
      <c r="G220" s="386">
        <v>0.79</v>
      </c>
      <c r="H220" s="386">
        <f t="shared" si="44"/>
        <v>0.8</v>
      </c>
      <c r="I220" s="386">
        <f t="shared" si="45"/>
        <v>0.8</v>
      </c>
      <c r="J220" s="386">
        <f t="shared" si="46"/>
        <v>0.81</v>
      </c>
      <c r="K220" s="386">
        <v>0.81</v>
      </c>
      <c r="L220" s="386">
        <f t="shared" si="47"/>
        <v>0.81</v>
      </c>
      <c r="M220" s="386">
        <f t="shared" si="48"/>
        <v>0.8</v>
      </c>
      <c r="N220" s="386">
        <f t="shared" si="49"/>
        <v>0.79</v>
      </c>
    </row>
    <row r="221" spans="1:14">
      <c r="A221" s="385">
        <v>44</v>
      </c>
      <c r="B221" s="386">
        <f t="shared" si="40"/>
        <v>0.77</v>
      </c>
      <c r="C221" s="386">
        <f t="shared" si="41"/>
        <v>0.77</v>
      </c>
      <c r="D221" s="386">
        <v>0.76</v>
      </c>
      <c r="E221" s="386">
        <f t="shared" si="42"/>
        <v>0.77</v>
      </c>
      <c r="F221" s="386">
        <f t="shared" si="43"/>
        <v>0.78</v>
      </c>
      <c r="G221" s="386">
        <v>0.78</v>
      </c>
      <c r="H221" s="386">
        <f t="shared" si="44"/>
        <v>0.79</v>
      </c>
      <c r="I221" s="386">
        <f t="shared" si="45"/>
        <v>0.8</v>
      </c>
      <c r="J221" s="386">
        <f t="shared" si="46"/>
        <v>0.81</v>
      </c>
      <c r="K221" s="386">
        <v>0.81</v>
      </c>
      <c r="L221" s="386">
        <f t="shared" si="47"/>
        <v>0.81</v>
      </c>
      <c r="M221" s="386">
        <f t="shared" si="48"/>
        <v>0.79</v>
      </c>
      <c r="N221" s="386">
        <f t="shared" si="49"/>
        <v>0.78</v>
      </c>
    </row>
    <row r="222" spans="1:14">
      <c r="A222" s="387">
        <v>45</v>
      </c>
      <c r="B222" s="386">
        <f t="shared" si="40"/>
        <v>0.76</v>
      </c>
      <c r="C222" s="386">
        <f t="shared" si="41"/>
        <v>0.76</v>
      </c>
      <c r="D222" s="388">
        <v>0.75</v>
      </c>
      <c r="E222" s="386">
        <f t="shared" si="42"/>
        <v>0.76</v>
      </c>
      <c r="F222" s="386">
        <f t="shared" si="43"/>
        <v>0.77</v>
      </c>
      <c r="G222" s="388">
        <v>0.77</v>
      </c>
      <c r="H222" s="386">
        <f t="shared" si="44"/>
        <v>0.78</v>
      </c>
      <c r="I222" s="386">
        <f t="shared" si="45"/>
        <v>0.79</v>
      </c>
      <c r="J222" s="386">
        <f t="shared" si="46"/>
        <v>0.8</v>
      </c>
      <c r="K222" s="388">
        <v>0.8</v>
      </c>
      <c r="L222" s="386">
        <f t="shared" si="47"/>
        <v>0.8</v>
      </c>
      <c r="M222" s="386">
        <f t="shared" si="48"/>
        <v>0.78</v>
      </c>
      <c r="N222" s="386">
        <f t="shared" si="49"/>
        <v>0.77</v>
      </c>
    </row>
    <row r="223" spans="1:14">
      <c r="A223" s="385">
        <v>46</v>
      </c>
      <c r="B223" s="386">
        <f t="shared" si="40"/>
        <v>0.75</v>
      </c>
      <c r="C223" s="386">
        <f t="shared" si="41"/>
        <v>0.74</v>
      </c>
      <c r="D223" s="386">
        <v>0.73</v>
      </c>
      <c r="E223" s="386">
        <f t="shared" si="42"/>
        <v>0.74</v>
      </c>
      <c r="F223" s="386">
        <f t="shared" si="43"/>
        <v>0.76</v>
      </c>
      <c r="G223" s="386">
        <v>0.76</v>
      </c>
      <c r="H223" s="386">
        <f t="shared" si="44"/>
        <v>0.77</v>
      </c>
      <c r="I223" s="386">
        <f t="shared" si="45"/>
        <v>0.78</v>
      </c>
      <c r="J223" s="386">
        <f t="shared" si="46"/>
        <v>0.79</v>
      </c>
      <c r="K223" s="386">
        <v>0.79</v>
      </c>
      <c r="L223" s="386">
        <f t="shared" si="47"/>
        <v>0.79</v>
      </c>
      <c r="M223" s="386">
        <f t="shared" si="48"/>
        <v>0.77</v>
      </c>
      <c r="N223" s="386">
        <f t="shared" si="49"/>
        <v>0.76</v>
      </c>
    </row>
    <row r="224" spans="1:14">
      <c r="A224" s="385">
        <v>47</v>
      </c>
      <c r="B224" s="386">
        <f t="shared" si="40"/>
        <v>0.74</v>
      </c>
      <c r="C224" s="386">
        <f t="shared" si="41"/>
        <v>0.73</v>
      </c>
      <c r="D224" s="386">
        <v>0.72</v>
      </c>
      <c r="E224" s="386">
        <f t="shared" si="42"/>
        <v>0.73</v>
      </c>
      <c r="F224" s="386">
        <f t="shared" si="43"/>
        <v>0.75</v>
      </c>
      <c r="G224" s="386">
        <v>0.75</v>
      </c>
      <c r="H224" s="386">
        <f t="shared" si="44"/>
        <v>0.76</v>
      </c>
      <c r="I224" s="386">
        <f t="shared" si="45"/>
        <v>0.77</v>
      </c>
      <c r="J224" s="386">
        <f t="shared" si="46"/>
        <v>0.78</v>
      </c>
      <c r="K224" s="386">
        <v>0.78</v>
      </c>
      <c r="L224" s="386">
        <f t="shared" si="47"/>
        <v>0.78</v>
      </c>
      <c r="M224" s="386">
        <f t="shared" si="48"/>
        <v>0.76</v>
      </c>
      <c r="N224" s="386">
        <f t="shared" si="49"/>
        <v>0.75</v>
      </c>
    </row>
    <row r="225" spans="1:14">
      <c r="A225" s="385">
        <v>48</v>
      </c>
      <c r="B225" s="386">
        <f t="shared" si="40"/>
        <v>0.72</v>
      </c>
      <c r="C225" s="386">
        <f t="shared" si="41"/>
        <v>0.71</v>
      </c>
      <c r="D225" s="386">
        <v>0.7</v>
      </c>
      <c r="E225" s="386">
        <f t="shared" si="42"/>
        <v>0.71</v>
      </c>
      <c r="F225" s="386">
        <f t="shared" si="43"/>
        <v>0.73</v>
      </c>
      <c r="G225" s="386">
        <v>0.73</v>
      </c>
      <c r="H225" s="386">
        <f t="shared" si="44"/>
        <v>0.74</v>
      </c>
      <c r="I225" s="386">
        <f t="shared" si="45"/>
        <v>0.75</v>
      </c>
      <c r="J225" s="386">
        <f t="shared" si="46"/>
        <v>0.76</v>
      </c>
      <c r="K225" s="386">
        <v>0.77</v>
      </c>
      <c r="L225" s="386">
        <f t="shared" si="47"/>
        <v>0.76</v>
      </c>
      <c r="M225" s="386">
        <f t="shared" si="48"/>
        <v>0.74</v>
      </c>
      <c r="N225" s="386">
        <f t="shared" si="49"/>
        <v>0.73</v>
      </c>
    </row>
    <row r="226" spans="1:14">
      <c r="A226" s="385">
        <v>49</v>
      </c>
      <c r="B226" s="386">
        <f t="shared" si="40"/>
        <v>0.71</v>
      </c>
      <c r="C226" s="386">
        <f t="shared" si="41"/>
        <v>0.7</v>
      </c>
      <c r="D226" s="386">
        <v>0.69</v>
      </c>
      <c r="E226" s="386">
        <f t="shared" si="42"/>
        <v>0.7</v>
      </c>
      <c r="F226" s="386">
        <f t="shared" si="43"/>
        <v>0.72</v>
      </c>
      <c r="G226" s="386">
        <v>0.72</v>
      </c>
      <c r="H226" s="386">
        <f t="shared" si="44"/>
        <v>0.73</v>
      </c>
      <c r="I226" s="386">
        <f t="shared" si="45"/>
        <v>0.74</v>
      </c>
      <c r="J226" s="386">
        <f t="shared" si="46"/>
        <v>0.75</v>
      </c>
      <c r="K226" s="386">
        <v>0.76</v>
      </c>
      <c r="L226" s="386">
        <f t="shared" si="47"/>
        <v>0.75</v>
      </c>
      <c r="M226" s="386">
        <f t="shared" si="48"/>
        <v>0.73</v>
      </c>
      <c r="N226" s="386">
        <f t="shared" si="49"/>
        <v>0.72</v>
      </c>
    </row>
    <row r="227" spans="1:14">
      <c r="A227" s="385">
        <v>50</v>
      </c>
      <c r="B227" s="386">
        <f t="shared" si="40"/>
        <v>0.69</v>
      </c>
      <c r="C227" s="386">
        <f t="shared" si="41"/>
        <v>0.68</v>
      </c>
      <c r="D227" s="386">
        <v>0.67</v>
      </c>
      <c r="E227" s="386">
        <f t="shared" si="42"/>
        <v>0.68</v>
      </c>
      <c r="F227" s="386">
        <f t="shared" si="43"/>
        <v>0.7</v>
      </c>
      <c r="G227" s="386">
        <v>0.71</v>
      </c>
      <c r="H227" s="386">
        <f t="shared" si="44"/>
        <v>0.72</v>
      </c>
      <c r="I227" s="386">
        <f t="shared" si="45"/>
        <v>0.73</v>
      </c>
      <c r="J227" s="386">
        <f t="shared" si="46"/>
        <v>0.74</v>
      </c>
      <c r="K227" s="386">
        <v>0.75</v>
      </c>
      <c r="L227" s="386">
        <f t="shared" si="47"/>
        <v>0.74</v>
      </c>
      <c r="M227" s="386">
        <f t="shared" si="48"/>
        <v>0.72</v>
      </c>
      <c r="N227" s="386">
        <f t="shared" si="49"/>
        <v>0.7</v>
      </c>
    </row>
    <row r="228" spans="1:14">
      <c r="A228" s="385">
        <v>51</v>
      </c>
      <c r="B228" s="386">
        <f t="shared" si="40"/>
        <v>0.68</v>
      </c>
      <c r="C228" s="386">
        <f t="shared" si="41"/>
        <v>0.67</v>
      </c>
      <c r="D228" s="386">
        <v>0.66</v>
      </c>
      <c r="E228" s="386">
        <f t="shared" si="42"/>
        <v>0.67</v>
      </c>
      <c r="F228" s="386">
        <f t="shared" si="43"/>
        <v>0.69</v>
      </c>
      <c r="G228" s="386">
        <v>0.7</v>
      </c>
      <c r="H228" s="386">
        <f t="shared" si="44"/>
        <v>0.71</v>
      </c>
      <c r="I228" s="386">
        <f t="shared" si="45"/>
        <v>0.72</v>
      </c>
      <c r="J228" s="386">
        <f t="shared" si="46"/>
        <v>0.73</v>
      </c>
      <c r="K228" s="386">
        <v>0.74</v>
      </c>
      <c r="L228" s="386">
        <f t="shared" si="47"/>
        <v>0.73</v>
      </c>
      <c r="M228" s="386">
        <f t="shared" si="48"/>
        <v>0.71</v>
      </c>
      <c r="N228" s="386">
        <f t="shared" si="49"/>
        <v>0.69</v>
      </c>
    </row>
    <row r="229" spans="1:14">
      <c r="A229" s="385">
        <v>52</v>
      </c>
      <c r="B229" s="386">
        <f t="shared" si="40"/>
        <v>0.67</v>
      </c>
      <c r="C229" s="386">
        <f t="shared" si="41"/>
        <v>0.66</v>
      </c>
      <c r="D229" s="386">
        <v>0.64</v>
      </c>
      <c r="E229" s="386">
        <f t="shared" si="42"/>
        <v>0.66</v>
      </c>
      <c r="F229" s="386">
        <f t="shared" si="43"/>
        <v>0.68</v>
      </c>
      <c r="G229" s="386">
        <v>0.69</v>
      </c>
      <c r="H229" s="386">
        <f t="shared" si="44"/>
        <v>0.7</v>
      </c>
      <c r="I229" s="386">
        <f t="shared" si="45"/>
        <v>0.71</v>
      </c>
      <c r="J229" s="386">
        <f t="shared" si="46"/>
        <v>0.72</v>
      </c>
      <c r="K229" s="386">
        <v>0.73</v>
      </c>
      <c r="L229" s="386">
        <f t="shared" si="47"/>
        <v>0.72</v>
      </c>
      <c r="M229" s="386">
        <f t="shared" si="48"/>
        <v>0.7</v>
      </c>
      <c r="N229" s="386">
        <f t="shared" si="49"/>
        <v>0.68</v>
      </c>
    </row>
    <row r="230" spans="1:14">
      <c r="A230" s="385">
        <v>53</v>
      </c>
      <c r="B230" s="386">
        <f t="shared" si="40"/>
        <v>0.65</v>
      </c>
      <c r="C230" s="386">
        <f t="shared" si="41"/>
        <v>0.64</v>
      </c>
      <c r="D230" s="386">
        <v>0.63</v>
      </c>
      <c r="E230" s="386">
        <f t="shared" si="42"/>
        <v>0.64</v>
      </c>
      <c r="F230" s="386">
        <f t="shared" si="43"/>
        <v>0.66</v>
      </c>
      <c r="G230" s="386">
        <v>0.67</v>
      </c>
      <c r="H230" s="386">
        <f t="shared" si="44"/>
        <v>0.69</v>
      </c>
      <c r="I230" s="386">
        <f t="shared" si="45"/>
        <v>0.7</v>
      </c>
      <c r="J230" s="386">
        <f t="shared" si="46"/>
        <v>0.72</v>
      </c>
      <c r="K230" s="386">
        <v>0.73</v>
      </c>
      <c r="L230" s="386">
        <f t="shared" si="47"/>
        <v>0.72</v>
      </c>
      <c r="M230" s="386">
        <f t="shared" si="48"/>
        <v>0.69</v>
      </c>
      <c r="N230" s="386">
        <f t="shared" si="49"/>
        <v>0.66</v>
      </c>
    </row>
    <row r="231" spans="1:14">
      <c r="A231" s="385">
        <v>54</v>
      </c>
      <c r="B231" s="386">
        <f t="shared" si="40"/>
        <v>0.64</v>
      </c>
      <c r="C231" s="386">
        <f t="shared" si="41"/>
        <v>0.63</v>
      </c>
      <c r="D231" s="386">
        <v>0.61</v>
      </c>
      <c r="E231" s="386">
        <f t="shared" si="42"/>
        <v>0.63</v>
      </c>
      <c r="F231" s="386">
        <f t="shared" si="43"/>
        <v>0.65</v>
      </c>
      <c r="G231" s="386">
        <v>0.66</v>
      </c>
      <c r="H231" s="386">
        <f t="shared" si="44"/>
        <v>0.68</v>
      </c>
      <c r="I231" s="386">
        <f t="shared" si="45"/>
        <v>0.69</v>
      </c>
      <c r="J231" s="386">
        <f t="shared" si="46"/>
        <v>0.71</v>
      </c>
      <c r="K231" s="386">
        <v>0.72</v>
      </c>
      <c r="L231" s="386">
        <f t="shared" si="47"/>
        <v>0.71</v>
      </c>
      <c r="M231" s="386">
        <f t="shared" si="48"/>
        <v>0.68</v>
      </c>
      <c r="N231" s="386">
        <f t="shared" si="49"/>
        <v>0.65</v>
      </c>
    </row>
    <row r="232" spans="1:14">
      <c r="A232" s="385">
        <v>55</v>
      </c>
      <c r="B232" s="386">
        <f t="shared" si="40"/>
        <v>0.63</v>
      </c>
      <c r="C232" s="386">
        <f t="shared" si="41"/>
        <v>0.62</v>
      </c>
      <c r="D232" s="386">
        <v>0.6</v>
      </c>
      <c r="E232" s="386">
        <f t="shared" si="42"/>
        <v>0.62</v>
      </c>
      <c r="F232" s="386">
        <f t="shared" si="43"/>
        <v>0.64</v>
      </c>
      <c r="G232" s="386">
        <v>0.65</v>
      </c>
      <c r="H232" s="386">
        <f t="shared" si="44"/>
        <v>0.67</v>
      </c>
      <c r="I232" s="386">
        <f t="shared" si="45"/>
        <v>0.68</v>
      </c>
      <c r="J232" s="386">
        <f t="shared" si="46"/>
        <v>0.7</v>
      </c>
      <c r="K232" s="386">
        <v>0.71</v>
      </c>
      <c r="L232" s="386">
        <f t="shared" si="47"/>
        <v>0.7</v>
      </c>
      <c r="M232" s="386">
        <f t="shared" si="48"/>
        <v>0.67</v>
      </c>
      <c r="N232" s="386">
        <f t="shared" si="49"/>
        <v>0.64</v>
      </c>
    </row>
    <row r="233" spans="1:14">
      <c r="A233" s="385">
        <v>56</v>
      </c>
      <c r="B233" s="386">
        <f t="shared" si="40"/>
        <v>0.61</v>
      </c>
      <c r="C233" s="386">
        <f t="shared" si="41"/>
        <v>0.6</v>
      </c>
      <c r="D233" s="386">
        <v>0.57999999999999996</v>
      </c>
      <c r="E233" s="386">
        <f t="shared" si="42"/>
        <v>0.6</v>
      </c>
      <c r="F233" s="386">
        <f t="shared" si="43"/>
        <v>0.63</v>
      </c>
      <c r="G233" s="386">
        <v>0.64</v>
      </c>
      <c r="H233" s="386">
        <f t="shared" si="44"/>
        <v>0.66</v>
      </c>
      <c r="I233" s="386">
        <f t="shared" si="45"/>
        <v>0.67</v>
      </c>
      <c r="J233" s="386">
        <f t="shared" si="46"/>
        <v>0.69</v>
      </c>
      <c r="K233" s="386">
        <v>0.7</v>
      </c>
      <c r="L233" s="386">
        <f t="shared" si="47"/>
        <v>0.69</v>
      </c>
      <c r="M233" s="386">
        <f t="shared" si="48"/>
        <v>0.66</v>
      </c>
      <c r="N233" s="386">
        <f t="shared" si="49"/>
        <v>0.63</v>
      </c>
    </row>
    <row r="234" spans="1:14">
      <c r="A234" s="385">
        <v>57</v>
      </c>
      <c r="B234" s="386">
        <f t="shared" si="40"/>
        <v>0.6</v>
      </c>
      <c r="C234" s="386">
        <f t="shared" si="41"/>
        <v>0.59</v>
      </c>
      <c r="D234" s="386">
        <v>0.56999999999999995</v>
      </c>
      <c r="E234" s="386">
        <f t="shared" si="42"/>
        <v>0.59</v>
      </c>
      <c r="F234" s="386">
        <f t="shared" si="43"/>
        <v>0.62</v>
      </c>
      <c r="G234" s="386">
        <v>0.63</v>
      </c>
      <c r="H234" s="386">
        <f t="shared" si="44"/>
        <v>0.65</v>
      </c>
      <c r="I234" s="386">
        <f t="shared" si="45"/>
        <v>0.66</v>
      </c>
      <c r="J234" s="386">
        <f t="shared" si="46"/>
        <v>0.68</v>
      </c>
      <c r="K234" s="386">
        <v>0.69</v>
      </c>
      <c r="L234" s="386">
        <f t="shared" si="47"/>
        <v>0.68</v>
      </c>
      <c r="M234" s="386">
        <f t="shared" si="48"/>
        <v>0.65</v>
      </c>
      <c r="N234" s="386">
        <f t="shared" si="49"/>
        <v>0.62</v>
      </c>
    </row>
    <row r="235" spans="1:14">
      <c r="A235" s="385">
        <v>58</v>
      </c>
      <c r="B235" s="386">
        <f t="shared" si="40"/>
        <v>0.57999999999999996</v>
      </c>
      <c r="C235" s="386">
        <f t="shared" si="41"/>
        <v>0.56999999999999995</v>
      </c>
      <c r="D235" s="386">
        <v>0.55000000000000004</v>
      </c>
      <c r="E235" s="386">
        <f t="shared" si="42"/>
        <v>0.56999999999999995</v>
      </c>
      <c r="F235" s="386">
        <f t="shared" si="43"/>
        <v>0.6</v>
      </c>
      <c r="G235" s="386">
        <v>0.61</v>
      </c>
      <c r="H235" s="386">
        <f t="shared" si="44"/>
        <v>0.63</v>
      </c>
      <c r="I235" s="386">
        <f t="shared" si="45"/>
        <v>0.65</v>
      </c>
      <c r="J235" s="386">
        <f t="shared" si="46"/>
        <v>0.67</v>
      </c>
      <c r="K235" s="386">
        <v>0.68</v>
      </c>
      <c r="L235" s="386">
        <f t="shared" si="47"/>
        <v>0.67</v>
      </c>
      <c r="M235" s="386">
        <f t="shared" si="48"/>
        <v>0.63</v>
      </c>
      <c r="N235" s="386">
        <f t="shared" si="49"/>
        <v>0.6</v>
      </c>
    </row>
    <row r="236" spans="1:14">
      <c r="A236" s="385">
        <v>59</v>
      </c>
      <c r="B236" s="386">
        <f t="shared" si="40"/>
        <v>0.56999999999999995</v>
      </c>
      <c r="C236" s="386">
        <f t="shared" si="41"/>
        <v>0.56000000000000005</v>
      </c>
      <c r="D236" s="386">
        <v>0.54</v>
      </c>
      <c r="E236" s="386">
        <f t="shared" si="42"/>
        <v>0.56000000000000005</v>
      </c>
      <c r="F236" s="386">
        <f t="shared" si="43"/>
        <v>0.59</v>
      </c>
      <c r="G236" s="386">
        <v>0.6</v>
      </c>
      <c r="H236" s="386">
        <f t="shared" si="44"/>
        <v>0.62</v>
      </c>
      <c r="I236" s="386">
        <f t="shared" si="45"/>
        <v>0.64</v>
      </c>
      <c r="J236" s="386">
        <f t="shared" si="46"/>
        <v>0.66</v>
      </c>
      <c r="K236" s="386">
        <v>0.67</v>
      </c>
      <c r="L236" s="386">
        <f t="shared" si="47"/>
        <v>0.66</v>
      </c>
      <c r="M236" s="386">
        <f t="shared" si="48"/>
        <v>0.62</v>
      </c>
      <c r="N236" s="386">
        <f t="shared" si="49"/>
        <v>0.59</v>
      </c>
    </row>
    <row r="237" spans="1:14">
      <c r="A237" s="387">
        <v>60</v>
      </c>
      <c r="B237" s="386">
        <f t="shared" si="40"/>
        <v>0.56000000000000005</v>
      </c>
      <c r="C237" s="386">
        <f t="shared" si="41"/>
        <v>0.54</v>
      </c>
      <c r="D237" s="388">
        <v>0.52</v>
      </c>
      <c r="E237" s="386">
        <f t="shared" si="42"/>
        <v>0.54</v>
      </c>
      <c r="F237" s="386">
        <f t="shared" si="43"/>
        <v>0.57999999999999996</v>
      </c>
      <c r="G237" s="388">
        <v>0.59</v>
      </c>
      <c r="H237" s="386">
        <f t="shared" si="44"/>
        <v>0.61</v>
      </c>
      <c r="I237" s="386">
        <f t="shared" si="45"/>
        <v>0.63</v>
      </c>
      <c r="J237" s="386">
        <f t="shared" si="46"/>
        <v>0.65</v>
      </c>
      <c r="K237" s="388">
        <v>0.66</v>
      </c>
      <c r="L237" s="386">
        <f t="shared" si="47"/>
        <v>0.65</v>
      </c>
      <c r="M237" s="386">
        <f t="shared" si="48"/>
        <v>0.61</v>
      </c>
      <c r="N237" s="386">
        <f t="shared" si="49"/>
        <v>0.57999999999999996</v>
      </c>
    </row>
    <row r="238" spans="1:14">
      <c r="A238" s="385">
        <v>61</v>
      </c>
      <c r="B238" s="386">
        <f t="shared" si="40"/>
        <v>0.54</v>
      </c>
      <c r="C238" s="386">
        <f t="shared" si="41"/>
        <v>0.52</v>
      </c>
      <c r="D238" s="386">
        <v>0.5</v>
      </c>
      <c r="E238" s="386">
        <f t="shared" si="42"/>
        <v>0.52</v>
      </c>
      <c r="F238" s="386">
        <f t="shared" si="43"/>
        <v>0.56000000000000005</v>
      </c>
      <c r="G238" s="386">
        <v>0.56999999999999995</v>
      </c>
      <c r="H238" s="386">
        <f t="shared" si="44"/>
        <v>0.59</v>
      </c>
      <c r="I238" s="386">
        <f t="shared" si="45"/>
        <v>0.61</v>
      </c>
      <c r="J238" s="386">
        <f t="shared" si="46"/>
        <v>0.63</v>
      </c>
      <c r="K238" s="386">
        <v>0.65</v>
      </c>
      <c r="L238" s="386">
        <f t="shared" si="47"/>
        <v>0.63</v>
      </c>
      <c r="M238" s="386">
        <f t="shared" si="48"/>
        <v>0.59</v>
      </c>
      <c r="N238" s="386">
        <f t="shared" si="49"/>
        <v>0.56000000000000005</v>
      </c>
    </row>
    <row r="239" spans="1:14">
      <c r="A239" s="385">
        <v>62</v>
      </c>
      <c r="B239" s="386">
        <f t="shared" si="40"/>
        <v>0.53</v>
      </c>
      <c r="C239" s="386">
        <f t="shared" si="41"/>
        <v>0.51</v>
      </c>
      <c r="D239" s="386">
        <v>0.49</v>
      </c>
      <c r="E239" s="386">
        <f t="shared" si="42"/>
        <v>0.51</v>
      </c>
      <c r="F239" s="386">
        <f t="shared" si="43"/>
        <v>0.55000000000000004</v>
      </c>
      <c r="G239" s="386">
        <v>0.56000000000000005</v>
      </c>
      <c r="H239" s="386">
        <f t="shared" si="44"/>
        <v>0.57999999999999996</v>
      </c>
      <c r="I239" s="386">
        <f t="shared" si="45"/>
        <v>0.6</v>
      </c>
      <c r="J239" s="386">
        <f t="shared" si="46"/>
        <v>0.62</v>
      </c>
      <c r="K239" s="386">
        <v>0.64</v>
      </c>
      <c r="L239" s="386">
        <f t="shared" si="47"/>
        <v>0.62</v>
      </c>
      <c r="M239" s="386">
        <f t="shared" si="48"/>
        <v>0.57999999999999996</v>
      </c>
      <c r="N239" s="386">
        <f t="shared" si="49"/>
        <v>0.55000000000000004</v>
      </c>
    </row>
    <row r="240" spans="1:14">
      <c r="A240" s="385">
        <v>63</v>
      </c>
      <c r="B240" s="386">
        <f t="shared" si="40"/>
        <v>0.51</v>
      </c>
      <c r="C240" s="386">
        <f t="shared" si="41"/>
        <v>0.49</v>
      </c>
      <c r="D240" s="386">
        <v>0.47</v>
      </c>
      <c r="E240" s="386">
        <f t="shared" si="42"/>
        <v>0.49</v>
      </c>
      <c r="F240" s="386">
        <f t="shared" si="43"/>
        <v>0.53</v>
      </c>
      <c r="G240" s="386">
        <v>0.54</v>
      </c>
      <c r="H240" s="386">
        <f t="shared" si="44"/>
        <v>0.56000000000000005</v>
      </c>
      <c r="I240" s="386">
        <f t="shared" si="45"/>
        <v>0.57999999999999996</v>
      </c>
      <c r="J240" s="386">
        <f t="shared" si="46"/>
        <v>0.6</v>
      </c>
      <c r="K240" s="386">
        <v>0.62</v>
      </c>
      <c r="L240" s="386">
        <f t="shared" si="47"/>
        <v>0.6</v>
      </c>
      <c r="M240" s="386">
        <f t="shared" si="48"/>
        <v>0.56000000000000005</v>
      </c>
      <c r="N240" s="386">
        <f t="shared" si="49"/>
        <v>0.53</v>
      </c>
    </row>
    <row r="241" spans="1:14">
      <c r="A241" s="385">
        <v>64</v>
      </c>
      <c r="B241" s="386">
        <f t="shared" ref="B241:B252" si="50">ROUND(((D241+G241)/2),2)</f>
        <v>0.49</v>
      </c>
      <c r="C241" s="386">
        <f t="shared" ref="C241:C252" si="51">ROUND(((D241+B241)/2),2)</f>
        <v>0.47</v>
      </c>
      <c r="D241" s="386">
        <v>0.45</v>
      </c>
      <c r="E241" s="386">
        <f t="shared" ref="E241:E252" si="52">ROUND(((D241+B241)/2),2)</f>
        <v>0.47</v>
      </c>
      <c r="F241" s="386">
        <f t="shared" ref="F241:F252" si="53">ROUND(((G241+B241)/2),2)</f>
        <v>0.51</v>
      </c>
      <c r="G241" s="386">
        <v>0.52</v>
      </c>
      <c r="H241" s="386">
        <f t="shared" ref="H241:H252" si="54">ROUND(((G241+I241)/2),2)</f>
        <v>0.55000000000000004</v>
      </c>
      <c r="I241" s="386">
        <f t="shared" ref="I241:I252" si="55">ROUND(((G241+K241)/2),2)</f>
        <v>0.56999999999999995</v>
      </c>
      <c r="J241" s="386">
        <f t="shared" ref="J241:J252" si="56">ROUND(((K241+I241)/2),2)</f>
        <v>0.59</v>
      </c>
      <c r="K241" s="386">
        <v>0.61</v>
      </c>
      <c r="L241" s="386">
        <f t="shared" ref="L241:L252" si="57">ROUND(((K241+I241)/2),2)</f>
        <v>0.59</v>
      </c>
      <c r="M241" s="386">
        <f t="shared" ref="M241:M252" si="58">ROUND(((G241+I241)/2),2)</f>
        <v>0.55000000000000004</v>
      </c>
      <c r="N241" s="386">
        <f t="shared" ref="N241:N252" si="59">ROUND(((G241+B241)/2),2)</f>
        <v>0.51</v>
      </c>
    </row>
    <row r="242" spans="1:14">
      <c r="A242" s="385">
        <v>65</v>
      </c>
      <c r="B242" s="386">
        <f t="shared" si="50"/>
        <v>0.47</v>
      </c>
      <c r="C242" s="386">
        <f t="shared" si="51"/>
        <v>0.45</v>
      </c>
      <c r="D242" s="386">
        <v>0.43</v>
      </c>
      <c r="E242" s="386">
        <f t="shared" si="52"/>
        <v>0.45</v>
      </c>
      <c r="F242" s="386">
        <f t="shared" si="53"/>
        <v>0.49</v>
      </c>
      <c r="G242" s="386">
        <v>0.51</v>
      </c>
      <c r="H242" s="386">
        <f t="shared" si="54"/>
        <v>0.54</v>
      </c>
      <c r="I242" s="386">
        <f t="shared" si="55"/>
        <v>0.56000000000000005</v>
      </c>
      <c r="J242" s="386">
        <f t="shared" si="56"/>
        <v>0.57999999999999996</v>
      </c>
      <c r="K242" s="386">
        <v>0.6</v>
      </c>
      <c r="L242" s="386">
        <f t="shared" si="57"/>
        <v>0.57999999999999996</v>
      </c>
      <c r="M242" s="386">
        <f t="shared" si="58"/>
        <v>0.54</v>
      </c>
      <c r="N242" s="386">
        <f t="shared" si="59"/>
        <v>0.49</v>
      </c>
    </row>
    <row r="243" spans="1:14">
      <c r="A243" s="385">
        <v>66</v>
      </c>
      <c r="B243" s="386">
        <f t="shared" si="50"/>
        <v>0.46</v>
      </c>
      <c r="C243" s="386">
        <f t="shared" si="51"/>
        <v>0.44</v>
      </c>
      <c r="D243" s="386">
        <v>0.42</v>
      </c>
      <c r="E243" s="386">
        <f t="shared" si="52"/>
        <v>0.44</v>
      </c>
      <c r="F243" s="386">
        <f t="shared" si="53"/>
        <v>0.48</v>
      </c>
      <c r="G243" s="386">
        <v>0.49</v>
      </c>
      <c r="H243" s="386">
        <f t="shared" si="54"/>
        <v>0.52</v>
      </c>
      <c r="I243" s="386">
        <f t="shared" si="55"/>
        <v>0.54</v>
      </c>
      <c r="J243" s="386">
        <f t="shared" si="56"/>
        <v>0.56999999999999995</v>
      </c>
      <c r="K243" s="386">
        <v>0.59</v>
      </c>
      <c r="L243" s="386">
        <f t="shared" si="57"/>
        <v>0.56999999999999995</v>
      </c>
      <c r="M243" s="386">
        <f t="shared" si="58"/>
        <v>0.52</v>
      </c>
      <c r="N243" s="386">
        <f t="shared" si="59"/>
        <v>0.48</v>
      </c>
    </row>
    <row r="244" spans="1:14">
      <c r="A244" s="385">
        <v>67</v>
      </c>
      <c r="B244" s="386">
        <f t="shared" si="50"/>
        <v>0.44</v>
      </c>
      <c r="C244" s="386">
        <f t="shared" si="51"/>
        <v>0.42</v>
      </c>
      <c r="D244" s="386">
        <v>0.4</v>
      </c>
      <c r="E244" s="386">
        <f t="shared" si="52"/>
        <v>0.42</v>
      </c>
      <c r="F244" s="386">
        <f t="shared" si="53"/>
        <v>0.46</v>
      </c>
      <c r="G244" s="386">
        <v>0.47</v>
      </c>
      <c r="H244" s="386">
        <f t="shared" si="54"/>
        <v>0.5</v>
      </c>
      <c r="I244" s="386">
        <f t="shared" si="55"/>
        <v>0.53</v>
      </c>
      <c r="J244" s="386">
        <f t="shared" si="56"/>
        <v>0.56000000000000005</v>
      </c>
      <c r="K244" s="386">
        <v>0.57999999999999996</v>
      </c>
      <c r="L244" s="386">
        <f t="shared" si="57"/>
        <v>0.56000000000000005</v>
      </c>
      <c r="M244" s="386">
        <f t="shared" si="58"/>
        <v>0.5</v>
      </c>
      <c r="N244" s="386">
        <f t="shared" si="59"/>
        <v>0.46</v>
      </c>
    </row>
    <row r="245" spans="1:14">
      <c r="A245" s="385">
        <v>68</v>
      </c>
      <c r="B245" s="386">
        <f t="shared" si="50"/>
        <v>0.42</v>
      </c>
      <c r="C245" s="386">
        <f t="shared" si="51"/>
        <v>0.4</v>
      </c>
      <c r="D245" s="386">
        <v>0.38</v>
      </c>
      <c r="E245" s="386">
        <f t="shared" si="52"/>
        <v>0.4</v>
      </c>
      <c r="F245" s="386">
        <f t="shared" si="53"/>
        <v>0.44</v>
      </c>
      <c r="G245" s="386">
        <v>0.46</v>
      </c>
      <c r="H245" s="386">
        <f t="shared" si="54"/>
        <v>0.49</v>
      </c>
      <c r="I245" s="386">
        <f t="shared" si="55"/>
        <v>0.51</v>
      </c>
      <c r="J245" s="386">
        <f t="shared" si="56"/>
        <v>0.54</v>
      </c>
      <c r="K245" s="386">
        <v>0.56000000000000005</v>
      </c>
      <c r="L245" s="386">
        <f t="shared" si="57"/>
        <v>0.54</v>
      </c>
      <c r="M245" s="386">
        <f t="shared" si="58"/>
        <v>0.49</v>
      </c>
      <c r="N245" s="386">
        <f t="shared" si="59"/>
        <v>0.44</v>
      </c>
    </row>
    <row r="246" spans="1:14">
      <c r="A246" s="385">
        <v>69</v>
      </c>
      <c r="B246" s="386">
        <f t="shared" si="50"/>
        <v>0.4</v>
      </c>
      <c r="C246" s="386">
        <f t="shared" si="51"/>
        <v>0.38</v>
      </c>
      <c r="D246" s="386">
        <v>0.36</v>
      </c>
      <c r="E246" s="386">
        <f t="shared" si="52"/>
        <v>0.38</v>
      </c>
      <c r="F246" s="386">
        <f t="shared" si="53"/>
        <v>0.42</v>
      </c>
      <c r="G246" s="386">
        <v>0.44</v>
      </c>
      <c r="H246" s="386">
        <f t="shared" si="54"/>
        <v>0.47</v>
      </c>
      <c r="I246" s="386">
        <f t="shared" si="55"/>
        <v>0.5</v>
      </c>
      <c r="J246" s="386">
        <f t="shared" si="56"/>
        <v>0.53</v>
      </c>
      <c r="K246" s="386">
        <v>0.55000000000000004</v>
      </c>
      <c r="L246" s="386">
        <f t="shared" si="57"/>
        <v>0.53</v>
      </c>
      <c r="M246" s="386">
        <f t="shared" si="58"/>
        <v>0.47</v>
      </c>
      <c r="N246" s="386">
        <f t="shared" si="59"/>
        <v>0.42</v>
      </c>
    </row>
    <row r="247" spans="1:14">
      <c r="A247" s="385">
        <v>70</v>
      </c>
      <c r="B247" s="386">
        <f t="shared" si="50"/>
        <v>0.39</v>
      </c>
      <c r="C247" s="386">
        <f t="shared" si="51"/>
        <v>0.37</v>
      </c>
      <c r="D247" s="386">
        <v>0.35</v>
      </c>
      <c r="E247" s="386">
        <f t="shared" si="52"/>
        <v>0.37</v>
      </c>
      <c r="F247" s="386">
        <f t="shared" si="53"/>
        <v>0.41</v>
      </c>
      <c r="G247" s="386">
        <v>0.42</v>
      </c>
      <c r="H247" s="386">
        <f t="shared" si="54"/>
        <v>0.45</v>
      </c>
      <c r="I247" s="386">
        <f t="shared" si="55"/>
        <v>0.48</v>
      </c>
      <c r="J247" s="386">
        <f t="shared" si="56"/>
        <v>0.51</v>
      </c>
      <c r="K247" s="386">
        <v>0.54</v>
      </c>
      <c r="L247" s="386">
        <f t="shared" si="57"/>
        <v>0.51</v>
      </c>
      <c r="M247" s="386">
        <f t="shared" si="58"/>
        <v>0.45</v>
      </c>
      <c r="N247" s="386">
        <f t="shared" si="59"/>
        <v>0.41</v>
      </c>
    </row>
    <row r="248" spans="1:14">
      <c r="A248" s="385">
        <v>71</v>
      </c>
      <c r="B248" s="386">
        <f t="shared" si="50"/>
        <v>0.37</v>
      </c>
      <c r="C248" s="386">
        <f t="shared" si="51"/>
        <v>0.35</v>
      </c>
      <c r="D248" s="386">
        <v>0.33</v>
      </c>
      <c r="E248" s="386">
        <f t="shared" si="52"/>
        <v>0.35</v>
      </c>
      <c r="F248" s="386">
        <f t="shared" si="53"/>
        <v>0.39</v>
      </c>
      <c r="G248" s="386">
        <v>0.41</v>
      </c>
      <c r="H248" s="386">
        <f t="shared" si="54"/>
        <v>0.44</v>
      </c>
      <c r="I248" s="386">
        <f t="shared" si="55"/>
        <v>0.47</v>
      </c>
      <c r="J248" s="386">
        <f t="shared" si="56"/>
        <v>0.5</v>
      </c>
      <c r="K248" s="386">
        <v>0.53</v>
      </c>
      <c r="L248" s="386">
        <f t="shared" si="57"/>
        <v>0.5</v>
      </c>
      <c r="M248" s="386">
        <f t="shared" si="58"/>
        <v>0.44</v>
      </c>
      <c r="N248" s="386">
        <f t="shared" si="59"/>
        <v>0.39</v>
      </c>
    </row>
    <row r="249" spans="1:14">
      <c r="A249" s="385">
        <v>72</v>
      </c>
      <c r="B249" s="386">
        <f t="shared" si="50"/>
        <v>0.35</v>
      </c>
      <c r="C249" s="386">
        <f t="shared" si="51"/>
        <v>0.33</v>
      </c>
      <c r="D249" s="386">
        <v>0.31</v>
      </c>
      <c r="E249" s="386">
        <f t="shared" si="52"/>
        <v>0.33</v>
      </c>
      <c r="F249" s="386">
        <f t="shared" si="53"/>
        <v>0.37</v>
      </c>
      <c r="G249" s="386">
        <v>0.39</v>
      </c>
      <c r="H249" s="386">
        <f t="shared" si="54"/>
        <v>0.43</v>
      </c>
      <c r="I249" s="386">
        <f t="shared" si="55"/>
        <v>0.46</v>
      </c>
      <c r="J249" s="386">
        <f t="shared" si="56"/>
        <v>0.49</v>
      </c>
      <c r="K249" s="386">
        <v>0.52</v>
      </c>
      <c r="L249" s="386">
        <f t="shared" si="57"/>
        <v>0.49</v>
      </c>
      <c r="M249" s="386">
        <f t="shared" si="58"/>
        <v>0.43</v>
      </c>
      <c r="N249" s="386">
        <f t="shared" si="59"/>
        <v>0.37</v>
      </c>
    </row>
    <row r="250" spans="1:14">
      <c r="A250" s="385">
        <v>73</v>
      </c>
      <c r="B250" s="386">
        <f t="shared" si="50"/>
        <v>0.33</v>
      </c>
      <c r="C250" s="386">
        <f t="shared" si="51"/>
        <v>0.31</v>
      </c>
      <c r="D250" s="386">
        <v>0.28999999999999998</v>
      </c>
      <c r="E250" s="386">
        <f t="shared" si="52"/>
        <v>0.31</v>
      </c>
      <c r="F250" s="386">
        <f t="shared" si="53"/>
        <v>0.35</v>
      </c>
      <c r="G250" s="386">
        <v>0.37</v>
      </c>
      <c r="H250" s="386">
        <f t="shared" si="54"/>
        <v>0.41</v>
      </c>
      <c r="I250" s="386">
        <f t="shared" si="55"/>
        <v>0.44</v>
      </c>
      <c r="J250" s="386">
        <f t="shared" si="56"/>
        <v>0.47</v>
      </c>
      <c r="K250" s="386">
        <v>0.5</v>
      </c>
      <c r="L250" s="386">
        <f t="shared" si="57"/>
        <v>0.47</v>
      </c>
      <c r="M250" s="386">
        <f t="shared" si="58"/>
        <v>0.41</v>
      </c>
      <c r="N250" s="386">
        <f t="shared" si="59"/>
        <v>0.35</v>
      </c>
    </row>
    <row r="251" spans="1:14">
      <c r="A251" s="385">
        <v>74</v>
      </c>
      <c r="B251" s="386">
        <f t="shared" si="50"/>
        <v>0.32</v>
      </c>
      <c r="C251" s="386">
        <f t="shared" si="51"/>
        <v>0.3</v>
      </c>
      <c r="D251" s="386">
        <v>0.28000000000000003</v>
      </c>
      <c r="E251" s="386">
        <f t="shared" si="52"/>
        <v>0.3</v>
      </c>
      <c r="F251" s="386">
        <f t="shared" si="53"/>
        <v>0.34</v>
      </c>
      <c r="G251" s="386">
        <v>0.36</v>
      </c>
      <c r="H251" s="386">
        <f t="shared" si="54"/>
        <v>0.4</v>
      </c>
      <c r="I251" s="386">
        <f t="shared" si="55"/>
        <v>0.43</v>
      </c>
      <c r="J251" s="386">
        <f t="shared" si="56"/>
        <v>0.46</v>
      </c>
      <c r="K251" s="386">
        <v>0.49</v>
      </c>
      <c r="L251" s="386">
        <f t="shared" si="57"/>
        <v>0.46</v>
      </c>
      <c r="M251" s="386">
        <f t="shared" si="58"/>
        <v>0.4</v>
      </c>
      <c r="N251" s="386">
        <f t="shared" si="59"/>
        <v>0.34</v>
      </c>
    </row>
    <row r="252" spans="1:14">
      <c r="A252" s="387">
        <v>75</v>
      </c>
      <c r="B252" s="386">
        <f t="shared" si="50"/>
        <v>0.3</v>
      </c>
      <c r="C252" s="386">
        <f t="shared" si="51"/>
        <v>0.28000000000000003</v>
      </c>
      <c r="D252" s="388">
        <v>0.26</v>
      </c>
      <c r="E252" s="386">
        <f t="shared" si="52"/>
        <v>0.28000000000000003</v>
      </c>
      <c r="F252" s="386">
        <f t="shared" si="53"/>
        <v>0.32</v>
      </c>
      <c r="G252" s="388">
        <v>0.34</v>
      </c>
      <c r="H252" s="386">
        <f t="shared" si="54"/>
        <v>0.38</v>
      </c>
      <c r="I252" s="386">
        <f t="shared" si="55"/>
        <v>0.41</v>
      </c>
      <c r="J252" s="386">
        <f t="shared" si="56"/>
        <v>0.45</v>
      </c>
      <c r="K252" s="388">
        <v>0.48</v>
      </c>
      <c r="L252" s="386">
        <f t="shared" si="57"/>
        <v>0.45</v>
      </c>
      <c r="M252" s="386">
        <f t="shared" si="58"/>
        <v>0.38</v>
      </c>
      <c r="N252" s="386">
        <f t="shared" si="59"/>
        <v>0.32</v>
      </c>
    </row>
    <row r="254" spans="1:14" ht="12">
      <c r="B254" s="1069" t="s">
        <v>101</v>
      </c>
      <c r="C254" s="1069" t="s">
        <v>591</v>
      </c>
      <c r="D254" s="1069" t="s">
        <v>191</v>
      </c>
      <c r="E254" s="1069" t="s">
        <v>592</v>
      </c>
      <c r="F254" s="1069" t="s">
        <v>593</v>
      </c>
      <c r="G254" s="1069" t="s">
        <v>503</v>
      </c>
      <c r="H254" s="1069" t="s">
        <v>594</v>
      </c>
      <c r="I254" s="1069" t="s">
        <v>83</v>
      </c>
      <c r="J254" s="1069" t="s">
        <v>595</v>
      </c>
      <c r="K254" s="1069" t="s">
        <v>54</v>
      </c>
      <c r="L254" s="1069" t="s">
        <v>588</v>
      </c>
      <c r="M254" s="1069" t="s">
        <v>589</v>
      </c>
      <c r="N254" s="1069" t="s">
        <v>590</v>
      </c>
    </row>
    <row r="256" spans="1:14" ht="12">
      <c r="A256" s="389" t="s">
        <v>348</v>
      </c>
      <c r="B256" s="385"/>
      <c r="C256" s="385"/>
      <c r="D256" s="385"/>
      <c r="E256" s="385"/>
      <c r="F256" s="385"/>
      <c r="G256" s="385"/>
      <c r="H256" s="385"/>
      <c r="I256" s="385"/>
      <c r="J256" s="385"/>
      <c r="K256" s="385"/>
      <c r="L256" s="385"/>
      <c r="M256" s="385"/>
      <c r="N256" s="385"/>
    </row>
    <row r="257" spans="1:23" ht="12">
      <c r="A257" s="385"/>
      <c r="B257" s="1019" t="s">
        <v>101</v>
      </c>
      <c r="C257" s="1019" t="s">
        <v>591</v>
      </c>
      <c r="D257" s="1019" t="s">
        <v>191</v>
      </c>
      <c r="E257" s="1019" t="s">
        <v>592</v>
      </c>
      <c r="F257" s="1019" t="s">
        <v>593</v>
      </c>
      <c r="G257" s="1019" t="s">
        <v>503</v>
      </c>
      <c r="H257" s="1019" t="s">
        <v>594</v>
      </c>
      <c r="I257" s="1019" t="s">
        <v>83</v>
      </c>
      <c r="J257" s="1019" t="s">
        <v>595</v>
      </c>
      <c r="K257" s="1019" t="s">
        <v>54</v>
      </c>
      <c r="L257" s="1019" t="s">
        <v>588</v>
      </c>
      <c r="M257" s="1019" t="s">
        <v>589</v>
      </c>
      <c r="N257" s="1019" t="s">
        <v>590</v>
      </c>
    </row>
    <row r="258" spans="1:23">
      <c r="A258" s="387">
        <v>0</v>
      </c>
      <c r="B258" s="386">
        <f t="shared" ref="B258:B289" si="60">ROUND(((D258+G258)/2),2)</f>
        <v>1</v>
      </c>
      <c r="C258" s="386">
        <f t="shared" ref="C258:C289" si="61">ROUND(((D258+B258)/2),2)</f>
        <v>1</v>
      </c>
      <c r="D258" s="388">
        <v>1</v>
      </c>
      <c r="E258" s="386">
        <f t="shared" ref="E258:E289" si="62">ROUND(((D258+B258)/2),2)</f>
        <v>1</v>
      </c>
      <c r="F258" s="386">
        <f t="shared" ref="F258:F289" si="63">ROUND(((G258+B258)/2),2)</f>
        <v>1</v>
      </c>
      <c r="G258" s="388">
        <v>1</v>
      </c>
      <c r="H258" s="386">
        <f t="shared" ref="H258:H289" si="64">ROUND(((G258+I258)/2),2)</f>
        <v>1</v>
      </c>
      <c r="I258" s="386">
        <f t="shared" ref="I258:I289" si="65">ROUND(((K258+G258)/2),2)</f>
        <v>1</v>
      </c>
      <c r="J258" s="386">
        <v>1</v>
      </c>
      <c r="K258" s="388">
        <v>1</v>
      </c>
      <c r="L258" s="386">
        <v>1</v>
      </c>
      <c r="M258" s="386">
        <f t="shared" ref="M258:M289" si="66">ROUND(((I258+G258)/2),2)</f>
        <v>1</v>
      </c>
      <c r="N258" s="386">
        <f t="shared" ref="N258:N289" si="67">ROUND(((G258+B258)/2),2)</f>
        <v>1</v>
      </c>
    </row>
    <row r="259" spans="1:23">
      <c r="A259" s="385">
        <v>1</v>
      </c>
      <c r="B259" s="386">
        <f t="shared" si="60"/>
        <v>1</v>
      </c>
      <c r="C259" s="386">
        <f t="shared" si="61"/>
        <v>1</v>
      </c>
      <c r="D259" s="386">
        <v>1</v>
      </c>
      <c r="E259" s="386">
        <f t="shared" si="62"/>
        <v>1</v>
      </c>
      <c r="F259" s="386">
        <f t="shared" si="63"/>
        <v>1</v>
      </c>
      <c r="G259" s="386">
        <v>1</v>
      </c>
      <c r="H259" s="386">
        <f t="shared" si="64"/>
        <v>1</v>
      </c>
      <c r="I259" s="386">
        <f t="shared" si="65"/>
        <v>1</v>
      </c>
      <c r="J259" s="386">
        <v>1</v>
      </c>
      <c r="K259" s="386">
        <v>1</v>
      </c>
      <c r="L259" s="386">
        <v>1</v>
      </c>
      <c r="M259" s="386">
        <f t="shared" si="66"/>
        <v>1</v>
      </c>
      <c r="N259" s="386">
        <f t="shared" si="67"/>
        <v>1</v>
      </c>
    </row>
    <row r="260" spans="1:23">
      <c r="A260" s="385">
        <v>2</v>
      </c>
      <c r="B260" s="386">
        <f t="shared" si="60"/>
        <v>1</v>
      </c>
      <c r="C260" s="386">
        <f t="shared" si="61"/>
        <v>1</v>
      </c>
      <c r="D260" s="386">
        <v>1</v>
      </c>
      <c r="E260" s="386">
        <f t="shared" si="62"/>
        <v>1</v>
      </c>
      <c r="F260" s="386">
        <f t="shared" si="63"/>
        <v>1</v>
      </c>
      <c r="G260" s="386">
        <v>0.99</v>
      </c>
      <c r="H260" s="386">
        <f t="shared" si="64"/>
        <v>1</v>
      </c>
      <c r="I260" s="386">
        <f t="shared" si="65"/>
        <v>1</v>
      </c>
      <c r="J260" s="386">
        <v>1</v>
      </c>
      <c r="K260" s="386">
        <v>1</v>
      </c>
      <c r="L260" s="386">
        <v>1</v>
      </c>
      <c r="M260" s="386">
        <f t="shared" si="66"/>
        <v>1</v>
      </c>
      <c r="N260" s="386">
        <f t="shared" si="67"/>
        <v>1</v>
      </c>
      <c r="W260"/>
    </row>
    <row r="261" spans="1:23">
      <c r="A261" s="385">
        <v>3</v>
      </c>
      <c r="B261" s="386">
        <f t="shared" si="60"/>
        <v>0.99</v>
      </c>
      <c r="C261" s="386">
        <f t="shared" si="61"/>
        <v>0.99</v>
      </c>
      <c r="D261" s="386">
        <v>0.99</v>
      </c>
      <c r="E261" s="386">
        <f t="shared" si="62"/>
        <v>0.99</v>
      </c>
      <c r="F261" s="386">
        <f t="shared" si="63"/>
        <v>0.99</v>
      </c>
      <c r="G261" s="386">
        <v>0.99</v>
      </c>
      <c r="H261" s="386">
        <f t="shared" si="64"/>
        <v>1</v>
      </c>
      <c r="I261" s="386">
        <f t="shared" si="65"/>
        <v>1</v>
      </c>
      <c r="J261" s="386">
        <v>1</v>
      </c>
      <c r="K261" s="386">
        <v>1</v>
      </c>
      <c r="L261" s="386">
        <v>1</v>
      </c>
      <c r="M261" s="386">
        <f t="shared" si="66"/>
        <v>1</v>
      </c>
      <c r="N261" s="386">
        <f t="shared" si="67"/>
        <v>0.99</v>
      </c>
      <c r="W261"/>
    </row>
    <row r="262" spans="1:23">
      <c r="A262" s="385">
        <v>4</v>
      </c>
      <c r="B262" s="386">
        <f t="shared" si="60"/>
        <v>0.99</v>
      </c>
      <c r="C262" s="386">
        <f t="shared" si="61"/>
        <v>0.99</v>
      </c>
      <c r="D262" s="386">
        <v>0.99</v>
      </c>
      <c r="E262" s="386">
        <f t="shared" si="62"/>
        <v>0.99</v>
      </c>
      <c r="F262" s="386">
        <f t="shared" si="63"/>
        <v>0.99</v>
      </c>
      <c r="G262" s="386">
        <v>0.99</v>
      </c>
      <c r="H262" s="386">
        <f t="shared" si="64"/>
        <v>1</v>
      </c>
      <c r="I262" s="386">
        <f t="shared" si="65"/>
        <v>1</v>
      </c>
      <c r="J262" s="386">
        <v>1</v>
      </c>
      <c r="K262" s="386">
        <v>1</v>
      </c>
      <c r="L262" s="386">
        <v>1</v>
      </c>
      <c r="M262" s="386">
        <f t="shared" si="66"/>
        <v>1</v>
      </c>
      <c r="N262" s="386">
        <f t="shared" si="67"/>
        <v>0.99</v>
      </c>
      <c r="W262"/>
    </row>
    <row r="263" spans="1:23">
      <c r="A263" s="385">
        <v>5</v>
      </c>
      <c r="B263" s="386">
        <f t="shared" si="60"/>
        <v>0.99</v>
      </c>
      <c r="C263" s="386">
        <f t="shared" si="61"/>
        <v>0.99</v>
      </c>
      <c r="D263" s="386">
        <v>0.99</v>
      </c>
      <c r="E263" s="386">
        <f t="shared" si="62"/>
        <v>0.99</v>
      </c>
      <c r="F263" s="386">
        <f t="shared" si="63"/>
        <v>0.99</v>
      </c>
      <c r="G263" s="386">
        <v>0.99</v>
      </c>
      <c r="H263" s="386">
        <f t="shared" si="64"/>
        <v>1</v>
      </c>
      <c r="I263" s="386">
        <f t="shared" si="65"/>
        <v>1</v>
      </c>
      <c r="J263" s="386">
        <v>1</v>
      </c>
      <c r="K263" s="386">
        <v>1</v>
      </c>
      <c r="L263" s="386">
        <v>1</v>
      </c>
      <c r="M263" s="386">
        <f t="shared" si="66"/>
        <v>1</v>
      </c>
      <c r="N263" s="386">
        <f t="shared" si="67"/>
        <v>0.99</v>
      </c>
      <c r="W263"/>
    </row>
    <row r="264" spans="1:23">
      <c r="A264" s="385">
        <v>6</v>
      </c>
      <c r="B264" s="386">
        <f t="shared" si="60"/>
        <v>0.99</v>
      </c>
      <c r="C264" s="386">
        <f t="shared" si="61"/>
        <v>0.99</v>
      </c>
      <c r="D264" s="386">
        <v>0.99</v>
      </c>
      <c r="E264" s="386">
        <f t="shared" si="62"/>
        <v>0.99</v>
      </c>
      <c r="F264" s="386">
        <f t="shared" si="63"/>
        <v>0.99</v>
      </c>
      <c r="G264" s="386">
        <v>0.98</v>
      </c>
      <c r="H264" s="386">
        <f t="shared" si="64"/>
        <v>0.99</v>
      </c>
      <c r="I264" s="386">
        <f t="shared" si="65"/>
        <v>0.99</v>
      </c>
      <c r="J264" s="386">
        <v>1</v>
      </c>
      <c r="K264" s="386">
        <v>1</v>
      </c>
      <c r="L264" s="386">
        <v>1</v>
      </c>
      <c r="M264" s="386">
        <f t="shared" si="66"/>
        <v>0.99</v>
      </c>
      <c r="N264" s="386">
        <f t="shared" si="67"/>
        <v>0.99</v>
      </c>
      <c r="W264"/>
    </row>
    <row r="265" spans="1:23">
      <c r="A265" s="385">
        <v>7</v>
      </c>
      <c r="B265" s="386">
        <f t="shared" si="60"/>
        <v>0.99</v>
      </c>
      <c r="C265" s="386">
        <f t="shared" si="61"/>
        <v>0.99</v>
      </c>
      <c r="D265" s="386">
        <v>0.99</v>
      </c>
      <c r="E265" s="386">
        <f t="shared" si="62"/>
        <v>0.99</v>
      </c>
      <c r="F265" s="386">
        <f t="shared" si="63"/>
        <v>0.99</v>
      </c>
      <c r="G265" s="386">
        <v>0.98</v>
      </c>
      <c r="H265" s="386">
        <f t="shared" si="64"/>
        <v>0.99</v>
      </c>
      <c r="I265" s="386">
        <f t="shared" si="65"/>
        <v>0.99</v>
      </c>
      <c r="J265" s="386">
        <v>1</v>
      </c>
      <c r="K265" s="386">
        <v>1</v>
      </c>
      <c r="L265" s="386">
        <v>1</v>
      </c>
      <c r="M265" s="386">
        <f t="shared" si="66"/>
        <v>0.99</v>
      </c>
      <c r="N265" s="386">
        <f t="shared" si="67"/>
        <v>0.99</v>
      </c>
      <c r="W265"/>
    </row>
    <row r="266" spans="1:23">
      <c r="A266" s="385">
        <v>8</v>
      </c>
      <c r="B266" s="386">
        <f t="shared" si="60"/>
        <v>0.98</v>
      </c>
      <c r="C266" s="386">
        <f t="shared" si="61"/>
        <v>0.98</v>
      </c>
      <c r="D266" s="386">
        <v>0.98</v>
      </c>
      <c r="E266" s="386">
        <f t="shared" si="62"/>
        <v>0.98</v>
      </c>
      <c r="F266" s="386">
        <f t="shared" si="63"/>
        <v>0.98</v>
      </c>
      <c r="G266" s="386">
        <v>0.98</v>
      </c>
      <c r="H266" s="386">
        <f t="shared" si="64"/>
        <v>0.99</v>
      </c>
      <c r="I266" s="386">
        <f t="shared" si="65"/>
        <v>0.99</v>
      </c>
      <c r="J266" s="386">
        <v>1</v>
      </c>
      <c r="K266" s="386">
        <v>1</v>
      </c>
      <c r="L266" s="386">
        <v>1</v>
      </c>
      <c r="M266" s="386">
        <f t="shared" si="66"/>
        <v>0.99</v>
      </c>
      <c r="N266" s="386">
        <f t="shared" si="67"/>
        <v>0.98</v>
      </c>
      <c r="W266"/>
    </row>
    <row r="267" spans="1:23">
      <c r="A267" s="385">
        <v>9</v>
      </c>
      <c r="B267" s="386">
        <f t="shared" si="60"/>
        <v>0.98</v>
      </c>
      <c r="C267" s="386">
        <f t="shared" si="61"/>
        <v>0.98</v>
      </c>
      <c r="D267" s="386">
        <v>0.98</v>
      </c>
      <c r="E267" s="386">
        <f t="shared" si="62"/>
        <v>0.98</v>
      </c>
      <c r="F267" s="386">
        <f t="shared" si="63"/>
        <v>0.98</v>
      </c>
      <c r="G267" s="386">
        <v>0.98</v>
      </c>
      <c r="H267" s="386">
        <f t="shared" si="64"/>
        <v>0.99</v>
      </c>
      <c r="I267" s="386">
        <f t="shared" si="65"/>
        <v>0.99</v>
      </c>
      <c r="J267" s="386">
        <v>1</v>
      </c>
      <c r="K267" s="386">
        <v>1</v>
      </c>
      <c r="L267" s="386">
        <v>1</v>
      </c>
      <c r="M267" s="386">
        <f t="shared" si="66"/>
        <v>0.99</v>
      </c>
      <c r="N267" s="386">
        <f t="shared" si="67"/>
        <v>0.98</v>
      </c>
      <c r="W267"/>
    </row>
    <row r="268" spans="1:23">
      <c r="A268" s="385">
        <v>10</v>
      </c>
      <c r="B268" s="386">
        <f t="shared" si="60"/>
        <v>0.98</v>
      </c>
      <c r="C268" s="386">
        <f t="shared" si="61"/>
        <v>0.98</v>
      </c>
      <c r="D268" s="386">
        <v>0.98</v>
      </c>
      <c r="E268" s="386">
        <f t="shared" si="62"/>
        <v>0.98</v>
      </c>
      <c r="F268" s="386">
        <f t="shared" si="63"/>
        <v>0.98</v>
      </c>
      <c r="G268" s="386">
        <v>0.97</v>
      </c>
      <c r="H268" s="386">
        <f t="shared" si="64"/>
        <v>0.98</v>
      </c>
      <c r="I268" s="386">
        <f t="shared" si="65"/>
        <v>0.99</v>
      </c>
      <c r="J268" s="386">
        <v>1</v>
      </c>
      <c r="K268" s="386">
        <v>1</v>
      </c>
      <c r="L268" s="386">
        <v>1</v>
      </c>
      <c r="M268" s="386">
        <f t="shared" si="66"/>
        <v>0.98</v>
      </c>
      <c r="N268" s="386">
        <f t="shared" si="67"/>
        <v>0.98</v>
      </c>
      <c r="W268"/>
    </row>
    <row r="269" spans="1:23">
      <c r="A269" s="385">
        <v>11</v>
      </c>
      <c r="B269" s="386">
        <f t="shared" si="60"/>
        <v>0.98</v>
      </c>
      <c r="C269" s="386">
        <f t="shared" si="61"/>
        <v>0.98</v>
      </c>
      <c r="D269" s="386">
        <v>0.98</v>
      </c>
      <c r="E269" s="386">
        <f t="shared" si="62"/>
        <v>0.98</v>
      </c>
      <c r="F269" s="386">
        <f t="shared" si="63"/>
        <v>0.98</v>
      </c>
      <c r="G269" s="386">
        <v>0.97</v>
      </c>
      <c r="H269" s="386">
        <f t="shared" si="64"/>
        <v>0.98</v>
      </c>
      <c r="I269" s="386">
        <f t="shared" si="65"/>
        <v>0.99</v>
      </c>
      <c r="J269" s="386">
        <v>1</v>
      </c>
      <c r="K269" s="386">
        <v>1</v>
      </c>
      <c r="L269" s="386">
        <v>1</v>
      </c>
      <c r="M269" s="386">
        <f t="shared" si="66"/>
        <v>0.98</v>
      </c>
      <c r="N269" s="386">
        <f t="shared" si="67"/>
        <v>0.98</v>
      </c>
      <c r="W269"/>
    </row>
    <row r="270" spans="1:23">
      <c r="A270" s="385">
        <v>12</v>
      </c>
      <c r="B270" s="386">
        <f t="shared" si="60"/>
        <v>0.98</v>
      </c>
      <c r="C270" s="386">
        <f t="shared" si="61"/>
        <v>0.98</v>
      </c>
      <c r="D270" s="386">
        <v>0.98</v>
      </c>
      <c r="E270" s="386">
        <f t="shared" si="62"/>
        <v>0.98</v>
      </c>
      <c r="F270" s="386">
        <f t="shared" si="63"/>
        <v>0.98</v>
      </c>
      <c r="G270" s="386">
        <v>0.97</v>
      </c>
      <c r="H270" s="386">
        <f t="shared" si="64"/>
        <v>0.98</v>
      </c>
      <c r="I270" s="386">
        <f t="shared" si="65"/>
        <v>0.99</v>
      </c>
      <c r="J270" s="386">
        <v>1</v>
      </c>
      <c r="K270" s="386">
        <v>1</v>
      </c>
      <c r="L270" s="386">
        <v>1</v>
      </c>
      <c r="M270" s="386">
        <f t="shared" si="66"/>
        <v>0.98</v>
      </c>
      <c r="N270" s="386">
        <f t="shared" si="67"/>
        <v>0.98</v>
      </c>
      <c r="W270"/>
    </row>
    <row r="271" spans="1:23">
      <c r="A271" s="385">
        <v>13</v>
      </c>
      <c r="B271" s="386">
        <f t="shared" si="60"/>
        <v>0.97</v>
      </c>
      <c r="C271" s="386">
        <f t="shared" si="61"/>
        <v>0.97</v>
      </c>
      <c r="D271" s="386">
        <v>0.97</v>
      </c>
      <c r="E271" s="386">
        <f t="shared" si="62"/>
        <v>0.97</v>
      </c>
      <c r="F271" s="386">
        <f t="shared" si="63"/>
        <v>0.97</v>
      </c>
      <c r="G271" s="386">
        <v>0.97</v>
      </c>
      <c r="H271" s="386">
        <f t="shared" si="64"/>
        <v>0.98</v>
      </c>
      <c r="I271" s="386">
        <f t="shared" si="65"/>
        <v>0.99</v>
      </c>
      <c r="J271" s="386">
        <v>1</v>
      </c>
      <c r="K271" s="386">
        <v>1</v>
      </c>
      <c r="L271" s="386">
        <v>1</v>
      </c>
      <c r="M271" s="386">
        <f t="shared" si="66"/>
        <v>0.98</v>
      </c>
      <c r="N271" s="386">
        <f t="shared" si="67"/>
        <v>0.97</v>
      </c>
      <c r="W271"/>
    </row>
    <row r="272" spans="1:23">
      <c r="A272" s="385">
        <v>14</v>
      </c>
      <c r="B272" s="386">
        <f t="shared" si="60"/>
        <v>0.97</v>
      </c>
      <c r="C272" s="386">
        <f t="shared" si="61"/>
        <v>0.97</v>
      </c>
      <c r="D272" s="386">
        <v>0.97</v>
      </c>
      <c r="E272" s="386">
        <f t="shared" si="62"/>
        <v>0.97</v>
      </c>
      <c r="F272" s="386">
        <f t="shared" si="63"/>
        <v>0.97</v>
      </c>
      <c r="G272" s="386">
        <v>0.96</v>
      </c>
      <c r="H272" s="386">
        <f t="shared" si="64"/>
        <v>0.97</v>
      </c>
      <c r="I272" s="386">
        <f t="shared" si="65"/>
        <v>0.98</v>
      </c>
      <c r="J272" s="386">
        <v>1</v>
      </c>
      <c r="K272" s="386">
        <v>1</v>
      </c>
      <c r="L272" s="386">
        <v>1</v>
      </c>
      <c r="M272" s="386">
        <f t="shared" si="66"/>
        <v>0.97</v>
      </c>
      <c r="N272" s="386">
        <f t="shared" si="67"/>
        <v>0.97</v>
      </c>
      <c r="W272"/>
    </row>
    <row r="273" spans="1:23">
      <c r="A273" s="387">
        <v>15</v>
      </c>
      <c r="B273" s="386">
        <f t="shared" si="60"/>
        <v>0.97</v>
      </c>
      <c r="C273" s="386">
        <f t="shared" si="61"/>
        <v>0.97</v>
      </c>
      <c r="D273" s="388">
        <v>0.97</v>
      </c>
      <c r="E273" s="386">
        <f t="shared" si="62"/>
        <v>0.97</v>
      </c>
      <c r="F273" s="386">
        <f t="shared" si="63"/>
        <v>0.97</v>
      </c>
      <c r="G273" s="388">
        <v>0.96</v>
      </c>
      <c r="H273" s="386">
        <f t="shared" si="64"/>
        <v>0.97</v>
      </c>
      <c r="I273" s="386">
        <f t="shared" si="65"/>
        <v>0.98</v>
      </c>
      <c r="J273" s="386">
        <v>1</v>
      </c>
      <c r="K273" s="388">
        <v>1</v>
      </c>
      <c r="L273" s="386">
        <v>1</v>
      </c>
      <c r="M273" s="386">
        <f t="shared" si="66"/>
        <v>0.97</v>
      </c>
      <c r="N273" s="386">
        <f t="shared" si="67"/>
        <v>0.97</v>
      </c>
      <c r="W273"/>
    </row>
    <row r="274" spans="1:23">
      <c r="A274" s="385">
        <v>16</v>
      </c>
      <c r="B274" s="386">
        <f t="shared" si="60"/>
        <v>0.97</v>
      </c>
      <c r="C274" s="386">
        <f t="shared" si="61"/>
        <v>0.97</v>
      </c>
      <c r="D274" s="386">
        <v>0.97</v>
      </c>
      <c r="E274" s="386">
        <f t="shared" si="62"/>
        <v>0.97</v>
      </c>
      <c r="F274" s="386">
        <f t="shared" si="63"/>
        <v>0.97</v>
      </c>
      <c r="G274" s="386">
        <v>0.96</v>
      </c>
      <c r="H274" s="386">
        <f t="shared" si="64"/>
        <v>0.97</v>
      </c>
      <c r="I274" s="386">
        <f t="shared" si="65"/>
        <v>0.98</v>
      </c>
      <c r="J274" s="386">
        <v>1</v>
      </c>
      <c r="K274" s="386">
        <v>1</v>
      </c>
      <c r="L274" s="386">
        <v>1</v>
      </c>
      <c r="M274" s="386">
        <f t="shared" si="66"/>
        <v>0.97</v>
      </c>
      <c r="N274" s="386">
        <f t="shared" si="67"/>
        <v>0.97</v>
      </c>
      <c r="W274"/>
    </row>
    <row r="275" spans="1:23">
      <c r="A275" s="385">
        <v>17</v>
      </c>
      <c r="B275" s="386">
        <f t="shared" si="60"/>
        <v>0.96</v>
      </c>
      <c r="C275" s="386">
        <f t="shared" si="61"/>
        <v>0.97</v>
      </c>
      <c r="D275" s="386">
        <v>0.97</v>
      </c>
      <c r="E275" s="386">
        <f t="shared" si="62"/>
        <v>0.97</v>
      </c>
      <c r="F275" s="386">
        <f t="shared" si="63"/>
        <v>0.96</v>
      </c>
      <c r="G275" s="386">
        <v>0.95</v>
      </c>
      <c r="H275" s="386">
        <f t="shared" si="64"/>
        <v>0.97</v>
      </c>
      <c r="I275" s="386">
        <f t="shared" si="65"/>
        <v>0.98</v>
      </c>
      <c r="J275" s="386">
        <v>1</v>
      </c>
      <c r="K275" s="386">
        <v>1</v>
      </c>
      <c r="L275" s="386">
        <v>1</v>
      </c>
      <c r="M275" s="386">
        <f t="shared" si="66"/>
        <v>0.97</v>
      </c>
      <c r="N275" s="386">
        <f t="shared" si="67"/>
        <v>0.96</v>
      </c>
      <c r="W275"/>
    </row>
    <row r="276" spans="1:23">
      <c r="A276" s="385">
        <v>18</v>
      </c>
      <c r="B276" s="386">
        <f t="shared" si="60"/>
        <v>0.96</v>
      </c>
      <c r="C276" s="386">
        <f t="shared" si="61"/>
        <v>0.96</v>
      </c>
      <c r="D276" s="386">
        <v>0.96</v>
      </c>
      <c r="E276" s="386">
        <f t="shared" si="62"/>
        <v>0.96</v>
      </c>
      <c r="F276" s="386">
        <f t="shared" si="63"/>
        <v>0.96</v>
      </c>
      <c r="G276" s="386">
        <v>0.95</v>
      </c>
      <c r="H276" s="386">
        <f t="shared" si="64"/>
        <v>0.97</v>
      </c>
      <c r="I276" s="386">
        <f t="shared" si="65"/>
        <v>0.98</v>
      </c>
      <c r="J276" s="386">
        <v>1</v>
      </c>
      <c r="K276" s="386">
        <v>1</v>
      </c>
      <c r="L276" s="386">
        <v>1</v>
      </c>
      <c r="M276" s="386">
        <f t="shared" si="66"/>
        <v>0.97</v>
      </c>
      <c r="N276" s="386">
        <f t="shared" si="67"/>
        <v>0.96</v>
      </c>
      <c r="W276"/>
    </row>
    <row r="277" spans="1:23">
      <c r="A277" s="385">
        <v>19</v>
      </c>
      <c r="B277" s="386">
        <f t="shared" si="60"/>
        <v>0.96</v>
      </c>
      <c r="C277" s="386">
        <f t="shared" si="61"/>
        <v>0.96</v>
      </c>
      <c r="D277" s="386">
        <v>0.96</v>
      </c>
      <c r="E277" s="386">
        <f t="shared" si="62"/>
        <v>0.96</v>
      </c>
      <c r="F277" s="386">
        <f t="shared" si="63"/>
        <v>0.96</v>
      </c>
      <c r="G277" s="386">
        <v>0.95</v>
      </c>
      <c r="H277" s="386">
        <f t="shared" si="64"/>
        <v>0.97</v>
      </c>
      <c r="I277" s="386">
        <f t="shared" si="65"/>
        <v>0.98</v>
      </c>
      <c r="J277" s="386">
        <v>1</v>
      </c>
      <c r="K277" s="386">
        <v>1</v>
      </c>
      <c r="L277" s="386">
        <v>1</v>
      </c>
      <c r="M277" s="386">
        <f t="shared" si="66"/>
        <v>0.97</v>
      </c>
      <c r="N277" s="386">
        <f t="shared" si="67"/>
        <v>0.96</v>
      </c>
      <c r="W277"/>
    </row>
    <row r="278" spans="1:23">
      <c r="A278" s="385">
        <v>20</v>
      </c>
      <c r="B278" s="386">
        <f t="shared" si="60"/>
        <v>0.96</v>
      </c>
      <c r="C278" s="386">
        <f t="shared" si="61"/>
        <v>0.96</v>
      </c>
      <c r="D278" s="386">
        <v>0.96</v>
      </c>
      <c r="E278" s="386">
        <f t="shared" si="62"/>
        <v>0.96</v>
      </c>
      <c r="F278" s="386">
        <f t="shared" si="63"/>
        <v>0.96</v>
      </c>
      <c r="G278" s="386">
        <v>0.95</v>
      </c>
      <c r="H278" s="386">
        <f t="shared" si="64"/>
        <v>0.97</v>
      </c>
      <c r="I278" s="386">
        <f t="shared" si="65"/>
        <v>0.98</v>
      </c>
      <c r="J278" s="386">
        <v>1</v>
      </c>
      <c r="K278" s="386">
        <v>1</v>
      </c>
      <c r="L278" s="386">
        <v>1</v>
      </c>
      <c r="M278" s="386">
        <f t="shared" si="66"/>
        <v>0.97</v>
      </c>
      <c r="N278" s="386">
        <f t="shared" si="67"/>
        <v>0.96</v>
      </c>
      <c r="W278"/>
    </row>
    <row r="279" spans="1:23">
      <c r="A279" s="385">
        <v>21</v>
      </c>
      <c r="B279" s="386">
        <f t="shared" si="60"/>
        <v>0.95</v>
      </c>
      <c r="C279" s="386">
        <f t="shared" si="61"/>
        <v>0.96</v>
      </c>
      <c r="D279" s="386">
        <v>0.96</v>
      </c>
      <c r="E279" s="386">
        <f t="shared" si="62"/>
        <v>0.96</v>
      </c>
      <c r="F279" s="386">
        <f t="shared" si="63"/>
        <v>0.95</v>
      </c>
      <c r="G279" s="386">
        <v>0.94</v>
      </c>
      <c r="H279" s="386">
        <f t="shared" si="64"/>
        <v>0.96</v>
      </c>
      <c r="I279" s="386">
        <f t="shared" si="65"/>
        <v>0.97</v>
      </c>
      <c r="J279" s="386">
        <v>1</v>
      </c>
      <c r="K279" s="386">
        <v>1</v>
      </c>
      <c r="L279" s="386">
        <v>1</v>
      </c>
      <c r="M279" s="386">
        <f t="shared" si="66"/>
        <v>0.96</v>
      </c>
      <c r="N279" s="386">
        <f t="shared" si="67"/>
        <v>0.95</v>
      </c>
      <c r="W279"/>
    </row>
    <row r="280" spans="1:23">
      <c r="A280" s="385">
        <v>22</v>
      </c>
      <c r="B280" s="386">
        <f t="shared" si="60"/>
        <v>0.95</v>
      </c>
      <c r="C280" s="386">
        <f t="shared" si="61"/>
        <v>0.96</v>
      </c>
      <c r="D280" s="386">
        <v>0.96</v>
      </c>
      <c r="E280" s="386">
        <f t="shared" si="62"/>
        <v>0.96</v>
      </c>
      <c r="F280" s="386">
        <f t="shared" si="63"/>
        <v>0.95</v>
      </c>
      <c r="G280" s="386">
        <v>0.94</v>
      </c>
      <c r="H280" s="386">
        <f t="shared" si="64"/>
        <v>0.96</v>
      </c>
      <c r="I280" s="386">
        <f t="shared" si="65"/>
        <v>0.97</v>
      </c>
      <c r="J280" s="386">
        <v>1</v>
      </c>
      <c r="K280" s="386">
        <v>1</v>
      </c>
      <c r="L280" s="386">
        <v>1</v>
      </c>
      <c r="M280" s="386">
        <f t="shared" si="66"/>
        <v>0.96</v>
      </c>
      <c r="N280" s="386">
        <f t="shared" si="67"/>
        <v>0.95</v>
      </c>
      <c r="W280"/>
    </row>
    <row r="281" spans="1:23">
      <c r="A281" s="385">
        <v>23</v>
      </c>
      <c r="B281" s="386">
        <f t="shared" si="60"/>
        <v>0.95</v>
      </c>
      <c r="C281" s="386">
        <f t="shared" si="61"/>
        <v>0.95</v>
      </c>
      <c r="D281" s="386">
        <v>0.95</v>
      </c>
      <c r="E281" s="386">
        <f t="shared" si="62"/>
        <v>0.95</v>
      </c>
      <c r="F281" s="386">
        <f t="shared" si="63"/>
        <v>0.95</v>
      </c>
      <c r="G281" s="386">
        <v>0.94</v>
      </c>
      <c r="H281" s="386">
        <f t="shared" si="64"/>
        <v>0.96</v>
      </c>
      <c r="I281" s="386">
        <f t="shared" si="65"/>
        <v>0.97</v>
      </c>
      <c r="J281" s="386">
        <v>1</v>
      </c>
      <c r="K281" s="386">
        <v>1</v>
      </c>
      <c r="L281" s="386">
        <v>1</v>
      </c>
      <c r="M281" s="386">
        <f t="shared" si="66"/>
        <v>0.96</v>
      </c>
      <c r="N281" s="386">
        <f t="shared" si="67"/>
        <v>0.95</v>
      </c>
      <c r="W281"/>
    </row>
    <row r="282" spans="1:23">
      <c r="A282" s="385">
        <v>24</v>
      </c>
      <c r="B282" s="386">
        <f t="shared" si="60"/>
        <v>0.95</v>
      </c>
      <c r="C282" s="386">
        <f t="shared" si="61"/>
        <v>0.95</v>
      </c>
      <c r="D282" s="386">
        <v>0.95</v>
      </c>
      <c r="E282" s="386">
        <f t="shared" si="62"/>
        <v>0.95</v>
      </c>
      <c r="F282" s="386">
        <f t="shared" si="63"/>
        <v>0.95</v>
      </c>
      <c r="G282" s="386">
        <v>0.94</v>
      </c>
      <c r="H282" s="386">
        <f t="shared" si="64"/>
        <v>0.96</v>
      </c>
      <c r="I282" s="386">
        <f t="shared" si="65"/>
        <v>0.97</v>
      </c>
      <c r="J282" s="386">
        <v>1</v>
      </c>
      <c r="K282" s="386">
        <v>1</v>
      </c>
      <c r="L282" s="386">
        <v>1</v>
      </c>
      <c r="M282" s="386">
        <f t="shared" si="66"/>
        <v>0.96</v>
      </c>
      <c r="N282" s="386">
        <f t="shared" si="67"/>
        <v>0.95</v>
      </c>
      <c r="W282"/>
    </row>
    <row r="283" spans="1:23">
      <c r="A283" s="385">
        <v>25</v>
      </c>
      <c r="B283" s="386">
        <f t="shared" si="60"/>
        <v>0.94</v>
      </c>
      <c r="C283" s="386">
        <f t="shared" si="61"/>
        <v>0.95</v>
      </c>
      <c r="D283" s="386">
        <v>0.95</v>
      </c>
      <c r="E283" s="386">
        <f t="shared" si="62"/>
        <v>0.95</v>
      </c>
      <c r="F283" s="386">
        <f t="shared" si="63"/>
        <v>0.94</v>
      </c>
      <c r="G283" s="386">
        <v>0.93</v>
      </c>
      <c r="H283" s="386">
        <f t="shared" si="64"/>
        <v>0.95</v>
      </c>
      <c r="I283" s="386">
        <f t="shared" si="65"/>
        <v>0.97</v>
      </c>
      <c r="J283" s="386">
        <v>1</v>
      </c>
      <c r="K283" s="386">
        <v>1</v>
      </c>
      <c r="L283" s="386">
        <v>1</v>
      </c>
      <c r="M283" s="386">
        <f t="shared" si="66"/>
        <v>0.95</v>
      </c>
      <c r="N283" s="386">
        <f t="shared" si="67"/>
        <v>0.94</v>
      </c>
      <c r="W283"/>
    </row>
    <row r="284" spans="1:23">
      <c r="A284" s="385">
        <v>26</v>
      </c>
      <c r="B284" s="386">
        <f t="shared" si="60"/>
        <v>0.94</v>
      </c>
      <c r="C284" s="386">
        <f t="shared" si="61"/>
        <v>0.95</v>
      </c>
      <c r="D284" s="386">
        <v>0.95</v>
      </c>
      <c r="E284" s="386">
        <f t="shared" si="62"/>
        <v>0.95</v>
      </c>
      <c r="F284" s="386">
        <f t="shared" si="63"/>
        <v>0.94</v>
      </c>
      <c r="G284" s="386">
        <v>0.93</v>
      </c>
      <c r="H284" s="386">
        <f t="shared" si="64"/>
        <v>0.95</v>
      </c>
      <c r="I284" s="386">
        <f t="shared" si="65"/>
        <v>0.97</v>
      </c>
      <c r="J284" s="386">
        <v>1</v>
      </c>
      <c r="K284" s="386">
        <v>1</v>
      </c>
      <c r="L284" s="386">
        <v>1</v>
      </c>
      <c r="M284" s="386">
        <f t="shared" si="66"/>
        <v>0.95</v>
      </c>
      <c r="N284" s="386">
        <f t="shared" si="67"/>
        <v>0.94</v>
      </c>
      <c r="W284"/>
    </row>
    <row r="285" spans="1:23">
      <c r="A285" s="385">
        <v>27</v>
      </c>
      <c r="B285" s="386">
        <f t="shared" si="60"/>
        <v>0.94</v>
      </c>
      <c r="C285" s="386">
        <f t="shared" si="61"/>
        <v>0.95</v>
      </c>
      <c r="D285" s="386">
        <v>0.95</v>
      </c>
      <c r="E285" s="386">
        <f t="shared" si="62"/>
        <v>0.95</v>
      </c>
      <c r="F285" s="386">
        <f t="shared" si="63"/>
        <v>0.94</v>
      </c>
      <c r="G285" s="386">
        <v>0.93</v>
      </c>
      <c r="H285" s="386">
        <f t="shared" si="64"/>
        <v>0.95</v>
      </c>
      <c r="I285" s="386">
        <f t="shared" si="65"/>
        <v>0.97</v>
      </c>
      <c r="J285" s="386">
        <v>1</v>
      </c>
      <c r="K285" s="386">
        <v>1</v>
      </c>
      <c r="L285" s="386">
        <v>1</v>
      </c>
      <c r="M285" s="386">
        <f t="shared" si="66"/>
        <v>0.95</v>
      </c>
      <c r="N285" s="386">
        <f t="shared" si="67"/>
        <v>0.94</v>
      </c>
      <c r="W285"/>
    </row>
    <row r="286" spans="1:23">
      <c r="A286" s="385">
        <v>28</v>
      </c>
      <c r="B286" s="386">
        <f t="shared" si="60"/>
        <v>0.94</v>
      </c>
      <c r="C286" s="386">
        <f t="shared" si="61"/>
        <v>0.94</v>
      </c>
      <c r="D286" s="386">
        <v>0.94</v>
      </c>
      <c r="E286" s="386">
        <f t="shared" si="62"/>
        <v>0.94</v>
      </c>
      <c r="F286" s="386">
        <f t="shared" si="63"/>
        <v>0.94</v>
      </c>
      <c r="G286" s="386">
        <v>0.93</v>
      </c>
      <c r="H286" s="386">
        <f t="shared" si="64"/>
        <v>0.95</v>
      </c>
      <c r="I286" s="386">
        <f t="shared" si="65"/>
        <v>0.97</v>
      </c>
      <c r="J286" s="386">
        <v>1</v>
      </c>
      <c r="K286" s="386">
        <v>1</v>
      </c>
      <c r="L286" s="386">
        <v>1</v>
      </c>
      <c r="M286" s="386">
        <f t="shared" si="66"/>
        <v>0.95</v>
      </c>
      <c r="N286" s="386">
        <f t="shared" si="67"/>
        <v>0.94</v>
      </c>
      <c r="W286"/>
    </row>
    <row r="287" spans="1:23">
      <c r="A287" s="385">
        <v>29</v>
      </c>
      <c r="B287" s="386">
        <f t="shared" si="60"/>
        <v>0.93</v>
      </c>
      <c r="C287" s="386">
        <f t="shared" si="61"/>
        <v>0.94</v>
      </c>
      <c r="D287" s="386">
        <v>0.94</v>
      </c>
      <c r="E287" s="386">
        <f t="shared" si="62"/>
        <v>0.94</v>
      </c>
      <c r="F287" s="386">
        <f t="shared" si="63"/>
        <v>0.93</v>
      </c>
      <c r="G287" s="386">
        <v>0.92</v>
      </c>
      <c r="H287" s="386">
        <f t="shared" si="64"/>
        <v>0.94</v>
      </c>
      <c r="I287" s="386">
        <f t="shared" si="65"/>
        <v>0.96</v>
      </c>
      <c r="J287" s="386">
        <v>1</v>
      </c>
      <c r="K287" s="386">
        <v>1</v>
      </c>
      <c r="L287" s="386">
        <v>1</v>
      </c>
      <c r="M287" s="386">
        <f t="shared" si="66"/>
        <v>0.94</v>
      </c>
      <c r="N287" s="386">
        <f t="shared" si="67"/>
        <v>0.93</v>
      </c>
      <c r="W287"/>
    </row>
    <row r="288" spans="1:23">
      <c r="A288" s="387">
        <v>30</v>
      </c>
      <c r="B288" s="386">
        <f t="shared" si="60"/>
        <v>0.93</v>
      </c>
      <c r="C288" s="386">
        <f t="shared" si="61"/>
        <v>0.94</v>
      </c>
      <c r="D288" s="388">
        <v>0.94</v>
      </c>
      <c r="E288" s="386">
        <f t="shared" si="62"/>
        <v>0.94</v>
      </c>
      <c r="F288" s="386">
        <f t="shared" si="63"/>
        <v>0.93</v>
      </c>
      <c r="G288" s="388">
        <v>0.92</v>
      </c>
      <c r="H288" s="386">
        <f t="shared" si="64"/>
        <v>0.94</v>
      </c>
      <c r="I288" s="386">
        <f t="shared" si="65"/>
        <v>0.96</v>
      </c>
      <c r="J288" s="386">
        <v>1</v>
      </c>
      <c r="K288" s="388">
        <v>1</v>
      </c>
      <c r="L288" s="386">
        <v>1</v>
      </c>
      <c r="M288" s="386">
        <f t="shared" si="66"/>
        <v>0.94</v>
      </c>
      <c r="N288" s="386">
        <f t="shared" si="67"/>
        <v>0.93</v>
      </c>
      <c r="W288"/>
    </row>
    <row r="289" spans="1:23">
      <c r="A289" s="385">
        <v>31</v>
      </c>
      <c r="B289" s="386">
        <f t="shared" si="60"/>
        <v>0.92</v>
      </c>
      <c r="C289" s="386">
        <f t="shared" si="61"/>
        <v>0.93</v>
      </c>
      <c r="D289" s="386">
        <v>0.93</v>
      </c>
      <c r="E289" s="386">
        <f t="shared" si="62"/>
        <v>0.93</v>
      </c>
      <c r="F289" s="386">
        <f t="shared" si="63"/>
        <v>0.92</v>
      </c>
      <c r="G289" s="386">
        <v>0.91</v>
      </c>
      <c r="H289" s="386">
        <f t="shared" si="64"/>
        <v>0.94</v>
      </c>
      <c r="I289" s="386">
        <f t="shared" si="65"/>
        <v>0.96</v>
      </c>
      <c r="J289" s="386">
        <v>1</v>
      </c>
      <c r="K289" s="386">
        <v>1</v>
      </c>
      <c r="L289" s="386">
        <v>1</v>
      </c>
      <c r="M289" s="386">
        <f t="shared" si="66"/>
        <v>0.94</v>
      </c>
      <c r="N289" s="386">
        <f t="shared" si="67"/>
        <v>0.92</v>
      </c>
      <c r="W289"/>
    </row>
    <row r="290" spans="1:23">
      <c r="A290" s="385">
        <v>32</v>
      </c>
      <c r="B290" s="386">
        <f t="shared" ref="B290:B321" si="68">ROUND(((D290+G290)/2),2)</f>
        <v>0.92</v>
      </c>
      <c r="C290" s="386">
        <f t="shared" ref="C290:C321" si="69">ROUND(((D290+B290)/2),2)</f>
        <v>0.93</v>
      </c>
      <c r="D290" s="386">
        <v>0.93</v>
      </c>
      <c r="E290" s="386">
        <f t="shared" ref="E290:E321" si="70">ROUND(((D290+B290)/2),2)</f>
        <v>0.93</v>
      </c>
      <c r="F290" s="386">
        <f t="shared" ref="F290:F321" si="71">ROUND(((G290+B290)/2),2)</f>
        <v>0.92</v>
      </c>
      <c r="G290" s="386">
        <v>0.91</v>
      </c>
      <c r="H290" s="386">
        <f t="shared" ref="H290:H321" si="72">ROUND(((G290+I290)/2),2)</f>
        <v>0.94</v>
      </c>
      <c r="I290" s="386">
        <f t="shared" ref="I290:I321" si="73">ROUND(((K290+G290)/2),2)</f>
        <v>0.96</v>
      </c>
      <c r="J290" s="386">
        <v>1</v>
      </c>
      <c r="K290" s="386">
        <v>1</v>
      </c>
      <c r="L290" s="386">
        <v>1</v>
      </c>
      <c r="M290" s="386">
        <f t="shared" ref="M290:M321" si="74">ROUND(((I290+G290)/2),2)</f>
        <v>0.94</v>
      </c>
      <c r="N290" s="386">
        <f t="shared" ref="N290:N321" si="75">ROUND(((G290+B290)/2),2)</f>
        <v>0.92</v>
      </c>
      <c r="W290"/>
    </row>
    <row r="291" spans="1:23">
      <c r="A291" s="385">
        <v>33</v>
      </c>
      <c r="B291" s="386">
        <f t="shared" si="68"/>
        <v>0.91</v>
      </c>
      <c r="C291" s="386">
        <f t="shared" si="69"/>
        <v>0.92</v>
      </c>
      <c r="D291" s="386">
        <v>0.92</v>
      </c>
      <c r="E291" s="386">
        <f t="shared" si="70"/>
        <v>0.92</v>
      </c>
      <c r="F291" s="386">
        <f t="shared" si="71"/>
        <v>0.91</v>
      </c>
      <c r="G291" s="386">
        <v>0.9</v>
      </c>
      <c r="H291" s="386">
        <f t="shared" si="72"/>
        <v>0.93</v>
      </c>
      <c r="I291" s="386">
        <f t="shared" si="73"/>
        <v>0.95</v>
      </c>
      <c r="J291" s="386">
        <v>1</v>
      </c>
      <c r="K291" s="386">
        <v>1</v>
      </c>
      <c r="L291" s="386">
        <v>1</v>
      </c>
      <c r="M291" s="386">
        <f t="shared" si="74"/>
        <v>0.93</v>
      </c>
      <c r="N291" s="386">
        <f t="shared" si="75"/>
        <v>0.91</v>
      </c>
      <c r="W291"/>
    </row>
    <row r="292" spans="1:23">
      <c r="A292" s="385">
        <v>34</v>
      </c>
      <c r="B292" s="386">
        <f t="shared" si="68"/>
        <v>0.91</v>
      </c>
      <c r="C292" s="386">
        <f t="shared" si="69"/>
        <v>0.91</v>
      </c>
      <c r="D292" s="386">
        <v>0.91</v>
      </c>
      <c r="E292" s="386">
        <f t="shared" si="70"/>
        <v>0.91</v>
      </c>
      <c r="F292" s="386">
        <f t="shared" si="71"/>
        <v>0.91</v>
      </c>
      <c r="G292" s="386">
        <v>0.9</v>
      </c>
      <c r="H292" s="386">
        <f t="shared" si="72"/>
        <v>0.93</v>
      </c>
      <c r="I292" s="386">
        <f t="shared" si="73"/>
        <v>0.95</v>
      </c>
      <c r="J292" s="386">
        <v>1</v>
      </c>
      <c r="K292" s="386">
        <v>1</v>
      </c>
      <c r="L292" s="386">
        <v>1</v>
      </c>
      <c r="M292" s="386">
        <f t="shared" si="74"/>
        <v>0.93</v>
      </c>
      <c r="N292" s="386">
        <f t="shared" si="75"/>
        <v>0.91</v>
      </c>
      <c r="W292"/>
    </row>
    <row r="293" spans="1:23">
      <c r="A293" s="385">
        <v>35</v>
      </c>
      <c r="B293" s="386">
        <f t="shared" si="68"/>
        <v>0.9</v>
      </c>
      <c r="C293" s="386">
        <f t="shared" si="69"/>
        <v>0.91</v>
      </c>
      <c r="D293" s="386">
        <v>0.91</v>
      </c>
      <c r="E293" s="386">
        <f t="shared" si="70"/>
        <v>0.91</v>
      </c>
      <c r="F293" s="386">
        <f t="shared" si="71"/>
        <v>0.9</v>
      </c>
      <c r="G293" s="386">
        <v>0.89</v>
      </c>
      <c r="H293" s="386">
        <f t="shared" si="72"/>
        <v>0.92</v>
      </c>
      <c r="I293" s="386">
        <f t="shared" si="73"/>
        <v>0.95</v>
      </c>
      <c r="J293" s="386">
        <v>1</v>
      </c>
      <c r="K293" s="386">
        <v>1</v>
      </c>
      <c r="L293" s="386">
        <v>1</v>
      </c>
      <c r="M293" s="386">
        <f t="shared" si="74"/>
        <v>0.92</v>
      </c>
      <c r="N293" s="386">
        <f t="shared" si="75"/>
        <v>0.9</v>
      </c>
      <c r="W293"/>
    </row>
    <row r="294" spans="1:23">
      <c r="A294" s="385">
        <v>36</v>
      </c>
      <c r="B294" s="386">
        <f t="shared" si="68"/>
        <v>0.9</v>
      </c>
      <c r="C294" s="386">
        <f t="shared" si="69"/>
        <v>0.9</v>
      </c>
      <c r="D294" s="386">
        <v>0.9</v>
      </c>
      <c r="E294" s="386">
        <f t="shared" si="70"/>
        <v>0.9</v>
      </c>
      <c r="F294" s="386">
        <f t="shared" si="71"/>
        <v>0.9</v>
      </c>
      <c r="G294" s="386">
        <v>0.89</v>
      </c>
      <c r="H294" s="386">
        <f t="shared" si="72"/>
        <v>0.92</v>
      </c>
      <c r="I294" s="386">
        <f t="shared" si="73"/>
        <v>0.95</v>
      </c>
      <c r="J294" s="386">
        <v>1</v>
      </c>
      <c r="K294" s="386">
        <v>1</v>
      </c>
      <c r="L294" s="386">
        <v>1</v>
      </c>
      <c r="M294" s="386">
        <f t="shared" si="74"/>
        <v>0.92</v>
      </c>
      <c r="N294" s="386">
        <f t="shared" si="75"/>
        <v>0.9</v>
      </c>
      <c r="W294"/>
    </row>
    <row r="295" spans="1:23">
      <c r="A295" s="385">
        <v>37</v>
      </c>
      <c r="B295" s="386">
        <f t="shared" si="68"/>
        <v>0.89</v>
      </c>
      <c r="C295" s="386">
        <f t="shared" si="69"/>
        <v>0.89</v>
      </c>
      <c r="D295" s="386">
        <v>0.89</v>
      </c>
      <c r="E295" s="386">
        <f t="shared" si="70"/>
        <v>0.89</v>
      </c>
      <c r="F295" s="386">
        <f t="shared" si="71"/>
        <v>0.89</v>
      </c>
      <c r="G295" s="386">
        <v>0.88</v>
      </c>
      <c r="H295" s="386">
        <f t="shared" si="72"/>
        <v>0.91</v>
      </c>
      <c r="I295" s="386">
        <f t="shared" si="73"/>
        <v>0.94</v>
      </c>
      <c r="J295" s="386">
        <v>1</v>
      </c>
      <c r="K295" s="386">
        <v>1</v>
      </c>
      <c r="L295" s="386">
        <v>1</v>
      </c>
      <c r="M295" s="386">
        <f t="shared" si="74"/>
        <v>0.91</v>
      </c>
      <c r="N295" s="386">
        <f t="shared" si="75"/>
        <v>0.89</v>
      </c>
      <c r="W295"/>
    </row>
    <row r="296" spans="1:23">
      <c r="A296" s="385">
        <v>38</v>
      </c>
      <c r="B296" s="386">
        <f t="shared" si="68"/>
        <v>0.89</v>
      </c>
      <c r="C296" s="386">
        <f t="shared" si="69"/>
        <v>0.89</v>
      </c>
      <c r="D296" s="386">
        <v>0.89</v>
      </c>
      <c r="E296" s="386">
        <f t="shared" si="70"/>
        <v>0.89</v>
      </c>
      <c r="F296" s="386">
        <f t="shared" si="71"/>
        <v>0.89</v>
      </c>
      <c r="G296" s="386">
        <v>0.88</v>
      </c>
      <c r="H296" s="386">
        <f t="shared" si="72"/>
        <v>0.91</v>
      </c>
      <c r="I296" s="386">
        <f t="shared" si="73"/>
        <v>0.94</v>
      </c>
      <c r="J296" s="386">
        <v>1</v>
      </c>
      <c r="K296" s="386">
        <v>1</v>
      </c>
      <c r="L296" s="386">
        <v>1</v>
      </c>
      <c r="M296" s="386">
        <f t="shared" si="74"/>
        <v>0.91</v>
      </c>
      <c r="N296" s="386">
        <f t="shared" si="75"/>
        <v>0.89</v>
      </c>
      <c r="W296"/>
    </row>
    <row r="297" spans="1:23">
      <c r="A297" s="385">
        <v>39</v>
      </c>
      <c r="B297" s="386">
        <f t="shared" si="68"/>
        <v>0.88</v>
      </c>
      <c r="C297" s="386">
        <f t="shared" si="69"/>
        <v>0.88</v>
      </c>
      <c r="D297" s="386">
        <v>0.88</v>
      </c>
      <c r="E297" s="386">
        <f t="shared" si="70"/>
        <v>0.88</v>
      </c>
      <c r="F297" s="386">
        <f t="shared" si="71"/>
        <v>0.88</v>
      </c>
      <c r="G297" s="386">
        <v>0.87</v>
      </c>
      <c r="H297" s="386">
        <f t="shared" si="72"/>
        <v>0.91</v>
      </c>
      <c r="I297" s="386">
        <f t="shared" si="73"/>
        <v>0.94</v>
      </c>
      <c r="J297" s="386">
        <v>1</v>
      </c>
      <c r="K297" s="386">
        <v>1</v>
      </c>
      <c r="L297" s="386">
        <v>1</v>
      </c>
      <c r="M297" s="386">
        <f t="shared" si="74"/>
        <v>0.91</v>
      </c>
      <c r="N297" s="386">
        <f t="shared" si="75"/>
        <v>0.88</v>
      </c>
      <c r="W297"/>
    </row>
    <row r="298" spans="1:23">
      <c r="A298" s="385">
        <v>40</v>
      </c>
      <c r="B298" s="386">
        <f t="shared" si="68"/>
        <v>0.87</v>
      </c>
      <c r="C298" s="386">
        <f t="shared" si="69"/>
        <v>0.87</v>
      </c>
      <c r="D298" s="386">
        <v>0.87</v>
      </c>
      <c r="E298" s="386">
        <f t="shared" si="70"/>
        <v>0.87</v>
      </c>
      <c r="F298" s="386">
        <f t="shared" si="71"/>
        <v>0.87</v>
      </c>
      <c r="G298" s="386">
        <v>0.87</v>
      </c>
      <c r="H298" s="386">
        <f t="shared" si="72"/>
        <v>0.91</v>
      </c>
      <c r="I298" s="386">
        <f t="shared" si="73"/>
        <v>0.94</v>
      </c>
      <c r="J298" s="386">
        <v>1</v>
      </c>
      <c r="K298" s="386">
        <v>1</v>
      </c>
      <c r="L298" s="386">
        <v>1</v>
      </c>
      <c r="M298" s="386">
        <f t="shared" si="74"/>
        <v>0.91</v>
      </c>
      <c r="N298" s="386">
        <f t="shared" si="75"/>
        <v>0.87</v>
      </c>
      <c r="W298"/>
    </row>
    <row r="299" spans="1:23">
      <c r="A299" s="385">
        <v>41</v>
      </c>
      <c r="B299" s="386">
        <f t="shared" si="68"/>
        <v>0.87</v>
      </c>
      <c r="C299" s="386">
        <f t="shared" si="69"/>
        <v>0.87</v>
      </c>
      <c r="D299" s="386">
        <v>0.87</v>
      </c>
      <c r="E299" s="386">
        <f t="shared" si="70"/>
        <v>0.87</v>
      </c>
      <c r="F299" s="386">
        <f t="shared" si="71"/>
        <v>0.87</v>
      </c>
      <c r="G299" s="386">
        <v>0.86</v>
      </c>
      <c r="H299" s="386">
        <f t="shared" si="72"/>
        <v>0.9</v>
      </c>
      <c r="I299" s="386">
        <f t="shared" si="73"/>
        <v>0.93</v>
      </c>
      <c r="J299" s="386">
        <v>1</v>
      </c>
      <c r="K299" s="386">
        <v>1</v>
      </c>
      <c r="L299" s="386">
        <v>1</v>
      </c>
      <c r="M299" s="386">
        <f t="shared" si="74"/>
        <v>0.9</v>
      </c>
      <c r="N299" s="386">
        <f t="shared" si="75"/>
        <v>0.87</v>
      </c>
      <c r="W299"/>
    </row>
    <row r="300" spans="1:23">
      <c r="A300" s="385">
        <v>42</v>
      </c>
      <c r="B300" s="386">
        <f t="shared" si="68"/>
        <v>0.86</v>
      </c>
      <c r="C300" s="386">
        <f t="shared" si="69"/>
        <v>0.86</v>
      </c>
      <c r="D300" s="386">
        <v>0.86</v>
      </c>
      <c r="E300" s="386">
        <f t="shared" si="70"/>
        <v>0.86</v>
      </c>
      <c r="F300" s="386">
        <f t="shared" si="71"/>
        <v>0.86</v>
      </c>
      <c r="G300" s="386">
        <v>0.86</v>
      </c>
      <c r="H300" s="386">
        <f t="shared" si="72"/>
        <v>0.9</v>
      </c>
      <c r="I300" s="386">
        <f t="shared" si="73"/>
        <v>0.93</v>
      </c>
      <c r="J300" s="386">
        <v>1</v>
      </c>
      <c r="K300" s="386">
        <v>1</v>
      </c>
      <c r="L300" s="386">
        <v>1</v>
      </c>
      <c r="M300" s="386">
        <f t="shared" si="74"/>
        <v>0.9</v>
      </c>
      <c r="N300" s="386">
        <f t="shared" si="75"/>
        <v>0.86</v>
      </c>
      <c r="W300"/>
    </row>
    <row r="301" spans="1:23">
      <c r="A301" s="385">
        <v>43</v>
      </c>
      <c r="B301" s="386">
        <f t="shared" si="68"/>
        <v>0.85</v>
      </c>
      <c r="C301" s="386">
        <f t="shared" si="69"/>
        <v>0.85</v>
      </c>
      <c r="D301" s="386">
        <v>0.85</v>
      </c>
      <c r="E301" s="386">
        <f t="shared" si="70"/>
        <v>0.85</v>
      </c>
      <c r="F301" s="386">
        <f t="shared" si="71"/>
        <v>0.85</v>
      </c>
      <c r="G301" s="386">
        <v>0.85</v>
      </c>
      <c r="H301" s="386">
        <f t="shared" si="72"/>
        <v>0.89</v>
      </c>
      <c r="I301" s="386">
        <f t="shared" si="73"/>
        <v>0.93</v>
      </c>
      <c r="J301" s="386">
        <v>1</v>
      </c>
      <c r="K301" s="386">
        <v>1</v>
      </c>
      <c r="L301" s="386">
        <v>1</v>
      </c>
      <c r="M301" s="386">
        <f t="shared" si="74"/>
        <v>0.89</v>
      </c>
      <c r="N301" s="386">
        <f t="shared" si="75"/>
        <v>0.85</v>
      </c>
      <c r="W301"/>
    </row>
    <row r="302" spans="1:23">
      <c r="A302" s="385">
        <v>44</v>
      </c>
      <c r="B302" s="386">
        <f t="shared" si="68"/>
        <v>0.85</v>
      </c>
      <c r="C302" s="386">
        <f t="shared" si="69"/>
        <v>0.85</v>
      </c>
      <c r="D302" s="386">
        <v>0.85</v>
      </c>
      <c r="E302" s="386">
        <f t="shared" si="70"/>
        <v>0.85</v>
      </c>
      <c r="F302" s="386">
        <f t="shared" si="71"/>
        <v>0.85</v>
      </c>
      <c r="G302" s="386">
        <v>0.85</v>
      </c>
      <c r="H302" s="386">
        <f t="shared" si="72"/>
        <v>0.89</v>
      </c>
      <c r="I302" s="386">
        <f t="shared" si="73"/>
        <v>0.93</v>
      </c>
      <c r="J302" s="386">
        <v>1</v>
      </c>
      <c r="K302" s="386">
        <v>1</v>
      </c>
      <c r="L302" s="386">
        <v>1</v>
      </c>
      <c r="M302" s="386">
        <f t="shared" si="74"/>
        <v>0.89</v>
      </c>
      <c r="N302" s="386">
        <f t="shared" si="75"/>
        <v>0.85</v>
      </c>
      <c r="W302"/>
    </row>
    <row r="303" spans="1:23">
      <c r="A303" s="387">
        <v>45</v>
      </c>
      <c r="B303" s="386">
        <f t="shared" si="68"/>
        <v>0.84</v>
      </c>
      <c r="C303" s="386">
        <f t="shared" si="69"/>
        <v>0.84</v>
      </c>
      <c r="D303" s="388">
        <v>0.84</v>
      </c>
      <c r="E303" s="386">
        <f t="shared" si="70"/>
        <v>0.84</v>
      </c>
      <c r="F303" s="386">
        <f t="shared" si="71"/>
        <v>0.84</v>
      </c>
      <c r="G303" s="388">
        <v>0.84</v>
      </c>
      <c r="H303" s="386">
        <f t="shared" si="72"/>
        <v>0.88</v>
      </c>
      <c r="I303" s="386">
        <f t="shared" si="73"/>
        <v>0.92</v>
      </c>
      <c r="J303" s="386">
        <v>1</v>
      </c>
      <c r="K303" s="388">
        <v>1</v>
      </c>
      <c r="L303" s="386">
        <v>1</v>
      </c>
      <c r="M303" s="386">
        <f t="shared" si="74"/>
        <v>0.88</v>
      </c>
      <c r="N303" s="386">
        <f t="shared" si="75"/>
        <v>0.84</v>
      </c>
      <c r="W303"/>
    </row>
    <row r="304" spans="1:23">
      <c r="A304" s="385">
        <v>46</v>
      </c>
      <c r="B304" s="386">
        <f t="shared" si="68"/>
        <v>0.83</v>
      </c>
      <c r="C304" s="386">
        <f t="shared" si="69"/>
        <v>0.83</v>
      </c>
      <c r="D304" s="386">
        <v>0.83</v>
      </c>
      <c r="E304" s="386">
        <f t="shared" si="70"/>
        <v>0.83</v>
      </c>
      <c r="F304" s="386">
        <f t="shared" si="71"/>
        <v>0.83</v>
      </c>
      <c r="G304" s="386">
        <v>0.83</v>
      </c>
      <c r="H304" s="386">
        <f t="shared" si="72"/>
        <v>0.88</v>
      </c>
      <c r="I304" s="386">
        <f t="shared" si="73"/>
        <v>0.92</v>
      </c>
      <c r="J304" s="386">
        <v>1</v>
      </c>
      <c r="K304" s="386">
        <v>1</v>
      </c>
      <c r="L304" s="386">
        <v>1</v>
      </c>
      <c r="M304" s="386">
        <f t="shared" si="74"/>
        <v>0.88</v>
      </c>
      <c r="N304" s="386">
        <f t="shared" si="75"/>
        <v>0.83</v>
      </c>
      <c r="W304"/>
    </row>
    <row r="305" spans="1:23">
      <c r="A305" s="385">
        <v>47</v>
      </c>
      <c r="B305" s="386">
        <f t="shared" si="68"/>
        <v>0.83</v>
      </c>
      <c r="C305" s="386">
        <f t="shared" si="69"/>
        <v>0.83</v>
      </c>
      <c r="D305" s="386">
        <v>0.82</v>
      </c>
      <c r="E305" s="386">
        <f t="shared" si="70"/>
        <v>0.83</v>
      </c>
      <c r="F305" s="386">
        <f t="shared" si="71"/>
        <v>0.83</v>
      </c>
      <c r="G305" s="386">
        <v>0.83</v>
      </c>
      <c r="H305" s="386">
        <f t="shared" si="72"/>
        <v>0.88</v>
      </c>
      <c r="I305" s="386">
        <f t="shared" si="73"/>
        <v>0.92</v>
      </c>
      <c r="J305" s="386">
        <v>1</v>
      </c>
      <c r="K305" s="386">
        <v>1</v>
      </c>
      <c r="L305" s="386">
        <v>1</v>
      </c>
      <c r="M305" s="386">
        <f t="shared" si="74"/>
        <v>0.88</v>
      </c>
      <c r="N305" s="386">
        <f t="shared" si="75"/>
        <v>0.83</v>
      </c>
      <c r="W305"/>
    </row>
    <row r="306" spans="1:23">
      <c r="A306" s="385">
        <v>48</v>
      </c>
      <c r="B306" s="386">
        <f t="shared" si="68"/>
        <v>0.82</v>
      </c>
      <c r="C306" s="386">
        <f t="shared" si="69"/>
        <v>0.82</v>
      </c>
      <c r="D306" s="386">
        <v>0.82</v>
      </c>
      <c r="E306" s="386">
        <f t="shared" si="70"/>
        <v>0.82</v>
      </c>
      <c r="F306" s="386">
        <f t="shared" si="71"/>
        <v>0.82</v>
      </c>
      <c r="G306" s="386">
        <v>0.82</v>
      </c>
      <c r="H306" s="386">
        <f t="shared" si="72"/>
        <v>0.87</v>
      </c>
      <c r="I306" s="386">
        <f t="shared" si="73"/>
        <v>0.91</v>
      </c>
      <c r="J306" s="386">
        <v>1</v>
      </c>
      <c r="K306" s="386">
        <v>1</v>
      </c>
      <c r="L306" s="386">
        <v>1</v>
      </c>
      <c r="M306" s="386">
        <f t="shared" si="74"/>
        <v>0.87</v>
      </c>
      <c r="N306" s="386">
        <f t="shared" si="75"/>
        <v>0.82</v>
      </c>
      <c r="W306"/>
    </row>
    <row r="307" spans="1:23">
      <c r="A307" s="385">
        <v>49</v>
      </c>
      <c r="B307" s="386">
        <f t="shared" si="68"/>
        <v>0.82</v>
      </c>
      <c r="C307" s="386">
        <f t="shared" si="69"/>
        <v>0.82</v>
      </c>
      <c r="D307" s="386">
        <v>0.81</v>
      </c>
      <c r="E307" s="386">
        <f t="shared" si="70"/>
        <v>0.82</v>
      </c>
      <c r="F307" s="386">
        <f t="shared" si="71"/>
        <v>0.82</v>
      </c>
      <c r="G307" s="386">
        <v>0.82</v>
      </c>
      <c r="H307" s="386">
        <f t="shared" si="72"/>
        <v>0.87</v>
      </c>
      <c r="I307" s="386">
        <f t="shared" si="73"/>
        <v>0.91</v>
      </c>
      <c r="J307" s="386">
        <v>1</v>
      </c>
      <c r="K307" s="386">
        <v>1</v>
      </c>
      <c r="L307" s="386">
        <v>1</v>
      </c>
      <c r="M307" s="386">
        <f t="shared" si="74"/>
        <v>0.87</v>
      </c>
      <c r="N307" s="386">
        <f t="shared" si="75"/>
        <v>0.82</v>
      </c>
      <c r="W307"/>
    </row>
    <row r="308" spans="1:23">
      <c r="A308" s="385">
        <v>50</v>
      </c>
      <c r="B308" s="386">
        <f t="shared" si="68"/>
        <v>0.81</v>
      </c>
      <c r="C308" s="386">
        <f t="shared" si="69"/>
        <v>0.81</v>
      </c>
      <c r="D308" s="386">
        <v>0.8</v>
      </c>
      <c r="E308" s="386">
        <f t="shared" si="70"/>
        <v>0.81</v>
      </c>
      <c r="F308" s="386">
        <f t="shared" si="71"/>
        <v>0.81</v>
      </c>
      <c r="G308" s="386">
        <v>0.81</v>
      </c>
      <c r="H308" s="386">
        <f t="shared" si="72"/>
        <v>0.86</v>
      </c>
      <c r="I308" s="386">
        <f t="shared" si="73"/>
        <v>0.91</v>
      </c>
      <c r="J308" s="386">
        <v>1</v>
      </c>
      <c r="K308" s="386">
        <v>1</v>
      </c>
      <c r="L308" s="386">
        <v>1</v>
      </c>
      <c r="M308" s="386">
        <f t="shared" si="74"/>
        <v>0.86</v>
      </c>
      <c r="N308" s="386">
        <f t="shared" si="75"/>
        <v>0.81</v>
      </c>
      <c r="W308"/>
    </row>
    <row r="309" spans="1:23">
      <c r="A309" s="385">
        <v>51</v>
      </c>
      <c r="B309" s="386">
        <f t="shared" si="68"/>
        <v>0.8</v>
      </c>
      <c r="C309" s="386">
        <f t="shared" si="69"/>
        <v>0.8</v>
      </c>
      <c r="D309" s="386">
        <v>0.79</v>
      </c>
      <c r="E309" s="386">
        <f t="shared" si="70"/>
        <v>0.8</v>
      </c>
      <c r="F309" s="386">
        <f t="shared" si="71"/>
        <v>0.8</v>
      </c>
      <c r="G309" s="386">
        <v>0.8</v>
      </c>
      <c r="H309" s="386">
        <f t="shared" si="72"/>
        <v>0.85</v>
      </c>
      <c r="I309" s="386">
        <f t="shared" si="73"/>
        <v>0.9</v>
      </c>
      <c r="J309" s="386">
        <v>1</v>
      </c>
      <c r="K309" s="386">
        <v>1</v>
      </c>
      <c r="L309" s="386">
        <v>1</v>
      </c>
      <c r="M309" s="386">
        <f t="shared" si="74"/>
        <v>0.85</v>
      </c>
      <c r="N309" s="386">
        <f t="shared" si="75"/>
        <v>0.8</v>
      </c>
      <c r="W309"/>
    </row>
    <row r="310" spans="1:23">
      <c r="A310" s="385">
        <v>52</v>
      </c>
      <c r="B310" s="386">
        <f t="shared" si="68"/>
        <v>0.79</v>
      </c>
      <c r="C310" s="386">
        <f t="shared" si="69"/>
        <v>0.79</v>
      </c>
      <c r="D310" s="386">
        <v>0.78</v>
      </c>
      <c r="E310" s="386">
        <f t="shared" si="70"/>
        <v>0.79</v>
      </c>
      <c r="F310" s="386">
        <f t="shared" si="71"/>
        <v>0.8</v>
      </c>
      <c r="G310" s="386">
        <v>0.8</v>
      </c>
      <c r="H310" s="386">
        <f t="shared" si="72"/>
        <v>0.85</v>
      </c>
      <c r="I310" s="386">
        <f t="shared" si="73"/>
        <v>0.9</v>
      </c>
      <c r="J310" s="386">
        <v>1</v>
      </c>
      <c r="K310" s="386">
        <v>1</v>
      </c>
      <c r="L310" s="386">
        <v>1</v>
      </c>
      <c r="M310" s="386">
        <f t="shared" si="74"/>
        <v>0.85</v>
      </c>
      <c r="N310" s="386">
        <f t="shared" si="75"/>
        <v>0.8</v>
      </c>
      <c r="W310"/>
    </row>
    <row r="311" spans="1:23">
      <c r="A311" s="385">
        <v>53</v>
      </c>
      <c r="B311" s="386">
        <f t="shared" si="68"/>
        <v>0.79</v>
      </c>
      <c r="C311" s="386">
        <f t="shared" si="69"/>
        <v>0.79</v>
      </c>
      <c r="D311" s="386">
        <v>0.78</v>
      </c>
      <c r="E311" s="386">
        <f t="shared" si="70"/>
        <v>0.79</v>
      </c>
      <c r="F311" s="386">
        <f t="shared" si="71"/>
        <v>0.79</v>
      </c>
      <c r="G311" s="386">
        <v>0.79</v>
      </c>
      <c r="H311" s="386">
        <f t="shared" si="72"/>
        <v>0.85</v>
      </c>
      <c r="I311" s="386">
        <f t="shared" si="73"/>
        <v>0.9</v>
      </c>
      <c r="J311" s="386">
        <v>1</v>
      </c>
      <c r="K311" s="386">
        <v>1</v>
      </c>
      <c r="L311" s="386">
        <v>1</v>
      </c>
      <c r="M311" s="386">
        <f t="shared" si="74"/>
        <v>0.85</v>
      </c>
      <c r="N311" s="386">
        <f t="shared" si="75"/>
        <v>0.79</v>
      </c>
      <c r="W311"/>
    </row>
    <row r="312" spans="1:23">
      <c r="A312" s="385">
        <v>54</v>
      </c>
      <c r="B312" s="386">
        <f t="shared" si="68"/>
        <v>0.78</v>
      </c>
      <c r="C312" s="386">
        <f t="shared" si="69"/>
        <v>0.78</v>
      </c>
      <c r="D312" s="386">
        <v>0.77</v>
      </c>
      <c r="E312" s="386">
        <f t="shared" si="70"/>
        <v>0.78</v>
      </c>
      <c r="F312" s="386">
        <f t="shared" si="71"/>
        <v>0.79</v>
      </c>
      <c r="G312" s="386">
        <v>0.79</v>
      </c>
      <c r="H312" s="386">
        <f t="shared" si="72"/>
        <v>0.85</v>
      </c>
      <c r="I312" s="386">
        <f t="shared" si="73"/>
        <v>0.9</v>
      </c>
      <c r="J312" s="386">
        <v>1</v>
      </c>
      <c r="K312" s="386">
        <v>1</v>
      </c>
      <c r="L312" s="386">
        <v>1</v>
      </c>
      <c r="M312" s="386">
        <f t="shared" si="74"/>
        <v>0.85</v>
      </c>
      <c r="N312" s="386">
        <f t="shared" si="75"/>
        <v>0.79</v>
      </c>
      <c r="W312"/>
    </row>
    <row r="313" spans="1:23">
      <c r="A313" s="385">
        <v>55</v>
      </c>
      <c r="B313" s="386">
        <f t="shared" si="68"/>
        <v>0.77</v>
      </c>
      <c r="C313" s="386">
        <f t="shared" si="69"/>
        <v>0.77</v>
      </c>
      <c r="D313" s="386">
        <v>0.76</v>
      </c>
      <c r="E313" s="386">
        <f t="shared" si="70"/>
        <v>0.77</v>
      </c>
      <c r="F313" s="386">
        <f t="shared" si="71"/>
        <v>0.78</v>
      </c>
      <c r="G313" s="386">
        <v>0.78</v>
      </c>
      <c r="H313" s="386">
        <f t="shared" si="72"/>
        <v>0.84</v>
      </c>
      <c r="I313" s="386">
        <f t="shared" si="73"/>
        <v>0.89</v>
      </c>
      <c r="J313" s="386">
        <v>1</v>
      </c>
      <c r="K313" s="386">
        <v>1</v>
      </c>
      <c r="L313" s="386">
        <v>1</v>
      </c>
      <c r="M313" s="386">
        <f t="shared" si="74"/>
        <v>0.84</v>
      </c>
      <c r="N313" s="386">
        <f t="shared" si="75"/>
        <v>0.78</v>
      </c>
      <c r="W313"/>
    </row>
    <row r="314" spans="1:23">
      <c r="A314" s="385">
        <v>56</v>
      </c>
      <c r="B314" s="386">
        <f t="shared" si="68"/>
        <v>0.76</v>
      </c>
      <c r="C314" s="386">
        <f t="shared" si="69"/>
        <v>0.76</v>
      </c>
      <c r="D314" s="386">
        <v>0.75</v>
      </c>
      <c r="E314" s="386">
        <f t="shared" si="70"/>
        <v>0.76</v>
      </c>
      <c r="F314" s="386">
        <f t="shared" si="71"/>
        <v>0.77</v>
      </c>
      <c r="G314" s="386">
        <v>0.77</v>
      </c>
      <c r="H314" s="386">
        <f t="shared" si="72"/>
        <v>0.83</v>
      </c>
      <c r="I314" s="386">
        <f t="shared" si="73"/>
        <v>0.89</v>
      </c>
      <c r="J314" s="386">
        <v>1</v>
      </c>
      <c r="K314" s="386">
        <v>1</v>
      </c>
      <c r="L314" s="386">
        <v>1</v>
      </c>
      <c r="M314" s="386">
        <f t="shared" si="74"/>
        <v>0.83</v>
      </c>
      <c r="N314" s="386">
        <f t="shared" si="75"/>
        <v>0.77</v>
      </c>
      <c r="W314"/>
    </row>
    <row r="315" spans="1:23">
      <c r="A315" s="385">
        <v>57</v>
      </c>
      <c r="B315" s="386">
        <f t="shared" si="68"/>
        <v>0.76</v>
      </c>
      <c r="C315" s="386">
        <f t="shared" si="69"/>
        <v>0.75</v>
      </c>
      <c r="D315" s="386">
        <v>0.74</v>
      </c>
      <c r="E315" s="386">
        <f t="shared" si="70"/>
        <v>0.75</v>
      </c>
      <c r="F315" s="386">
        <f t="shared" si="71"/>
        <v>0.77</v>
      </c>
      <c r="G315" s="386">
        <v>0.77</v>
      </c>
      <c r="H315" s="386">
        <f t="shared" si="72"/>
        <v>0.83</v>
      </c>
      <c r="I315" s="386">
        <f t="shared" si="73"/>
        <v>0.89</v>
      </c>
      <c r="J315" s="386">
        <v>1</v>
      </c>
      <c r="K315" s="386">
        <v>1</v>
      </c>
      <c r="L315" s="386">
        <v>1</v>
      </c>
      <c r="M315" s="386">
        <f t="shared" si="74"/>
        <v>0.83</v>
      </c>
      <c r="N315" s="386">
        <f t="shared" si="75"/>
        <v>0.77</v>
      </c>
      <c r="W315"/>
    </row>
    <row r="316" spans="1:23">
      <c r="A316" s="385">
        <v>58</v>
      </c>
      <c r="B316" s="386">
        <f t="shared" si="68"/>
        <v>0.75</v>
      </c>
      <c r="C316" s="386">
        <f t="shared" si="69"/>
        <v>0.75</v>
      </c>
      <c r="D316" s="386">
        <v>0.74</v>
      </c>
      <c r="E316" s="386">
        <f t="shared" si="70"/>
        <v>0.75</v>
      </c>
      <c r="F316" s="386">
        <f t="shared" si="71"/>
        <v>0.76</v>
      </c>
      <c r="G316" s="386">
        <v>0.76</v>
      </c>
      <c r="H316" s="386">
        <f t="shared" si="72"/>
        <v>0.82</v>
      </c>
      <c r="I316" s="386">
        <f t="shared" si="73"/>
        <v>0.88</v>
      </c>
      <c r="J316" s="386">
        <v>1</v>
      </c>
      <c r="K316" s="386">
        <v>1</v>
      </c>
      <c r="L316" s="386">
        <v>1</v>
      </c>
      <c r="M316" s="386">
        <f t="shared" si="74"/>
        <v>0.82</v>
      </c>
      <c r="N316" s="386">
        <f t="shared" si="75"/>
        <v>0.76</v>
      </c>
      <c r="W316"/>
    </row>
    <row r="317" spans="1:23">
      <c r="A317" s="385">
        <v>59</v>
      </c>
      <c r="B317" s="386">
        <f t="shared" si="68"/>
        <v>0.75</v>
      </c>
      <c r="C317" s="386">
        <f t="shared" si="69"/>
        <v>0.74</v>
      </c>
      <c r="D317" s="386">
        <v>0.73</v>
      </c>
      <c r="E317" s="386">
        <f t="shared" si="70"/>
        <v>0.74</v>
      </c>
      <c r="F317" s="386">
        <f t="shared" si="71"/>
        <v>0.76</v>
      </c>
      <c r="G317" s="386">
        <v>0.76</v>
      </c>
      <c r="H317" s="386">
        <f t="shared" si="72"/>
        <v>0.82</v>
      </c>
      <c r="I317" s="386">
        <f t="shared" si="73"/>
        <v>0.88</v>
      </c>
      <c r="J317" s="386">
        <v>1</v>
      </c>
      <c r="K317" s="386">
        <v>1</v>
      </c>
      <c r="L317" s="386">
        <v>1</v>
      </c>
      <c r="M317" s="386">
        <f t="shared" si="74"/>
        <v>0.82</v>
      </c>
      <c r="N317" s="386">
        <f t="shared" si="75"/>
        <v>0.76</v>
      </c>
      <c r="W317"/>
    </row>
    <row r="318" spans="1:23">
      <c r="A318" s="387">
        <v>60</v>
      </c>
      <c r="B318" s="386">
        <f t="shared" si="68"/>
        <v>0.74</v>
      </c>
      <c r="C318" s="386">
        <f t="shared" si="69"/>
        <v>0.73</v>
      </c>
      <c r="D318" s="388">
        <v>0.72</v>
      </c>
      <c r="E318" s="386">
        <f t="shared" si="70"/>
        <v>0.73</v>
      </c>
      <c r="F318" s="386">
        <f t="shared" si="71"/>
        <v>0.75</v>
      </c>
      <c r="G318" s="388">
        <v>0.75</v>
      </c>
      <c r="H318" s="386">
        <f t="shared" si="72"/>
        <v>0.82</v>
      </c>
      <c r="I318" s="386">
        <f t="shared" si="73"/>
        <v>0.88</v>
      </c>
      <c r="J318" s="386">
        <v>1</v>
      </c>
      <c r="K318" s="388">
        <v>1</v>
      </c>
      <c r="L318" s="386">
        <v>1</v>
      </c>
      <c r="M318" s="386">
        <f t="shared" si="74"/>
        <v>0.82</v>
      </c>
      <c r="N318" s="386">
        <f t="shared" si="75"/>
        <v>0.75</v>
      </c>
      <c r="W318"/>
    </row>
    <row r="319" spans="1:23">
      <c r="A319" s="385">
        <v>61</v>
      </c>
      <c r="B319" s="386">
        <f t="shared" si="68"/>
        <v>0.73</v>
      </c>
      <c r="C319" s="386">
        <f t="shared" si="69"/>
        <v>0.72</v>
      </c>
      <c r="D319" s="386">
        <v>0.71</v>
      </c>
      <c r="E319" s="386">
        <f t="shared" si="70"/>
        <v>0.72</v>
      </c>
      <c r="F319" s="386">
        <f t="shared" si="71"/>
        <v>0.74</v>
      </c>
      <c r="G319" s="386">
        <v>0.74</v>
      </c>
      <c r="H319" s="386">
        <f t="shared" si="72"/>
        <v>0.81</v>
      </c>
      <c r="I319" s="386">
        <f t="shared" si="73"/>
        <v>0.87</v>
      </c>
      <c r="J319" s="386">
        <v>1</v>
      </c>
      <c r="K319" s="386">
        <v>1</v>
      </c>
      <c r="L319" s="386">
        <v>1</v>
      </c>
      <c r="M319" s="386">
        <f t="shared" si="74"/>
        <v>0.81</v>
      </c>
      <c r="N319" s="386">
        <f t="shared" si="75"/>
        <v>0.74</v>
      </c>
      <c r="W319"/>
    </row>
    <row r="320" spans="1:23">
      <c r="A320" s="385">
        <v>62</v>
      </c>
      <c r="B320" s="386">
        <f t="shared" si="68"/>
        <v>0.72</v>
      </c>
      <c r="C320" s="386">
        <f t="shared" si="69"/>
        <v>0.71</v>
      </c>
      <c r="D320" s="386">
        <v>0.7</v>
      </c>
      <c r="E320" s="386">
        <f t="shared" si="70"/>
        <v>0.71</v>
      </c>
      <c r="F320" s="386">
        <f t="shared" si="71"/>
        <v>0.73</v>
      </c>
      <c r="G320" s="386">
        <v>0.74</v>
      </c>
      <c r="H320" s="386">
        <f t="shared" si="72"/>
        <v>0.81</v>
      </c>
      <c r="I320" s="386">
        <f t="shared" si="73"/>
        <v>0.87</v>
      </c>
      <c r="J320" s="386">
        <v>1</v>
      </c>
      <c r="K320" s="386">
        <v>1</v>
      </c>
      <c r="L320" s="386">
        <v>1</v>
      </c>
      <c r="M320" s="386">
        <f t="shared" si="74"/>
        <v>0.81</v>
      </c>
      <c r="N320" s="386">
        <f t="shared" si="75"/>
        <v>0.73</v>
      </c>
      <c r="W320"/>
    </row>
    <row r="321" spans="1:23">
      <c r="A321" s="385">
        <v>63</v>
      </c>
      <c r="B321" s="386">
        <f t="shared" si="68"/>
        <v>0.71</v>
      </c>
      <c r="C321" s="386">
        <f t="shared" si="69"/>
        <v>0.7</v>
      </c>
      <c r="D321" s="386">
        <v>0.69</v>
      </c>
      <c r="E321" s="386">
        <f t="shared" si="70"/>
        <v>0.7</v>
      </c>
      <c r="F321" s="386">
        <f t="shared" si="71"/>
        <v>0.72</v>
      </c>
      <c r="G321" s="386">
        <v>0.73</v>
      </c>
      <c r="H321" s="386">
        <f t="shared" si="72"/>
        <v>0.8</v>
      </c>
      <c r="I321" s="386">
        <f t="shared" si="73"/>
        <v>0.87</v>
      </c>
      <c r="J321" s="386">
        <v>1</v>
      </c>
      <c r="K321" s="386">
        <v>1</v>
      </c>
      <c r="L321" s="386">
        <v>1</v>
      </c>
      <c r="M321" s="386">
        <f t="shared" si="74"/>
        <v>0.8</v>
      </c>
      <c r="N321" s="386">
        <f t="shared" si="75"/>
        <v>0.72</v>
      </c>
      <c r="W321"/>
    </row>
    <row r="322" spans="1:23">
      <c r="A322" s="385">
        <v>64</v>
      </c>
      <c r="B322" s="386">
        <f t="shared" ref="B322:B333" si="76">ROUND(((D322+G322)/2),2)</f>
        <v>0.7</v>
      </c>
      <c r="C322" s="386">
        <f t="shared" ref="C322:C333" si="77">ROUND(((D322+B322)/2),2)</f>
        <v>0.69</v>
      </c>
      <c r="D322" s="386">
        <v>0.68</v>
      </c>
      <c r="E322" s="386">
        <f t="shared" ref="E322:E333" si="78">ROUND(((D322+B322)/2),2)</f>
        <v>0.69</v>
      </c>
      <c r="F322" s="386">
        <f t="shared" ref="F322:F333" si="79">ROUND(((G322+B322)/2),2)</f>
        <v>0.71</v>
      </c>
      <c r="G322" s="386">
        <v>0.72</v>
      </c>
      <c r="H322" s="386">
        <f t="shared" ref="H322:H333" si="80">ROUND(((G322+I322)/2),2)</f>
        <v>0.79</v>
      </c>
      <c r="I322" s="386">
        <f t="shared" ref="I322:I333" si="81">ROUND(((K322+G322)/2),2)</f>
        <v>0.86</v>
      </c>
      <c r="J322" s="386">
        <v>1</v>
      </c>
      <c r="K322" s="386">
        <v>1</v>
      </c>
      <c r="L322" s="386">
        <v>1</v>
      </c>
      <c r="M322" s="386">
        <f t="shared" ref="M322:M333" si="82">ROUND(((I322+G322)/2),2)</f>
        <v>0.79</v>
      </c>
      <c r="N322" s="386">
        <f t="shared" ref="N322:N333" si="83">ROUND(((G322+B322)/2),2)</f>
        <v>0.71</v>
      </c>
    </row>
    <row r="323" spans="1:23">
      <c r="A323" s="385">
        <v>65</v>
      </c>
      <c r="B323" s="386">
        <f t="shared" si="76"/>
        <v>0.7</v>
      </c>
      <c r="C323" s="386">
        <f t="shared" si="77"/>
        <v>0.69</v>
      </c>
      <c r="D323" s="386">
        <v>0.67</v>
      </c>
      <c r="E323" s="386">
        <f t="shared" si="78"/>
        <v>0.69</v>
      </c>
      <c r="F323" s="386">
        <f t="shared" si="79"/>
        <v>0.71</v>
      </c>
      <c r="G323" s="386">
        <v>0.72</v>
      </c>
      <c r="H323" s="386">
        <f t="shared" si="80"/>
        <v>0.79</v>
      </c>
      <c r="I323" s="386">
        <f t="shared" si="81"/>
        <v>0.86</v>
      </c>
      <c r="J323" s="386">
        <v>1</v>
      </c>
      <c r="K323" s="386">
        <v>1</v>
      </c>
      <c r="L323" s="386">
        <v>1</v>
      </c>
      <c r="M323" s="386">
        <f t="shared" si="82"/>
        <v>0.79</v>
      </c>
      <c r="N323" s="386">
        <f t="shared" si="83"/>
        <v>0.71</v>
      </c>
    </row>
    <row r="324" spans="1:23">
      <c r="A324" s="385">
        <v>66</v>
      </c>
      <c r="B324" s="386">
        <f t="shared" si="76"/>
        <v>0.69</v>
      </c>
      <c r="C324" s="386">
        <f t="shared" si="77"/>
        <v>0.68</v>
      </c>
      <c r="D324" s="386">
        <v>0.66</v>
      </c>
      <c r="E324" s="386">
        <f t="shared" si="78"/>
        <v>0.68</v>
      </c>
      <c r="F324" s="386">
        <f t="shared" si="79"/>
        <v>0.7</v>
      </c>
      <c r="G324" s="386">
        <v>0.71</v>
      </c>
      <c r="H324" s="386">
        <f t="shared" si="80"/>
        <v>0.79</v>
      </c>
      <c r="I324" s="386">
        <f t="shared" si="81"/>
        <v>0.86</v>
      </c>
      <c r="J324" s="386">
        <v>1</v>
      </c>
      <c r="K324" s="386">
        <v>1</v>
      </c>
      <c r="L324" s="386">
        <v>1</v>
      </c>
      <c r="M324" s="386">
        <f t="shared" si="82"/>
        <v>0.79</v>
      </c>
      <c r="N324" s="386">
        <f t="shared" si="83"/>
        <v>0.7</v>
      </c>
    </row>
    <row r="325" spans="1:23">
      <c r="A325" s="385">
        <v>67</v>
      </c>
      <c r="B325" s="386">
        <f t="shared" si="76"/>
        <v>0.68</v>
      </c>
      <c r="C325" s="386">
        <f t="shared" si="77"/>
        <v>0.67</v>
      </c>
      <c r="D325" s="386">
        <v>0.65</v>
      </c>
      <c r="E325" s="386">
        <f t="shared" si="78"/>
        <v>0.67</v>
      </c>
      <c r="F325" s="386">
        <f t="shared" si="79"/>
        <v>0.69</v>
      </c>
      <c r="G325" s="386">
        <v>0.7</v>
      </c>
      <c r="H325" s="386">
        <f t="shared" si="80"/>
        <v>0.78</v>
      </c>
      <c r="I325" s="386">
        <f t="shared" si="81"/>
        <v>0.85</v>
      </c>
      <c r="J325" s="386">
        <v>1</v>
      </c>
      <c r="K325" s="386">
        <v>1</v>
      </c>
      <c r="L325" s="386">
        <v>1</v>
      </c>
      <c r="M325" s="386">
        <f t="shared" si="82"/>
        <v>0.78</v>
      </c>
      <c r="N325" s="386">
        <f t="shared" si="83"/>
        <v>0.69</v>
      </c>
    </row>
    <row r="326" spans="1:23">
      <c r="A326" s="385">
        <v>68</v>
      </c>
      <c r="B326" s="386">
        <f t="shared" si="76"/>
        <v>0.67</v>
      </c>
      <c r="C326" s="386">
        <f t="shared" si="77"/>
        <v>0.66</v>
      </c>
      <c r="D326" s="386">
        <v>0.64</v>
      </c>
      <c r="E326" s="386">
        <f t="shared" si="78"/>
        <v>0.66</v>
      </c>
      <c r="F326" s="386">
        <f t="shared" si="79"/>
        <v>0.69</v>
      </c>
      <c r="G326" s="386">
        <v>0.7</v>
      </c>
      <c r="H326" s="386">
        <f t="shared" si="80"/>
        <v>0.78</v>
      </c>
      <c r="I326" s="386">
        <f t="shared" si="81"/>
        <v>0.85</v>
      </c>
      <c r="J326" s="386">
        <v>1</v>
      </c>
      <c r="K326" s="386">
        <v>1</v>
      </c>
      <c r="L326" s="386">
        <v>1</v>
      </c>
      <c r="M326" s="386">
        <f t="shared" si="82"/>
        <v>0.78</v>
      </c>
      <c r="N326" s="386">
        <f t="shared" si="83"/>
        <v>0.69</v>
      </c>
    </row>
    <row r="327" spans="1:23">
      <c r="A327" s="385">
        <v>69</v>
      </c>
      <c r="B327" s="386">
        <f t="shared" si="76"/>
        <v>0.66</v>
      </c>
      <c r="C327" s="386">
        <f t="shared" si="77"/>
        <v>0.65</v>
      </c>
      <c r="D327" s="386">
        <v>0.63</v>
      </c>
      <c r="E327" s="386">
        <f t="shared" si="78"/>
        <v>0.65</v>
      </c>
      <c r="F327" s="386">
        <f t="shared" si="79"/>
        <v>0.68</v>
      </c>
      <c r="G327" s="386">
        <v>0.69</v>
      </c>
      <c r="H327" s="386">
        <f t="shared" si="80"/>
        <v>0.77</v>
      </c>
      <c r="I327" s="386">
        <f t="shared" si="81"/>
        <v>0.85</v>
      </c>
      <c r="J327" s="386">
        <v>1</v>
      </c>
      <c r="K327" s="386">
        <v>1</v>
      </c>
      <c r="L327" s="386">
        <v>1</v>
      </c>
      <c r="M327" s="386">
        <f t="shared" si="82"/>
        <v>0.77</v>
      </c>
      <c r="N327" s="386">
        <f t="shared" si="83"/>
        <v>0.68</v>
      </c>
    </row>
    <row r="328" spans="1:23">
      <c r="A328" s="385">
        <v>70</v>
      </c>
      <c r="B328" s="386">
        <f t="shared" si="76"/>
        <v>0.65</v>
      </c>
      <c r="C328" s="386">
        <f t="shared" si="77"/>
        <v>0.64</v>
      </c>
      <c r="D328" s="386">
        <v>0.62</v>
      </c>
      <c r="E328" s="386">
        <f t="shared" si="78"/>
        <v>0.64</v>
      </c>
      <c r="F328" s="386">
        <f t="shared" si="79"/>
        <v>0.67</v>
      </c>
      <c r="G328" s="386">
        <v>0.68</v>
      </c>
      <c r="H328" s="386">
        <f t="shared" si="80"/>
        <v>0.76</v>
      </c>
      <c r="I328" s="386">
        <f t="shared" si="81"/>
        <v>0.84</v>
      </c>
      <c r="J328" s="386">
        <v>1</v>
      </c>
      <c r="K328" s="386">
        <v>1</v>
      </c>
      <c r="L328" s="386">
        <v>1</v>
      </c>
      <c r="M328" s="386">
        <f t="shared" si="82"/>
        <v>0.76</v>
      </c>
      <c r="N328" s="386">
        <f t="shared" si="83"/>
        <v>0.67</v>
      </c>
    </row>
    <row r="329" spans="1:23">
      <c r="A329" s="385">
        <v>71</v>
      </c>
      <c r="B329" s="386">
        <f t="shared" si="76"/>
        <v>0.65</v>
      </c>
      <c r="C329" s="386">
        <f t="shared" si="77"/>
        <v>0.63</v>
      </c>
      <c r="D329" s="386">
        <v>0.61</v>
      </c>
      <c r="E329" s="386">
        <f t="shared" si="78"/>
        <v>0.63</v>
      </c>
      <c r="F329" s="386">
        <f t="shared" si="79"/>
        <v>0.67</v>
      </c>
      <c r="G329" s="386">
        <v>0.68</v>
      </c>
      <c r="H329" s="386">
        <f t="shared" si="80"/>
        <v>0.76</v>
      </c>
      <c r="I329" s="386">
        <f t="shared" si="81"/>
        <v>0.84</v>
      </c>
      <c r="J329" s="386">
        <v>1</v>
      </c>
      <c r="K329" s="386">
        <v>1</v>
      </c>
      <c r="L329" s="386">
        <v>1</v>
      </c>
      <c r="M329" s="386">
        <f t="shared" si="82"/>
        <v>0.76</v>
      </c>
      <c r="N329" s="386">
        <f t="shared" si="83"/>
        <v>0.67</v>
      </c>
    </row>
    <row r="330" spans="1:23">
      <c r="A330" s="385">
        <v>72</v>
      </c>
      <c r="B330" s="386">
        <f t="shared" si="76"/>
        <v>0.64</v>
      </c>
      <c r="C330" s="386">
        <f t="shared" si="77"/>
        <v>0.62</v>
      </c>
      <c r="D330" s="386">
        <v>0.6</v>
      </c>
      <c r="E330" s="386">
        <f t="shared" si="78"/>
        <v>0.62</v>
      </c>
      <c r="F330" s="386">
        <f t="shared" si="79"/>
        <v>0.66</v>
      </c>
      <c r="G330" s="386">
        <v>0.67</v>
      </c>
      <c r="H330" s="386">
        <f t="shared" si="80"/>
        <v>0.76</v>
      </c>
      <c r="I330" s="386">
        <f t="shared" si="81"/>
        <v>0.84</v>
      </c>
      <c r="J330" s="386">
        <v>1</v>
      </c>
      <c r="K330" s="386">
        <v>1</v>
      </c>
      <c r="L330" s="386">
        <v>1</v>
      </c>
      <c r="M330" s="386">
        <f t="shared" si="82"/>
        <v>0.76</v>
      </c>
      <c r="N330" s="386">
        <f t="shared" si="83"/>
        <v>0.66</v>
      </c>
    </row>
    <row r="331" spans="1:23">
      <c r="A331" s="385">
        <v>73</v>
      </c>
      <c r="B331" s="386">
        <f t="shared" si="76"/>
        <v>0.63</v>
      </c>
      <c r="C331" s="386">
        <f t="shared" si="77"/>
        <v>0.61</v>
      </c>
      <c r="D331" s="386">
        <v>0.59</v>
      </c>
      <c r="E331" s="386">
        <f t="shared" si="78"/>
        <v>0.61</v>
      </c>
      <c r="F331" s="386">
        <f t="shared" si="79"/>
        <v>0.65</v>
      </c>
      <c r="G331" s="386">
        <v>0.66</v>
      </c>
      <c r="H331" s="386">
        <f t="shared" si="80"/>
        <v>0.75</v>
      </c>
      <c r="I331" s="386">
        <f t="shared" si="81"/>
        <v>0.83</v>
      </c>
      <c r="J331" s="386">
        <v>1</v>
      </c>
      <c r="K331" s="386">
        <v>1</v>
      </c>
      <c r="L331" s="386">
        <v>1</v>
      </c>
      <c r="M331" s="386">
        <f t="shared" si="82"/>
        <v>0.75</v>
      </c>
      <c r="N331" s="386">
        <f t="shared" si="83"/>
        <v>0.65</v>
      </c>
    </row>
    <row r="332" spans="1:23">
      <c r="A332" s="385">
        <v>74</v>
      </c>
      <c r="B332" s="386">
        <f t="shared" si="76"/>
        <v>0.62</v>
      </c>
      <c r="C332" s="386">
        <f t="shared" si="77"/>
        <v>0.6</v>
      </c>
      <c r="D332" s="386">
        <v>0.57999999999999996</v>
      </c>
      <c r="E332" s="386">
        <f t="shared" si="78"/>
        <v>0.6</v>
      </c>
      <c r="F332" s="386">
        <f t="shared" si="79"/>
        <v>0.64</v>
      </c>
      <c r="G332" s="386">
        <v>0.66</v>
      </c>
      <c r="H332" s="386">
        <f t="shared" si="80"/>
        <v>0.75</v>
      </c>
      <c r="I332" s="386">
        <f t="shared" si="81"/>
        <v>0.83</v>
      </c>
      <c r="J332" s="386">
        <v>1</v>
      </c>
      <c r="K332" s="386">
        <v>1</v>
      </c>
      <c r="L332" s="386">
        <v>1</v>
      </c>
      <c r="M332" s="386">
        <f t="shared" si="82"/>
        <v>0.75</v>
      </c>
      <c r="N332" s="386">
        <f t="shared" si="83"/>
        <v>0.64</v>
      </c>
    </row>
    <row r="333" spans="1:23">
      <c r="A333" s="387">
        <v>75</v>
      </c>
      <c r="B333" s="386">
        <f t="shared" si="76"/>
        <v>0.61</v>
      </c>
      <c r="C333" s="386">
        <f t="shared" si="77"/>
        <v>0.59</v>
      </c>
      <c r="D333" s="388">
        <v>0.56999999999999995</v>
      </c>
      <c r="E333" s="386">
        <f t="shared" si="78"/>
        <v>0.59</v>
      </c>
      <c r="F333" s="386">
        <f t="shared" si="79"/>
        <v>0.63</v>
      </c>
      <c r="G333" s="388">
        <v>0.65</v>
      </c>
      <c r="H333" s="386">
        <f t="shared" si="80"/>
        <v>0.74</v>
      </c>
      <c r="I333" s="386">
        <f t="shared" si="81"/>
        <v>0.83</v>
      </c>
      <c r="J333" s="386">
        <v>1</v>
      </c>
      <c r="K333" s="388">
        <v>1</v>
      </c>
      <c r="L333" s="386">
        <v>1</v>
      </c>
      <c r="M333" s="386">
        <f t="shared" si="82"/>
        <v>0.74</v>
      </c>
      <c r="N333" s="386">
        <f t="shared" si="83"/>
        <v>0.63</v>
      </c>
    </row>
  </sheetData>
  <phoneticPr fontId="18" type="noConversion"/>
  <pageMargins left="0.7" right="0.7" top="0.75" bottom="0.75" header="0.4921259845" footer="0.4921259845"/>
  <pageSetup paperSize="0" orientation="portrait" horizontalDpi="4294967292" verticalDpi="429496729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BZ173"/>
  <sheetViews>
    <sheetView showGridLines="0" showRowColHeaders="0" zoomScale="125" workbookViewId="0">
      <selection activeCell="C46" sqref="C46"/>
    </sheetView>
  </sheetViews>
  <sheetFormatPr baseColWidth="10" defaultColWidth="10.875" defaultRowHeight="12"/>
  <cols>
    <col min="1" max="1" width="10.875" style="1"/>
    <col min="2" max="2" width="26" style="1" customWidth="1"/>
    <col min="3" max="3" width="11.5" style="2" bestFit="1" customWidth="1"/>
    <col min="4" max="4" width="11.5" style="118" bestFit="1" customWidth="1"/>
    <col min="5" max="9" width="11.5" style="2" bestFit="1" customWidth="1"/>
    <col min="10" max="10" width="11.5" style="118" bestFit="1" customWidth="1"/>
    <col min="11" max="14" width="11.5" style="2" bestFit="1" customWidth="1"/>
    <col min="15" max="15" width="12.375" style="2" bestFit="1" customWidth="1"/>
    <col min="16" max="16" width="10.875" style="118"/>
    <col min="17" max="21" width="10.875" style="2"/>
    <col min="22" max="22" width="10.875" style="118"/>
    <col min="23" max="27" width="10.875" style="2"/>
    <col min="28" max="28" width="10.875" style="118"/>
    <col min="29" max="33" width="10.875" style="2"/>
    <col min="34" max="34" width="10.875" style="118"/>
    <col min="35" max="39" width="10.875" style="2"/>
    <col min="40" max="40" width="10.875" style="118"/>
    <col min="41" max="45" width="10.875" style="2"/>
    <col min="46" max="46" width="10.875" style="118"/>
    <col min="47" max="51" width="10.875" style="2"/>
    <col min="52" max="52" width="10.875" style="118"/>
    <col min="53" max="57" width="10.875" style="2"/>
    <col min="58" max="58" width="10.875" style="118"/>
    <col min="59" max="63" width="10.875" style="2"/>
    <col min="64" max="64" width="10.875" style="118"/>
    <col min="65" max="69" width="10.875" style="2"/>
    <col min="70" max="70" width="10.875" style="118"/>
    <col min="71" max="75" width="10.875" style="2"/>
    <col min="76" max="76" width="10.875" style="118"/>
    <col min="77" max="77" width="17.5" style="1" bestFit="1" customWidth="1"/>
    <col min="78" max="16384" width="10.875" style="1"/>
  </cols>
  <sheetData>
    <row r="1" spans="1:78">
      <c r="B1" s="1" t="s">
        <v>72</v>
      </c>
    </row>
    <row r="3" spans="1:78">
      <c r="C3" s="2" t="s">
        <v>529</v>
      </c>
      <c r="D3" s="118" t="s">
        <v>49</v>
      </c>
      <c r="E3" s="2" t="s">
        <v>191</v>
      </c>
      <c r="F3" s="2" t="s">
        <v>377</v>
      </c>
      <c r="G3" s="2" t="s">
        <v>53</v>
      </c>
      <c r="H3" s="2" t="s">
        <v>54</v>
      </c>
      <c r="I3" s="2" t="s">
        <v>474</v>
      </c>
      <c r="J3" s="118" t="s">
        <v>554</v>
      </c>
      <c r="K3" s="2" t="s">
        <v>191</v>
      </c>
      <c r="L3" s="2" t="s">
        <v>377</v>
      </c>
      <c r="M3" s="2" t="s">
        <v>53</v>
      </c>
      <c r="N3" s="2" t="s">
        <v>54</v>
      </c>
      <c r="O3" s="2" t="s">
        <v>474</v>
      </c>
      <c r="P3" s="118" t="s">
        <v>306</v>
      </c>
      <c r="Q3" s="2" t="s">
        <v>191</v>
      </c>
      <c r="R3" s="2" t="s">
        <v>377</v>
      </c>
      <c r="S3" s="2" t="s">
        <v>53</v>
      </c>
      <c r="T3" s="2" t="s">
        <v>54</v>
      </c>
      <c r="U3" s="2" t="s">
        <v>474</v>
      </c>
      <c r="V3" s="118" t="s">
        <v>409</v>
      </c>
      <c r="W3" s="2" t="s">
        <v>191</v>
      </c>
      <c r="X3" s="2" t="s">
        <v>377</v>
      </c>
      <c r="Y3" s="2" t="s">
        <v>53</v>
      </c>
      <c r="Z3" s="2" t="s">
        <v>54</v>
      </c>
      <c r="AA3" s="2" t="s">
        <v>474</v>
      </c>
      <c r="AB3" s="118" t="s">
        <v>410</v>
      </c>
      <c r="AC3" s="2" t="s">
        <v>191</v>
      </c>
      <c r="AD3" s="2" t="s">
        <v>377</v>
      </c>
      <c r="AE3" s="2" t="s">
        <v>53</v>
      </c>
      <c r="AF3" s="2" t="s">
        <v>54</v>
      </c>
      <c r="AG3" s="2" t="s">
        <v>474</v>
      </c>
      <c r="AH3" s="118" t="s">
        <v>411</v>
      </c>
      <c r="AI3" s="2" t="s">
        <v>191</v>
      </c>
      <c r="AJ3" s="2" t="s">
        <v>377</v>
      </c>
      <c r="AK3" s="2" t="s">
        <v>53</v>
      </c>
      <c r="AL3" s="2" t="s">
        <v>54</v>
      </c>
      <c r="AM3" s="2" t="s">
        <v>474</v>
      </c>
      <c r="AN3" s="118" t="s">
        <v>221</v>
      </c>
      <c r="AO3" s="2" t="s">
        <v>191</v>
      </c>
      <c r="AP3" s="2" t="s">
        <v>377</v>
      </c>
      <c r="AQ3" s="2" t="s">
        <v>53</v>
      </c>
      <c r="AR3" s="2" t="s">
        <v>54</v>
      </c>
      <c r="AS3" s="2" t="s">
        <v>474</v>
      </c>
      <c r="AT3" s="118" t="s">
        <v>138</v>
      </c>
      <c r="AU3" s="2" t="s">
        <v>191</v>
      </c>
      <c r="AV3" s="2" t="s">
        <v>377</v>
      </c>
      <c r="AW3" s="2" t="s">
        <v>53</v>
      </c>
      <c r="AX3" s="2" t="s">
        <v>54</v>
      </c>
      <c r="AY3" s="2" t="s">
        <v>474</v>
      </c>
      <c r="AZ3" s="118" t="s">
        <v>139</v>
      </c>
      <c r="BA3" s="2" t="s">
        <v>191</v>
      </c>
      <c r="BB3" s="2" t="s">
        <v>377</v>
      </c>
      <c r="BC3" s="2" t="s">
        <v>53</v>
      </c>
      <c r="BD3" s="2" t="s">
        <v>54</v>
      </c>
      <c r="BE3" s="2" t="s">
        <v>474</v>
      </c>
      <c r="BF3" s="118" t="s">
        <v>269</v>
      </c>
      <c r="BG3" s="2" t="s">
        <v>191</v>
      </c>
      <c r="BH3" s="2" t="s">
        <v>377</v>
      </c>
      <c r="BI3" s="2" t="s">
        <v>53</v>
      </c>
      <c r="BJ3" s="2" t="s">
        <v>54</v>
      </c>
      <c r="BK3" s="2" t="s">
        <v>474</v>
      </c>
      <c r="BL3" s="118" t="s">
        <v>366</v>
      </c>
      <c r="BM3" s="2" t="s">
        <v>191</v>
      </c>
      <c r="BN3" s="2" t="s">
        <v>377</v>
      </c>
      <c r="BO3" s="2" t="s">
        <v>53</v>
      </c>
      <c r="BP3" s="2" t="s">
        <v>54</v>
      </c>
      <c r="BQ3" s="2" t="s">
        <v>474</v>
      </c>
      <c r="BR3" s="118" t="s">
        <v>465</v>
      </c>
      <c r="BS3" s="2" t="s">
        <v>191</v>
      </c>
      <c r="BT3" s="2" t="s">
        <v>377</v>
      </c>
      <c r="BU3" s="2" t="s">
        <v>53</v>
      </c>
      <c r="BV3" s="2" t="s">
        <v>54</v>
      </c>
      <c r="BW3" s="2" t="s">
        <v>474</v>
      </c>
      <c r="BX3" s="118" t="s">
        <v>540</v>
      </c>
      <c r="BY3" s="118" t="s">
        <v>710</v>
      </c>
    </row>
    <row r="4" spans="1:78">
      <c r="A4" s="1">
        <v>1</v>
      </c>
      <c r="B4" s="1" t="s">
        <v>145</v>
      </c>
      <c r="C4" s="2">
        <v>1320</v>
      </c>
      <c r="D4" s="120">
        <v>-1.2</v>
      </c>
      <c r="E4" s="121">
        <v>297</v>
      </c>
      <c r="F4" s="121">
        <v>96</v>
      </c>
      <c r="G4" s="121">
        <v>134</v>
      </c>
      <c r="H4" s="121">
        <v>75</v>
      </c>
      <c r="I4" s="121">
        <v>150</v>
      </c>
      <c r="J4" s="120">
        <v>-0.9</v>
      </c>
      <c r="K4" s="121">
        <v>331</v>
      </c>
      <c r="L4" s="121">
        <v>143</v>
      </c>
      <c r="M4" s="121">
        <v>169</v>
      </c>
      <c r="N4" s="121">
        <v>102</v>
      </c>
      <c r="O4" s="121">
        <v>213</v>
      </c>
      <c r="P4" s="120">
        <v>1.7</v>
      </c>
      <c r="Q4" s="121">
        <v>431</v>
      </c>
      <c r="R4" s="121">
        <v>271</v>
      </c>
      <c r="S4" s="121">
        <v>257</v>
      </c>
      <c r="T4" s="121">
        <v>171</v>
      </c>
      <c r="U4" s="121">
        <v>364</v>
      </c>
      <c r="V4" s="120">
        <v>4.0999999999999996</v>
      </c>
      <c r="W4" s="121">
        <v>293</v>
      </c>
      <c r="X4" s="121">
        <v>233</v>
      </c>
      <c r="Y4" s="121">
        <v>181</v>
      </c>
      <c r="Z4" s="121">
        <v>101</v>
      </c>
      <c r="AA4" s="121">
        <v>443</v>
      </c>
      <c r="AB4" s="120">
        <v>9.1999999999999993</v>
      </c>
      <c r="AC4" s="121">
        <v>268</v>
      </c>
      <c r="AD4" s="121">
        <v>295</v>
      </c>
      <c r="AE4" s="121">
        <v>198</v>
      </c>
      <c r="AF4" s="121">
        <v>129</v>
      </c>
      <c r="AG4" s="121">
        <v>530</v>
      </c>
      <c r="AH4" s="120">
        <v>11.8</v>
      </c>
      <c r="AI4" s="121">
        <v>236</v>
      </c>
      <c r="AJ4" s="121">
        <v>311</v>
      </c>
      <c r="AK4" s="121">
        <v>187</v>
      </c>
      <c r="AL4" s="121">
        <v>140</v>
      </c>
      <c r="AM4" s="121">
        <v>537</v>
      </c>
      <c r="AN4" s="120">
        <v>14.2</v>
      </c>
      <c r="AO4" s="121">
        <v>265</v>
      </c>
      <c r="AP4" s="121">
        <v>327</v>
      </c>
      <c r="AQ4" s="121">
        <v>198</v>
      </c>
      <c r="AR4" s="121">
        <v>139</v>
      </c>
      <c r="AS4" s="121">
        <v>560</v>
      </c>
      <c r="AT4" s="120">
        <v>14.4</v>
      </c>
      <c r="AU4" s="121">
        <v>300</v>
      </c>
      <c r="AV4" s="121">
        <v>279</v>
      </c>
      <c r="AW4" s="121">
        <v>187</v>
      </c>
      <c r="AX4" s="121">
        <v>112</v>
      </c>
      <c r="AY4" s="121">
        <v>493</v>
      </c>
      <c r="AZ4" s="120">
        <v>10.5</v>
      </c>
      <c r="BA4" s="121">
        <v>314</v>
      </c>
      <c r="BB4" s="121">
        <v>197</v>
      </c>
      <c r="BC4" s="121">
        <v>156</v>
      </c>
      <c r="BD4" s="121">
        <v>83</v>
      </c>
      <c r="BE4" s="121">
        <v>371</v>
      </c>
      <c r="BF4" s="120">
        <v>7.3</v>
      </c>
      <c r="BG4" s="121">
        <v>359</v>
      </c>
      <c r="BH4" s="121">
        <v>179</v>
      </c>
      <c r="BI4" s="121">
        <v>190</v>
      </c>
      <c r="BJ4" s="121">
        <v>123</v>
      </c>
      <c r="BK4" s="121">
        <v>254</v>
      </c>
      <c r="BL4" s="120">
        <v>2</v>
      </c>
      <c r="BM4" s="121">
        <v>262</v>
      </c>
      <c r="BN4" s="121">
        <v>96</v>
      </c>
      <c r="BO4" s="121">
        <v>122</v>
      </c>
      <c r="BP4" s="121">
        <v>75</v>
      </c>
      <c r="BQ4" s="121">
        <v>150</v>
      </c>
      <c r="BR4" s="120">
        <v>0</v>
      </c>
      <c r="BS4" s="121">
        <v>244</v>
      </c>
      <c r="BT4" s="121">
        <v>78</v>
      </c>
      <c r="BU4" s="121">
        <v>104</v>
      </c>
      <c r="BV4" s="121">
        <v>62</v>
      </c>
      <c r="BW4" s="121">
        <v>121</v>
      </c>
      <c r="BX4" s="120">
        <v>6.1</v>
      </c>
      <c r="BY4" s="2">
        <v>-10</v>
      </c>
      <c r="BZ4" s="1" t="s">
        <v>93</v>
      </c>
    </row>
    <row r="5" spans="1:78">
      <c r="A5" s="1">
        <v>2</v>
      </c>
      <c r="B5" s="1" t="s">
        <v>94</v>
      </c>
      <c r="C5" s="2">
        <v>381</v>
      </c>
      <c r="D5" s="120">
        <v>1.1000000000000001</v>
      </c>
      <c r="E5" s="121">
        <v>238</v>
      </c>
      <c r="F5" s="121">
        <v>94</v>
      </c>
      <c r="G5" s="121">
        <v>75</v>
      </c>
      <c r="H5" s="121">
        <v>48</v>
      </c>
      <c r="I5" s="121">
        <v>139</v>
      </c>
      <c r="J5" s="120">
        <v>2.5</v>
      </c>
      <c r="K5" s="121">
        <v>273</v>
      </c>
      <c r="L5" s="121">
        <v>128</v>
      </c>
      <c r="M5" s="121">
        <v>109</v>
      </c>
      <c r="N5" s="121">
        <v>60</v>
      </c>
      <c r="O5" s="121">
        <v>201</v>
      </c>
      <c r="P5" s="120">
        <v>6.2</v>
      </c>
      <c r="Q5" s="121">
        <v>354</v>
      </c>
      <c r="R5" s="121">
        <v>212</v>
      </c>
      <c r="S5" s="121">
        <v>185</v>
      </c>
      <c r="T5" s="121">
        <v>94</v>
      </c>
      <c r="U5" s="121">
        <v>362</v>
      </c>
      <c r="V5" s="120">
        <v>9.3000000000000007</v>
      </c>
      <c r="W5" s="121">
        <v>308</v>
      </c>
      <c r="X5" s="121">
        <v>249</v>
      </c>
      <c r="Y5" s="121">
        <v>210</v>
      </c>
      <c r="Z5" s="121">
        <v>114</v>
      </c>
      <c r="AA5" s="121">
        <v>456</v>
      </c>
      <c r="AB5" s="120">
        <v>14.1</v>
      </c>
      <c r="AC5" s="121">
        <v>295</v>
      </c>
      <c r="AD5" s="121">
        <v>303</v>
      </c>
      <c r="AE5" s="121">
        <v>244</v>
      </c>
      <c r="AF5" s="121">
        <v>147</v>
      </c>
      <c r="AG5" s="121">
        <v>570</v>
      </c>
      <c r="AH5" s="120">
        <v>16.899999999999999</v>
      </c>
      <c r="AI5" s="121">
        <v>270</v>
      </c>
      <c r="AJ5" s="121">
        <v>321</v>
      </c>
      <c r="AK5" s="121">
        <v>259</v>
      </c>
      <c r="AL5" s="121">
        <v>163</v>
      </c>
      <c r="AM5" s="121">
        <v>599</v>
      </c>
      <c r="AN5" s="120">
        <v>19.100000000000001</v>
      </c>
      <c r="AO5" s="121">
        <v>305</v>
      </c>
      <c r="AP5" s="121">
        <v>332</v>
      </c>
      <c r="AQ5" s="121">
        <v>279</v>
      </c>
      <c r="AR5" s="121">
        <v>158</v>
      </c>
      <c r="AS5" s="121">
        <v>632</v>
      </c>
      <c r="AT5" s="120">
        <v>18.899999999999999</v>
      </c>
      <c r="AU5" s="121">
        <v>340</v>
      </c>
      <c r="AV5" s="121">
        <v>308</v>
      </c>
      <c r="AW5" s="121">
        <v>249</v>
      </c>
      <c r="AX5" s="121">
        <v>131</v>
      </c>
      <c r="AY5" s="121">
        <v>549</v>
      </c>
      <c r="AZ5" s="120">
        <v>14.6</v>
      </c>
      <c r="BA5" s="121">
        <v>340</v>
      </c>
      <c r="BB5" s="121">
        <v>228</v>
      </c>
      <c r="BC5" s="121">
        <v>194</v>
      </c>
      <c r="BD5" s="121">
        <v>98</v>
      </c>
      <c r="BE5" s="121">
        <v>394</v>
      </c>
      <c r="BF5" s="120">
        <v>10.5</v>
      </c>
      <c r="BG5" s="121">
        <v>316</v>
      </c>
      <c r="BH5" s="121">
        <v>161</v>
      </c>
      <c r="BI5" s="121">
        <v>131</v>
      </c>
      <c r="BJ5" s="121">
        <v>70</v>
      </c>
      <c r="BK5" s="121">
        <v>262</v>
      </c>
      <c r="BL5" s="120">
        <v>5.0999999999999996</v>
      </c>
      <c r="BM5" s="121">
        <v>220</v>
      </c>
      <c r="BN5" s="121">
        <v>91</v>
      </c>
      <c r="BO5" s="121">
        <v>70</v>
      </c>
      <c r="BP5" s="121">
        <v>44</v>
      </c>
      <c r="BQ5" s="121">
        <v>145</v>
      </c>
      <c r="BR5" s="120">
        <v>2.2999999999999998</v>
      </c>
      <c r="BS5" s="121">
        <v>196</v>
      </c>
      <c r="BT5" s="121">
        <v>72</v>
      </c>
      <c r="BU5" s="121">
        <v>54</v>
      </c>
      <c r="BV5" s="121">
        <v>37</v>
      </c>
      <c r="BW5" s="121">
        <v>112</v>
      </c>
      <c r="BX5" s="120">
        <v>10.1</v>
      </c>
      <c r="BY5" s="2">
        <v>-6</v>
      </c>
      <c r="BZ5" s="1" t="s">
        <v>94</v>
      </c>
    </row>
    <row r="6" spans="1:78">
      <c r="A6" s="1">
        <v>3</v>
      </c>
      <c r="B6" s="1" t="s">
        <v>354</v>
      </c>
      <c r="C6" s="2">
        <v>449</v>
      </c>
      <c r="D6" s="120">
        <v>1.2</v>
      </c>
      <c r="E6" s="121">
        <v>134</v>
      </c>
      <c r="F6" s="121">
        <v>51</v>
      </c>
      <c r="G6" s="121">
        <v>48</v>
      </c>
      <c r="H6" s="121">
        <v>40</v>
      </c>
      <c r="I6" s="121">
        <v>104</v>
      </c>
      <c r="J6" s="120">
        <v>2.1</v>
      </c>
      <c r="K6" s="121">
        <v>220</v>
      </c>
      <c r="L6" s="121">
        <v>99</v>
      </c>
      <c r="M6" s="121">
        <v>94</v>
      </c>
      <c r="N6" s="121">
        <v>63</v>
      </c>
      <c r="O6" s="121">
        <v>174</v>
      </c>
      <c r="P6" s="120">
        <v>5.9</v>
      </c>
      <c r="Q6" s="121">
        <v>303</v>
      </c>
      <c r="R6" s="121">
        <v>174</v>
      </c>
      <c r="S6" s="121">
        <v>142</v>
      </c>
      <c r="T6" s="121">
        <v>88</v>
      </c>
      <c r="U6" s="121">
        <v>324</v>
      </c>
      <c r="V6" s="120">
        <v>9.1</v>
      </c>
      <c r="W6" s="121">
        <v>290</v>
      </c>
      <c r="X6" s="121">
        <v>231</v>
      </c>
      <c r="Y6" s="121">
        <v>184</v>
      </c>
      <c r="Z6" s="121">
        <v>106</v>
      </c>
      <c r="AA6" s="121">
        <v>435</v>
      </c>
      <c r="AB6" s="120">
        <v>14.1</v>
      </c>
      <c r="AC6" s="121">
        <v>281</v>
      </c>
      <c r="AD6" s="121">
        <v>289</v>
      </c>
      <c r="AE6" s="121">
        <v>220</v>
      </c>
      <c r="AF6" s="121">
        <v>137</v>
      </c>
      <c r="AG6" s="121">
        <v>549</v>
      </c>
      <c r="AH6" s="120">
        <v>16.5</v>
      </c>
      <c r="AI6" s="121">
        <v>244</v>
      </c>
      <c r="AJ6" s="121">
        <v>290</v>
      </c>
      <c r="AK6" s="121">
        <v>207</v>
      </c>
      <c r="AL6" s="121">
        <v>143</v>
      </c>
      <c r="AM6" s="121">
        <v>547</v>
      </c>
      <c r="AN6" s="120">
        <v>18.600000000000001</v>
      </c>
      <c r="AO6" s="121">
        <v>268</v>
      </c>
      <c r="AP6" s="121">
        <v>297</v>
      </c>
      <c r="AQ6" s="121">
        <v>212</v>
      </c>
      <c r="AR6" s="121">
        <v>142</v>
      </c>
      <c r="AS6" s="121">
        <v>554</v>
      </c>
      <c r="AT6" s="120">
        <v>18.600000000000001</v>
      </c>
      <c r="AU6" s="121">
        <v>295</v>
      </c>
      <c r="AV6" s="121">
        <v>268</v>
      </c>
      <c r="AW6" s="121">
        <v>193</v>
      </c>
      <c r="AX6" s="121">
        <v>118</v>
      </c>
      <c r="AY6" s="121">
        <v>485</v>
      </c>
      <c r="AZ6" s="120">
        <v>14.6</v>
      </c>
      <c r="BA6" s="121">
        <v>280</v>
      </c>
      <c r="BB6" s="121">
        <v>187</v>
      </c>
      <c r="BC6" s="121">
        <v>137</v>
      </c>
      <c r="BD6" s="121">
        <v>86</v>
      </c>
      <c r="BE6" s="121">
        <v>345</v>
      </c>
      <c r="BF6" s="120">
        <v>10.6</v>
      </c>
      <c r="BG6" s="121">
        <v>241</v>
      </c>
      <c r="BH6" s="121">
        <v>115</v>
      </c>
      <c r="BI6" s="121">
        <v>94</v>
      </c>
      <c r="BJ6" s="121">
        <v>59</v>
      </c>
      <c r="BK6" s="121">
        <v>225</v>
      </c>
      <c r="BL6" s="120">
        <v>5.2</v>
      </c>
      <c r="BM6" s="121">
        <v>140</v>
      </c>
      <c r="BN6" s="121">
        <v>52</v>
      </c>
      <c r="BO6" s="121">
        <v>49</v>
      </c>
      <c r="BP6" s="121">
        <v>36</v>
      </c>
      <c r="BQ6" s="121">
        <v>117</v>
      </c>
      <c r="BR6" s="120">
        <v>2.5</v>
      </c>
      <c r="BS6" s="121">
        <v>96</v>
      </c>
      <c r="BT6" s="121">
        <v>37</v>
      </c>
      <c r="BU6" s="121">
        <v>32</v>
      </c>
      <c r="BV6" s="121">
        <v>29</v>
      </c>
      <c r="BW6" s="121">
        <v>80</v>
      </c>
      <c r="BX6" s="120">
        <v>9.9</v>
      </c>
      <c r="BY6" s="2">
        <v>-6</v>
      </c>
      <c r="BZ6" s="1" t="s">
        <v>36</v>
      </c>
    </row>
    <row r="7" spans="1:78">
      <c r="A7" s="1">
        <v>4</v>
      </c>
      <c r="B7" s="1" t="s">
        <v>146</v>
      </c>
      <c r="C7" s="2">
        <v>316</v>
      </c>
      <c r="D7" s="120">
        <v>1.7</v>
      </c>
      <c r="E7" s="121">
        <v>190</v>
      </c>
      <c r="F7" s="121">
        <v>72</v>
      </c>
      <c r="G7" s="121">
        <v>80</v>
      </c>
      <c r="H7" s="121">
        <v>43</v>
      </c>
      <c r="I7" s="121">
        <v>110</v>
      </c>
      <c r="J7" s="120">
        <v>2.9</v>
      </c>
      <c r="K7" s="121">
        <v>232</v>
      </c>
      <c r="L7" s="121">
        <v>109</v>
      </c>
      <c r="M7" s="121">
        <v>119</v>
      </c>
      <c r="N7" s="121">
        <v>60</v>
      </c>
      <c r="O7" s="121">
        <v>167</v>
      </c>
      <c r="P7" s="120">
        <v>6.8</v>
      </c>
      <c r="Q7" s="121">
        <v>303</v>
      </c>
      <c r="R7" s="121">
        <v>182</v>
      </c>
      <c r="S7" s="121">
        <v>193</v>
      </c>
      <c r="T7" s="121">
        <v>94</v>
      </c>
      <c r="U7" s="121">
        <v>305</v>
      </c>
      <c r="V7" s="120">
        <v>9.6</v>
      </c>
      <c r="W7" s="121">
        <v>283</v>
      </c>
      <c r="X7" s="121">
        <v>231</v>
      </c>
      <c r="Y7" s="121">
        <v>236</v>
      </c>
      <c r="Z7" s="121">
        <v>119</v>
      </c>
      <c r="AA7" s="121">
        <v>410</v>
      </c>
      <c r="AB7" s="120">
        <v>14.2</v>
      </c>
      <c r="AC7" s="121">
        <v>281</v>
      </c>
      <c r="AD7" s="121">
        <v>295</v>
      </c>
      <c r="AE7" s="121">
        <v>292</v>
      </c>
      <c r="AF7" s="121">
        <v>161</v>
      </c>
      <c r="AG7" s="121">
        <v>528</v>
      </c>
      <c r="AH7" s="120">
        <v>17.2</v>
      </c>
      <c r="AI7" s="121">
        <v>275</v>
      </c>
      <c r="AJ7" s="121">
        <v>321</v>
      </c>
      <c r="AK7" s="121">
        <v>327</v>
      </c>
      <c r="AL7" s="121">
        <v>189</v>
      </c>
      <c r="AM7" s="121">
        <v>583</v>
      </c>
      <c r="AN7" s="120">
        <v>19.5</v>
      </c>
      <c r="AO7" s="121">
        <v>303</v>
      </c>
      <c r="AP7" s="121">
        <v>332</v>
      </c>
      <c r="AQ7" s="121">
        <v>346</v>
      </c>
      <c r="AR7" s="121">
        <v>185</v>
      </c>
      <c r="AS7" s="121">
        <v>605</v>
      </c>
      <c r="AT7" s="120">
        <v>19.399999999999999</v>
      </c>
      <c r="AU7" s="121">
        <v>337</v>
      </c>
      <c r="AV7" s="121">
        <v>303</v>
      </c>
      <c r="AW7" s="121">
        <v>313</v>
      </c>
      <c r="AX7" s="121">
        <v>147</v>
      </c>
      <c r="AY7" s="121">
        <v>530</v>
      </c>
      <c r="AZ7" s="120">
        <v>14.9</v>
      </c>
      <c r="BA7" s="121">
        <v>314</v>
      </c>
      <c r="BB7" s="121">
        <v>202</v>
      </c>
      <c r="BC7" s="121">
        <v>223</v>
      </c>
      <c r="BD7" s="121">
        <v>101</v>
      </c>
      <c r="BE7" s="121">
        <v>358</v>
      </c>
      <c r="BF7" s="120">
        <v>10.9</v>
      </c>
      <c r="BG7" s="121">
        <v>279</v>
      </c>
      <c r="BH7" s="121">
        <v>131</v>
      </c>
      <c r="BI7" s="121">
        <v>150</v>
      </c>
      <c r="BJ7" s="121">
        <v>67</v>
      </c>
      <c r="BK7" s="121">
        <v>225</v>
      </c>
      <c r="BL7" s="120">
        <v>5.4</v>
      </c>
      <c r="BM7" s="121">
        <v>187</v>
      </c>
      <c r="BN7" s="121">
        <v>73</v>
      </c>
      <c r="BO7" s="121">
        <v>80</v>
      </c>
      <c r="BP7" s="121">
        <v>41</v>
      </c>
      <c r="BQ7" s="121">
        <v>119</v>
      </c>
      <c r="BR7" s="120">
        <v>3</v>
      </c>
      <c r="BS7" s="121">
        <v>150</v>
      </c>
      <c r="BT7" s="121">
        <v>54</v>
      </c>
      <c r="BU7" s="121">
        <v>59</v>
      </c>
      <c r="BV7" s="121">
        <v>32</v>
      </c>
      <c r="BW7" s="121">
        <v>86</v>
      </c>
      <c r="BX7" s="120">
        <v>10.5</v>
      </c>
      <c r="BY7" s="2">
        <v>-7</v>
      </c>
      <c r="BZ7" s="1" t="s">
        <v>270</v>
      </c>
    </row>
    <row r="8" spans="1:78">
      <c r="A8" s="1">
        <v>5</v>
      </c>
      <c r="B8" s="1" t="s">
        <v>147</v>
      </c>
      <c r="C8" s="2">
        <v>565</v>
      </c>
      <c r="D8" s="120">
        <v>-0.1</v>
      </c>
      <c r="E8" s="121">
        <v>201</v>
      </c>
      <c r="F8" s="121">
        <v>75</v>
      </c>
      <c r="G8" s="121">
        <v>88</v>
      </c>
      <c r="H8" s="121">
        <v>48</v>
      </c>
      <c r="I8" s="121">
        <v>118</v>
      </c>
      <c r="J8" s="120">
        <v>1.3</v>
      </c>
      <c r="K8" s="121">
        <v>252</v>
      </c>
      <c r="L8" s="121">
        <v>116</v>
      </c>
      <c r="M8" s="121">
        <v>126</v>
      </c>
      <c r="N8" s="121">
        <v>65</v>
      </c>
      <c r="O8" s="121">
        <v>181</v>
      </c>
      <c r="P8" s="120">
        <v>5.3</v>
      </c>
      <c r="Q8" s="121">
        <v>337</v>
      </c>
      <c r="R8" s="121">
        <v>204</v>
      </c>
      <c r="S8" s="121">
        <v>204</v>
      </c>
      <c r="T8" s="121">
        <v>99</v>
      </c>
      <c r="U8" s="121">
        <v>335</v>
      </c>
      <c r="V8" s="120">
        <v>8.1</v>
      </c>
      <c r="W8" s="121">
        <v>285</v>
      </c>
      <c r="X8" s="121">
        <v>244</v>
      </c>
      <c r="Y8" s="121">
        <v>228</v>
      </c>
      <c r="Z8" s="121">
        <v>119</v>
      </c>
      <c r="AA8" s="121">
        <v>420</v>
      </c>
      <c r="AB8" s="120">
        <v>13.2</v>
      </c>
      <c r="AC8" s="121">
        <v>284</v>
      </c>
      <c r="AD8" s="121">
        <v>305</v>
      </c>
      <c r="AE8" s="121">
        <v>281</v>
      </c>
      <c r="AF8" s="121">
        <v>161</v>
      </c>
      <c r="AG8" s="121">
        <v>546</v>
      </c>
      <c r="AH8" s="120">
        <v>16.100000000000001</v>
      </c>
      <c r="AI8" s="121">
        <v>270</v>
      </c>
      <c r="AJ8" s="121">
        <v>329</v>
      </c>
      <c r="AK8" s="121">
        <v>306</v>
      </c>
      <c r="AL8" s="121">
        <v>181</v>
      </c>
      <c r="AM8" s="121">
        <v>594</v>
      </c>
      <c r="AN8" s="120">
        <v>18.399999999999999</v>
      </c>
      <c r="AO8" s="121">
        <v>305</v>
      </c>
      <c r="AP8" s="121">
        <v>348</v>
      </c>
      <c r="AQ8" s="121">
        <v>332</v>
      </c>
      <c r="AR8" s="121">
        <v>182</v>
      </c>
      <c r="AS8" s="121">
        <v>624</v>
      </c>
      <c r="AT8" s="120">
        <v>18.399999999999999</v>
      </c>
      <c r="AU8" s="121">
        <v>343</v>
      </c>
      <c r="AV8" s="121">
        <v>316</v>
      </c>
      <c r="AW8" s="121">
        <v>297</v>
      </c>
      <c r="AX8" s="121">
        <v>145</v>
      </c>
      <c r="AY8" s="121">
        <v>544</v>
      </c>
      <c r="AZ8" s="120">
        <v>13.9</v>
      </c>
      <c r="BA8" s="121">
        <v>324</v>
      </c>
      <c r="BB8" s="121">
        <v>213</v>
      </c>
      <c r="BC8" s="121">
        <v>220</v>
      </c>
      <c r="BD8" s="121">
        <v>98</v>
      </c>
      <c r="BE8" s="121">
        <v>373</v>
      </c>
      <c r="BF8" s="120">
        <v>9.6</v>
      </c>
      <c r="BG8" s="121">
        <v>271</v>
      </c>
      <c r="BH8" s="121">
        <v>126</v>
      </c>
      <c r="BI8" s="121">
        <v>145</v>
      </c>
      <c r="BJ8" s="121">
        <v>67</v>
      </c>
      <c r="BK8" s="121">
        <v>230</v>
      </c>
      <c r="BL8" s="120">
        <v>3.9</v>
      </c>
      <c r="BM8" s="121">
        <v>179</v>
      </c>
      <c r="BN8" s="121">
        <v>67</v>
      </c>
      <c r="BO8" s="121">
        <v>80</v>
      </c>
      <c r="BP8" s="121">
        <v>41</v>
      </c>
      <c r="BQ8" s="121">
        <v>122</v>
      </c>
      <c r="BR8" s="120">
        <v>1.2</v>
      </c>
      <c r="BS8" s="121">
        <v>153</v>
      </c>
      <c r="BT8" s="121">
        <v>54</v>
      </c>
      <c r="BU8" s="121">
        <v>64</v>
      </c>
      <c r="BV8" s="121">
        <v>35</v>
      </c>
      <c r="BW8" s="121">
        <v>91</v>
      </c>
      <c r="BX8" s="120">
        <v>9.1</v>
      </c>
      <c r="BY8" s="2">
        <v>-7</v>
      </c>
      <c r="BZ8" s="1" t="s">
        <v>337</v>
      </c>
    </row>
    <row r="9" spans="1:78">
      <c r="A9" s="1">
        <v>6</v>
      </c>
      <c r="B9" s="1" t="s">
        <v>355</v>
      </c>
      <c r="C9" s="2">
        <v>387</v>
      </c>
      <c r="D9" s="120">
        <v>0.6</v>
      </c>
      <c r="E9" s="121">
        <v>115</v>
      </c>
      <c r="F9" s="121">
        <v>48</v>
      </c>
      <c r="G9" s="121">
        <v>59</v>
      </c>
      <c r="H9" s="121">
        <v>37</v>
      </c>
      <c r="I9" s="121">
        <v>86</v>
      </c>
      <c r="J9" s="120">
        <v>1.7</v>
      </c>
      <c r="K9" s="121">
        <v>181</v>
      </c>
      <c r="L9" s="121">
        <v>87</v>
      </c>
      <c r="M9" s="121">
        <v>97</v>
      </c>
      <c r="N9" s="121">
        <v>58</v>
      </c>
      <c r="O9" s="121">
        <v>148</v>
      </c>
      <c r="P9" s="120">
        <v>5.8</v>
      </c>
      <c r="Q9" s="121">
        <v>268</v>
      </c>
      <c r="R9" s="121">
        <v>161</v>
      </c>
      <c r="S9" s="121">
        <v>166</v>
      </c>
      <c r="T9" s="121">
        <v>88</v>
      </c>
      <c r="U9" s="121">
        <v>284</v>
      </c>
      <c r="V9" s="120">
        <v>8.8000000000000007</v>
      </c>
      <c r="W9" s="121">
        <v>270</v>
      </c>
      <c r="X9" s="121">
        <v>213</v>
      </c>
      <c r="Y9" s="121">
        <v>207</v>
      </c>
      <c r="Z9" s="121">
        <v>114</v>
      </c>
      <c r="AA9" s="121">
        <v>391</v>
      </c>
      <c r="AB9" s="120">
        <v>14</v>
      </c>
      <c r="AC9" s="121">
        <v>279</v>
      </c>
      <c r="AD9" s="121">
        <v>276</v>
      </c>
      <c r="AE9" s="121">
        <v>273</v>
      </c>
      <c r="AF9" s="121">
        <v>153</v>
      </c>
      <c r="AG9" s="121">
        <v>522</v>
      </c>
      <c r="AH9" s="120">
        <v>16.8</v>
      </c>
      <c r="AI9" s="121">
        <v>264</v>
      </c>
      <c r="AJ9" s="121">
        <v>293</v>
      </c>
      <c r="AK9" s="121">
        <v>290</v>
      </c>
      <c r="AL9" s="121">
        <v>171</v>
      </c>
      <c r="AM9" s="121">
        <v>560</v>
      </c>
      <c r="AN9" s="120">
        <v>18.899999999999999</v>
      </c>
      <c r="AO9" s="121">
        <v>292</v>
      </c>
      <c r="AP9" s="121">
        <v>311</v>
      </c>
      <c r="AQ9" s="121">
        <v>311</v>
      </c>
      <c r="AR9" s="121">
        <v>174</v>
      </c>
      <c r="AS9" s="121">
        <v>581</v>
      </c>
      <c r="AT9" s="120">
        <v>18.7</v>
      </c>
      <c r="AU9" s="121">
        <v>316</v>
      </c>
      <c r="AV9" s="121">
        <v>271</v>
      </c>
      <c r="AW9" s="121">
        <v>273</v>
      </c>
      <c r="AX9" s="121">
        <v>139</v>
      </c>
      <c r="AY9" s="121">
        <v>501</v>
      </c>
      <c r="AZ9" s="120">
        <v>14.2</v>
      </c>
      <c r="BA9" s="121">
        <v>283</v>
      </c>
      <c r="BB9" s="121">
        <v>176</v>
      </c>
      <c r="BC9" s="121">
        <v>197</v>
      </c>
      <c r="BD9" s="121">
        <v>96</v>
      </c>
      <c r="BE9" s="121">
        <v>334</v>
      </c>
      <c r="BF9" s="120">
        <v>10</v>
      </c>
      <c r="BG9" s="121">
        <v>201</v>
      </c>
      <c r="BH9" s="121">
        <v>91</v>
      </c>
      <c r="BI9" s="121">
        <v>121</v>
      </c>
      <c r="BJ9" s="121">
        <v>62</v>
      </c>
      <c r="BK9" s="121">
        <v>187</v>
      </c>
      <c r="BL9" s="120">
        <v>4.4000000000000004</v>
      </c>
      <c r="BM9" s="121">
        <v>109</v>
      </c>
      <c r="BN9" s="121">
        <v>47</v>
      </c>
      <c r="BO9" s="121">
        <v>60</v>
      </c>
      <c r="BP9" s="121">
        <v>34</v>
      </c>
      <c r="BQ9" s="121">
        <v>91</v>
      </c>
      <c r="BR9" s="120">
        <v>2</v>
      </c>
      <c r="BS9" s="121">
        <v>88</v>
      </c>
      <c r="BT9" s="121">
        <v>35</v>
      </c>
      <c r="BU9" s="121">
        <v>40</v>
      </c>
      <c r="BV9" s="121">
        <v>27</v>
      </c>
      <c r="BW9" s="121">
        <v>67</v>
      </c>
      <c r="BX9" s="120">
        <v>9.6999999999999993</v>
      </c>
      <c r="BY9" s="2">
        <v>-7</v>
      </c>
      <c r="BZ9" s="1" t="s">
        <v>338</v>
      </c>
    </row>
    <row r="10" spans="1:78">
      <c r="A10" s="1">
        <v>7</v>
      </c>
      <c r="B10" s="1" t="s">
        <v>356</v>
      </c>
      <c r="C10" s="2">
        <v>555</v>
      </c>
      <c r="D10" s="120">
        <v>0.5</v>
      </c>
      <c r="E10" s="121">
        <v>260</v>
      </c>
      <c r="F10" s="121">
        <v>80</v>
      </c>
      <c r="G10" s="121">
        <v>104</v>
      </c>
      <c r="H10" s="121">
        <v>54</v>
      </c>
      <c r="I10" s="121">
        <v>142</v>
      </c>
      <c r="J10" s="120">
        <v>1.7</v>
      </c>
      <c r="K10" s="121">
        <v>307</v>
      </c>
      <c r="L10" s="121">
        <v>121</v>
      </c>
      <c r="M10" s="121">
        <v>148</v>
      </c>
      <c r="N10" s="121">
        <v>77</v>
      </c>
      <c r="O10" s="121">
        <v>208</v>
      </c>
      <c r="P10" s="120">
        <v>5.8</v>
      </c>
      <c r="Q10" s="121">
        <v>362</v>
      </c>
      <c r="R10" s="121">
        <v>179</v>
      </c>
      <c r="S10" s="121">
        <v>204</v>
      </c>
      <c r="T10" s="121">
        <v>102</v>
      </c>
      <c r="U10" s="121">
        <v>359</v>
      </c>
      <c r="V10" s="120">
        <v>8.9</v>
      </c>
      <c r="W10" s="121">
        <v>311</v>
      </c>
      <c r="X10" s="121">
        <v>220</v>
      </c>
      <c r="Y10" s="121">
        <v>215</v>
      </c>
      <c r="Z10" s="121">
        <v>114</v>
      </c>
      <c r="AA10" s="121">
        <v>459</v>
      </c>
      <c r="AB10" s="120">
        <v>14.1</v>
      </c>
      <c r="AC10" s="121">
        <v>295</v>
      </c>
      <c r="AD10" s="121">
        <v>287</v>
      </c>
      <c r="AE10" s="121">
        <v>249</v>
      </c>
      <c r="AF10" s="121">
        <v>142</v>
      </c>
      <c r="AG10" s="121">
        <v>570</v>
      </c>
      <c r="AH10" s="120">
        <v>16.5</v>
      </c>
      <c r="AI10" s="121">
        <v>264</v>
      </c>
      <c r="AJ10" s="121">
        <v>288</v>
      </c>
      <c r="AK10" s="121">
        <v>241</v>
      </c>
      <c r="AL10" s="121">
        <v>148</v>
      </c>
      <c r="AM10" s="121">
        <v>578</v>
      </c>
      <c r="AN10" s="120">
        <v>18.5</v>
      </c>
      <c r="AO10" s="121">
        <v>292</v>
      </c>
      <c r="AP10" s="121">
        <v>303</v>
      </c>
      <c r="AQ10" s="121">
        <v>252</v>
      </c>
      <c r="AR10" s="121">
        <v>147</v>
      </c>
      <c r="AS10" s="121">
        <v>597</v>
      </c>
      <c r="AT10" s="120">
        <v>18.399999999999999</v>
      </c>
      <c r="AU10" s="121">
        <v>324</v>
      </c>
      <c r="AV10" s="121">
        <v>260</v>
      </c>
      <c r="AW10" s="121">
        <v>238</v>
      </c>
      <c r="AX10" s="121">
        <v>123</v>
      </c>
      <c r="AY10" s="121">
        <v>520</v>
      </c>
      <c r="AZ10" s="120">
        <v>14.2</v>
      </c>
      <c r="BA10" s="121">
        <v>316</v>
      </c>
      <c r="BB10" s="121">
        <v>179</v>
      </c>
      <c r="BC10" s="121">
        <v>184</v>
      </c>
      <c r="BD10" s="121">
        <v>91</v>
      </c>
      <c r="BE10" s="121">
        <v>373</v>
      </c>
      <c r="BF10" s="120">
        <v>10.4</v>
      </c>
      <c r="BG10" s="121">
        <v>308</v>
      </c>
      <c r="BH10" s="121">
        <v>118</v>
      </c>
      <c r="BI10" s="121">
        <v>145</v>
      </c>
      <c r="BJ10" s="121">
        <v>64</v>
      </c>
      <c r="BK10" s="121">
        <v>257</v>
      </c>
      <c r="BL10" s="120">
        <v>4.7</v>
      </c>
      <c r="BM10" s="121">
        <v>228</v>
      </c>
      <c r="BN10" s="121">
        <v>67</v>
      </c>
      <c r="BO10" s="121">
        <v>91</v>
      </c>
      <c r="BP10" s="121">
        <v>44</v>
      </c>
      <c r="BQ10" s="121">
        <v>148</v>
      </c>
      <c r="BR10" s="120">
        <v>1.7</v>
      </c>
      <c r="BS10" s="121">
        <v>204</v>
      </c>
      <c r="BT10" s="121">
        <v>56</v>
      </c>
      <c r="BU10" s="121">
        <v>75</v>
      </c>
      <c r="BV10" s="121">
        <v>40</v>
      </c>
      <c r="BW10" s="121">
        <v>112</v>
      </c>
      <c r="BX10" s="120">
        <v>9.6</v>
      </c>
      <c r="BY10" s="2">
        <v>-7</v>
      </c>
      <c r="BZ10" s="1" t="s">
        <v>128</v>
      </c>
    </row>
    <row r="11" spans="1:78">
      <c r="A11" s="1">
        <v>8</v>
      </c>
      <c r="B11" s="1" t="s">
        <v>357</v>
      </c>
      <c r="C11" s="2">
        <v>1590</v>
      </c>
      <c r="D11" s="120">
        <v>-4.7</v>
      </c>
      <c r="E11" s="121">
        <v>402</v>
      </c>
      <c r="F11" s="121">
        <v>147</v>
      </c>
      <c r="G11" s="121">
        <v>166</v>
      </c>
      <c r="H11" s="121">
        <v>94</v>
      </c>
      <c r="I11" s="121">
        <v>182</v>
      </c>
      <c r="J11" s="120">
        <v>-4.2</v>
      </c>
      <c r="K11" s="121">
        <v>450</v>
      </c>
      <c r="L11" s="121">
        <v>218</v>
      </c>
      <c r="M11" s="121">
        <v>225</v>
      </c>
      <c r="N11" s="121">
        <v>131</v>
      </c>
      <c r="O11" s="121">
        <v>256</v>
      </c>
      <c r="P11" s="120">
        <v>-1.1000000000000001</v>
      </c>
      <c r="Q11" s="121">
        <v>536</v>
      </c>
      <c r="R11" s="121">
        <v>348</v>
      </c>
      <c r="S11" s="121">
        <v>329</v>
      </c>
      <c r="T11" s="121">
        <v>196</v>
      </c>
      <c r="U11" s="121">
        <v>429</v>
      </c>
      <c r="V11" s="120">
        <v>1.8</v>
      </c>
      <c r="W11" s="121">
        <v>435</v>
      </c>
      <c r="X11" s="121">
        <v>373</v>
      </c>
      <c r="Y11" s="121">
        <v>329</v>
      </c>
      <c r="Z11" s="121">
        <v>202</v>
      </c>
      <c r="AA11" s="121">
        <v>524</v>
      </c>
      <c r="AB11" s="120">
        <v>7.2</v>
      </c>
      <c r="AC11" s="121">
        <v>324</v>
      </c>
      <c r="AD11" s="121">
        <v>340</v>
      </c>
      <c r="AE11" s="121">
        <v>276</v>
      </c>
      <c r="AF11" s="121">
        <v>161</v>
      </c>
      <c r="AG11" s="121">
        <v>603</v>
      </c>
      <c r="AH11" s="120">
        <v>9.9</v>
      </c>
      <c r="AI11" s="121">
        <v>272</v>
      </c>
      <c r="AJ11" s="121">
        <v>327</v>
      </c>
      <c r="AK11" s="121">
        <v>259</v>
      </c>
      <c r="AL11" s="121">
        <v>158</v>
      </c>
      <c r="AM11" s="121">
        <v>604</v>
      </c>
      <c r="AN11" s="120">
        <v>12.3</v>
      </c>
      <c r="AO11" s="121">
        <v>297</v>
      </c>
      <c r="AP11" s="121">
        <v>335</v>
      </c>
      <c r="AQ11" s="121">
        <v>265</v>
      </c>
      <c r="AR11" s="121">
        <v>150</v>
      </c>
      <c r="AS11" s="121">
        <v>619</v>
      </c>
      <c r="AT11" s="120">
        <v>12.3</v>
      </c>
      <c r="AU11" s="121">
        <v>340</v>
      </c>
      <c r="AV11" s="121">
        <v>303</v>
      </c>
      <c r="AW11" s="121">
        <v>244</v>
      </c>
      <c r="AX11" s="121">
        <v>123</v>
      </c>
      <c r="AY11" s="121">
        <v>544</v>
      </c>
      <c r="AZ11" s="120">
        <v>8.4</v>
      </c>
      <c r="BA11" s="121">
        <v>360</v>
      </c>
      <c r="BB11" s="121">
        <v>241</v>
      </c>
      <c r="BC11" s="121">
        <v>205</v>
      </c>
      <c r="BD11" s="121">
        <v>96</v>
      </c>
      <c r="BE11" s="121">
        <v>407</v>
      </c>
      <c r="BF11" s="120">
        <v>5.0999999999999996</v>
      </c>
      <c r="BG11" s="121">
        <v>394</v>
      </c>
      <c r="BH11" s="121">
        <v>179</v>
      </c>
      <c r="BI11" s="121">
        <v>171</v>
      </c>
      <c r="BJ11" s="121">
        <v>78</v>
      </c>
      <c r="BK11" s="121">
        <v>297</v>
      </c>
      <c r="BL11" s="120">
        <v>-0.7</v>
      </c>
      <c r="BM11" s="121">
        <v>342</v>
      </c>
      <c r="BN11" s="121">
        <v>130</v>
      </c>
      <c r="BO11" s="121">
        <v>135</v>
      </c>
      <c r="BP11" s="121">
        <v>73</v>
      </c>
      <c r="BQ11" s="121">
        <v>184</v>
      </c>
      <c r="BR11" s="120">
        <v>-3.4</v>
      </c>
      <c r="BS11" s="121">
        <v>327</v>
      </c>
      <c r="BT11" s="121">
        <v>107</v>
      </c>
      <c r="BU11" s="121">
        <v>129</v>
      </c>
      <c r="BV11" s="121">
        <v>72</v>
      </c>
      <c r="BW11" s="121">
        <v>145</v>
      </c>
      <c r="BX11" s="120">
        <v>3.6</v>
      </c>
      <c r="BY11" s="2">
        <v>-13</v>
      </c>
      <c r="BZ11" s="1" t="s">
        <v>370</v>
      </c>
    </row>
    <row r="12" spans="1:78">
      <c r="A12" s="1">
        <v>9</v>
      </c>
      <c r="B12" s="1" t="s">
        <v>436</v>
      </c>
      <c r="C12" s="2">
        <v>1190</v>
      </c>
      <c r="D12" s="120">
        <v>-1.1000000000000001</v>
      </c>
      <c r="E12" s="121">
        <v>321</v>
      </c>
      <c r="F12" s="121">
        <v>107</v>
      </c>
      <c r="G12" s="121">
        <v>142</v>
      </c>
      <c r="H12" s="121">
        <v>83</v>
      </c>
      <c r="I12" s="121">
        <v>161</v>
      </c>
      <c r="J12" s="120">
        <v>-0.8</v>
      </c>
      <c r="K12" s="121">
        <v>392</v>
      </c>
      <c r="L12" s="121">
        <v>174</v>
      </c>
      <c r="M12" s="121">
        <v>198</v>
      </c>
      <c r="N12" s="121">
        <v>123</v>
      </c>
      <c r="O12" s="121">
        <v>235</v>
      </c>
      <c r="P12" s="120">
        <v>2.2000000000000002</v>
      </c>
      <c r="Q12" s="121">
        <v>474</v>
      </c>
      <c r="R12" s="121">
        <v>289</v>
      </c>
      <c r="S12" s="121">
        <v>279</v>
      </c>
      <c r="T12" s="121">
        <v>166</v>
      </c>
      <c r="U12" s="121">
        <v>404</v>
      </c>
      <c r="V12" s="120">
        <v>4.9000000000000004</v>
      </c>
      <c r="W12" s="121">
        <v>345</v>
      </c>
      <c r="X12" s="121">
        <v>298</v>
      </c>
      <c r="Y12" s="121">
        <v>241</v>
      </c>
      <c r="Z12" s="121">
        <v>143</v>
      </c>
      <c r="AA12" s="121">
        <v>469</v>
      </c>
      <c r="AB12" s="120">
        <v>10.199999999999999</v>
      </c>
      <c r="AC12" s="121">
        <v>281</v>
      </c>
      <c r="AD12" s="121">
        <v>313</v>
      </c>
      <c r="AE12" s="121">
        <v>228</v>
      </c>
      <c r="AF12" s="121">
        <v>134</v>
      </c>
      <c r="AG12" s="121">
        <v>552</v>
      </c>
      <c r="AH12" s="120">
        <v>12.9</v>
      </c>
      <c r="AI12" s="121">
        <v>259</v>
      </c>
      <c r="AJ12" s="121">
        <v>327</v>
      </c>
      <c r="AK12" s="121">
        <v>233</v>
      </c>
      <c r="AL12" s="121">
        <v>143</v>
      </c>
      <c r="AM12" s="121">
        <v>588</v>
      </c>
      <c r="AN12" s="120">
        <v>15.3</v>
      </c>
      <c r="AO12" s="121">
        <v>292</v>
      </c>
      <c r="AP12" s="121">
        <v>348</v>
      </c>
      <c r="AQ12" s="121">
        <v>241</v>
      </c>
      <c r="AR12" s="121">
        <v>142</v>
      </c>
      <c r="AS12" s="121">
        <v>611</v>
      </c>
      <c r="AT12" s="120">
        <v>15.3</v>
      </c>
      <c r="AU12" s="121">
        <v>329</v>
      </c>
      <c r="AV12" s="121">
        <v>321</v>
      </c>
      <c r="AW12" s="121">
        <v>217</v>
      </c>
      <c r="AX12" s="121">
        <v>118</v>
      </c>
      <c r="AY12" s="121">
        <v>533</v>
      </c>
      <c r="AZ12" s="120">
        <v>11.3</v>
      </c>
      <c r="BA12" s="121">
        <v>340</v>
      </c>
      <c r="BB12" s="121">
        <v>226</v>
      </c>
      <c r="BC12" s="121">
        <v>176</v>
      </c>
      <c r="BD12" s="121">
        <v>83</v>
      </c>
      <c r="BE12" s="121">
        <v>391</v>
      </c>
      <c r="BF12" s="120">
        <v>8</v>
      </c>
      <c r="BG12" s="121">
        <v>324</v>
      </c>
      <c r="BH12" s="121">
        <v>131</v>
      </c>
      <c r="BI12" s="121">
        <v>139</v>
      </c>
      <c r="BJ12" s="121">
        <v>62</v>
      </c>
      <c r="BK12" s="121">
        <v>265</v>
      </c>
      <c r="BL12" s="120">
        <v>2.2999999999999998</v>
      </c>
      <c r="BM12" s="121">
        <v>264</v>
      </c>
      <c r="BN12" s="121">
        <v>86</v>
      </c>
      <c r="BO12" s="121">
        <v>106</v>
      </c>
      <c r="BP12" s="121">
        <v>57</v>
      </c>
      <c r="BQ12" s="121">
        <v>158</v>
      </c>
      <c r="BR12" s="120">
        <v>-0.1</v>
      </c>
      <c r="BS12" s="121">
        <v>260</v>
      </c>
      <c r="BT12" s="121">
        <v>80</v>
      </c>
      <c r="BU12" s="121">
        <v>110</v>
      </c>
      <c r="BV12" s="121">
        <v>62</v>
      </c>
      <c r="BW12" s="121">
        <v>129</v>
      </c>
      <c r="BX12" s="120">
        <v>6.7</v>
      </c>
      <c r="BY12" s="2">
        <v>-10</v>
      </c>
      <c r="BZ12" s="1" t="s">
        <v>294</v>
      </c>
    </row>
    <row r="13" spans="1:78">
      <c r="A13" s="1">
        <v>10</v>
      </c>
      <c r="B13" s="1" t="s">
        <v>437</v>
      </c>
      <c r="C13" s="2">
        <v>1035</v>
      </c>
      <c r="D13" s="120">
        <v>-2</v>
      </c>
      <c r="E13" s="121">
        <v>177</v>
      </c>
      <c r="F13" s="121">
        <v>64</v>
      </c>
      <c r="G13" s="121">
        <v>72</v>
      </c>
      <c r="H13" s="121">
        <v>51</v>
      </c>
      <c r="I13" s="121">
        <v>121</v>
      </c>
      <c r="J13" s="120">
        <v>-1.1000000000000001</v>
      </c>
      <c r="K13" s="121">
        <v>302</v>
      </c>
      <c r="L13" s="121">
        <v>145</v>
      </c>
      <c r="M13" s="121">
        <v>128</v>
      </c>
      <c r="N13" s="121">
        <v>82</v>
      </c>
      <c r="O13" s="121">
        <v>203</v>
      </c>
      <c r="P13" s="120">
        <v>2.2000000000000002</v>
      </c>
      <c r="Q13" s="121">
        <v>380</v>
      </c>
      <c r="R13" s="121">
        <v>228</v>
      </c>
      <c r="S13" s="121">
        <v>206</v>
      </c>
      <c r="T13" s="121">
        <v>121</v>
      </c>
      <c r="U13" s="121">
        <v>354</v>
      </c>
      <c r="V13" s="120">
        <v>5.0999999999999996</v>
      </c>
      <c r="W13" s="121">
        <v>308</v>
      </c>
      <c r="X13" s="121">
        <v>231</v>
      </c>
      <c r="Y13" s="121">
        <v>220</v>
      </c>
      <c r="Z13" s="121">
        <v>119</v>
      </c>
      <c r="AA13" s="121">
        <v>435</v>
      </c>
      <c r="AB13" s="120">
        <v>10.199999999999999</v>
      </c>
      <c r="AC13" s="121">
        <v>273</v>
      </c>
      <c r="AD13" s="121">
        <v>249</v>
      </c>
      <c r="AE13" s="121">
        <v>238</v>
      </c>
      <c r="AF13" s="121">
        <v>123</v>
      </c>
      <c r="AG13" s="121">
        <v>538</v>
      </c>
      <c r="AH13" s="120">
        <v>12.7</v>
      </c>
      <c r="AI13" s="121">
        <v>233</v>
      </c>
      <c r="AJ13" s="121">
        <v>267</v>
      </c>
      <c r="AK13" s="121">
        <v>215</v>
      </c>
      <c r="AL13" s="121">
        <v>127</v>
      </c>
      <c r="AM13" s="121">
        <v>537</v>
      </c>
      <c r="AN13" s="120">
        <v>14.9</v>
      </c>
      <c r="AO13" s="121">
        <v>254</v>
      </c>
      <c r="AP13" s="121">
        <v>262</v>
      </c>
      <c r="AQ13" s="121">
        <v>214</v>
      </c>
      <c r="AR13" s="121">
        <v>123</v>
      </c>
      <c r="AS13" s="121">
        <v>536</v>
      </c>
      <c r="AT13" s="120">
        <v>14.9</v>
      </c>
      <c r="AU13" s="121">
        <v>287</v>
      </c>
      <c r="AV13" s="121">
        <v>236</v>
      </c>
      <c r="AW13" s="121">
        <v>198</v>
      </c>
      <c r="AX13" s="121">
        <v>104</v>
      </c>
      <c r="AY13" s="121">
        <v>471</v>
      </c>
      <c r="AZ13" s="120">
        <v>11</v>
      </c>
      <c r="BA13" s="121">
        <v>285</v>
      </c>
      <c r="BB13" s="121">
        <v>181</v>
      </c>
      <c r="BC13" s="121">
        <v>148</v>
      </c>
      <c r="BD13" s="121">
        <v>78</v>
      </c>
      <c r="BE13" s="121">
        <v>345</v>
      </c>
      <c r="BF13" s="120">
        <v>7.5</v>
      </c>
      <c r="BG13" s="121">
        <v>279</v>
      </c>
      <c r="BH13" s="121">
        <v>131</v>
      </c>
      <c r="BI13" s="121">
        <v>110</v>
      </c>
      <c r="BJ13" s="121">
        <v>56</v>
      </c>
      <c r="BK13" s="121">
        <v>241</v>
      </c>
      <c r="BL13" s="120">
        <v>1.8</v>
      </c>
      <c r="BM13" s="121">
        <v>176</v>
      </c>
      <c r="BN13" s="121">
        <v>65</v>
      </c>
      <c r="BO13" s="121">
        <v>62</v>
      </c>
      <c r="BP13" s="121">
        <v>39</v>
      </c>
      <c r="BQ13" s="121">
        <v>132</v>
      </c>
      <c r="BR13" s="120">
        <v>-0.7</v>
      </c>
      <c r="BS13" s="121">
        <v>104</v>
      </c>
      <c r="BT13" s="121">
        <v>37</v>
      </c>
      <c r="BU13" s="121">
        <v>48</v>
      </c>
      <c r="BV13" s="121">
        <v>32</v>
      </c>
      <c r="BW13" s="121">
        <v>86</v>
      </c>
      <c r="BX13" s="120">
        <v>6.4</v>
      </c>
      <c r="BY13" s="2">
        <v>-11</v>
      </c>
      <c r="BZ13" s="1" t="s">
        <v>336</v>
      </c>
    </row>
    <row r="14" spans="1:78">
      <c r="A14" s="1">
        <v>11</v>
      </c>
      <c r="B14" s="1" t="s">
        <v>358</v>
      </c>
      <c r="C14" s="2">
        <v>420</v>
      </c>
      <c r="D14" s="120">
        <v>1.7</v>
      </c>
      <c r="E14" s="121">
        <v>163</v>
      </c>
      <c r="F14" s="121">
        <v>64</v>
      </c>
      <c r="G14" s="121">
        <v>78</v>
      </c>
      <c r="H14" s="121">
        <v>40</v>
      </c>
      <c r="I14" s="121">
        <v>107</v>
      </c>
      <c r="J14" s="120">
        <v>2.9</v>
      </c>
      <c r="K14" s="121">
        <v>244</v>
      </c>
      <c r="L14" s="121">
        <v>106</v>
      </c>
      <c r="M14" s="121">
        <v>126</v>
      </c>
      <c r="N14" s="121">
        <v>60</v>
      </c>
      <c r="O14" s="121">
        <v>181</v>
      </c>
      <c r="P14" s="120">
        <v>6.5</v>
      </c>
      <c r="Q14" s="121">
        <v>362</v>
      </c>
      <c r="R14" s="121">
        <v>206</v>
      </c>
      <c r="S14" s="121">
        <v>222</v>
      </c>
      <c r="T14" s="121">
        <v>96</v>
      </c>
      <c r="U14" s="121">
        <v>362</v>
      </c>
      <c r="V14" s="120">
        <v>9.4</v>
      </c>
      <c r="W14" s="121">
        <v>319</v>
      </c>
      <c r="X14" s="121">
        <v>259</v>
      </c>
      <c r="Y14" s="121">
        <v>251</v>
      </c>
      <c r="Z14" s="121">
        <v>119</v>
      </c>
      <c r="AA14" s="121">
        <v>461</v>
      </c>
      <c r="AB14" s="120">
        <v>14.4</v>
      </c>
      <c r="AC14" s="121">
        <v>308</v>
      </c>
      <c r="AD14" s="121">
        <v>319</v>
      </c>
      <c r="AE14" s="121">
        <v>305</v>
      </c>
      <c r="AF14" s="121">
        <v>163</v>
      </c>
      <c r="AG14" s="121">
        <v>592</v>
      </c>
      <c r="AH14" s="120">
        <v>17.600000000000001</v>
      </c>
      <c r="AI14" s="121">
        <v>293</v>
      </c>
      <c r="AJ14" s="121">
        <v>350</v>
      </c>
      <c r="AK14" s="121">
        <v>329</v>
      </c>
      <c r="AL14" s="121">
        <v>189</v>
      </c>
      <c r="AM14" s="121">
        <v>643</v>
      </c>
      <c r="AN14" s="120">
        <v>20.2</v>
      </c>
      <c r="AO14" s="121">
        <v>327</v>
      </c>
      <c r="AP14" s="121">
        <v>364</v>
      </c>
      <c r="AQ14" s="121">
        <v>354</v>
      </c>
      <c r="AR14" s="121">
        <v>185</v>
      </c>
      <c r="AS14" s="121">
        <v>670</v>
      </c>
      <c r="AT14" s="120">
        <v>20</v>
      </c>
      <c r="AU14" s="121">
        <v>362</v>
      </c>
      <c r="AV14" s="121">
        <v>327</v>
      </c>
      <c r="AW14" s="121">
        <v>313</v>
      </c>
      <c r="AX14" s="121">
        <v>147</v>
      </c>
      <c r="AY14" s="121">
        <v>573</v>
      </c>
      <c r="AZ14" s="120">
        <v>15.4</v>
      </c>
      <c r="BA14" s="121">
        <v>355</v>
      </c>
      <c r="BB14" s="121">
        <v>226</v>
      </c>
      <c r="BC14" s="121">
        <v>238</v>
      </c>
      <c r="BD14" s="121">
        <v>101</v>
      </c>
      <c r="BE14" s="121">
        <v>404</v>
      </c>
      <c r="BF14" s="120">
        <v>11.2</v>
      </c>
      <c r="BG14" s="121">
        <v>292</v>
      </c>
      <c r="BH14" s="121">
        <v>134</v>
      </c>
      <c r="BI14" s="121">
        <v>161</v>
      </c>
      <c r="BJ14" s="121">
        <v>70</v>
      </c>
      <c r="BK14" s="121">
        <v>246</v>
      </c>
      <c r="BL14" s="120">
        <v>5.6</v>
      </c>
      <c r="BM14" s="121">
        <v>174</v>
      </c>
      <c r="BN14" s="121">
        <v>67</v>
      </c>
      <c r="BO14" s="121">
        <v>83</v>
      </c>
      <c r="BP14" s="121">
        <v>41</v>
      </c>
      <c r="BQ14" s="121">
        <v>122</v>
      </c>
      <c r="BR14" s="120">
        <v>3.1</v>
      </c>
      <c r="BS14" s="121">
        <v>150</v>
      </c>
      <c r="BT14" s="121">
        <v>54</v>
      </c>
      <c r="BU14" s="121">
        <v>62</v>
      </c>
      <c r="BV14" s="121">
        <v>32</v>
      </c>
      <c r="BW14" s="121">
        <v>91</v>
      </c>
      <c r="BX14" s="120">
        <v>10.7</v>
      </c>
      <c r="BY14" s="2">
        <v>-4</v>
      </c>
      <c r="BZ14" s="1" t="s">
        <v>339</v>
      </c>
    </row>
    <row r="15" spans="1:78">
      <c r="A15" s="1">
        <v>12</v>
      </c>
      <c r="B15" s="1" t="s">
        <v>359</v>
      </c>
      <c r="C15" s="2">
        <v>515</v>
      </c>
      <c r="D15" s="120">
        <v>-0.6</v>
      </c>
      <c r="E15" s="121">
        <v>182</v>
      </c>
      <c r="F15" s="121">
        <v>75</v>
      </c>
      <c r="G15" s="121">
        <v>51</v>
      </c>
      <c r="H15" s="121">
        <v>43</v>
      </c>
      <c r="I15" s="121">
        <v>118</v>
      </c>
      <c r="J15" s="120">
        <v>0.6</v>
      </c>
      <c r="K15" s="121">
        <v>218</v>
      </c>
      <c r="L15" s="121">
        <v>104</v>
      </c>
      <c r="M15" s="121">
        <v>77</v>
      </c>
      <c r="N15" s="121">
        <v>60</v>
      </c>
      <c r="O15" s="121">
        <v>172</v>
      </c>
      <c r="P15" s="120">
        <v>4.7</v>
      </c>
      <c r="Q15" s="121">
        <v>271</v>
      </c>
      <c r="R15" s="121">
        <v>161</v>
      </c>
      <c r="S15" s="121">
        <v>110</v>
      </c>
      <c r="T15" s="121">
        <v>86</v>
      </c>
      <c r="U15" s="121">
        <v>295</v>
      </c>
      <c r="V15" s="120">
        <v>8.3000000000000007</v>
      </c>
      <c r="W15" s="121">
        <v>267</v>
      </c>
      <c r="X15" s="121">
        <v>197</v>
      </c>
      <c r="Y15" s="121">
        <v>166</v>
      </c>
      <c r="Z15" s="121">
        <v>101</v>
      </c>
      <c r="AA15" s="121">
        <v>412</v>
      </c>
      <c r="AB15" s="120">
        <v>13.3</v>
      </c>
      <c r="AC15" s="121">
        <v>268</v>
      </c>
      <c r="AD15" s="121">
        <v>244</v>
      </c>
      <c r="AE15" s="121">
        <v>225</v>
      </c>
      <c r="AF15" s="121">
        <v>129</v>
      </c>
      <c r="AG15" s="121">
        <v>530</v>
      </c>
      <c r="AH15" s="120">
        <v>15.7</v>
      </c>
      <c r="AI15" s="121">
        <v>236</v>
      </c>
      <c r="AJ15" s="121">
        <v>244</v>
      </c>
      <c r="AK15" s="121">
        <v>218</v>
      </c>
      <c r="AL15" s="121">
        <v>135</v>
      </c>
      <c r="AM15" s="121">
        <v>531</v>
      </c>
      <c r="AN15" s="120">
        <v>17.7</v>
      </c>
      <c r="AO15" s="121">
        <v>260</v>
      </c>
      <c r="AP15" s="121">
        <v>252</v>
      </c>
      <c r="AQ15" s="121">
        <v>222</v>
      </c>
      <c r="AR15" s="121">
        <v>131</v>
      </c>
      <c r="AS15" s="121">
        <v>541</v>
      </c>
      <c r="AT15" s="120">
        <v>17.600000000000001</v>
      </c>
      <c r="AU15" s="121">
        <v>284</v>
      </c>
      <c r="AV15" s="121">
        <v>228</v>
      </c>
      <c r="AW15" s="121">
        <v>196</v>
      </c>
      <c r="AX15" s="121">
        <v>112</v>
      </c>
      <c r="AY15" s="121">
        <v>471</v>
      </c>
      <c r="AZ15" s="120">
        <v>13.5</v>
      </c>
      <c r="BA15" s="121">
        <v>246</v>
      </c>
      <c r="BB15" s="121">
        <v>156</v>
      </c>
      <c r="BC15" s="121">
        <v>104</v>
      </c>
      <c r="BD15" s="121">
        <v>80</v>
      </c>
      <c r="BE15" s="121">
        <v>314</v>
      </c>
      <c r="BF15" s="120">
        <v>9.6</v>
      </c>
      <c r="BG15" s="121">
        <v>217</v>
      </c>
      <c r="BH15" s="121">
        <v>107</v>
      </c>
      <c r="BI15" s="121">
        <v>67</v>
      </c>
      <c r="BJ15" s="121">
        <v>56</v>
      </c>
      <c r="BK15" s="121">
        <v>212</v>
      </c>
      <c r="BL15" s="120">
        <v>3.9</v>
      </c>
      <c r="BM15" s="121">
        <v>161</v>
      </c>
      <c r="BN15" s="121">
        <v>65</v>
      </c>
      <c r="BO15" s="121">
        <v>41</v>
      </c>
      <c r="BP15" s="121">
        <v>36</v>
      </c>
      <c r="BQ15" s="121">
        <v>122</v>
      </c>
      <c r="BR15" s="120">
        <v>0.9</v>
      </c>
      <c r="BS15" s="121">
        <v>137</v>
      </c>
      <c r="BT15" s="121">
        <v>51</v>
      </c>
      <c r="BU15" s="121">
        <v>35</v>
      </c>
      <c r="BV15" s="121">
        <v>29</v>
      </c>
      <c r="BW15" s="121">
        <v>91</v>
      </c>
      <c r="BX15" s="120">
        <v>8.8000000000000007</v>
      </c>
      <c r="BY15" s="2">
        <v>-8</v>
      </c>
      <c r="BZ15" s="1" t="s">
        <v>140</v>
      </c>
    </row>
    <row r="16" spans="1:78">
      <c r="A16" s="1">
        <v>13</v>
      </c>
      <c r="B16" s="1" t="s">
        <v>398</v>
      </c>
      <c r="C16" s="2">
        <v>2472</v>
      </c>
      <c r="D16" s="120">
        <v>-7.1</v>
      </c>
      <c r="E16" s="121">
        <v>246</v>
      </c>
      <c r="F16" s="121">
        <v>104</v>
      </c>
      <c r="G16" s="121">
        <v>166</v>
      </c>
      <c r="H16" s="121">
        <v>96</v>
      </c>
      <c r="I16" s="121">
        <v>147</v>
      </c>
      <c r="J16" s="120">
        <v>-7.2</v>
      </c>
      <c r="K16" s="121">
        <v>472</v>
      </c>
      <c r="L16" s="121">
        <v>215</v>
      </c>
      <c r="M16" s="121">
        <v>281</v>
      </c>
      <c r="N16" s="121">
        <v>162</v>
      </c>
      <c r="O16" s="121">
        <v>266</v>
      </c>
      <c r="P16" s="120">
        <v>-5.6</v>
      </c>
      <c r="Q16" s="121">
        <v>670</v>
      </c>
      <c r="R16" s="121">
        <v>445</v>
      </c>
      <c r="S16" s="121">
        <v>453</v>
      </c>
      <c r="T16" s="121">
        <v>279</v>
      </c>
      <c r="U16" s="121">
        <v>471</v>
      </c>
      <c r="V16" s="120">
        <v>-3.8</v>
      </c>
      <c r="W16" s="121">
        <v>588</v>
      </c>
      <c r="X16" s="121">
        <v>485</v>
      </c>
      <c r="Y16" s="121">
        <v>508</v>
      </c>
      <c r="Z16" s="121">
        <v>324</v>
      </c>
      <c r="AA16" s="121">
        <v>557</v>
      </c>
      <c r="AB16" s="120">
        <v>1.3</v>
      </c>
      <c r="AC16" s="121">
        <v>477</v>
      </c>
      <c r="AD16" s="121">
        <v>493</v>
      </c>
      <c r="AE16" s="121">
        <v>469</v>
      </c>
      <c r="AF16" s="121">
        <v>319</v>
      </c>
      <c r="AG16" s="121">
        <v>629</v>
      </c>
      <c r="AH16" s="120">
        <v>4.9000000000000004</v>
      </c>
      <c r="AI16" s="121">
        <v>363</v>
      </c>
      <c r="AJ16" s="121">
        <v>430</v>
      </c>
      <c r="AK16" s="121">
        <v>384</v>
      </c>
      <c r="AL16" s="121">
        <v>251</v>
      </c>
      <c r="AM16" s="121">
        <v>643</v>
      </c>
      <c r="AN16" s="120">
        <v>7.9</v>
      </c>
      <c r="AO16" s="121">
        <v>324</v>
      </c>
      <c r="AP16" s="121">
        <v>383</v>
      </c>
      <c r="AQ16" s="121">
        <v>332</v>
      </c>
      <c r="AR16" s="121">
        <v>187</v>
      </c>
      <c r="AS16" s="121">
        <v>645</v>
      </c>
      <c r="AT16" s="120">
        <v>8.4</v>
      </c>
      <c r="AU16" s="121">
        <v>340</v>
      </c>
      <c r="AV16" s="121">
        <v>329</v>
      </c>
      <c r="AW16" s="121">
        <v>289</v>
      </c>
      <c r="AX16" s="121">
        <v>134</v>
      </c>
      <c r="AY16" s="121">
        <v>562</v>
      </c>
      <c r="AZ16" s="120">
        <v>4.3</v>
      </c>
      <c r="BA16" s="121">
        <v>347</v>
      </c>
      <c r="BB16" s="121">
        <v>233</v>
      </c>
      <c r="BC16" s="121">
        <v>231</v>
      </c>
      <c r="BD16" s="121">
        <v>101</v>
      </c>
      <c r="BE16" s="121">
        <v>397</v>
      </c>
      <c r="BF16" s="120">
        <v>1</v>
      </c>
      <c r="BG16" s="121">
        <v>383</v>
      </c>
      <c r="BH16" s="121">
        <v>182</v>
      </c>
      <c r="BI16" s="121">
        <v>214</v>
      </c>
      <c r="BJ16" s="121">
        <v>110</v>
      </c>
      <c r="BK16" s="121">
        <v>281</v>
      </c>
      <c r="BL16" s="120">
        <v>-4</v>
      </c>
      <c r="BM16" s="121">
        <v>285</v>
      </c>
      <c r="BN16" s="121">
        <v>111</v>
      </c>
      <c r="BO16" s="121">
        <v>181</v>
      </c>
      <c r="BP16" s="121">
        <v>101</v>
      </c>
      <c r="BQ16" s="121">
        <v>163</v>
      </c>
      <c r="BR16" s="120">
        <v>-5.8</v>
      </c>
      <c r="BS16" s="121">
        <v>126</v>
      </c>
      <c r="BT16" s="121">
        <v>78</v>
      </c>
      <c r="BU16" s="121">
        <v>94</v>
      </c>
      <c r="BV16" s="121">
        <v>72</v>
      </c>
      <c r="BW16" s="121">
        <v>104</v>
      </c>
      <c r="BX16" s="120">
        <v>-0.5</v>
      </c>
      <c r="BY16" s="2">
        <v>-15</v>
      </c>
      <c r="BZ16" s="1" t="s">
        <v>340</v>
      </c>
    </row>
    <row r="17" spans="1:78">
      <c r="A17" s="1">
        <v>14</v>
      </c>
      <c r="B17" s="1" t="s">
        <v>399</v>
      </c>
      <c r="C17" s="2">
        <v>440</v>
      </c>
      <c r="D17" s="120">
        <v>0.3</v>
      </c>
      <c r="E17" s="121">
        <v>134</v>
      </c>
      <c r="F17" s="121">
        <v>59</v>
      </c>
      <c r="G17" s="121">
        <v>62</v>
      </c>
      <c r="H17" s="121">
        <v>40</v>
      </c>
      <c r="I17" s="121">
        <v>96</v>
      </c>
      <c r="J17" s="120">
        <v>1.3</v>
      </c>
      <c r="K17" s="121">
        <v>201</v>
      </c>
      <c r="L17" s="121">
        <v>99</v>
      </c>
      <c r="M17" s="121">
        <v>104</v>
      </c>
      <c r="N17" s="121">
        <v>58</v>
      </c>
      <c r="O17" s="121">
        <v>157</v>
      </c>
      <c r="P17" s="120">
        <v>5.0999999999999996</v>
      </c>
      <c r="Q17" s="121">
        <v>305</v>
      </c>
      <c r="R17" s="121">
        <v>187</v>
      </c>
      <c r="S17" s="121">
        <v>185</v>
      </c>
      <c r="T17" s="121">
        <v>96</v>
      </c>
      <c r="U17" s="121">
        <v>311</v>
      </c>
      <c r="V17" s="120">
        <v>8.1999999999999993</v>
      </c>
      <c r="W17" s="121">
        <v>298</v>
      </c>
      <c r="X17" s="121">
        <v>251</v>
      </c>
      <c r="Y17" s="121">
        <v>228</v>
      </c>
      <c r="Z17" s="121">
        <v>122</v>
      </c>
      <c r="AA17" s="121">
        <v>428</v>
      </c>
      <c r="AB17" s="120">
        <v>13.4</v>
      </c>
      <c r="AC17" s="121">
        <v>297</v>
      </c>
      <c r="AD17" s="121">
        <v>313</v>
      </c>
      <c r="AE17" s="121">
        <v>289</v>
      </c>
      <c r="AF17" s="121">
        <v>163</v>
      </c>
      <c r="AG17" s="121">
        <v>557</v>
      </c>
      <c r="AH17" s="120">
        <v>16.2</v>
      </c>
      <c r="AI17" s="121">
        <v>277</v>
      </c>
      <c r="AJ17" s="121">
        <v>327</v>
      </c>
      <c r="AK17" s="121">
        <v>303</v>
      </c>
      <c r="AL17" s="121">
        <v>181</v>
      </c>
      <c r="AM17" s="121">
        <v>588</v>
      </c>
      <c r="AN17" s="120">
        <v>18.399999999999999</v>
      </c>
      <c r="AO17" s="121">
        <v>303</v>
      </c>
      <c r="AP17" s="121">
        <v>343</v>
      </c>
      <c r="AQ17" s="121">
        <v>319</v>
      </c>
      <c r="AR17" s="121">
        <v>179</v>
      </c>
      <c r="AS17" s="121">
        <v>603</v>
      </c>
      <c r="AT17" s="120">
        <v>18.3</v>
      </c>
      <c r="AU17" s="121">
        <v>337</v>
      </c>
      <c r="AV17" s="121">
        <v>297</v>
      </c>
      <c r="AW17" s="121">
        <v>289</v>
      </c>
      <c r="AX17" s="121">
        <v>142</v>
      </c>
      <c r="AY17" s="121">
        <v>522</v>
      </c>
      <c r="AZ17" s="120">
        <v>13.9</v>
      </c>
      <c r="BA17" s="121">
        <v>301</v>
      </c>
      <c r="BB17" s="121">
        <v>192</v>
      </c>
      <c r="BC17" s="121">
        <v>207</v>
      </c>
      <c r="BD17" s="121">
        <v>98</v>
      </c>
      <c r="BE17" s="121">
        <v>345</v>
      </c>
      <c r="BF17" s="120">
        <v>9.6</v>
      </c>
      <c r="BG17" s="121">
        <v>225</v>
      </c>
      <c r="BH17" s="121">
        <v>107</v>
      </c>
      <c r="BI17" s="121">
        <v>126</v>
      </c>
      <c r="BJ17" s="121">
        <v>64</v>
      </c>
      <c r="BK17" s="121">
        <v>201</v>
      </c>
      <c r="BL17" s="120">
        <v>4.2</v>
      </c>
      <c r="BM17" s="121">
        <v>130</v>
      </c>
      <c r="BN17" s="121">
        <v>57</v>
      </c>
      <c r="BO17" s="121">
        <v>62</v>
      </c>
      <c r="BP17" s="121">
        <v>39</v>
      </c>
      <c r="BQ17" s="121">
        <v>101</v>
      </c>
      <c r="BR17" s="120">
        <v>1.8</v>
      </c>
      <c r="BS17" s="121">
        <v>102</v>
      </c>
      <c r="BT17" s="121">
        <v>43</v>
      </c>
      <c r="BU17" s="121">
        <v>43</v>
      </c>
      <c r="BV17" s="121">
        <v>29</v>
      </c>
      <c r="BW17" s="121">
        <v>72</v>
      </c>
      <c r="BX17" s="120">
        <v>9.1999999999999993</v>
      </c>
      <c r="BY17" s="2">
        <v>-7</v>
      </c>
      <c r="BZ17" s="1" t="s">
        <v>148</v>
      </c>
    </row>
    <row r="18" spans="1:78">
      <c r="A18" s="1">
        <v>15</v>
      </c>
      <c r="B18" s="1" t="s">
        <v>110</v>
      </c>
      <c r="C18" s="2">
        <v>580</v>
      </c>
      <c r="D18" s="120">
        <v>-0.6</v>
      </c>
      <c r="E18" s="121">
        <v>198</v>
      </c>
      <c r="F18" s="121">
        <v>62</v>
      </c>
      <c r="G18" s="121">
        <v>80</v>
      </c>
      <c r="H18" s="121">
        <v>46</v>
      </c>
      <c r="I18" s="121">
        <v>123</v>
      </c>
      <c r="J18" s="120">
        <v>0.8</v>
      </c>
      <c r="K18" s="121">
        <v>240</v>
      </c>
      <c r="L18" s="121">
        <v>92</v>
      </c>
      <c r="M18" s="121">
        <v>114</v>
      </c>
      <c r="N18" s="121">
        <v>65</v>
      </c>
      <c r="O18" s="121">
        <v>181</v>
      </c>
      <c r="P18" s="120">
        <v>4.8</v>
      </c>
      <c r="Q18" s="121">
        <v>319</v>
      </c>
      <c r="R18" s="121">
        <v>158</v>
      </c>
      <c r="S18" s="121">
        <v>185</v>
      </c>
      <c r="T18" s="121">
        <v>94</v>
      </c>
      <c r="U18" s="121">
        <v>329</v>
      </c>
      <c r="V18" s="120">
        <v>7.9</v>
      </c>
      <c r="W18" s="121">
        <v>288</v>
      </c>
      <c r="X18" s="121">
        <v>210</v>
      </c>
      <c r="Y18" s="121">
        <v>218</v>
      </c>
      <c r="Z18" s="121">
        <v>109</v>
      </c>
      <c r="AA18" s="121">
        <v>433</v>
      </c>
      <c r="AB18" s="120">
        <v>13</v>
      </c>
      <c r="AC18" s="121">
        <v>276</v>
      </c>
      <c r="AD18" s="121">
        <v>284</v>
      </c>
      <c r="AE18" s="121">
        <v>252</v>
      </c>
      <c r="AF18" s="121">
        <v>142</v>
      </c>
      <c r="AG18" s="121">
        <v>549</v>
      </c>
      <c r="AH18" s="120">
        <v>15.7</v>
      </c>
      <c r="AI18" s="121">
        <v>249</v>
      </c>
      <c r="AJ18" s="121">
        <v>301</v>
      </c>
      <c r="AK18" s="121">
        <v>251</v>
      </c>
      <c r="AL18" s="121">
        <v>158</v>
      </c>
      <c r="AM18" s="121">
        <v>568</v>
      </c>
      <c r="AN18" s="120">
        <v>18</v>
      </c>
      <c r="AO18" s="121">
        <v>281</v>
      </c>
      <c r="AP18" s="121">
        <v>316</v>
      </c>
      <c r="AQ18" s="121">
        <v>271</v>
      </c>
      <c r="AR18" s="121">
        <v>155</v>
      </c>
      <c r="AS18" s="121">
        <v>592</v>
      </c>
      <c r="AT18" s="120">
        <v>17.8</v>
      </c>
      <c r="AU18" s="121">
        <v>313</v>
      </c>
      <c r="AV18" s="121">
        <v>262</v>
      </c>
      <c r="AW18" s="121">
        <v>249</v>
      </c>
      <c r="AX18" s="121">
        <v>126</v>
      </c>
      <c r="AY18" s="121">
        <v>512</v>
      </c>
      <c r="AZ18" s="120">
        <v>13.5</v>
      </c>
      <c r="BA18" s="121">
        <v>303</v>
      </c>
      <c r="BB18" s="121">
        <v>168</v>
      </c>
      <c r="BC18" s="121">
        <v>189</v>
      </c>
      <c r="BD18" s="121">
        <v>91</v>
      </c>
      <c r="BE18" s="121">
        <v>363</v>
      </c>
      <c r="BF18" s="120">
        <v>9.3000000000000007</v>
      </c>
      <c r="BG18" s="121">
        <v>252</v>
      </c>
      <c r="BH18" s="121">
        <v>96</v>
      </c>
      <c r="BI18" s="121">
        <v>121</v>
      </c>
      <c r="BJ18" s="121">
        <v>62</v>
      </c>
      <c r="BK18" s="121">
        <v>230</v>
      </c>
      <c r="BL18" s="120">
        <v>3.7</v>
      </c>
      <c r="BM18" s="121">
        <v>176</v>
      </c>
      <c r="BN18" s="121">
        <v>52</v>
      </c>
      <c r="BO18" s="121">
        <v>73</v>
      </c>
      <c r="BP18" s="121">
        <v>39</v>
      </c>
      <c r="BQ18" s="121">
        <v>127</v>
      </c>
      <c r="BR18" s="120">
        <v>0.9</v>
      </c>
      <c r="BS18" s="121">
        <v>142</v>
      </c>
      <c r="BT18" s="121">
        <v>40</v>
      </c>
      <c r="BU18" s="121">
        <v>56</v>
      </c>
      <c r="BV18" s="121">
        <v>32</v>
      </c>
      <c r="BW18" s="121">
        <v>94</v>
      </c>
      <c r="BX18" s="120">
        <v>8.6999999999999993</v>
      </c>
      <c r="BY18" s="2">
        <v>-7</v>
      </c>
      <c r="BZ18" s="1" t="s">
        <v>110</v>
      </c>
    </row>
    <row r="19" spans="1:78">
      <c r="A19" s="1">
        <v>16</v>
      </c>
      <c r="B19" s="1" t="s">
        <v>44</v>
      </c>
      <c r="C19" s="2">
        <v>1019</v>
      </c>
      <c r="D19" s="120">
        <v>-1.4</v>
      </c>
      <c r="E19" s="121">
        <v>300</v>
      </c>
      <c r="F19" s="121">
        <v>121</v>
      </c>
      <c r="G19" s="121">
        <v>121</v>
      </c>
      <c r="H19" s="121">
        <v>67</v>
      </c>
      <c r="I19" s="121">
        <v>142</v>
      </c>
      <c r="J19" s="120">
        <v>-0.7</v>
      </c>
      <c r="K19" s="121">
        <v>329</v>
      </c>
      <c r="L19" s="121">
        <v>167</v>
      </c>
      <c r="M19" s="121">
        <v>167</v>
      </c>
      <c r="N19" s="121">
        <v>94</v>
      </c>
      <c r="O19" s="121">
        <v>203</v>
      </c>
      <c r="P19" s="120">
        <v>2.1</v>
      </c>
      <c r="Q19" s="121">
        <v>386</v>
      </c>
      <c r="R19" s="121">
        <v>254</v>
      </c>
      <c r="S19" s="121">
        <v>238</v>
      </c>
      <c r="T19" s="121">
        <v>134</v>
      </c>
      <c r="U19" s="121">
        <v>343</v>
      </c>
      <c r="V19" s="120">
        <v>4.8</v>
      </c>
      <c r="W19" s="121">
        <v>308</v>
      </c>
      <c r="X19" s="121">
        <v>280</v>
      </c>
      <c r="Y19" s="121">
        <v>241</v>
      </c>
      <c r="Z19" s="121">
        <v>137</v>
      </c>
      <c r="AA19" s="121">
        <v>425</v>
      </c>
      <c r="AB19" s="120">
        <v>9.8000000000000007</v>
      </c>
      <c r="AC19" s="121">
        <v>262</v>
      </c>
      <c r="AD19" s="121">
        <v>313</v>
      </c>
      <c r="AE19" s="121">
        <v>252</v>
      </c>
      <c r="AF19" s="121">
        <v>155</v>
      </c>
      <c r="AG19" s="121">
        <v>506</v>
      </c>
      <c r="AH19" s="120">
        <v>12.6</v>
      </c>
      <c r="AI19" s="121">
        <v>257</v>
      </c>
      <c r="AJ19" s="121">
        <v>340</v>
      </c>
      <c r="AK19" s="121">
        <v>277</v>
      </c>
      <c r="AL19" s="121">
        <v>181</v>
      </c>
      <c r="AM19" s="121">
        <v>560</v>
      </c>
      <c r="AN19" s="120">
        <v>15</v>
      </c>
      <c r="AO19" s="121">
        <v>292</v>
      </c>
      <c r="AP19" s="121">
        <v>359</v>
      </c>
      <c r="AQ19" s="121">
        <v>311</v>
      </c>
      <c r="AR19" s="121">
        <v>179</v>
      </c>
      <c r="AS19" s="121">
        <v>597</v>
      </c>
      <c r="AT19" s="120">
        <v>15.1</v>
      </c>
      <c r="AU19" s="121">
        <v>327</v>
      </c>
      <c r="AV19" s="121">
        <v>329</v>
      </c>
      <c r="AW19" s="121">
        <v>276</v>
      </c>
      <c r="AX19" s="121">
        <v>142</v>
      </c>
      <c r="AY19" s="121">
        <v>525</v>
      </c>
      <c r="AZ19" s="120">
        <v>11</v>
      </c>
      <c r="BA19" s="121">
        <v>316</v>
      </c>
      <c r="BB19" s="121">
        <v>226</v>
      </c>
      <c r="BC19" s="121">
        <v>205</v>
      </c>
      <c r="BD19" s="121">
        <v>96</v>
      </c>
      <c r="BE19" s="121">
        <v>363</v>
      </c>
      <c r="BF19" s="120">
        <v>7.8</v>
      </c>
      <c r="BG19" s="121">
        <v>308</v>
      </c>
      <c r="BH19" s="121">
        <v>153</v>
      </c>
      <c r="BI19" s="121">
        <v>147</v>
      </c>
      <c r="BJ19" s="121">
        <v>67</v>
      </c>
      <c r="BK19" s="121">
        <v>244</v>
      </c>
      <c r="BL19" s="120">
        <v>2.2999999999999998</v>
      </c>
      <c r="BM19" s="121">
        <v>259</v>
      </c>
      <c r="BN19" s="121">
        <v>104</v>
      </c>
      <c r="BO19" s="121">
        <v>101</v>
      </c>
      <c r="BP19" s="121">
        <v>52</v>
      </c>
      <c r="BQ19" s="121">
        <v>145</v>
      </c>
      <c r="BR19" s="120">
        <v>0.1</v>
      </c>
      <c r="BS19" s="121">
        <v>233</v>
      </c>
      <c r="BT19" s="121">
        <v>88</v>
      </c>
      <c r="BU19" s="121">
        <v>88</v>
      </c>
      <c r="BV19" s="121">
        <v>48</v>
      </c>
      <c r="BW19" s="121">
        <v>110</v>
      </c>
      <c r="BX19" s="120">
        <v>6.5</v>
      </c>
      <c r="BY19" s="2">
        <v>-10</v>
      </c>
      <c r="BZ19" s="1" t="s">
        <v>523</v>
      </c>
    </row>
    <row r="20" spans="1:78">
      <c r="A20" s="1">
        <v>17</v>
      </c>
      <c r="B20" s="1" t="s">
        <v>8</v>
      </c>
      <c r="C20" s="2">
        <v>1202</v>
      </c>
      <c r="D20" s="120">
        <v>-1.2</v>
      </c>
      <c r="E20" s="121">
        <v>273</v>
      </c>
      <c r="F20" s="121">
        <v>104</v>
      </c>
      <c r="G20" s="121">
        <v>86</v>
      </c>
      <c r="H20" s="121">
        <v>40</v>
      </c>
      <c r="I20" s="121">
        <v>145</v>
      </c>
      <c r="J20" s="120">
        <v>-0.8</v>
      </c>
      <c r="K20" s="121">
        <v>298</v>
      </c>
      <c r="L20" s="121">
        <v>140</v>
      </c>
      <c r="M20" s="121">
        <v>121</v>
      </c>
      <c r="N20" s="121">
        <v>53</v>
      </c>
      <c r="O20" s="121">
        <v>203</v>
      </c>
      <c r="P20" s="120">
        <v>1.6</v>
      </c>
      <c r="Q20" s="121">
        <v>348</v>
      </c>
      <c r="R20" s="121">
        <v>222</v>
      </c>
      <c r="S20" s="121">
        <v>196</v>
      </c>
      <c r="T20" s="121">
        <v>88</v>
      </c>
      <c r="U20" s="121">
        <v>346</v>
      </c>
      <c r="V20" s="120">
        <v>3.8</v>
      </c>
      <c r="W20" s="121">
        <v>285</v>
      </c>
      <c r="X20" s="121">
        <v>264</v>
      </c>
      <c r="Y20" s="121">
        <v>205</v>
      </c>
      <c r="Z20" s="121">
        <v>114</v>
      </c>
      <c r="AA20" s="121">
        <v>420</v>
      </c>
      <c r="AB20" s="120">
        <v>8.8000000000000007</v>
      </c>
      <c r="AC20" s="121">
        <v>271</v>
      </c>
      <c r="AD20" s="121">
        <v>308</v>
      </c>
      <c r="AE20" s="121">
        <v>249</v>
      </c>
      <c r="AF20" s="121">
        <v>147</v>
      </c>
      <c r="AG20" s="121">
        <v>520</v>
      </c>
      <c r="AH20" s="120">
        <v>11.7</v>
      </c>
      <c r="AI20" s="121">
        <v>257</v>
      </c>
      <c r="AJ20" s="121">
        <v>342</v>
      </c>
      <c r="AK20" s="121">
        <v>267</v>
      </c>
      <c r="AL20" s="121">
        <v>174</v>
      </c>
      <c r="AM20" s="121">
        <v>562</v>
      </c>
      <c r="AN20" s="120">
        <v>14.2</v>
      </c>
      <c r="AO20" s="121">
        <v>289</v>
      </c>
      <c r="AP20" s="121">
        <v>359</v>
      </c>
      <c r="AQ20" s="121">
        <v>292</v>
      </c>
      <c r="AR20" s="121">
        <v>171</v>
      </c>
      <c r="AS20" s="121">
        <v>597</v>
      </c>
      <c r="AT20" s="120">
        <v>14.5</v>
      </c>
      <c r="AU20" s="121">
        <v>324</v>
      </c>
      <c r="AV20" s="121">
        <v>332</v>
      </c>
      <c r="AW20" s="121">
        <v>257</v>
      </c>
      <c r="AX20" s="121">
        <v>137</v>
      </c>
      <c r="AY20" s="121">
        <v>520</v>
      </c>
      <c r="AZ20" s="120">
        <v>10.4</v>
      </c>
      <c r="BA20" s="121">
        <v>308</v>
      </c>
      <c r="BB20" s="121">
        <v>228</v>
      </c>
      <c r="BC20" s="121">
        <v>197</v>
      </c>
      <c r="BD20" s="121">
        <v>93</v>
      </c>
      <c r="BE20" s="121">
        <v>358</v>
      </c>
      <c r="BF20" s="120">
        <v>7.1</v>
      </c>
      <c r="BG20" s="121">
        <v>292</v>
      </c>
      <c r="BH20" s="121">
        <v>158</v>
      </c>
      <c r="BI20" s="121">
        <v>139</v>
      </c>
      <c r="BJ20" s="121">
        <v>64</v>
      </c>
      <c r="BK20" s="121">
        <v>236</v>
      </c>
      <c r="BL20" s="120">
        <v>2</v>
      </c>
      <c r="BM20" s="121">
        <v>233</v>
      </c>
      <c r="BN20" s="121">
        <v>101</v>
      </c>
      <c r="BO20" s="121">
        <v>78</v>
      </c>
      <c r="BP20" s="121">
        <v>41</v>
      </c>
      <c r="BQ20" s="121">
        <v>140</v>
      </c>
      <c r="BR20" s="120">
        <v>0.1</v>
      </c>
      <c r="BS20" s="121">
        <v>225</v>
      </c>
      <c r="BT20" s="121">
        <v>80</v>
      </c>
      <c r="BU20" s="121">
        <v>67</v>
      </c>
      <c r="BV20" s="121">
        <v>35</v>
      </c>
      <c r="BW20" s="121">
        <v>112</v>
      </c>
      <c r="BX20" s="120">
        <v>6</v>
      </c>
      <c r="BY20" s="2">
        <v>-10</v>
      </c>
      <c r="BZ20" s="1" t="s">
        <v>8</v>
      </c>
    </row>
    <row r="21" spans="1:78">
      <c r="A21" s="1">
        <v>18</v>
      </c>
      <c r="B21" s="1" t="s">
        <v>400</v>
      </c>
      <c r="C21" s="2">
        <v>366</v>
      </c>
      <c r="D21" s="120">
        <v>3.3</v>
      </c>
      <c r="E21" s="121">
        <v>319</v>
      </c>
      <c r="F21" s="121">
        <v>102</v>
      </c>
      <c r="G21" s="121">
        <v>110</v>
      </c>
      <c r="H21" s="121">
        <v>46</v>
      </c>
      <c r="I21" s="121">
        <v>158</v>
      </c>
      <c r="J21" s="120">
        <v>4.9000000000000004</v>
      </c>
      <c r="K21" s="121">
        <v>341</v>
      </c>
      <c r="L21" s="121">
        <v>152</v>
      </c>
      <c r="M21" s="121">
        <v>140</v>
      </c>
      <c r="N21" s="121">
        <v>60</v>
      </c>
      <c r="O21" s="121">
        <v>227</v>
      </c>
      <c r="P21" s="120">
        <v>9</v>
      </c>
      <c r="Q21" s="121">
        <v>404</v>
      </c>
      <c r="R21" s="121">
        <v>236</v>
      </c>
      <c r="S21" s="121">
        <v>222</v>
      </c>
      <c r="T21" s="121">
        <v>86</v>
      </c>
      <c r="U21" s="121">
        <v>391</v>
      </c>
      <c r="V21" s="120">
        <v>11.5</v>
      </c>
      <c r="W21" s="121">
        <v>306</v>
      </c>
      <c r="X21" s="121">
        <v>246</v>
      </c>
      <c r="Y21" s="121">
        <v>241</v>
      </c>
      <c r="Z21" s="121">
        <v>101</v>
      </c>
      <c r="AA21" s="121">
        <v>443</v>
      </c>
      <c r="AB21" s="120">
        <v>15.8</v>
      </c>
      <c r="AC21" s="121">
        <v>276</v>
      </c>
      <c r="AD21" s="121">
        <v>281</v>
      </c>
      <c r="AE21" s="121">
        <v>268</v>
      </c>
      <c r="AF21" s="121">
        <v>131</v>
      </c>
      <c r="AG21" s="121">
        <v>536</v>
      </c>
      <c r="AH21" s="120">
        <v>19.100000000000001</v>
      </c>
      <c r="AI21" s="121">
        <v>277</v>
      </c>
      <c r="AJ21" s="121">
        <v>319</v>
      </c>
      <c r="AK21" s="121">
        <v>298</v>
      </c>
      <c r="AL21" s="121">
        <v>156</v>
      </c>
      <c r="AM21" s="121">
        <v>614</v>
      </c>
      <c r="AN21" s="120">
        <v>21.7</v>
      </c>
      <c r="AO21" s="121">
        <v>316</v>
      </c>
      <c r="AP21" s="121">
        <v>340</v>
      </c>
      <c r="AQ21" s="121">
        <v>321</v>
      </c>
      <c r="AR21" s="121">
        <v>161</v>
      </c>
      <c r="AS21" s="121">
        <v>648</v>
      </c>
      <c r="AT21" s="120">
        <v>21.5</v>
      </c>
      <c r="AU21" s="121">
        <v>356</v>
      </c>
      <c r="AV21" s="121">
        <v>313</v>
      </c>
      <c r="AW21" s="121">
        <v>295</v>
      </c>
      <c r="AX21" s="121">
        <v>131</v>
      </c>
      <c r="AY21" s="121">
        <v>570</v>
      </c>
      <c r="AZ21" s="120">
        <v>17</v>
      </c>
      <c r="BA21" s="121">
        <v>342</v>
      </c>
      <c r="BB21" s="121">
        <v>223</v>
      </c>
      <c r="BC21" s="121">
        <v>220</v>
      </c>
      <c r="BD21" s="121">
        <v>88</v>
      </c>
      <c r="BE21" s="121">
        <v>391</v>
      </c>
      <c r="BF21" s="120">
        <v>12.6</v>
      </c>
      <c r="BG21" s="121">
        <v>319</v>
      </c>
      <c r="BH21" s="121">
        <v>155</v>
      </c>
      <c r="BI21" s="121">
        <v>142</v>
      </c>
      <c r="BJ21" s="121">
        <v>59</v>
      </c>
      <c r="BK21" s="121">
        <v>252</v>
      </c>
      <c r="BL21" s="120">
        <v>7.3</v>
      </c>
      <c r="BM21" s="121">
        <v>264</v>
      </c>
      <c r="BN21" s="121">
        <v>93</v>
      </c>
      <c r="BO21" s="121">
        <v>91</v>
      </c>
      <c r="BP21" s="121">
        <v>39</v>
      </c>
      <c r="BQ21" s="121">
        <v>153</v>
      </c>
      <c r="BR21" s="120">
        <v>4.4000000000000004</v>
      </c>
      <c r="BS21" s="121">
        <v>271</v>
      </c>
      <c r="BT21" s="121">
        <v>78</v>
      </c>
      <c r="BU21" s="121">
        <v>86</v>
      </c>
      <c r="BV21" s="121">
        <v>35</v>
      </c>
      <c r="BW21" s="121">
        <v>129</v>
      </c>
      <c r="BX21" s="120">
        <v>12.3</v>
      </c>
      <c r="BY21" s="2">
        <v>-1</v>
      </c>
      <c r="BZ21" s="1" t="s">
        <v>9</v>
      </c>
    </row>
    <row r="22" spans="1:78">
      <c r="A22" s="1">
        <v>19</v>
      </c>
      <c r="B22" s="1" t="s">
        <v>401</v>
      </c>
      <c r="C22" s="2">
        <v>273</v>
      </c>
      <c r="D22" s="120">
        <v>3.3</v>
      </c>
      <c r="E22" s="121">
        <v>287</v>
      </c>
      <c r="F22" s="121">
        <v>86</v>
      </c>
      <c r="G22" s="121">
        <v>112</v>
      </c>
      <c r="H22" s="121">
        <v>46</v>
      </c>
      <c r="I22" s="121">
        <v>153</v>
      </c>
      <c r="J22" s="120">
        <v>4.8</v>
      </c>
      <c r="K22" s="121">
        <v>314</v>
      </c>
      <c r="L22" s="121">
        <v>131</v>
      </c>
      <c r="M22" s="121">
        <v>148</v>
      </c>
      <c r="N22" s="121">
        <v>65</v>
      </c>
      <c r="O22" s="121">
        <v>218</v>
      </c>
      <c r="P22" s="120">
        <v>8.6</v>
      </c>
      <c r="Q22" s="121">
        <v>370</v>
      </c>
      <c r="R22" s="121">
        <v>212</v>
      </c>
      <c r="S22" s="121">
        <v>214</v>
      </c>
      <c r="T22" s="121">
        <v>94</v>
      </c>
      <c r="U22" s="121">
        <v>370</v>
      </c>
      <c r="V22" s="120">
        <v>11.3</v>
      </c>
      <c r="W22" s="121">
        <v>285</v>
      </c>
      <c r="X22" s="121">
        <v>223</v>
      </c>
      <c r="Y22" s="121">
        <v>223</v>
      </c>
      <c r="Z22" s="121">
        <v>106</v>
      </c>
      <c r="AA22" s="121">
        <v>420</v>
      </c>
      <c r="AB22" s="120">
        <v>15.8</v>
      </c>
      <c r="AC22" s="121">
        <v>271</v>
      </c>
      <c r="AD22" s="121">
        <v>252</v>
      </c>
      <c r="AE22" s="121">
        <v>265</v>
      </c>
      <c r="AF22" s="121">
        <v>142</v>
      </c>
      <c r="AG22" s="121">
        <v>525</v>
      </c>
      <c r="AH22" s="120">
        <v>19.3</v>
      </c>
      <c r="AI22" s="121">
        <v>275</v>
      </c>
      <c r="AJ22" s="121">
        <v>285</v>
      </c>
      <c r="AK22" s="121">
        <v>306</v>
      </c>
      <c r="AL22" s="121">
        <v>163</v>
      </c>
      <c r="AM22" s="121">
        <v>601</v>
      </c>
      <c r="AN22" s="120">
        <v>22</v>
      </c>
      <c r="AO22" s="121">
        <v>313</v>
      </c>
      <c r="AP22" s="121">
        <v>311</v>
      </c>
      <c r="AQ22" s="121">
        <v>332</v>
      </c>
      <c r="AR22" s="121">
        <v>166</v>
      </c>
      <c r="AS22" s="121">
        <v>643</v>
      </c>
      <c r="AT22" s="120">
        <v>21.7</v>
      </c>
      <c r="AU22" s="121">
        <v>364</v>
      </c>
      <c r="AV22" s="121">
        <v>297</v>
      </c>
      <c r="AW22" s="121">
        <v>316</v>
      </c>
      <c r="AX22" s="121">
        <v>137</v>
      </c>
      <c r="AY22" s="121">
        <v>581</v>
      </c>
      <c r="AZ22" s="120">
        <v>17.3</v>
      </c>
      <c r="BA22" s="121">
        <v>345</v>
      </c>
      <c r="BB22" s="121">
        <v>218</v>
      </c>
      <c r="BC22" s="121">
        <v>231</v>
      </c>
      <c r="BD22" s="121">
        <v>96</v>
      </c>
      <c r="BE22" s="121">
        <v>397</v>
      </c>
      <c r="BF22" s="120">
        <v>12.9</v>
      </c>
      <c r="BG22" s="121">
        <v>308</v>
      </c>
      <c r="BH22" s="121">
        <v>137</v>
      </c>
      <c r="BI22" s="121">
        <v>153</v>
      </c>
      <c r="BJ22" s="121">
        <v>64</v>
      </c>
      <c r="BK22" s="121">
        <v>249</v>
      </c>
      <c r="BL22" s="120">
        <v>7.8</v>
      </c>
      <c r="BM22" s="121">
        <v>251</v>
      </c>
      <c r="BN22" s="121">
        <v>78</v>
      </c>
      <c r="BO22" s="121">
        <v>101</v>
      </c>
      <c r="BP22" s="121">
        <v>41</v>
      </c>
      <c r="BQ22" s="121">
        <v>150</v>
      </c>
      <c r="BR22" s="120">
        <v>4.5</v>
      </c>
      <c r="BS22" s="121">
        <v>246</v>
      </c>
      <c r="BT22" s="121">
        <v>64</v>
      </c>
      <c r="BU22" s="121">
        <v>94</v>
      </c>
      <c r="BV22" s="121">
        <v>37</v>
      </c>
      <c r="BW22" s="121">
        <v>123</v>
      </c>
      <c r="BX22" s="120">
        <v>12.4</v>
      </c>
      <c r="BY22" s="2">
        <v>-1</v>
      </c>
      <c r="BZ22" s="1" t="s">
        <v>530</v>
      </c>
    </row>
    <row r="23" spans="1:78">
      <c r="A23" s="1">
        <v>20</v>
      </c>
      <c r="B23" s="1" t="s">
        <v>45</v>
      </c>
      <c r="C23" s="2">
        <v>456</v>
      </c>
      <c r="D23" s="120">
        <v>0.5</v>
      </c>
      <c r="E23" s="121">
        <v>153</v>
      </c>
      <c r="F23" s="121">
        <v>67</v>
      </c>
      <c r="G23" s="121">
        <v>62</v>
      </c>
      <c r="H23" s="121">
        <v>43</v>
      </c>
      <c r="I23" s="121">
        <v>102</v>
      </c>
      <c r="J23" s="120">
        <v>1.8</v>
      </c>
      <c r="K23" s="121">
        <v>208</v>
      </c>
      <c r="L23" s="121">
        <v>104</v>
      </c>
      <c r="M23" s="121">
        <v>104</v>
      </c>
      <c r="N23" s="121">
        <v>60</v>
      </c>
      <c r="O23" s="121">
        <v>162</v>
      </c>
      <c r="P23" s="120">
        <v>5.7</v>
      </c>
      <c r="Q23" s="121">
        <v>295</v>
      </c>
      <c r="R23" s="121">
        <v>185</v>
      </c>
      <c r="S23" s="121">
        <v>174</v>
      </c>
      <c r="T23" s="121">
        <v>94</v>
      </c>
      <c r="U23" s="121">
        <v>305</v>
      </c>
      <c r="V23" s="120">
        <v>8.8000000000000007</v>
      </c>
      <c r="W23" s="121">
        <v>262</v>
      </c>
      <c r="X23" s="121">
        <v>228</v>
      </c>
      <c r="Y23" s="121">
        <v>200</v>
      </c>
      <c r="Z23" s="121">
        <v>114</v>
      </c>
      <c r="AA23" s="121">
        <v>394</v>
      </c>
      <c r="AB23" s="120">
        <v>13.9</v>
      </c>
      <c r="AC23" s="121">
        <v>257</v>
      </c>
      <c r="AD23" s="121">
        <v>284</v>
      </c>
      <c r="AE23" s="121">
        <v>244</v>
      </c>
      <c r="AF23" s="121">
        <v>153</v>
      </c>
      <c r="AG23" s="121">
        <v>496</v>
      </c>
      <c r="AH23" s="120">
        <v>16.7</v>
      </c>
      <c r="AI23" s="121">
        <v>244</v>
      </c>
      <c r="AJ23" s="121">
        <v>301</v>
      </c>
      <c r="AK23" s="121">
        <v>257</v>
      </c>
      <c r="AL23" s="121">
        <v>171</v>
      </c>
      <c r="AM23" s="121">
        <v>529</v>
      </c>
      <c r="AN23" s="120">
        <v>19</v>
      </c>
      <c r="AO23" s="121">
        <v>273</v>
      </c>
      <c r="AP23" s="121">
        <v>321</v>
      </c>
      <c r="AQ23" s="121">
        <v>276</v>
      </c>
      <c r="AR23" s="121">
        <v>171</v>
      </c>
      <c r="AS23" s="121">
        <v>557</v>
      </c>
      <c r="AT23" s="120">
        <v>18.8</v>
      </c>
      <c r="AU23" s="121">
        <v>305</v>
      </c>
      <c r="AV23" s="121">
        <v>287</v>
      </c>
      <c r="AW23" s="121">
        <v>254</v>
      </c>
      <c r="AX23" s="121">
        <v>137</v>
      </c>
      <c r="AY23" s="121">
        <v>493</v>
      </c>
      <c r="AZ23" s="120">
        <v>14.4</v>
      </c>
      <c r="BA23" s="121">
        <v>280</v>
      </c>
      <c r="BB23" s="121">
        <v>192</v>
      </c>
      <c r="BC23" s="121">
        <v>184</v>
      </c>
      <c r="BD23" s="121">
        <v>96</v>
      </c>
      <c r="BE23" s="121">
        <v>334</v>
      </c>
      <c r="BF23" s="120">
        <v>10.199999999999999</v>
      </c>
      <c r="BG23" s="121">
        <v>233</v>
      </c>
      <c r="BH23" s="121">
        <v>118</v>
      </c>
      <c r="BI23" s="121">
        <v>121</v>
      </c>
      <c r="BJ23" s="121">
        <v>64</v>
      </c>
      <c r="BK23" s="121">
        <v>206</v>
      </c>
      <c r="BL23" s="120">
        <v>4.5</v>
      </c>
      <c r="BM23" s="121">
        <v>143</v>
      </c>
      <c r="BN23" s="121">
        <v>62</v>
      </c>
      <c r="BO23" s="121">
        <v>62</v>
      </c>
      <c r="BP23" s="121">
        <v>39</v>
      </c>
      <c r="BQ23" s="121">
        <v>109</v>
      </c>
      <c r="BR23" s="120">
        <v>2</v>
      </c>
      <c r="BS23" s="121">
        <v>118</v>
      </c>
      <c r="BT23" s="121">
        <v>51</v>
      </c>
      <c r="BU23" s="121">
        <v>46</v>
      </c>
      <c r="BV23" s="121">
        <v>32</v>
      </c>
      <c r="BW23" s="121">
        <v>80</v>
      </c>
      <c r="BX23" s="120">
        <v>9.6999999999999993</v>
      </c>
      <c r="BY23" s="2">
        <v>-6</v>
      </c>
      <c r="BZ23" s="1" t="s">
        <v>316</v>
      </c>
    </row>
    <row r="24" spans="1:78">
      <c r="A24" s="1">
        <v>21</v>
      </c>
      <c r="B24" s="1" t="s">
        <v>402</v>
      </c>
      <c r="C24" s="2">
        <v>197</v>
      </c>
      <c r="D24" s="120">
        <v>1.2</v>
      </c>
      <c r="E24" s="121">
        <v>287</v>
      </c>
      <c r="F24" s="121">
        <v>99</v>
      </c>
      <c r="G24" s="121">
        <v>110</v>
      </c>
      <c r="H24" s="121">
        <v>48</v>
      </c>
      <c r="I24" s="121">
        <v>150</v>
      </c>
      <c r="J24" s="120">
        <v>3.5</v>
      </c>
      <c r="K24" s="121">
        <v>307</v>
      </c>
      <c r="L24" s="121">
        <v>135</v>
      </c>
      <c r="M24" s="121">
        <v>143</v>
      </c>
      <c r="N24" s="121">
        <v>65</v>
      </c>
      <c r="O24" s="121">
        <v>215</v>
      </c>
      <c r="P24" s="120">
        <v>8.1999999999999993</v>
      </c>
      <c r="Q24" s="121">
        <v>364</v>
      </c>
      <c r="R24" s="121">
        <v>214</v>
      </c>
      <c r="S24" s="121">
        <v>214</v>
      </c>
      <c r="T24" s="121">
        <v>91</v>
      </c>
      <c r="U24" s="121">
        <v>370</v>
      </c>
      <c r="V24" s="120">
        <v>11.4</v>
      </c>
      <c r="W24" s="121">
        <v>280</v>
      </c>
      <c r="X24" s="121">
        <v>231</v>
      </c>
      <c r="Y24" s="121">
        <v>228</v>
      </c>
      <c r="Z24" s="121">
        <v>104</v>
      </c>
      <c r="AA24" s="121">
        <v>420</v>
      </c>
      <c r="AB24" s="120">
        <v>16</v>
      </c>
      <c r="AC24" s="121">
        <v>252</v>
      </c>
      <c r="AD24" s="121">
        <v>265</v>
      </c>
      <c r="AE24" s="121">
        <v>254</v>
      </c>
      <c r="AF24" s="121">
        <v>137</v>
      </c>
      <c r="AG24" s="121">
        <v>506</v>
      </c>
      <c r="AH24" s="120">
        <v>19.399999999999999</v>
      </c>
      <c r="AI24" s="121">
        <v>262</v>
      </c>
      <c r="AJ24" s="121">
        <v>303</v>
      </c>
      <c r="AK24" s="121">
        <v>293</v>
      </c>
      <c r="AL24" s="121">
        <v>163</v>
      </c>
      <c r="AM24" s="121">
        <v>591</v>
      </c>
      <c r="AN24" s="120">
        <v>21.8</v>
      </c>
      <c r="AO24" s="121">
        <v>300</v>
      </c>
      <c r="AP24" s="121">
        <v>329</v>
      </c>
      <c r="AQ24" s="121">
        <v>321</v>
      </c>
      <c r="AR24" s="121">
        <v>166</v>
      </c>
      <c r="AS24" s="121">
        <v>629</v>
      </c>
      <c r="AT24" s="120">
        <v>21.3</v>
      </c>
      <c r="AU24" s="121">
        <v>340</v>
      </c>
      <c r="AV24" s="121">
        <v>303</v>
      </c>
      <c r="AW24" s="121">
        <v>295</v>
      </c>
      <c r="AX24" s="121">
        <v>134</v>
      </c>
      <c r="AY24" s="121">
        <v>554</v>
      </c>
      <c r="AZ24" s="120">
        <v>16.8</v>
      </c>
      <c r="BA24" s="121">
        <v>321</v>
      </c>
      <c r="BB24" s="121">
        <v>213</v>
      </c>
      <c r="BC24" s="121">
        <v>220</v>
      </c>
      <c r="BD24" s="121">
        <v>91</v>
      </c>
      <c r="BE24" s="121">
        <v>378</v>
      </c>
      <c r="BF24" s="120">
        <v>11.9</v>
      </c>
      <c r="BG24" s="121">
        <v>295</v>
      </c>
      <c r="BH24" s="121">
        <v>139</v>
      </c>
      <c r="BI24" s="121">
        <v>145</v>
      </c>
      <c r="BJ24" s="121">
        <v>62</v>
      </c>
      <c r="BK24" s="121">
        <v>241</v>
      </c>
      <c r="BL24" s="120">
        <v>6.1</v>
      </c>
      <c r="BM24" s="121">
        <v>238</v>
      </c>
      <c r="BN24" s="121">
        <v>86</v>
      </c>
      <c r="BO24" s="121">
        <v>96</v>
      </c>
      <c r="BP24" s="121">
        <v>39</v>
      </c>
      <c r="BQ24" s="121">
        <v>148</v>
      </c>
      <c r="BR24" s="120">
        <v>2.2999999999999998</v>
      </c>
      <c r="BS24" s="121">
        <v>222</v>
      </c>
      <c r="BT24" s="121">
        <v>75</v>
      </c>
      <c r="BU24" s="121">
        <v>78</v>
      </c>
      <c r="BV24" s="121">
        <v>35</v>
      </c>
      <c r="BW24" s="121">
        <v>118</v>
      </c>
      <c r="BX24" s="120">
        <v>11.7</v>
      </c>
      <c r="BY24" s="2">
        <v>-3</v>
      </c>
      <c r="BZ24" s="1" t="s">
        <v>10</v>
      </c>
    </row>
    <row r="25" spans="1:78">
      <c r="A25" s="1">
        <v>22</v>
      </c>
      <c r="B25" s="1" t="s">
        <v>536</v>
      </c>
      <c r="C25" s="2">
        <v>1508</v>
      </c>
      <c r="D25" s="120">
        <v>-1.7</v>
      </c>
      <c r="E25" s="121">
        <v>431</v>
      </c>
      <c r="F25" s="121">
        <v>171</v>
      </c>
      <c r="G25" s="121">
        <v>171</v>
      </c>
      <c r="H25" s="121">
        <v>91</v>
      </c>
      <c r="I25" s="121">
        <v>185</v>
      </c>
      <c r="J25" s="120">
        <v>-1.4</v>
      </c>
      <c r="K25" s="121">
        <v>448</v>
      </c>
      <c r="L25" s="121">
        <v>225</v>
      </c>
      <c r="M25" s="121">
        <v>225</v>
      </c>
      <c r="N25" s="121">
        <v>126</v>
      </c>
      <c r="O25" s="121">
        <v>252</v>
      </c>
      <c r="P25" s="120">
        <v>1.3</v>
      </c>
      <c r="Q25" s="121">
        <v>528</v>
      </c>
      <c r="R25" s="121">
        <v>354</v>
      </c>
      <c r="S25" s="121">
        <v>329</v>
      </c>
      <c r="T25" s="121">
        <v>185</v>
      </c>
      <c r="U25" s="121">
        <v>426</v>
      </c>
      <c r="V25" s="120">
        <v>3.7</v>
      </c>
      <c r="W25" s="121">
        <v>373</v>
      </c>
      <c r="X25" s="121">
        <v>327</v>
      </c>
      <c r="Y25" s="121">
        <v>290</v>
      </c>
      <c r="Z25" s="121">
        <v>143</v>
      </c>
      <c r="AA25" s="121">
        <v>513</v>
      </c>
      <c r="AB25" s="120">
        <v>9</v>
      </c>
      <c r="AC25" s="121">
        <v>324</v>
      </c>
      <c r="AD25" s="121">
        <v>364</v>
      </c>
      <c r="AE25" s="121">
        <v>305</v>
      </c>
      <c r="AF25" s="121">
        <v>155</v>
      </c>
      <c r="AG25" s="121">
        <v>632</v>
      </c>
      <c r="AH25" s="120">
        <v>11.9</v>
      </c>
      <c r="AI25" s="121">
        <v>293</v>
      </c>
      <c r="AJ25" s="121">
        <v>371</v>
      </c>
      <c r="AK25" s="121">
        <v>301</v>
      </c>
      <c r="AL25" s="121">
        <v>168</v>
      </c>
      <c r="AM25" s="121">
        <v>658</v>
      </c>
      <c r="AN25" s="120">
        <v>14.5</v>
      </c>
      <c r="AO25" s="121">
        <v>329</v>
      </c>
      <c r="AP25" s="121">
        <v>399</v>
      </c>
      <c r="AQ25" s="121">
        <v>321</v>
      </c>
      <c r="AR25" s="121">
        <v>169</v>
      </c>
      <c r="AS25" s="121">
        <v>691</v>
      </c>
      <c r="AT25" s="120">
        <v>14.6</v>
      </c>
      <c r="AU25" s="121">
        <v>372</v>
      </c>
      <c r="AV25" s="121">
        <v>362</v>
      </c>
      <c r="AW25" s="121">
        <v>297</v>
      </c>
      <c r="AX25" s="121">
        <v>134</v>
      </c>
      <c r="AY25" s="121">
        <v>597</v>
      </c>
      <c r="AZ25" s="120">
        <v>10.5</v>
      </c>
      <c r="BA25" s="121">
        <v>404</v>
      </c>
      <c r="BB25" s="121">
        <v>272</v>
      </c>
      <c r="BC25" s="121">
        <v>249</v>
      </c>
      <c r="BD25" s="121">
        <v>96</v>
      </c>
      <c r="BE25" s="121">
        <v>446</v>
      </c>
      <c r="BF25" s="120">
        <v>7.1</v>
      </c>
      <c r="BG25" s="121">
        <v>415</v>
      </c>
      <c r="BH25" s="121">
        <v>201</v>
      </c>
      <c r="BI25" s="121">
        <v>190</v>
      </c>
      <c r="BJ25" s="121">
        <v>70</v>
      </c>
      <c r="BK25" s="121">
        <v>308</v>
      </c>
      <c r="BL25" s="120">
        <v>1.7</v>
      </c>
      <c r="BM25" s="121">
        <v>340</v>
      </c>
      <c r="BN25" s="121">
        <v>127</v>
      </c>
      <c r="BO25" s="121">
        <v>124</v>
      </c>
      <c r="BP25" s="121">
        <v>49</v>
      </c>
      <c r="BQ25" s="121">
        <v>181</v>
      </c>
      <c r="BR25" s="120">
        <v>-0.4</v>
      </c>
      <c r="BS25" s="121">
        <v>364</v>
      </c>
      <c r="BT25" s="121">
        <v>129</v>
      </c>
      <c r="BU25" s="121">
        <v>129</v>
      </c>
      <c r="BV25" s="121">
        <v>62</v>
      </c>
      <c r="BW25" s="121">
        <v>150</v>
      </c>
      <c r="BX25" s="120">
        <v>5.9</v>
      </c>
      <c r="BY25" s="2">
        <v>-10</v>
      </c>
      <c r="BZ25" s="1" t="s">
        <v>444</v>
      </c>
    </row>
    <row r="26" spans="1:78">
      <c r="A26" s="1">
        <v>23</v>
      </c>
      <c r="B26" s="1" t="s">
        <v>537</v>
      </c>
      <c r="C26" s="2">
        <v>485</v>
      </c>
      <c r="D26" s="120">
        <v>1.4</v>
      </c>
      <c r="E26" s="121">
        <v>131</v>
      </c>
      <c r="F26" s="121">
        <v>56</v>
      </c>
      <c r="G26" s="121">
        <v>59</v>
      </c>
      <c r="H26" s="121">
        <v>35</v>
      </c>
      <c r="I26" s="121">
        <v>91</v>
      </c>
      <c r="J26" s="120">
        <v>2.5</v>
      </c>
      <c r="K26" s="121">
        <v>213</v>
      </c>
      <c r="L26" s="121">
        <v>102</v>
      </c>
      <c r="M26" s="121">
        <v>104</v>
      </c>
      <c r="N26" s="121">
        <v>53</v>
      </c>
      <c r="O26" s="121">
        <v>160</v>
      </c>
      <c r="P26" s="120">
        <v>6.2</v>
      </c>
      <c r="Q26" s="121">
        <v>316</v>
      </c>
      <c r="R26" s="121">
        <v>193</v>
      </c>
      <c r="S26" s="121">
        <v>182</v>
      </c>
      <c r="T26" s="121">
        <v>88</v>
      </c>
      <c r="U26" s="121">
        <v>319</v>
      </c>
      <c r="V26" s="120">
        <v>9.1999999999999993</v>
      </c>
      <c r="W26" s="121">
        <v>293</v>
      </c>
      <c r="X26" s="121">
        <v>244</v>
      </c>
      <c r="Y26" s="121">
        <v>213</v>
      </c>
      <c r="Z26" s="121">
        <v>111</v>
      </c>
      <c r="AA26" s="121">
        <v>420</v>
      </c>
      <c r="AB26" s="120">
        <v>14.1</v>
      </c>
      <c r="AC26" s="121">
        <v>292</v>
      </c>
      <c r="AD26" s="121">
        <v>300</v>
      </c>
      <c r="AE26" s="121">
        <v>265</v>
      </c>
      <c r="AF26" s="121">
        <v>150</v>
      </c>
      <c r="AG26" s="121">
        <v>544</v>
      </c>
      <c r="AH26" s="120">
        <v>17.100000000000001</v>
      </c>
      <c r="AI26" s="121">
        <v>275</v>
      </c>
      <c r="AJ26" s="121">
        <v>324</v>
      </c>
      <c r="AK26" s="121">
        <v>277</v>
      </c>
      <c r="AL26" s="121">
        <v>168</v>
      </c>
      <c r="AM26" s="121">
        <v>583</v>
      </c>
      <c r="AN26" s="120">
        <v>19.7</v>
      </c>
      <c r="AO26" s="121">
        <v>308</v>
      </c>
      <c r="AP26" s="121">
        <v>346</v>
      </c>
      <c r="AQ26" s="121">
        <v>305</v>
      </c>
      <c r="AR26" s="121">
        <v>169</v>
      </c>
      <c r="AS26" s="121">
        <v>613</v>
      </c>
      <c r="AT26" s="120">
        <v>19.7</v>
      </c>
      <c r="AU26" s="121">
        <v>343</v>
      </c>
      <c r="AV26" s="121">
        <v>311</v>
      </c>
      <c r="AW26" s="121">
        <v>273</v>
      </c>
      <c r="AX26" s="121">
        <v>137</v>
      </c>
      <c r="AY26" s="121">
        <v>533</v>
      </c>
      <c r="AZ26" s="120">
        <v>15.1</v>
      </c>
      <c r="BA26" s="121">
        <v>319</v>
      </c>
      <c r="BB26" s="121">
        <v>207</v>
      </c>
      <c r="BC26" s="121">
        <v>202</v>
      </c>
      <c r="BD26" s="121">
        <v>93</v>
      </c>
      <c r="BE26" s="121">
        <v>365</v>
      </c>
      <c r="BF26" s="120">
        <v>10.8</v>
      </c>
      <c r="BG26" s="121">
        <v>246</v>
      </c>
      <c r="BH26" s="121">
        <v>115</v>
      </c>
      <c r="BI26" s="121">
        <v>131</v>
      </c>
      <c r="BJ26" s="121">
        <v>62</v>
      </c>
      <c r="BK26" s="121">
        <v>212</v>
      </c>
      <c r="BL26" s="120">
        <v>5.2</v>
      </c>
      <c r="BM26" s="121">
        <v>145</v>
      </c>
      <c r="BN26" s="121">
        <v>60</v>
      </c>
      <c r="BO26" s="121">
        <v>62</v>
      </c>
      <c r="BP26" s="121">
        <v>34</v>
      </c>
      <c r="BQ26" s="121">
        <v>104</v>
      </c>
      <c r="BR26" s="120">
        <v>2.7</v>
      </c>
      <c r="BS26" s="121">
        <v>118</v>
      </c>
      <c r="BT26" s="121">
        <v>46</v>
      </c>
      <c r="BU26" s="121">
        <v>48</v>
      </c>
      <c r="BV26" s="121">
        <v>27</v>
      </c>
      <c r="BW26" s="121">
        <v>75</v>
      </c>
      <c r="BX26" s="120">
        <v>10.3</v>
      </c>
      <c r="BY26" s="2">
        <v>-5</v>
      </c>
      <c r="BZ26" s="1" t="s">
        <v>362</v>
      </c>
    </row>
    <row r="27" spans="1:78">
      <c r="A27" s="1">
        <v>24</v>
      </c>
      <c r="B27" s="1" t="s">
        <v>21</v>
      </c>
      <c r="C27" s="2">
        <v>490</v>
      </c>
      <c r="D27" s="120">
        <v>0.3</v>
      </c>
      <c r="E27" s="121">
        <v>166</v>
      </c>
      <c r="F27" s="121">
        <v>70</v>
      </c>
      <c r="G27" s="121">
        <v>75</v>
      </c>
      <c r="H27" s="121">
        <v>46</v>
      </c>
      <c r="I27" s="121">
        <v>107</v>
      </c>
      <c r="J27" s="120">
        <v>1.6</v>
      </c>
      <c r="K27" s="121">
        <v>230</v>
      </c>
      <c r="L27" s="121">
        <v>109</v>
      </c>
      <c r="M27" s="121">
        <v>119</v>
      </c>
      <c r="N27" s="121">
        <v>63</v>
      </c>
      <c r="O27" s="121">
        <v>174</v>
      </c>
      <c r="P27" s="120">
        <v>5.5</v>
      </c>
      <c r="Q27" s="121">
        <v>340</v>
      </c>
      <c r="R27" s="121">
        <v>201</v>
      </c>
      <c r="S27" s="121">
        <v>214</v>
      </c>
      <c r="T27" s="121">
        <v>96</v>
      </c>
      <c r="U27" s="121">
        <v>340</v>
      </c>
      <c r="V27" s="120">
        <v>8.3000000000000007</v>
      </c>
      <c r="W27" s="121">
        <v>298</v>
      </c>
      <c r="X27" s="121">
        <v>251</v>
      </c>
      <c r="Y27" s="121">
        <v>244</v>
      </c>
      <c r="Z27" s="121">
        <v>122</v>
      </c>
      <c r="AA27" s="121">
        <v>435</v>
      </c>
      <c r="AB27" s="120">
        <v>13.4</v>
      </c>
      <c r="AC27" s="121">
        <v>297</v>
      </c>
      <c r="AD27" s="121">
        <v>308</v>
      </c>
      <c r="AE27" s="121">
        <v>303</v>
      </c>
      <c r="AF27" s="121">
        <v>163</v>
      </c>
      <c r="AG27" s="121">
        <v>562</v>
      </c>
      <c r="AH27" s="120">
        <v>16.399999999999999</v>
      </c>
      <c r="AI27" s="121">
        <v>283</v>
      </c>
      <c r="AJ27" s="121">
        <v>342</v>
      </c>
      <c r="AK27" s="121">
        <v>321</v>
      </c>
      <c r="AL27" s="121">
        <v>187</v>
      </c>
      <c r="AM27" s="121">
        <v>614</v>
      </c>
      <c r="AN27" s="120">
        <v>18.7</v>
      </c>
      <c r="AO27" s="121">
        <v>313</v>
      </c>
      <c r="AP27" s="121">
        <v>359</v>
      </c>
      <c r="AQ27" s="121">
        <v>346</v>
      </c>
      <c r="AR27" s="121">
        <v>182</v>
      </c>
      <c r="AS27" s="121">
        <v>640</v>
      </c>
      <c r="AT27" s="120">
        <v>18.600000000000001</v>
      </c>
      <c r="AU27" s="121">
        <v>351</v>
      </c>
      <c r="AV27" s="121">
        <v>321</v>
      </c>
      <c r="AW27" s="121">
        <v>308</v>
      </c>
      <c r="AX27" s="121">
        <v>147</v>
      </c>
      <c r="AY27" s="121">
        <v>552</v>
      </c>
      <c r="AZ27" s="120">
        <v>14.1</v>
      </c>
      <c r="BA27" s="121">
        <v>329</v>
      </c>
      <c r="BB27" s="121">
        <v>213</v>
      </c>
      <c r="BC27" s="121">
        <v>231</v>
      </c>
      <c r="BD27" s="121">
        <v>101</v>
      </c>
      <c r="BE27" s="121">
        <v>376</v>
      </c>
      <c r="BF27" s="120">
        <v>9.9</v>
      </c>
      <c r="BG27" s="121">
        <v>257</v>
      </c>
      <c r="BH27" s="121">
        <v>123</v>
      </c>
      <c r="BI27" s="121">
        <v>145</v>
      </c>
      <c r="BJ27" s="121">
        <v>70</v>
      </c>
      <c r="BK27" s="121">
        <v>222</v>
      </c>
      <c r="BL27" s="120">
        <v>4.2</v>
      </c>
      <c r="BM27" s="121">
        <v>161</v>
      </c>
      <c r="BN27" s="121">
        <v>67</v>
      </c>
      <c r="BO27" s="121">
        <v>73</v>
      </c>
      <c r="BP27" s="121">
        <v>41</v>
      </c>
      <c r="BQ27" s="121">
        <v>114</v>
      </c>
      <c r="BR27" s="120">
        <v>1.7</v>
      </c>
      <c r="BS27" s="121">
        <v>137</v>
      </c>
      <c r="BT27" s="121">
        <v>54</v>
      </c>
      <c r="BU27" s="121">
        <v>56</v>
      </c>
      <c r="BV27" s="121">
        <v>35</v>
      </c>
      <c r="BW27" s="121">
        <v>86</v>
      </c>
      <c r="BX27" s="120">
        <v>9.4</v>
      </c>
      <c r="BY27" s="2">
        <v>-7</v>
      </c>
      <c r="BZ27" s="1" t="s">
        <v>11</v>
      </c>
    </row>
    <row r="28" spans="1:78">
      <c r="A28" s="1">
        <v>25</v>
      </c>
      <c r="B28" s="1" t="s">
        <v>12</v>
      </c>
      <c r="C28" s="2">
        <v>1007</v>
      </c>
      <c r="D28" s="120">
        <v>-1.3</v>
      </c>
      <c r="E28" s="121">
        <v>99</v>
      </c>
      <c r="F28" s="121">
        <v>62</v>
      </c>
      <c r="G28" s="121">
        <v>54</v>
      </c>
      <c r="H28" s="121">
        <v>48</v>
      </c>
      <c r="I28" s="121">
        <v>88</v>
      </c>
      <c r="J28" s="120">
        <v>0.1</v>
      </c>
      <c r="K28" s="121">
        <v>314</v>
      </c>
      <c r="L28" s="121">
        <v>194</v>
      </c>
      <c r="M28" s="121">
        <v>131</v>
      </c>
      <c r="N28" s="121">
        <v>109</v>
      </c>
      <c r="O28" s="121">
        <v>198</v>
      </c>
      <c r="P28" s="120">
        <v>3.9</v>
      </c>
      <c r="Q28" s="121">
        <v>418</v>
      </c>
      <c r="R28" s="121">
        <v>268</v>
      </c>
      <c r="S28" s="121">
        <v>230</v>
      </c>
      <c r="T28" s="121">
        <v>139</v>
      </c>
      <c r="U28" s="121">
        <v>375</v>
      </c>
      <c r="V28" s="120">
        <v>6.6</v>
      </c>
      <c r="W28" s="121">
        <v>295</v>
      </c>
      <c r="X28" s="121">
        <v>236</v>
      </c>
      <c r="Y28" s="121">
        <v>220</v>
      </c>
      <c r="Z28" s="121">
        <v>106</v>
      </c>
      <c r="AA28" s="121">
        <v>435</v>
      </c>
      <c r="AB28" s="120">
        <v>11.4</v>
      </c>
      <c r="AC28" s="121">
        <v>233</v>
      </c>
      <c r="AD28" s="121">
        <v>241</v>
      </c>
      <c r="AE28" s="121">
        <v>217</v>
      </c>
      <c r="AF28" s="121">
        <v>110</v>
      </c>
      <c r="AG28" s="121">
        <v>490</v>
      </c>
      <c r="AH28" s="120">
        <v>14.7</v>
      </c>
      <c r="AI28" s="121">
        <v>238</v>
      </c>
      <c r="AJ28" s="121">
        <v>275</v>
      </c>
      <c r="AK28" s="121">
        <v>241</v>
      </c>
      <c r="AL28" s="121">
        <v>127</v>
      </c>
      <c r="AM28" s="121">
        <v>560</v>
      </c>
      <c r="AN28" s="120">
        <v>17.2</v>
      </c>
      <c r="AO28" s="121">
        <v>273</v>
      </c>
      <c r="AP28" s="121">
        <v>297</v>
      </c>
      <c r="AQ28" s="121">
        <v>254</v>
      </c>
      <c r="AR28" s="121">
        <v>131</v>
      </c>
      <c r="AS28" s="121">
        <v>595</v>
      </c>
      <c r="AT28" s="120">
        <v>16.8</v>
      </c>
      <c r="AU28" s="121">
        <v>308</v>
      </c>
      <c r="AV28" s="121">
        <v>273</v>
      </c>
      <c r="AW28" s="121">
        <v>233</v>
      </c>
      <c r="AX28" s="121">
        <v>110</v>
      </c>
      <c r="AY28" s="121">
        <v>517</v>
      </c>
      <c r="AZ28" s="120">
        <v>12.6</v>
      </c>
      <c r="BA28" s="121">
        <v>301</v>
      </c>
      <c r="BB28" s="121">
        <v>202</v>
      </c>
      <c r="BC28" s="121">
        <v>171</v>
      </c>
      <c r="BD28" s="121">
        <v>75</v>
      </c>
      <c r="BE28" s="121">
        <v>363</v>
      </c>
      <c r="BF28" s="120">
        <v>8.3000000000000007</v>
      </c>
      <c r="BG28" s="121">
        <v>257</v>
      </c>
      <c r="BH28" s="121">
        <v>142</v>
      </c>
      <c r="BI28" s="121">
        <v>91</v>
      </c>
      <c r="BJ28" s="121">
        <v>51</v>
      </c>
      <c r="BK28" s="121">
        <v>228</v>
      </c>
      <c r="BL28" s="120">
        <v>2.9</v>
      </c>
      <c r="BM28" s="121">
        <v>119</v>
      </c>
      <c r="BN28" s="121">
        <v>70</v>
      </c>
      <c r="BO28" s="121">
        <v>41</v>
      </c>
      <c r="BP28" s="121">
        <v>34</v>
      </c>
      <c r="BQ28" s="121">
        <v>106</v>
      </c>
      <c r="BR28" s="120">
        <v>0</v>
      </c>
      <c r="BS28" s="121">
        <v>40</v>
      </c>
      <c r="BT28" s="121">
        <v>35</v>
      </c>
      <c r="BU28" s="121">
        <v>32</v>
      </c>
      <c r="BV28" s="121">
        <v>29</v>
      </c>
      <c r="BW28" s="121">
        <v>62</v>
      </c>
      <c r="BX28" s="120">
        <v>7.8</v>
      </c>
      <c r="BY28" s="2">
        <v>-7</v>
      </c>
      <c r="BZ28" s="1" t="s">
        <v>12</v>
      </c>
    </row>
    <row r="29" spans="1:78">
      <c r="A29" s="1">
        <v>26</v>
      </c>
      <c r="B29" s="1" t="s">
        <v>13</v>
      </c>
      <c r="C29" s="2">
        <v>461</v>
      </c>
      <c r="D29" s="120">
        <v>2.2999999999999998</v>
      </c>
      <c r="E29" s="121">
        <v>198</v>
      </c>
      <c r="F29" s="121">
        <v>72</v>
      </c>
      <c r="G29" s="121">
        <v>80</v>
      </c>
      <c r="H29" s="121">
        <v>40</v>
      </c>
      <c r="I29" s="121">
        <v>118</v>
      </c>
      <c r="J29" s="120">
        <v>3.3</v>
      </c>
      <c r="K29" s="121">
        <v>259</v>
      </c>
      <c r="L29" s="121">
        <v>109</v>
      </c>
      <c r="M29" s="121">
        <v>123</v>
      </c>
      <c r="N29" s="121">
        <v>56</v>
      </c>
      <c r="O29" s="121">
        <v>186</v>
      </c>
      <c r="P29" s="120">
        <v>6.8</v>
      </c>
      <c r="Q29" s="121">
        <v>364</v>
      </c>
      <c r="R29" s="121">
        <v>209</v>
      </c>
      <c r="S29" s="121">
        <v>217</v>
      </c>
      <c r="T29" s="121">
        <v>91</v>
      </c>
      <c r="U29" s="121">
        <v>356</v>
      </c>
      <c r="V29" s="120">
        <v>9.5</v>
      </c>
      <c r="W29" s="121">
        <v>319</v>
      </c>
      <c r="X29" s="121">
        <v>254</v>
      </c>
      <c r="Y29" s="121">
        <v>251</v>
      </c>
      <c r="Z29" s="121">
        <v>114</v>
      </c>
      <c r="AA29" s="121">
        <v>459</v>
      </c>
      <c r="AB29" s="120">
        <v>14.5</v>
      </c>
      <c r="AC29" s="121">
        <v>311</v>
      </c>
      <c r="AD29" s="121">
        <v>313</v>
      </c>
      <c r="AE29" s="121">
        <v>313</v>
      </c>
      <c r="AF29" s="121">
        <v>158</v>
      </c>
      <c r="AG29" s="121">
        <v>592</v>
      </c>
      <c r="AH29" s="120">
        <v>17.5</v>
      </c>
      <c r="AI29" s="121">
        <v>290</v>
      </c>
      <c r="AJ29" s="121">
        <v>337</v>
      </c>
      <c r="AK29" s="121">
        <v>329</v>
      </c>
      <c r="AL29" s="121">
        <v>176</v>
      </c>
      <c r="AM29" s="121">
        <v>638</v>
      </c>
      <c r="AN29" s="120">
        <v>20.100000000000001</v>
      </c>
      <c r="AO29" s="121">
        <v>324</v>
      </c>
      <c r="AP29" s="121">
        <v>356</v>
      </c>
      <c r="AQ29" s="121">
        <v>356</v>
      </c>
      <c r="AR29" s="121">
        <v>174</v>
      </c>
      <c r="AS29" s="121">
        <v>667</v>
      </c>
      <c r="AT29" s="120">
        <v>20.100000000000001</v>
      </c>
      <c r="AU29" s="121">
        <v>362</v>
      </c>
      <c r="AV29" s="121">
        <v>308</v>
      </c>
      <c r="AW29" s="121">
        <v>319</v>
      </c>
      <c r="AX29" s="121">
        <v>139</v>
      </c>
      <c r="AY29" s="121">
        <v>570</v>
      </c>
      <c r="AZ29" s="120">
        <v>15.7</v>
      </c>
      <c r="BA29" s="121">
        <v>355</v>
      </c>
      <c r="BB29" s="121">
        <v>220</v>
      </c>
      <c r="BC29" s="121">
        <v>241</v>
      </c>
      <c r="BD29" s="121">
        <v>96</v>
      </c>
      <c r="BE29" s="121">
        <v>399</v>
      </c>
      <c r="BF29" s="120">
        <v>11.6</v>
      </c>
      <c r="BG29" s="121">
        <v>308</v>
      </c>
      <c r="BH29" s="121">
        <v>139</v>
      </c>
      <c r="BI29" s="121">
        <v>161</v>
      </c>
      <c r="BJ29" s="121">
        <v>67</v>
      </c>
      <c r="BK29" s="121">
        <v>252</v>
      </c>
      <c r="BL29" s="120">
        <v>6.2</v>
      </c>
      <c r="BM29" s="121">
        <v>210</v>
      </c>
      <c r="BN29" s="121">
        <v>78</v>
      </c>
      <c r="BO29" s="121">
        <v>88</v>
      </c>
      <c r="BP29" s="121">
        <v>39</v>
      </c>
      <c r="BQ29" s="121">
        <v>132</v>
      </c>
      <c r="BR29" s="120">
        <v>3.6</v>
      </c>
      <c r="BS29" s="121">
        <v>174</v>
      </c>
      <c r="BT29" s="121">
        <v>59</v>
      </c>
      <c r="BU29" s="121">
        <v>64</v>
      </c>
      <c r="BV29" s="121">
        <v>32</v>
      </c>
      <c r="BW29" s="121">
        <v>99</v>
      </c>
      <c r="BX29" s="120">
        <v>10.9</v>
      </c>
      <c r="BY29" s="2">
        <v>-4</v>
      </c>
      <c r="BZ29" s="1" t="s">
        <v>13</v>
      </c>
    </row>
    <row r="30" spans="1:78">
      <c r="A30" s="1">
        <v>27</v>
      </c>
      <c r="B30" s="1" t="s">
        <v>46</v>
      </c>
      <c r="C30" s="2">
        <v>1078</v>
      </c>
      <c r="D30" s="120">
        <v>-2.1</v>
      </c>
      <c r="E30" s="121">
        <v>305</v>
      </c>
      <c r="F30" s="121">
        <v>104</v>
      </c>
      <c r="G30" s="121">
        <v>118</v>
      </c>
      <c r="H30" s="121">
        <v>75</v>
      </c>
      <c r="I30" s="121">
        <v>161</v>
      </c>
      <c r="J30" s="120">
        <v>-0.8</v>
      </c>
      <c r="K30" s="121">
        <v>360</v>
      </c>
      <c r="L30" s="121">
        <v>155</v>
      </c>
      <c r="M30" s="121">
        <v>162</v>
      </c>
      <c r="N30" s="121">
        <v>102</v>
      </c>
      <c r="O30" s="121">
        <v>232</v>
      </c>
      <c r="P30" s="120">
        <v>3.3</v>
      </c>
      <c r="Q30" s="121">
        <v>410</v>
      </c>
      <c r="R30" s="121">
        <v>196</v>
      </c>
      <c r="S30" s="121">
        <v>217</v>
      </c>
      <c r="T30" s="121">
        <v>115</v>
      </c>
      <c r="U30" s="121">
        <v>388</v>
      </c>
      <c r="V30" s="120">
        <v>6.4</v>
      </c>
      <c r="W30" s="121">
        <v>311</v>
      </c>
      <c r="X30" s="121">
        <v>200</v>
      </c>
      <c r="Y30" s="121">
        <v>197</v>
      </c>
      <c r="Z30" s="121">
        <v>101</v>
      </c>
      <c r="AA30" s="121">
        <v>451</v>
      </c>
      <c r="AB30" s="120">
        <v>10.8</v>
      </c>
      <c r="AC30" s="121">
        <v>265</v>
      </c>
      <c r="AD30" s="121">
        <v>236</v>
      </c>
      <c r="AE30" s="121">
        <v>206</v>
      </c>
      <c r="AF30" s="121">
        <v>118</v>
      </c>
      <c r="AG30" s="121">
        <v>530</v>
      </c>
      <c r="AH30" s="120">
        <v>13.7</v>
      </c>
      <c r="AI30" s="121">
        <v>249</v>
      </c>
      <c r="AJ30" s="121">
        <v>249</v>
      </c>
      <c r="AK30" s="121">
        <v>215</v>
      </c>
      <c r="AL30" s="121">
        <v>124</v>
      </c>
      <c r="AM30" s="121">
        <v>560</v>
      </c>
      <c r="AN30" s="120">
        <v>16</v>
      </c>
      <c r="AO30" s="121">
        <v>284</v>
      </c>
      <c r="AP30" s="121">
        <v>271</v>
      </c>
      <c r="AQ30" s="121">
        <v>230</v>
      </c>
      <c r="AR30" s="121">
        <v>126</v>
      </c>
      <c r="AS30" s="121">
        <v>592</v>
      </c>
      <c r="AT30" s="120">
        <v>15.7</v>
      </c>
      <c r="AU30" s="121">
        <v>311</v>
      </c>
      <c r="AV30" s="121">
        <v>225</v>
      </c>
      <c r="AW30" s="121">
        <v>196</v>
      </c>
      <c r="AX30" s="121">
        <v>107</v>
      </c>
      <c r="AY30" s="121">
        <v>506</v>
      </c>
      <c r="AZ30" s="120">
        <v>11.6</v>
      </c>
      <c r="BA30" s="121">
        <v>301</v>
      </c>
      <c r="BB30" s="121">
        <v>150</v>
      </c>
      <c r="BC30" s="121">
        <v>153</v>
      </c>
      <c r="BD30" s="121">
        <v>78</v>
      </c>
      <c r="BE30" s="121">
        <v>360</v>
      </c>
      <c r="BF30" s="120">
        <v>7.6</v>
      </c>
      <c r="BG30" s="121">
        <v>289</v>
      </c>
      <c r="BH30" s="121">
        <v>107</v>
      </c>
      <c r="BI30" s="121">
        <v>112</v>
      </c>
      <c r="BJ30" s="121">
        <v>56</v>
      </c>
      <c r="BK30" s="121">
        <v>249</v>
      </c>
      <c r="BL30" s="120">
        <v>2.6</v>
      </c>
      <c r="BM30" s="121">
        <v>246</v>
      </c>
      <c r="BN30" s="121">
        <v>73</v>
      </c>
      <c r="BO30" s="121">
        <v>78</v>
      </c>
      <c r="BP30" s="121">
        <v>44</v>
      </c>
      <c r="BQ30" s="121">
        <v>158</v>
      </c>
      <c r="BR30" s="120">
        <v>-0.5</v>
      </c>
      <c r="BS30" s="121">
        <v>241</v>
      </c>
      <c r="BT30" s="121">
        <v>67</v>
      </c>
      <c r="BU30" s="121">
        <v>78</v>
      </c>
      <c r="BV30" s="121">
        <v>48</v>
      </c>
      <c r="BW30" s="121">
        <v>129</v>
      </c>
      <c r="BX30" s="120">
        <v>7</v>
      </c>
      <c r="BY30" s="2">
        <v>-8</v>
      </c>
      <c r="BZ30" s="1" t="s">
        <v>542</v>
      </c>
    </row>
    <row r="31" spans="1:78">
      <c r="A31" s="1">
        <v>28</v>
      </c>
      <c r="B31" s="1" t="s">
        <v>287</v>
      </c>
      <c r="C31" s="2">
        <v>610</v>
      </c>
      <c r="D31" s="120">
        <v>0.4</v>
      </c>
      <c r="E31" s="121">
        <v>193</v>
      </c>
      <c r="F31" s="121">
        <v>78</v>
      </c>
      <c r="G31" s="121">
        <v>67</v>
      </c>
      <c r="H31" s="121">
        <v>37</v>
      </c>
      <c r="I31" s="121">
        <v>115</v>
      </c>
      <c r="J31" s="120">
        <v>1.5</v>
      </c>
      <c r="K31" s="121">
        <v>235</v>
      </c>
      <c r="L31" s="121">
        <v>109</v>
      </c>
      <c r="M31" s="121">
        <v>104</v>
      </c>
      <c r="N31" s="121">
        <v>53</v>
      </c>
      <c r="O31" s="121">
        <v>174</v>
      </c>
      <c r="P31" s="120">
        <v>5.2</v>
      </c>
      <c r="Q31" s="121">
        <v>305</v>
      </c>
      <c r="R31" s="121">
        <v>190</v>
      </c>
      <c r="S31" s="121">
        <v>177</v>
      </c>
      <c r="T31" s="121">
        <v>88</v>
      </c>
      <c r="U31" s="121">
        <v>311</v>
      </c>
      <c r="V31" s="120">
        <v>7.8</v>
      </c>
      <c r="W31" s="121">
        <v>283</v>
      </c>
      <c r="X31" s="121">
        <v>244</v>
      </c>
      <c r="Y31" s="121">
        <v>228</v>
      </c>
      <c r="Z31" s="121">
        <v>117</v>
      </c>
      <c r="AA31" s="121">
        <v>412</v>
      </c>
      <c r="AB31" s="120">
        <v>12.7</v>
      </c>
      <c r="AC31" s="121">
        <v>279</v>
      </c>
      <c r="AD31" s="121">
        <v>303</v>
      </c>
      <c r="AE31" s="121">
        <v>284</v>
      </c>
      <c r="AF31" s="121">
        <v>158</v>
      </c>
      <c r="AG31" s="121">
        <v>530</v>
      </c>
      <c r="AH31" s="120">
        <v>15.6</v>
      </c>
      <c r="AI31" s="121">
        <v>270</v>
      </c>
      <c r="AJ31" s="121">
        <v>324</v>
      </c>
      <c r="AK31" s="121">
        <v>308</v>
      </c>
      <c r="AL31" s="121">
        <v>184</v>
      </c>
      <c r="AM31" s="121">
        <v>581</v>
      </c>
      <c r="AN31" s="120">
        <v>17.899999999999999</v>
      </c>
      <c r="AO31" s="121">
        <v>297</v>
      </c>
      <c r="AP31" s="121">
        <v>343</v>
      </c>
      <c r="AQ31" s="121">
        <v>324</v>
      </c>
      <c r="AR31" s="121">
        <v>182</v>
      </c>
      <c r="AS31" s="121">
        <v>600</v>
      </c>
      <c r="AT31" s="120">
        <v>18.100000000000001</v>
      </c>
      <c r="AU31" s="121">
        <v>332</v>
      </c>
      <c r="AV31" s="121">
        <v>313</v>
      </c>
      <c r="AW31" s="121">
        <v>292</v>
      </c>
      <c r="AX31" s="121">
        <v>145</v>
      </c>
      <c r="AY31" s="121">
        <v>525</v>
      </c>
      <c r="AZ31" s="120">
        <v>13.7</v>
      </c>
      <c r="BA31" s="121">
        <v>311</v>
      </c>
      <c r="BB31" s="121">
        <v>215</v>
      </c>
      <c r="BC31" s="121">
        <v>205</v>
      </c>
      <c r="BD31" s="121">
        <v>98</v>
      </c>
      <c r="BE31" s="121">
        <v>358</v>
      </c>
      <c r="BF31" s="120">
        <v>9.8000000000000007</v>
      </c>
      <c r="BG31" s="121">
        <v>268</v>
      </c>
      <c r="BH31" s="121">
        <v>137</v>
      </c>
      <c r="BI31" s="121">
        <v>131</v>
      </c>
      <c r="BJ31" s="121">
        <v>67</v>
      </c>
      <c r="BK31" s="121">
        <v>225</v>
      </c>
      <c r="BL31" s="120">
        <v>4.2</v>
      </c>
      <c r="BM31" s="121">
        <v>176</v>
      </c>
      <c r="BN31" s="121">
        <v>75</v>
      </c>
      <c r="BO31" s="121">
        <v>67</v>
      </c>
      <c r="BP31" s="121">
        <v>39</v>
      </c>
      <c r="BQ31" s="121">
        <v>119</v>
      </c>
      <c r="BR31" s="120">
        <v>1.8</v>
      </c>
      <c r="BS31" s="121">
        <v>147</v>
      </c>
      <c r="BT31" s="121">
        <v>59</v>
      </c>
      <c r="BU31" s="121">
        <v>48</v>
      </c>
      <c r="BV31" s="121">
        <v>32</v>
      </c>
      <c r="BW31" s="121">
        <v>88</v>
      </c>
      <c r="BX31" s="120">
        <v>9.1</v>
      </c>
      <c r="BY31" s="2">
        <v>-8</v>
      </c>
      <c r="BZ31" s="1" t="s">
        <v>287</v>
      </c>
    </row>
    <row r="32" spans="1:78">
      <c r="A32" s="1">
        <v>29</v>
      </c>
      <c r="B32" s="1" t="s">
        <v>79</v>
      </c>
      <c r="C32" s="2">
        <v>1705</v>
      </c>
      <c r="D32" s="120">
        <v>-9.3000000000000007</v>
      </c>
      <c r="E32" s="121">
        <v>442</v>
      </c>
      <c r="F32" s="121">
        <v>177</v>
      </c>
      <c r="G32" s="121">
        <v>204</v>
      </c>
      <c r="H32" s="121">
        <v>121</v>
      </c>
      <c r="I32" s="121">
        <v>196</v>
      </c>
      <c r="J32" s="120">
        <v>-7.6</v>
      </c>
      <c r="K32" s="121">
        <v>486</v>
      </c>
      <c r="L32" s="121">
        <v>237</v>
      </c>
      <c r="M32" s="121">
        <v>266</v>
      </c>
      <c r="N32" s="121">
        <v>165</v>
      </c>
      <c r="O32" s="121">
        <v>269</v>
      </c>
      <c r="P32" s="120">
        <v>-2.8</v>
      </c>
      <c r="Q32" s="121">
        <v>581</v>
      </c>
      <c r="R32" s="121">
        <v>348</v>
      </c>
      <c r="S32" s="121">
        <v>386</v>
      </c>
      <c r="T32" s="121">
        <v>225</v>
      </c>
      <c r="U32" s="121">
        <v>450</v>
      </c>
      <c r="V32" s="120">
        <v>1.1000000000000001</v>
      </c>
      <c r="W32" s="121">
        <v>441</v>
      </c>
      <c r="X32" s="121">
        <v>337</v>
      </c>
      <c r="Y32" s="121">
        <v>347</v>
      </c>
      <c r="Z32" s="121">
        <v>200</v>
      </c>
      <c r="AA32" s="121">
        <v>537</v>
      </c>
      <c r="AB32" s="120">
        <v>6.6</v>
      </c>
      <c r="AC32" s="121">
        <v>321</v>
      </c>
      <c r="AD32" s="121">
        <v>319</v>
      </c>
      <c r="AE32" s="121">
        <v>297</v>
      </c>
      <c r="AF32" s="121">
        <v>155</v>
      </c>
      <c r="AG32" s="121">
        <v>621</v>
      </c>
      <c r="AH32" s="120">
        <v>9.5</v>
      </c>
      <c r="AI32" s="121">
        <v>277</v>
      </c>
      <c r="AJ32" s="121">
        <v>319</v>
      </c>
      <c r="AK32" s="121">
        <v>285</v>
      </c>
      <c r="AL32" s="121">
        <v>158</v>
      </c>
      <c r="AM32" s="121">
        <v>630</v>
      </c>
      <c r="AN32" s="120">
        <v>11.9</v>
      </c>
      <c r="AO32" s="121">
        <v>313</v>
      </c>
      <c r="AP32" s="121">
        <v>340</v>
      </c>
      <c r="AQ32" s="121">
        <v>287</v>
      </c>
      <c r="AR32" s="121">
        <v>153</v>
      </c>
      <c r="AS32" s="121">
        <v>656</v>
      </c>
      <c r="AT32" s="120">
        <v>11.6</v>
      </c>
      <c r="AU32" s="121">
        <v>351</v>
      </c>
      <c r="AV32" s="121">
        <v>284</v>
      </c>
      <c r="AW32" s="121">
        <v>260</v>
      </c>
      <c r="AX32" s="121">
        <v>126</v>
      </c>
      <c r="AY32" s="121">
        <v>562</v>
      </c>
      <c r="AZ32" s="120">
        <v>7.5</v>
      </c>
      <c r="BA32" s="121">
        <v>365</v>
      </c>
      <c r="BB32" s="121">
        <v>194</v>
      </c>
      <c r="BC32" s="121">
        <v>218</v>
      </c>
      <c r="BD32" s="121">
        <v>96</v>
      </c>
      <c r="BE32" s="121">
        <v>420</v>
      </c>
      <c r="BF32" s="120">
        <v>3.5</v>
      </c>
      <c r="BG32" s="121">
        <v>383</v>
      </c>
      <c r="BH32" s="121">
        <v>150</v>
      </c>
      <c r="BI32" s="121">
        <v>177</v>
      </c>
      <c r="BJ32" s="121">
        <v>75</v>
      </c>
      <c r="BK32" s="121">
        <v>300</v>
      </c>
      <c r="BL32" s="120">
        <v>-3.1</v>
      </c>
      <c r="BM32" s="121">
        <v>342</v>
      </c>
      <c r="BN32" s="121">
        <v>124</v>
      </c>
      <c r="BO32" s="121">
        <v>145</v>
      </c>
      <c r="BP32" s="121">
        <v>78</v>
      </c>
      <c r="BQ32" s="121">
        <v>189</v>
      </c>
      <c r="BR32" s="120">
        <v>-7.4</v>
      </c>
      <c r="BS32" s="121">
        <v>370</v>
      </c>
      <c r="BT32" s="121">
        <v>137</v>
      </c>
      <c r="BU32" s="121">
        <v>155</v>
      </c>
      <c r="BV32" s="121">
        <v>91</v>
      </c>
      <c r="BW32" s="121">
        <v>158</v>
      </c>
      <c r="BX32" s="120">
        <v>1.8</v>
      </c>
      <c r="BY32" s="2">
        <v>-18</v>
      </c>
      <c r="BZ32" s="1" t="s">
        <v>288</v>
      </c>
    </row>
    <row r="33" spans="1:78">
      <c r="A33" s="1">
        <v>30</v>
      </c>
      <c r="B33" s="1" t="s">
        <v>95</v>
      </c>
      <c r="C33" s="2">
        <v>1639</v>
      </c>
      <c r="D33" s="120">
        <v>-3.6</v>
      </c>
      <c r="E33" s="121">
        <v>367</v>
      </c>
      <c r="F33" s="121">
        <v>171</v>
      </c>
      <c r="G33" s="121">
        <v>126</v>
      </c>
      <c r="H33" s="121">
        <v>94</v>
      </c>
      <c r="I33" s="121">
        <v>174</v>
      </c>
      <c r="J33" s="120">
        <v>-3.4</v>
      </c>
      <c r="K33" s="121">
        <v>431</v>
      </c>
      <c r="L33" s="121">
        <v>227</v>
      </c>
      <c r="M33" s="121">
        <v>189</v>
      </c>
      <c r="N33" s="121">
        <v>131</v>
      </c>
      <c r="O33" s="121">
        <v>252</v>
      </c>
      <c r="P33" s="120">
        <v>-0.7</v>
      </c>
      <c r="Q33" s="121">
        <v>533</v>
      </c>
      <c r="R33" s="121">
        <v>340</v>
      </c>
      <c r="S33" s="121">
        <v>311</v>
      </c>
      <c r="T33" s="121">
        <v>196</v>
      </c>
      <c r="U33" s="121">
        <v>423</v>
      </c>
      <c r="V33" s="120">
        <v>1.5</v>
      </c>
      <c r="W33" s="121">
        <v>402</v>
      </c>
      <c r="X33" s="121">
        <v>327</v>
      </c>
      <c r="Y33" s="121">
        <v>290</v>
      </c>
      <c r="Z33" s="121">
        <v>189</v>
      </c>
      <c r="AA33" s="121">
        <v>472</v>
      </c>
      <c r="AB33" s="120">
        <v>6.4</v>
      </c>
      <c r="AC33" s="121">
        <v>284</v>
      </c>
      <c r="AD33" s="121">
        <v>287</v>
      </c>
      <c r="AE33" s="121">
        <v>236</v>
      </c>
      <c r="AF33" s="121">
        <v>147</v>
      </c>
      <c r="AG33" s="121">
        <v>517</v>
      </c>
      <c r="AH33" s="120">
        <v>10.1</v>
      </c>
      <c r="AI33" s="121">
        <v>251</v>
      </c>
      <c r="AJ33" s="121">
        <v>293</v>
      </c>
      <c r="AK33" s="121">
        <v>215</v>
      </c>
      <c r="AL33" s="121">
        <v>137</v>
      </c>
      <c r="AM33" s="121">
        <v>560</v>
      </c>
      <c r="AN33" s="120">
        <v>12.7</v>
      </c>
      <c r="AO33" s="121">
        <v>281</v>
      </c>
      <c r="AP33" s="121">
        <v>300</v>
      </c>
      <c r="AQ33" s="121">
        <v>220</v>
      </c>
      <c r="AR33" s="121">
        <v>137</v>
      </c>
      <c r="AS33" s="121">
        <v>581</v>
      </c>
      <c r="AT33" s="120">
        <v>12.7</v>
      </c>
      <c r="AU33" s="121">
        <v>313</v>
      </c>
      <c r="AV33" s="121">
        <v>268</v>
      </c>
      <c r="AW33" s="121">
        <v>201</v>
      </c>
      <c r="AX33" s="121">
        <v>115</v>
      </c>
      <c r="AY33" s="121">
        <v>506</v>
      </c>
      <c r="AZ33" s="120">
        <v>8.6</v>
      </c>
      <c r="BA33" s="121">
        <v>314</v>
      </c>
      <c r="BB33" s="121">
        <v>202</v>
      </c>
      <c r="BC33" s="121">
        <v>161</v>
      </c>
      <c r="BD33" s="121">
        <v>83</v>
      </c>
      <c r="BE33" s="121">
        <v>368</v>
      </c>
      <c r="BF33" s="120">
        <v>4.8</v>
      </c>
      <c r="BG33" s="121">
        <v>308</v>
      </c>
      <c r="BH33" s="121">
        <v>147</v>
      </c>
      <c r="BI33" s="121">
        <v>112</v>
      </c>
      <c r="BJ33" s="121">
        <v>64</v>
      </c>
      <c r="BK33" s="121">
        <v>249</v>
      </c>
      <c r="BL33" s="120">
        <v>-0.2</v>
      </c>
      <c r="BM33" s="121">
        <v>288</v>
      </c>
      <c r="BN33" s="121">
        <v>124</v>
      </c>
      <c r="BO33" s="121">
        <v>93</v>
      </c>
      <c r="BP33" s="121">
        <v>65</v>
      </c>
      <c r="BQ33" s="121">
        <v>163</v>
      </c>
      <c r="BR33" s="120">
        <v>-2.6</v>
      </c>
      <c r="BS33" s="121">
        <v>308</v>
      </c>
      <c r="BT33" s="121">
        <v>134</v>
      </c>
      <c r="BU33" s="121">
        <v>96</v>
      </c>
      <c r="BV33" s="121">
        <v>70</v>
      </c>
      <c r="BW33" s="121">
        <v>139</v>
      </c>
      <c r="BX33" s="120">
        <v>3.9</v>
      </c>
      <c r="BY33" s="2">
        <v>-11</v>
      </c>
      <c r="BZ33" s="1" t="s">
        <v>289</v>
      </c>
    </row>
    <row r="34" spans="1:78">
      <c r="A34" s="1">
        <v>31</v>
      </c>
      <c r="B34" s="1" t="s">
        <v>96</v>
      </c>
      <c r="C34" s="2">
        <v>779</v>
      </c>
      <c r="D34" s="120">
        <v>-0.3</v>
      </c>
      <c r="E34" s="121">
        <v>193</v>
      </c>
      <c r="F34" s="121">
        <v>75</v>
      </c>
      <c r="G34" s="121">
        <v>86</v>
      </c>
      <c r="H34" s="121">
        <v>51</v>
      </c>
      <c r="I34" s="121">
        <v>112</v>
      </c>
      <c r="J34" s="120">
        <v>0.7</v>
      </c>
      <c r="K34" s="121">
        <v>244</v>
      </c>
      <c r="L34" s="121">
        <v>119</v>
      </c>
      <c r="M34" s="121">
        <v>133</v>
      </c>
      <c r="N34" s="121">
        <v>73</v>
      </c>
      <c r="O34" s="121">
        <v>169</v>
      </c>
      <c r="P34" s="120">
        <v>4.0999999999999996</v>
      </c>
      <c r="Q34" s="121">
        <v>319</v>
      </c>
      <c r="R34" s="121">
        <v>198</v>
      </c>
      <c r="S34" s="121">
        <v>206</v>
      </c>
      <c r="T34" s="121">
        <v>112</v>
      </c>
      <c r="U34" s="121">
        <v>308</v>
      </c>
      <c r="V34" s="120">
        <v>6.9</v>
      </c>
      <c r="W34" s="121">
        <v>283</v>
      </c>
      <c r="X34" s="121">
        <v>241</v>
      </c>
      <c r="Y34" s="121">
        <v>236</v>
      </c>
      <c r="Z34" s="121">
        <v>127</v>
      </c>
      <c r="AA34" s="121">
        <v>407</v>
      </c>
      <c r="AB34" s="120">
        <v>12</v>
      </c>
      <c r="AC34" s="121">
        <v>271</v>
      </c>
      <c r="AD34" s="121">
        <v>292</v>
      </c>
      <c r="AE34" s="121">
        <v>284</v>
      </c>
      <c r="AF34" s="121">
        <v>161</v>
      </c>
      <c r="AG34" s="121">
        <v>522</v>
      </c>
      <c r="AH34" s="120">
        <v>14.7</v>
      </c>
      <c r="AI34" s="121">
        <v>251</v>
      </c>
      <c r="AJ34" s="121">
        <v>293</v>
      </c>
      <c r="AK34" s="121">
        <v>295</v>
      </c>
      <c r="AL34" s="121">
        <v>176</v>
      </c>
      <c r="AM34" s="121">
        <v>550</v>
      </c>
      <c r="AN34" s="120">
        <v>16.899999999999999</v>
      </c>
      <c r="AO34" s="121">
        <v>281</v>
      </c>
      <c r="AP34" s="121">
        <v>311</v>
      </c>
      <c r="AQ34" s="121">
        <v>319</v>
      </c>
      <c r="AR34" s="121">
        <v>174</v>
      </c>
      <c r="AS34" s="121">
        <v>576</v>
      </c>
      <c r="AT34" s="120">
        <v>17.100000000000001</v>
      </c>
      <c r="AU34" s="121">
        <v>313</v>
      </c>
      <c r="AV34" s="121">
        <v>279</v>
      </c>
      <c r="AW34" s="121">
        <v>292</v>
      </c>
      <c r="AX34" s="121">
        <v>139</v>
      </c>
      <c r="AY34" s="121">
        <v>504</v>
      </c>
      <c r="AZ34" s="120">
        <v>12.8</v>
      </c>
      <c r="BA34" s="121">
        <v>285</v>
      </c>
      <c r="BB34" s="121">
        <v>187</v>
      </c>
      <c r="BC34" s="121">
        <v>205</v>
      </c>
      <c r="BD34" s="121">
        <v>96</v>
      </c>
      <c r="BE34" s="121">
        <v>334</v>
      </c>
      <c r="BF34" s="120">
        <v>9</v>
      </c>
      <c r="BG34" s="121">
        <v>241</v>
      </c>
      <c r="BH34" s="121">
        <v>115</v>
      </c>
      <c r="BI34" s="121">
        <v>137</v>
      </c>
      <c r="BJ34" s="121">
        <v>64</v>
      </c>
      <c r="BK34" s="121">
        <v>209</v>
      </c>
      <c r="BL34" s="120">
        <v>3.5</v>
      </c>
      <c r="BM34" s="121">
        <v>171</v>
      </c>
      <c r="BN34" s="121">
        <v>70</v>
      </c>
      <c r="BO34" s="121">
        <v>78</v>
      </c>
      <c r="BP34" s="121">
        <v>44</v>
      </c>
      <c r="BQ34" s="121">
        <v>117</v>
      </c>
      <c r="BR34" s="120">
        <v>1.1000000000000001</v>
      </c>
      <c r="BS34" s="121">
        <v>145</v>
      </c>
      <c r="BT34" s="121">
        <v>56</v>
      </c>
      <c r="BU34" s="121">
        <v>59</v>
      </c>
      <c r="BV34" s="121">
        <v>37</v>
      </c>
      <c r="BW34" s="121">
        <v>86</v>
      </c>
      <c r="BX34" s="120">
        <v>8.1999999999999993</v>
      </c>
      <c r="BY34" s="2">
        <v>-9</v>
      </c>
      <c r="BZ34" s="1" t="s">
        <v>190</v>
      </c>
    </row>
    <row r="35" spans="1:78">
      <c r="A35" s="1">
        <v>32</v>
      </c>
      <c r="B35" s="1" t="s">
        <v>97</v>
      </c>
      <c r="C35" s="2">
        <v>437</v>
      </c>
      <c r="D35" s="120">
        <v>0.1</v>
      </c>
      <c r="E35" s="121">
        <v>139</v>
      </c>
      <c r="F35" s="121">
        <v>59</v>
      </c>
      <c r="G35" s="121">
        <v>59</v>
      </c>
      <c r="H35" s="121">
        <v>40</v>
      </c>
      <c r="I35" s="121">
        <v>96</v>
      </c>
      <c r="J35" s="120">
        <v>1.3</v>
      </c>
      <c r="K35" s="121">
        <v>210</v>
      </c>
      <c r="L35" s="121">
        <v>102</v>
      </c>
      <c r="M35" s="121">
        <v>99</v>
      </c>
      <c r="N35" s="121">
        <v>58</v>
      </c>
      <c r="O35" s="121">
        <v>162</v>
      </c>
      <c r="P35" s="120">
        <v>5.4</v>
      </c>
      <c r="Q35" s="121">
        <v>297</v>
      </c>
      <c r="R35" s="121">
        <v>187</v>
      </c>
      <c r="S35" s="121">
        <v>161</v>
      </c>
      <c r="T35" s="121">
        <v>91</v>
      </c>
      <c r="U35" s="121">
        <v>305</v>
      </c>
      <c r="V35" s="120">
        <v>8.6999999999999993</v>
      </c>
      <c r="W35" s="121">
        <v>290</v>
      </c>
      <c r="X35" s="121">
        <v>246</v>
      </c>
      <c r="Y35" s="121">
        <v>202</v>
      </c>
      <c r="Z35" s="121">
        <v>117</v>
      </c>
      <c r="AA35" s="121">
        <v>417</v>
      </c>
      <c r="AB35" s="120">
        <v>13.8</v>
      </c>
      <c r="AC35" s="121">
        <v>295</v>
      </c>
      <c r="AD35" s="121">
        <v>316</v>
      </c>
      <c r="AE35" s="121">
        <v>268</v>
      </c>
      <c r="AF35" s="121">
        <v>158</v>
      </c>
      <c r="AG35" s="121">
        <v>554</v>
      </c>
      <c r="AH35" s="120">
        <v>16.5</v>
      </c>
      <c r="AI35" s="121">
        <v>280</v>
      </c>
      <c r="AJ35" s="121">
        <v>334</v>
      </c>
      <c r="AK35" s="121">
        <v>288</v>
      </c>
      <c r="AL35" s="121">
        <v>179</v>
      </c>
      <c r="AM35" s="121">
        <v>594</v>
      </c>
      <c r="AN35" s="120">
        <v>18.7</v>
      </c>
      <c r="AO35" s="121">
        <v>308</v>
      </c>
      <c r="AP35" s="121">
        <v>354</v>
      </c>
      <c r="AQ35" s="121">
        <v>300</v>
      </c>
      <c r="AR35" s="121">
        <v>174</v>
      </c>
      <c r="AS35" s="121">
        <v>611</v>
      </c>
      <c r="AT35" s="120">
        <v>18.600000000000001</v>
      </c>
      <c r="AU35" s="121">
        <v>343</v>
      </c>
      <c r="AV35" s="121">
        <v>313</v>
      </c>
      <c r="AW35" s="121">
        <v>260</v>
      </c>
      <c r="AX35" s="121">
        <v>139</v>
      </c>
      <c r="AY35" s="121">
        <v>530</v>
      </c>
      <c r="AZ35" s="120">
        <v>14.1</v>
      </c>
      <c r="BA35" s="121">
        <v>314</v>
      </c>
      <c r="BB35" s="121">
        <v>207</v>
      </c>
      <c r="BC35" s="121">
        <v>184</v>
      </c>
      <c r="BD35" s="121">
        <v>96</v>
      </c>
      <c r="BE35" s="121">
        <v>358</v>
      </c>
      <c r="BF35" s="120">
        <v>9.6</v>
      </c>
      <c r="BG35" s="121">
        <v>236</v>
      </c>
      <c r="BH35" s="121">
        <v>110</v>
      </c>
      <c r="BI35" s="121">
        <v>121</v>
      </c>
      <c r="BJ35" s="121">
        <v>64</v>
      </c>
      <c r="BK35" s="121">
        <v>206</v>
      </c>
      <c r="BL35" s="120">
        <v>4.0999999999999996</v>
      </c>
      <c r="BM35" s="121">
        <v>130</v>
      </c>
      <c r="BN35" s="121">
        <v>57</v>
      </c>
      <c r="BO35" s="121">
        <v>57</v>
      </c>
      <c r="BP35" s="121">
        <v>36</v>
      </c>
      <c r="BQ35" s="121">
        <v>101</v>
      </c>
      <c r="BR35" s="120">
        <v>1.5</v>
      </c>
      <c r="BS35" s="121">
        <v>110</v>
      </c>
      <c r="BT35" s="121">
        <v>46</v>
      </c>
      <c r="BU35" s="121">
        <v>43</v>
      </c>
      <c r="BV35" s="121">
        <v>29</v>
      </c>
      <c r="BW35" s="121">
        <v>75</v>
      </c>
      <c r="BX35" s="120">
        <v>9.4</v>
      </c>
      <c r="BY35" s="2">
        <v>-8</v>
      </c>
      <c r="BZ35" s="1" t="s">
        <v>543</v>
      </c>
    </row>
    <row r="36" spans="1:78">
      <c r="A36" s="1">
        <v>33</v>
      </c>
      <c r="B36" s="1" t="s">
        <v>98</v>
      </c>
      <c r="C36" s="2">
        <v>1298</v>
      </c>
      <c r="D36" s="120">
        <v>-4.3</v>
      </c>
      <c r="E36" s="121">
        <v>364</v>
      </c>
      <c r="F36" s="121">
        <v>129</v>
      </c>
      <c r="G36" s="121">
        <v>153</v>
      </c>
      <c r="H36" s="121">
        <v>91</v>
      </c>
      <c r="I36" s="121">
        <v>174</v>
      </c>
      <c r="J36" s="120">
        <v>-2.8</v>
      </c>
      <c r="K36" s="121">
        <v>419</v>
      </c>
      <c r="L36" s="121">
        <v>181</v>
      </c>
      <c r="M36" s="121">
        <v>215</v>
      </c>
      <c r="N36" s="121">
        <v>119</v>
      </c>
      <c r="O36" s="121">
        <v>247</v>
      </c>
      <c r="P36" s="120">
        <v>1.4</v>
      </c>
      <c r="Q36" s="121">
        <v>490</v>
      </c>
      <c r="R36" s="121">
        <v>279</v>
      </c>
      <c r="S36" s="121">
        <v>297</v>
      </c>
      <c r="T36" s="121">
        <v>147</v>
      </c>
      <c r="U36" s="121">
        <v>426</v>
      </c>
      <c r="V36" s="120">
        <v>4.8</v>
      </c>
      <c r="W36" s="121">
        <v>365</v>
      </c>
      <c r="X36" s="121">
        <v>308</v>
      </c>
      <c r="Y36" s="121">
        <v>264</v>
      </c>
      <c r="Z36" s="121">
        <v>135</v>
      </c>
      <c r="AA36" s="121">
        <v>516</v>
      </c>
      <c r="AB36" s="120">
        <v>10.1</v>
      </c>
      <c r="AC36" s="121">
        <v>303</v>
      </c>
      <c r="AD36" s="121">
        <v>348</v>
      </c>
      <c r="AE36" s="121">
        <v>262</v>
      </c>
      <c r="AF36" s="121">
        <v>150</v>
      </c>
      <c r="AG36" s="121">
        <v>605</v>
      </c>
      <c r="AH36" s="120">
        <v>12.7</v>
      </c>
      <c r="AI36" s="121">
        <v>267</v>
      </c>
      <c r="AJ36" s="121">
        <v>347</v>
      </c>
      <c r="AK36" s="121">
        <v>257</v>
      </c>
      <c r="AL36" s="121">
        <v>161</v>
      </c>
      <c r="AM36" s="121">
        <v>609</v>
      </c>
      <c r="AN36" s="120">
        <v>15</v>
      </c>
      <c r="AO36" s="121">
        <v>305</v>
      </c>
      <c r="AP36" s="121">
        <v>370</v>
      </c>
      <c r="AQ36" s="121">
        <v>281</v>
      </c>
      <c r="AR36" s="121">
        <v>161</v>
      </c>
      <c r="AS36" s="121">
        <v>643</v>
      </c>
      <c r="AT36" s="120">
        <v>14.8</v>
      </c>
      <c r="AU36" s="121">
        <v>337</v>
      </c>
      <c r="AV36" s="121">
        <v>316</v>
      </c>
      <c r="AW36" s="121">
        <v>246</v>
      </c>
      <c r="AX36" s="121">
        <v>123</v>
      </c>
      <c r="AY36" s="121">
        <v>549</v>
      </c>
      <c r="AZ36" s="120">
        <v>10.7</v>
      </c>
      <c r="BA36" s="121">
        <v>358</v>
      </c>
      <c r="BB36" s="121">
        <v>223</v>
      </c>
      <c r="BC36" s="121">
        <v>218</v>
      </c>
      <c r="BD36" s="121">
        <v>91</v>
      </c>
      <c r="BE36" s="121">
        <v>412</v>
      </c>
      <c r="BF36" s="120">
        <v>6.6</v>
      </c>
      <c r="BG36" s="121">
        <v>367</v>
      </c>
      <c r="BH36" s="121">
        <v>145</v>
      </c>
      <c r="BI36" s="121">
        <v>174</v>
      </c>
      <c r="BJ36" s="121">
        <v>67</v>
      </c>
      <c r="BK36" s="121">
        <v>292</v>
      </c>
      <c r="BL36" s="120">
        <v>0.2</v>
      </c>
      <c r="BM36" s="121">
        <v>293</v>
      </c>
      <c r="BN36" s="121">
        <v>91</v>
      </c>
      <c r="BO36" s="121">
        <v>114</v>
      </c>
      <c r="BP36" s="121">
        <v>54</v>
      </c>
      <c r="BQ36" s="121">
        <v>174</v>
      </c>
      <c r="BR36" s="120">
        <v>-3.2</v>
      </c>
      <c r="BS36" s="121">
        <v>271</v>
      </c>
      <c r="BT36" s="121">
        <v>88</v>
      </c>
      <c r="BU36" s="121">
        <v>99</v>
      </c>
      <c r="BV36" s="121">
        <v>64</v>
      </c>
      <c r="BW36" s="121">
        <v>134</v>
      </c>
      <c r="BX36" s="120">
        <v>5.5</v>
      </c>
      <c r="BY36" s="2">
        <v>-12</v>
      </c>
      <c r="BZ36" s="1" t="s">
        <v>290</v>
      </c>
    </row>
    <row r="37" spans="1:78">
      <c r="A37" s="1">
        <v>34</v>
      </c>
      <c r="B37" s="1" t="s">
        <v>99</v>
      </c>
      <c r="C37" s="2">
        <v>482</v>
      </c>
      <c r="D37" s="120">
        <v>-0.1</v>
      </c>
      <c r="E37" s="121">
        <v>236</v>
      </c>
      <c r="F37" s="121">
        <v>62</v>
      </c>
      <c r="G37" s="121">
        <v>102</v>
      </c>
      <c r="H37" s="121">
        <v>46</v>
      </c>
      <c r="I37" s="121">
        <v>145</v>
      </c>
      <c r="J37" s="120">
        <v>2</v>
      </c>
      <c r="K37" s="121">
        <v>324</v>
      </c>
      <c r="L37" s="121">
        <v>123</v>
      </c>
      <c r="M37" s="121">
        <v>152</v>
      </c>
      <c r="N37" s="121">
        <v>68</v>
      </c>
      <c r="O37" s="121">
        <v>225</v>
      </c>
      <c r="P37" s="120">
        <v>6.7</v>
      </c>
      <c r="Q37" s="121">
        <v>402</v>
      </c>
      <c r="R37" s="121">
        <v>222</v>
      </c>
      <c r="S37" s="121">
        <v>220</v>
      </c>
      <c r="T37" s="121">
        <v>94</v>
      </c>
      <c r="U37" s="121">
        <v>402</v>
      </c>
      <c r="V37" s="120">
        <v>10</v>
      </c>
      <c r="W37" s="121">
        <v>350</v>
      </c>
      <c r="X37" s="121">
        <v>283</v>
      </c>
      <c r="Y37" s="121">
        <v>257</v>
      </c>
      <c r="Z37" s="121">
        <v>122</v>
      </c>
      <c r="AA37" s="121">
        <v>516</v>
      </c>
      <c r="AB37" s="120">
        <v>15</v>
      </c>
      <c r="AC37" s="121">
        <v>324</v>
      </c>
      <c r="AD37" s="121">
        <v>346</v>
      </c>
      <c r="AE37" s="121">
        <v>303</v>
      </c>
      <c r="AF37" s="121">
        <v>161</v>
      </c>
      <c r="AG37" s="121">
        <v>640</v>
      </c>
      <c r="AH37" s="120">
        <v>17.8</v>
      </c>
      <c r="AI37" s="121">
        <v>295</v>
      </c>
      <c r="AJ37" s="121">
        <v>365</v>
      </c>
      <c r="AK37" s="121">
        <v>311</v>
      </c>
      <c r="AL37" s="121">
        <v>174</v>
      </c>
      <c r="AM37" s="121">
        <v>677</v>
      </c>
      <c r="AN37" s="120">
        <v>19.899999999999999</v>
      </c>
      <c r="AO37" s="121">
        <v>327</v>
      </c>
      <c r="AP37" s="121">
        <v>378</v>
      </c>
      <c r="AQ37" s="121">
        <v>327</v>
      </c>
      <c r="AR37" s="121">
        <v>171</v>
      </c>
      <c r="AS37" s="121">
        <v>694</v>
      </c>
      <c r="AT37" s="120">
        <v>19.399999999999999</v>
      </c>
      <c r="AU37" s="121">
        <v>367</v>
      </c>
      <c r="AV37" s="121">
        <v>337</v>
      </c>
      <c r="AW37" s="121">
        <v>292</v>
      </c>
      <c r="AX37" s="121">
        <v>137</v>
      </c>
      <c r="AY37" s="121">
        <v>595</v>
      </c>
      <c r="AZ37" s="120">
        <v>15</v>
      </c>
      <c r="BA37" s="121">
        <v>381</v>
      </c>
      <c r="BB37" s="121">
        <v>241</v>
      </c>
      <c r="BC37" s="121">
        <v>236</v>
      </c>
      <c r="BD37" s="121">
        <v>98</v>
      </c>
      <c r="BE37" s="121">
        <v>435</v>
      </c>
      <c r="BF37" s="120">
        <v>10.3</v>
      </c>
      <c r="BG37" s="121">
        <v>354</v>
      </c>
      <c r="BH37" s="121">
        <v>153</v>
      </c>
      <c r="BI37" s="121">
        <v>166</v>
      </c>
      <c r="BJ37" s="121">
        <v>72</v>
      </c>
      <c r="BK37" s="121">
        <v>289</v>
      </c>
      <c r="BL37" s="120">
        <v>4.3</v>
      </c>
      <c r="BM37" s="121">
        <v>236</v>
      </c>
      <c r="BN37" s="121">
        <v>65</v>
      </c>
      <c r="BO37" s="121">
        <v>104</v>
      </c>
      <c r="BP37" s="121">
        <v>44</v>
      </c>
      <c r="BQ37" s="121">
        <v>156</v>
      </c>
      <c r="BR37" s="120">
        <v>0.8</v>
      </c>
      <c r="BS37" s="121">
        <v>174</v>
      </c>
      <c r="BT37" s="121">
        <v>43</v>
      </c>
      <c r="BU37" s="121">
        <v>75</v>
      </c>
      <c r="BV37" s="121">
        <v>37</v>
      </c>
      <c r="BW37" s="121">
        <v>110</v>
      </c>
      <c r="BX37" s="120">
        <v>10.1</v>
      </c>
      <c r="BY37" s="2">
        <v>-6</v>
      </c>
      <c r="BZ37" s="1" t="s">
        <v>121</v>
      </c>
    </row>
    <row r="38" spans="1:78">
      <c r="A38" s="1">
        <v>35</v>
      </c>
      <c r="B38" s="1" t="s">
        <v>291</v>
      </c>
      <c r="C38" s="2">
        <v>1345</v>
      </c>
      <c r="D38" s="120">
        <v>-7.5</v>
      </c>
      <c r="E38" s="121">
        <v>289</v>
      </c>
      <c r="F38" s="121">
        <v>96</v>
      </c>
      <c r="G38" s="121">
        <v>161</v>
      </c>
      <c r="H38" s="121">
        <v>88</v>
      </c>
      <c r="I38" s="121">
        <v>147</v>
      </c>
      <c r="J38" s="120">
        <v>-5.6</v>
      </c>
      <c r="K38" s="121">
        <v>394</v>
      </c>
      <c r="L38" s="121">
        <v>177</v>
      </c>
      <c r="M38" s="121">
        <v>223</v>
      </c>
      <c r="N38" s="121">
        <v>133</v>
      </c>
      <c r="O38" s="121">
        <v>230</v>
      </c>
      <c r="P38" s="120">
        <v>-0.7</v>
      </c>
      <c r="Q38" s="121">
        <v>565</v>
      </c>
      <c r="R38" s="121">
        <v>362</v>
      </c>
      <c r="S38" s="121">
        <v>370</v>
      </c>
      <c r="T38" s="121">
        <v>233</v>
      </c>
      <c r="U38" s="121">
        <v>421</v>
      </c>
      <c r="V38" s="120">
        <v>2.8</v>
      </c>
      <c r="W38" s="121">
        <v>500</v>
      </c>
      <c r="X38" s="121">
        <v>407</v>
      </c>
      <c r="Y38" s="121">
        <v>410</v>
      </c>
      <c r="Z38" s="121">
        <v>280</v>
      </c>
      <c r="AA38" s="121">
        <v>498</v>
      </c>
      <c r="AB38" s="120">
        <v>8.3000000000000007</v>
      </c>
      <c r="AC38" s="121">
        <v>289</v>
      </c>
      <c r="AD38" s="121">
        <v>297</v>
      </c>
      <c r="AE38" s="121">
        <v>265</v>
      </c>
      <c r="AF38" s="121">
        <v>137</v>
      </c>
      <c r="AG38" s="121">
        <v>584</v>
      </c>
      <c r="AH38" s="120">
        <v>11.6</v>
      </c>
      <c r="AI38" s="121">
        <v>270</v>
      </c>
      <c r="AJ38" s="121">
        <v>324</v>
      </c>
      <c r="AK38" s="121">
        <v>267</v>
      </c>
      <c r="AL38" s="121">
        <v>153</v>
      </c>
      <c r="AM38" s="121">
        <v>614</v>
      </c>
      <c r="AN38" s="120">
        <v>14.1</v>
      </c>
      <c r="AO38" s="121">
        <v>303</v>
      </c>
      <c r="AP38" s="121">
        <v>335</v>
      </c>
      <c r="AQ38" s="121">
        <v>281</v>
      </c>
      <c r="AR38" s="121">
        <v>150</v>
      </c>
      <c r="AS38" s="121">
        <v>637</v>
      </c>
      <c r="AT38" s="120">
        <v>13.8</v>
      </c>
      <c r="AU38" s="121">
        <v>340</v>
      </c>
      <c r="AV38" s="121">
        <v>289</v>
      </c>
      <c r="AW38" s="121">
        <v>252</v>
      </c>
      <c r="AX38" s="121">
        <v>121</v>
      </c>
      <c r="AY38" s="121">
        <v>552</v>
      </c>
      <c r="AZ38" s="120">
        <v>9.6</v>
      </c>
      <c r="BA38" s="121">
        <v>347</v>
      </c>
      <c r="BB38" s="121">
        <v>202</v>
      </c>
      <c r="BC38" s="121">
        <v>210</v>
      </c>
      <c r="BD38" s="121">
        <v>88</v>
      </c>
      <c r="BE38" s="121">
        <v>402</v>
      </c>
      <c r="BF38" s="120">
        <v>5.3</v>
      </c>
      <c r="BG38" s="121">
        <v>327</v>
      </c>
      <c r="BH38" s="121">
        <v>131</v>
      </c>
      <c r="BI38" s="121">
        <v>153</v>
      </c>
      <c r="BJ38" s="121">
        <v>62</v>
      </c>
      <c r="BK38" s="121">
        <v>268</v>
      </c>
      <c r="BL38" s="120">
        <v>-1.4</v>
      </c>
      <c r="BM38" s="121">
        <v>215</v>
      </c>
      <c r="BN38" s="121">
        <v>52</v>
      </c>
      <c r="BO38" s="121">
        <v>101</v>
      </c>
      <c r="BP38" s="121">
        <v>39</v>
      </c>
      <c r="BQ38" s="121">
        <v>148</v>
      </c>
      <c r="BR38" s="120">
        <v>-5.6</v>
      </c>
      <c r="BS38" s="121">
        <v>225</v>
      </c>
      <c r="BT38" s="121">
        <v>72</v>
      </c>
      <c r="BU38" s="121">
        <v>129</v>
      </c>
      <c r="BV38" s="121">
        <v>67</v>
      </c>
      <c r="BW38" s="121">
        <v>110</v>
      </c>
      <c r="BX38" s="120">
        <v>3.7</v>
      </c>
      <c r="BY38" s="2">
        <v>-16</v>
      </c>
      <c r="BZ38" s="1" t="s">
        <v>291</v>
      </c>
    </row>
    <row r="39" spans="1:78">
      <c r="A39" s="1">
        <v>36</v>
      </c>
      <c r="B39" s="1" t="s">
        <v>100</v>
      </c>
      <c r="C39" s="2">
        <v>460</v>
      </c>
      <c r="D39" s="120">
        <v>0.8</v>
      </c>
      <c r="E39" s="121">
        <v>209</v>
      </c>
      <c r="F39" s="121">
        <v>64</v>
      </c>
      <c r="G39" s="121">
        <v>86</v>
      </c>
      <c r="H39" s="121">
        <v>46</v>
      </c>
      <c r="I39" s="121">
        <v>126</v>
      </c>
      <c r="J39" s="120">
        <v>2.1</v>
      </c>
      <c r="K39" s="121">
        <v>266</v>
      </c>
      <c r="L39" s="121">
        <v>106</v>
      </c>
      <c r="M39" s="121">
        <v>128</v>
      </c>
      <c r="N39" s="121">
        <v>68</v>
      </c>
      <c r="O39" s="121">
        <v>189</v>
      </c>
      <c r="P39" s="120">
        <v>6.3</v>
      </c>
      <c r="Q39" s="121">
        <v>316</v>
      </c>
      <c r="R39" s="121">
        <v>161</v>
      </c>
      <c r="S39" s="121">
        <v>179</v>
      </c>
      <c r="T39" s="121">
        <v>88</v>
      </c>
      <c r="U39" s="121">
        <v>327</v>
      </c>
      <c r="V39" s="120">
        <v>9.4</v>
      </c>
      <c r="W39" s="121">
        <v>293</v>
      </c>
      <c r="X39" s="121">
        <v>200</v>
      </c>
      <c r="Y39" s="121">
        <v>215</v>
      </c>
      <c r="Z39" s="121">
        <v>109</v>
      </c>
      <c r="AA39" s="121">
        <v>428</v>
      </c>
      <c r="AB39" s="120">
        <v>14.4</v>
      </c>
      <c r="AC39" s="121">
        <v>287</v>
      </c>
      <c r="AD39" s="121">
        <v>246</v>
      </c>
      <c r="AE39" s="121">
        <v>271</v>
      </c>
      <c r="AF39" s="121">
        <v>139</v>
      </c>
      <c r="AG39" s="121">
        <v>549</v>
      </c>
      <c r="AH39" s="120">
        <v>16.7</v>
      </c>
      <c r="AI39" s="121">
        <v>254</v>
      </c>
      <c r="AJ39" s="121">
        <v>244</v>
      </c>
      <c r="AK39" s="121">
        <v>264</v>
      </c>
      <c r="AL39" s="121">
        <v>148</v>
      </c>
      <c r="AM39" s="121">
        <v>552</v>
      </c>
      <c r="AN39" s="120">
        <v>18.7</v>
      </c>
      <c r="AO39" s="121">
        <v>281</v>
      </c>
      <c r="AP39" s="121">
        <v>257</v>
      </c>
      <c r="AQ39" s="121">
        <v>276</v>
      </c>
      <c r="AR39" s="121">
        <v>145</v>
      </c>
      <c r="AS39" s="121">
        <v>568</v>
      </c>
      <c r="AT39" s="120">
        <v>18.7</v>
      </c>
      <c r="AU39" s="121">
        <v>313</v>
      </c>
      <c r="AV39" s="121">
        <v>228</v>
      </c>
      <c r="AW39" s="121">
        <v>249</v>
      </c>
      <c r="AX39" s="121">
        <v>121</v>
      </c>
      <c r="AY39" s="121">
        <v>498</v>
      </c>
      <c r="AZ39" s="120">
        <v>14.6</v>
      </c>
      <c r="BA39" s="121">
        <v>303</v>
      </c>
      <c r="BB39" s="121">
        <v>168</v>
      </c>
      <c r="BC39" s="121">
        <v>181</v>
      </c>
      <c r="BD39" s="121">
        <v>88</v>
      </c>
      <c r="BE39" s="121">
        <v>353</v>
      </c>
      <c r="BF39" s="120">
        <v>10.8</v>
      </c>
      <c r="BG39" s="121">
        <v>279</v>
      </c>
      <c r="BH39" s="121">
        <v>112</v>
      </c>
      <c r="BI39" s="121">
        <v>129</v>
      </c>
      <c r="BJ39" s="121">
        <v>64</v>
      </c>
      <c r="BK39" s="121">
        <v>238</v>
      </c>
      <c r="BL39" s="120">
        <v>4.9000000000000004</v>
      </c>
      <c r="BM39" s="121">
        <v>187</v>
      </c>
      <c r="BN39" s="121">
        <v>60</v>
      </c>
      <c r="BO39" s="121">
        <v>75</v>
      </c>
      <c r="BP39" s="121">
        <v>39</v>
      </c>
      <c r="BQ39" s="121">
        <v>127</v>
      </c>
      <c r="BR39" s="120">
        <v>2</v>
      </c>
      <c r="BS39" s="121">
        <v>153</v>
      </c>
      <c r="BT39" s="121">
        <v>43</v>
      </c>
      <c r="BU39" s="121">
        <v>59</v>
      </c>
      <c r="BV39" s="121">
        <v>32</v>
      </c>
      <c r="BW39" s="121">
        <v>94</v>
      </c>
      <c r="BX39" s="120">
        <v>10</v>
      </c>
      <c r="BY39" s="2">
        <v>-8</v>
      </c>
      <c r="BZ39" s="1" t="s">
        <v>426</v>
      </c>
    </row>
    <row r="40" spans="1:78">
      <c r="A40" s="1">
        <v>37</v>
      </c>
      <c r="B40" s="1" t="s">
        <v>80</v>
      </c>
      <c r="C40" s="2">
        <v>422</v>
      </c>
      <c r="D40" s="120">
        <v>0</v>
      </c>
      <c r="E40" s="121">
        <v>131</v>
      </c>
      <c r="F40" s="121">
        <v>54</v>
      </c>
      <c r="G40" s="121">
        <v>67</v>
      </c>
      <c r="H40" s="121">
        <v>40</v>
      </c>
      <c r="I40" s="121">
        <v>94</v>
      </c>
      <c r="J40" s="120">
        <v>1</v>
      </c>
      <c r="K40" s="121">
        <v>213</v>
      </c>
      <c r="L40" s="121">
        <v>97</v>
      </c>
      <c r="M40" s="121">
        <v>116</v>
      </c>
      <c r="N40" s="121">
        <v>63</v>
      </c>
      <c r="O40" s="121">
        <v>162</v>
      </c>
      <c r="P40" s="120">
        <v>4.9000000000000004</v>
      </c>
      <c r="Q40" s="121">
        <v>308</v>
      </c>
      <c r="R40" s="121">
        <v>177</v>
      </c>
      <c r="S40" s="121">
        <v>198</v>
      </c>
      <c r="T40" s="121">
        <v>96</v>
      </c>
      <c r="U40" s="121">
        <v>313</v>
      </c>
      <c r="V40" s="120">
        <v>8</v>
      </c>
      <c r="W40" s="121">
        <v>285</v>
      </c>
      <c r="X40" s="121">
        <v>228</v>
      </c>
      <c r="Y40" s="121">
        <v>231</v>
      </c>
      <c r="Z40" s="121">
        <v>117</v>
      </c>
      <c r="AA40" s="121">
        <v>417</v>
      </c>
      <c r="AB40" s="120">
        <v>13.2</v>
      </c>
      <c r="AC40" s="121">
        <v>287</v>
      </c>
      <c r="AD40" s="121">
        <v>289</v>
      </c>
      <c r="AE40" s="121">
        <v>292</v>
      </c>
      <c r="AF40" s="121">
        <v>158</v>
      </c>
      <c r="AG40" s="121">
        <v>544</v>
      </c>
      <c r="AH40" s="120">
        <v>16.2</v>
      </c>
      <c r="AI40" s="121">
        <v>275</v>
      </c>
      <c r="AJ40" s="121">
        <v>319</v>
      </c>
      <c r="AK40" s="121">
        <v>308</v>
      </c>
      <c r="AL40" s="121">
        <v>179</v>
      </c>
      <c r="AM40" s="121">
        <v>588</v>
      </c>
      <c r="AN40" s="120">
        <v>18.399999999999999</v>
      </c>
      <c r="AO40" s="121">
        <v>305</v>
      </c>
      <c r="AP40" s="121">
        <v>337</v>
      </c>
      <c r="AQ40" s="121">
        <v>329</v>
      </c>
      <c r="AR40" s="121">
        <v>179</v>
      </c>
      <c r="AS40" s="121">
        <v>616</v>
      </c>
      <c r="AT40" s="120">
        <v>18.100000000000001</v>
      </c>
      <c r="AU40" s="121">
        <v>337</v>
      </c>
      <c r="AV40" s="121">
        <v>295</v>
      </c>
      <c r="AW40" s="121">
        <v>292</v>
      </c>
      <c r="AX40" s="121">
        <v>139</v>
      </c>
      <c r="AY40" s="121">
        <v>530</v>
      </c>
      <c r="AZ40" s="120">
        <v>13.7</v>
      </c>
      <c r="BA40" s="121">
        <v>308</v>
      </c>
      <c r="BB40" s="121">
        <v>187</v>
      </c>
      <c r="BC40" s="121">
        <v>218</v>
      </c>
      <c r="BD40" s="121">
        <v>98</v>
      </c>
      <c r="BE40" s="121">
        <v>358</v>
      </c>
      <c r="BF40" s="120">
        <v>9.5</v>
      </c>
      <c r="BG40" s="121">
        <v>225</v>
      </c>
      <c r="BH40" s="121">
        <v>99</v>
      </c>
      <c r="BI40" s="121">
        <v>137</v>
      </c>
      <c r="BJ40" s="121">
        <v>64</v>
      </c>
      <c r="BK40" s="121">
        <v>204</v>
      </c>
      <c r="BL40" s="120">
        <v>3.9</v>
      </c>
      <c r="BM40" s="121">
        <v>122</v>
      </c>
      <c r="BN40" s="121">
        <v>49</v>
      </c>
      <c r="BO40" s="121">
        <v>65</v>
      </c>
      <c r="BP40" s="121">
        <v>36</v>
      </c>
      <c r="BQ40" s="121">
        <v>98</v>
      </c>
      <c r="BR40" s="120">
        <v>1.4</v>
      </c>
      <c r="BS40" s="121">
        <v>104</v>
      </c>
      <c r="BT40" s="121">
        <v>40</v>
      </c>
      <c r="BU40" s="121">
        <v>48</v>
      </c>
      <c r="BV40" s="121">
        <v>29</v>
      </c>
      <c r="BW40" s="121">
        <v>72</v>
      </c>
      <c r="BX40" s="120">
        <v>9</v>
      </c>
      <c r="BY40" s="2">
        <v>-7</v>
      </c>
      <c r="BZ40" s="1" t="s">
        <v>427</v>
      </c>
    </row>
    <row r="41" spans="1:78">
      <c r="A41" s="1">
        <v>38</v>
      </c>
      <c r="B41" s="1" t="s">
        <v>81</v>
      </c>
      <c r="C41" s="2">
        <v>1638</v>
      </c>
      <c r="D41" s="120">
        <v>-4</v>
      </c>
      <c r="E41" s="121">
        <v>354</v>
      </c>
      <c r="F41" s="121">
        <v>137</v>
      </c>
      <c r="G41" s="121">
        <v>169</v>
      </c>
      <c r="H41" s="121">
        <v>112</v>
      </c>
      <c r="I41" s="121">
        <v>171</v>
      </c>
      <c r="J41" s="120">
        <v>-3.3</v>
      </c>
      <c r="K41" s="121">
        <v>421</v>
      </c>
      <c r="L41" s="121">
        <v>208</v>
      </c>
      <c r="M41" s="121">
        <v>225</v>
      </c>
      <c r="N41" s="121">
        <v>157</v>
      </c>
      <c r="O41" s="121">
        <v>247</v>
      </c>
      <c r="P41" s="120">
        <v>-0.1</v>
      </c>
      <c r="Q41" s="121">
        <v>541</v>
      </c>
      <c r="R41" s="121">
        <v>332</v>
      </c>
      <c r="S41" s="121">
        <v>319</v>
      </c>
      <c r="T41" s="121">
        <v>212</v>
      </c>
      <c r="U41" s="121">
        <v>429</v>
      </c>
      <c r="V41" s="120">
        <v>2.8</v>
      </c>
      <c r="W41" s="121">
        <v>394</v>
      </c>
      <c r="X41" s="121">
        <v>301</v>
      </c>
      <c r="Y41" s="121">
        <v>249</v>
      </c>
      <c r="Z41" s="121">
        <v>161</v>
      </c>
      <c r="AA41" s="121">
        <v>505</v>
      </c>
      <c r="AB41" s="120">
        <v>8</v>
      </c>
      <c r="AC41" s="121">
        <v>308</v>
      </c>
      <c r="AD41" s="121">
        <v>297</v>
      </c>
      <c r="AE41" s="121">
        <v>212</v>
      </c>
      <c r="AF41" s="121">
        <v>131</v>
      </c>
      <c r="AG41" s="121">
        <v>597</v>
      </c>
      <c r="AH41" s="120">
        <v>10.8</v>
      </c>
      <c r="AI41" s="121">
        <v>270</v>
      </c>
      <c r="AJ41" s="121">
        <v>301</v>
      </c>
      <c r="AK41" s="121">
        <v>205</v>
      </c>
      <c r="AL41" s="121">
        <v>127</v>
      </c>
      <c r="AM41" s="121">
        <v>609</v>
      </c>
      <c r="AN41" s="120">
        <v>13.3</v>
      </c>
      <c r="AO41" s="121">
        <v>303</v>
      </c>
      <c r="AP41" s="121">
        <v>311</v>
      </c>
      <c r="AQ41" s="121">
        <v>214</v>
      </c>
      <c r="AR41" s="121">
        <v>126</v>
      </c>
      <c r="AS41" s="121">
        <v>632</v>
      </c>
      <c r="AT41" s="120">
        <v>13.1</v>
      </c>
      <c r="AU41" s="121">
        <v>343</v>
      </c>
      <c r="AV41" s="121">
        <v>279</v>
      </c>
      <c r="AW41" s="121">
        <v>196</v>
      </c>
      <c r="AX41" s="121">
        <v>110</v>
      </c>
      <c r="AY41" s="121">
        <v>552</v>
      </c>
      <c r="AZ41" s="120">
        <v>9</v>
      </c>
      <c r="BA41" s="121">
        <v>363</v>
      </c>
      <c r="BB41" s="121">
        <v>205</v>
      </c>
      <c r="BC41" s="121">
        <v>168</v>
      </c>
      <c r="BD41" s="121">
        <v>86</v>
      </c>
      <c r="BE41" s="121">
        <v>420</v>
      </c>
      <c r="BF41" s="120">
        <v>5.3</v>
      </c>
      <c r="BG41" s="121">
        <v>359</v>
      </c>
      <c r="BH41" s="121">
        <v>142</v>
      </c>
      <c r="BI41" s="121">
        <v>137</v>
      </c>
      <c r="BJ41" s="121">
        <v>67</v>
      </c>
      <c r="BK41" s="121">
        <v>295</v>
      </c>
      <c r="BL41" s="120">
        <v>-0.3</v>
      </c>
      <c r="BM41" s="121">
        <v>288</v>
      </c>
      <c r="BN41" s="121">
        <v>91</v>
      </c>
      <c r="BO41" s="121">
        <v>114</v>
      </c>
      <c r="BP41" s="121">
        <v>65</v>
      </c>
      <c r="BQ41" s="121">
        <v>174</v>
      </c>
      <c r="BR41" s="120">
        <v>-2.8</v>
      </c>
      <c r="BS41" s="121">
        <v>297</v>
      </c>
      <c r="BT41" s="121">
        <v>99</v>
      </c>
      <c r="BU41" s="121">
        <v>129</v>
      </c>
      <c r="BV41" s="121">
        <v>80</v>
      </c>
      <c r="BW41" s="121">
        <v>139</v>
      </c>
      <c r="BX41" s="120">
        <v>4.3</v>
      </c>
      <c r="BY41" s="2">
        <v>-11</v>
      </c>
      <c r="BZ41" s="1" t="s">
        <v>525</v>
      </c>
    </row>
    <row r="42" spans="1:78">
      <c r="A42" s="1">
        <v>39</v>
      </c>
      <c r="B42" s="1" t="s">
        <v>300</v>
      </c>
      <c r="C42" s="2">
        <v>425</v>
      </c>
      <c r="D42" s="120">
        <v>0.2</v>
      </c>
      <c r="E42" s="121">
        <v>163</v>
      </c>
      <c r="F42" s="121">
        <v>67</v>
      </c>
      <c r="G42" s="121">
        <v>78</v>
      </c>
      <c r="H42" s="121">
        <v>43</v>
      </c>
      <c r="I42" s="121">
        <v>102</v>
      </c>
      <c r="J42" s="120">
        <v>1.3</v>
      </c>
      <c r="K42" s="121">
        <v>235</v>
      </c>
      <c r="L42" s="121">
        <v>109</v>
      </c>
      <c r="M42" s="121">
        <v>123</v>
      </c>
      <c r="N42" s="121">
        <v>65</v>
      </c>
      <c r="O42" s="121">
        <v>167</v>
      </c>
      <c r="P42" s="120">
        <v>5.4</v>
      </c>
      <c r="Q42" s="121">
        <v>316</v>
      </c>
      <c r="R42" s="121">
        <v>190</v>
      </c>
      <c r="S42" s="121">
        <v>196</v>
      </c>
      <c r="T42" s="121">
        <v>96</v>
      </c>
      <c r="U42" s="121">
        <v>313</v>
      </c>
      <c r="V42" s="120">
        <v>8.5</v>
      </c>
      <c r="W42" s="121">
        <v>298</v>
      </c>
      <c r="X42" s="121">
        <v>244</v>
      </c>
      <c r="Y42" s="121">
        <v>236</v>
      </c>
      <c r="Z42" s="121">
        <v>119</v>
      </c>
      <c r="AA42" s="121">
        <v>425</v>
      </c>
      <c r="AB42" s="120">
        <v>13.6</v>
      </c>
      <c r="AC42" s="121">
        <v>295</v>
      </c>
      <c r="AD42" s="121">
        <v>303</v>
      </c>
      <c r="AE42" s="121">
        <v>297</v>
      </c>
      <c r="AF42" s="121">
        <v>163</v>
      </c>
      <c r="AG42" s="121">
        <v>546</v>
      </c>
      <c r="AH42" s="120">
        <v>16.5</v>
      </c>
      <c r="AI42" s="121">
        <v>277</v>
      </c>
      <c r="AJ42" s="121">
        <v>321</v>
      </c>
      <c r="AK42" s="121">
        <v>311</v>
      </c>
      <c r="AL42" s="121">
        <v>184</v>
      </c>
      <c r="AM42" s="121">
        <v>583</v>
      </c>
      <c r="AN42" s="120">
        <v>18.7</v>
      </c>
      <c r="AO42" s="121">
        <v>303</v>
      </c>
      <c r="AP42" s="121">
        <v>335</v>
      </c>
      <c r="AQ42" s="121">
        <v>332</v>
      </c>
      <c r="AR42" s="121">
        <v>182</v>
      </c>
      <c r="AS42" s="121">
        <v>603</v>
      </c>
      <c r="AT42" s="120">
        <v>18.5</v>
      </c>
      <c r="AU42" s="121">
        <v>337</v>
      </c>
      <c r="AV42" s="121">
        <v>297</v>
      </c>
      <c r="AW42" s="121">
        <v>297</v>
      </c>
      <c r="AX42" s="121">
        <v>142</v>
      </c>
      <c r="AY42" s="121">
        <v>525</v>
      </c>
      <c r="AZ42" s="120">
        <v>14</v>
      </c>
      <c r="BA42" s="121">
        <v>311</v>
      </c>
      <c r="BB42" s="121">
        <v>194</v>
      </c>
      <c r="BC42" s="121">
        <v>218</v>
      </c>
      <c r="BD42" s="121">
        <v>98</v>
      </c>
      <c r="BE42" s="121">
        <v>355</v>
      </c>
      <c r="BF42" s="120">
        <v>9.6999999999999993</v>
      </c>
      <c r="BG42" s="121">
        <v>244</v>
      </c>
      <c r="BH42" s="121">
        <v>107</v>
      </c>
      <c r="BI42" s="121">
        <v>142</v>
      </c>
      <c r="BJ42" s="121">
        <v>67</v>
      </c>
      <c r="BK42" s="121">
        <v>209</v>
      </c>
      <c r="BL42" s="120">
        <v>4.0999999999999996</v>
      </c>
      <c r="BM42" s="121">
        <v>148</v>
      </c>
      <c r="BN42" s="121">
        <v>60</v>
      </c>
      <c r="BO42" s="121">
        <v>73</v>
      </c>
      <c r="BP42" s="121">
        <v>39</v>
      </c>
      <c r="BQ42" s="121">
        <v>106</v>
      </c>
      <c r="BR42" s="120">
        <v>1.7</v>
      </c>
      <c r="BS42" s="121">
        <v>123</v>
      </c>
      <c r="BT42" s="121">
        <v>48</v>
      </c>
      <c r="BU42" s="121">
        <v>56</v>
      </c>
      <c r="BV42" s="121">
        <v>32</v>
      </c>
      <c r="BW42" s="121">
        <v>80</v>
      </c>
      <c r="BX42" s="120">
        <v>9.4</v>
      </c>
      <c r="BY42" s="2">
        <v>-8</v>
      </c>
      <c r="BZ42" s="1" t="s">
        <v>300</v>
      </c>
    </row>
    <row r="43" spans="1:78">
      <c r="A43" s="1">
        <v>40</v>
      </c>
      <c r="B43" s="1" t="s">
        <v>82</v>
      </c>
      <c r="C43" s="2">
        <v>556</v>
      </c>
      <c r="D43" s="120">
        <v>0.4</v>
      </c>
      <c r="E43" s="121">
        <v>177</v>
      </c>
      <c r="F43" s="121">
        <v>67</v>
      </c>
      <c r="G43" s="121">
        <v>80</v>
      </c>
      <c r="H43" s="121">
        <v>43</v>
      </c>
      <c r="I43" s="121">
        <v>104</v>
      </c>
      <c r="J43" s="120">
        <v>1.6</v>
      </c>
      <c r="K43" s="121">
        <v>235</v>
      </c>
      <c r="L43" s="121">
        <v>109</v>
      </c>
      <c r="M43" s="121">
        <v>123</v>
      </c>
      <c r="N43" s="121">
        <v>63</v>
      </c>
      <c r="O43" s="121">
        <v>165</v>
      </c>
      <c r="P43" s="120">
        <v>5.5</v>
      </c>
      <c r="Q43" s="121">
        <v>313</v>
      </c>
      <c r="R43" s="121">
        <v>185</v>
      </c>
      <c r="S43" s="121">
        <v>198</v>
      </c>
      <c r="T43" s="121">
        <v>94</v>
      </c>
      <c r="U43" s="121">
        <v>311</v>
      </c>
      <c r="V43" s="120">
        <v>8.4</v>
      </c>
      <c r="W43" s="121">
        <v>290</v>
      </c>
      <c r="X43" s="121">
        <v>233</v>
      </c>
      <c r="Y43" s="121">
        <v>231</v>
      </c>
      <c r="Z43" s="121">
        <v>111</v>
      </c>
      <c r="AA43" s="121">
        <v>417</v>
      </c>
      <c r="AB43" s="120">
        <v>13.4</v>
      </c>
      <c r="AC43" s="121">
        <v>284</v>
      </c>
      <c r="AD43" s="121">
        <v>281</v>
      </c>
      <c r="AE43" s="121">
        <v>287</v>
      </c>
      <c r="AF43" s="121">
        <v>150</v>
      </c>
      <c r="AG43" s="121">
        <v>536</v>
      </c>
      <c r="AH43" s="120">
        <v>16.2</v>
      </c>
      <c r="AI43" s="121">
        <v>270</v>
      </c>
      <c r="AJ43" s="121">
        <v>295</v>
      </c>
      <c r="AK43" s="121">
        <v>303</v>
      </c>
      <c r="AL43" s="121">
        <v>166</v>
      </c>
      <c r="AM43" s="121">
        <v>570</v>
      </c>
      <c r="AN43" s="120">
        <v>18.399999999999999</v>
      </c>
      <c r="AO43" s="121">
        <v>297</v>
      </c>
      <c r="AP43" s="121">
        <v>311</v>
      </c>
      <c r="AQ43" s="121">
        <v>327</v>
      </c>
      <c r="AR43" s="121">
        <v>166</v>
      </c>
      <c r="AS43" s="121">
        <v>595</v>
      </c>
      <c r="AT43" s="120">
        <v>18.399999999999999</v>
      </c>
      <c r="AU43" s="121">
        <v>332</v>
      </c>
      <c r="AV43" s="121">
        <v>287</v>
      </c>
      <c r="AW43" s="121">
        <v>295</v>
      </c>
      <c r="AX43" s="121">
        <v>134</v>
      </c>
      <c r="AY43" s="121">
        <v>522</v>
      </c>
      <c r="AZ43" s="120">
        <v>14</v>
      </c>
      <c r="BA43" s="121">
        <v>311</v>
      </c>
      <c r="BB43" s="121">
        <v>192</v>
      </c>
      <c r="BC43" s="121">
        <v>218</v>
      </c>
      <c r="BD43" s="121">
        <v>91</v>
      </c>
      <c r="BE43" s="121">
        <v>355</v>
      </c>
      <c r="BF43" s="120">
        <v>9.9</v>
      </c>
      <c r="BG43" s="121">
        <v>254</v>
      </c>
      <c r="BH43" s="121">
        <v>112</v>
      </c>
      <c r="BI43" s="121">
        <v>142</v>
      </c>
      <c r="BJ43" s="121">
        <v>62</v>
      </c>
      <c r="BK43" s="121">
        <v>214</v>
      </c>
      <c r="BL43" s="120">
        <v>4.2</v>
      </c>
      <c r="BM43" s="121">
        <v>158</v>
      </c>
      <c r="BN43" s="121">
        <v>62</v>
      </c>
      <c r="BO43" s="121">
        <v>75</v>
      </c>
      <c r="BP43" s="121">
        <v>39</v>
      </c>
      <c r="BQ43" s="121">
        <v>109</v>
      </c>
      <c r="BR43" s="120">
        <v>1.8</v>
      </c>
      <c r="BS43" s="121">
        <v>137</v>
      </c>
      <c r="BT43" s="121">
        <v>51</v>
      </c>
      <c r="BU43" s="121">
        <v>59</v>
      </c>
      <c r="BV43" s="121">
        <v>32</v>
      </c>
      <c r="BW43" s="121">
        <v>80</v>
      </c>
      <c r="BX43" s="120">
        <v>9.4</v>
      </c>
      <c r="BY43" s="2">
        <v>-8</v>
      </c>
      <c r="BZ43" s="1" t="s">
        <v>428</v>
      </c>
    </row>
    <row r="44" spans="1:78">
      <c r="A44" s="1">
        <v>41</v>
      </c>
      <c r="BX44" s="120"/>
    </row>
    <row r="46" spans="1:78">
      <c r="B46" s="3" t="s">
        <v>310</v>
      </c>
      <c r="C46" s="123">
        <v>41</v>
      </c>
    </row>
    <row r="133" spans="2:7">
      <c r="B133" s="1" t="s">
        <v>489</v>
      </c>
    </row>
    <row r="135" spans="2:7">
      <c r="C135" s="2" t="s">
        <v>275</v>
      </c>
      <c r="D135" s="2" t="s">
        <v>540</v>
      </c>
      <c r="E135" s="2" t="s">
        <v>56</v>
      </c>
      <c r="F135" s="1388" t="s">
        <v>710</v>
      </c>
      <c r="G135" s="1388"/>
    </row>
    <row r="136" spans="2:7">
      <c r="B136" s="1" t="s">
        <v>49</v>
      </c>
      <c r="C136" s="121">
        <f>IF(Klimastation="","",VLOOKUP(Klimastation,Klima!$A$4:$BW$44,4))</f>
        <v>0</v>
      </c>
      <c r="D136" s="2">
        <f>IF(Klimastation="","",VLOOKUP(Klimastation,Klima!$A$4:$BX$44,76))</f>
        <v>0</v>
      </c>
      <c r="E136" s="2">
        <f>IF(Klimastation=42,"",VLOOKUP(Klimastation,Klima!$A$4:$BZ$44,78))</f>
        <v>0</v>
      </c>
      <c r="F136" s="1388">
        <f>IF(Klimastation=42,"",VLOOKUP(Klimastation,Klima!$A$4:$BZ$44,77))</f>
        <v>0</v>
      </c>
      <c r="G136" s="1388"/>
    </row>
    <row r="137" spans="2:7">
      <c r="B137" s="1" t="s">
        <v>554</v>
      </c>
      <c r="C137" s="121">
        <f>IF(Klimastation="","",VLOOKUP(Klimastation,Klima!$A$4:$BW$44,10))</f>
        <v>0</v>
      </c>
    </row>
    <row r="138" spans="2:7">
      <c r="B138" s="1" t="s">
        <v>306</v>
      </c>
      <c r="C138" s="121">
        <f>IF(Klimastation="","",VLOOKUP(Klimastation,Klima!$A$4:$BW$44,16))</f>
        <v>0</v>
      </c>
    </row>
    <row r="139" spans="2:7">
      <c r="B139" s="1" t="s">
        <v>409</v>
      </c>
      <c r="C139" s="121">
        <f>IF(Klimastation="","",VLOOKUP(Klimastation,Klima!$A$4:$BW$44,22))</f>
        <v>0</v>
      </c>
    </row>
    <row r="140" spans="2:7">
      <c r="B140" s="1" t="s">
        <v>410</v>
      </c>
      <c r="C140" s="121">
        <f>IF(Klimastation="","",VLOOKUP(Klimastation,Klima!$A$4:$BW$44,28))</f>
        <v>0</v>
      </c>
    </row>
    <row r="141" spans="2:7">
      <c r="B141" s="1" t="s">
        <v>411</v>
      </c>
      <c r="C141" s="121">
        <f>IF(Klimastation="","",VLOOKUP(Klimastation,Klima!$A$4:$BW$44,34))</f>
        <v>0</v>
      </c>
    </row>
    <row r="142" spans="2:7">
      <c r="B142" s="1" t="s">
        <v>221</v>
      </c>
      <c r="C142" s="121">
        <f>IF(Klimastation="","",VLOOKUP(Klimastation,Klima!$A$4:$BW$44,40))</f>
        <v>0</v>
      </c>
    </row>
    <row r="143" spans="2:7">
      <c r="B143" s="1" t="s">
        <v>138</v>
      </c>
      <c r="C143" s="121">
        <f>IF(Klimastation="","",VLOOKUP(Klimastation,Klima!$A$4:$BW$44,46))</f>
        <v>0</v>
      </c>
    </row>
    <row r="144" spans="2:7">
      <c r="B144" s="1" t="s">
        <v>139</v>
      </c>
      <c r="C144" s="121">
        <f>IF(Klimastation="","",VLOOKUP(Klimastation,Klima!$A$4:$BW$44,52))</f>
        <v>0</v>
      </c>
    </row>
    <row r="145" spans="1:16">
      <c r="B145" s="1" t="s">
        <v>269</v>
      </c>
      <c r="C145" s="121">
        <f>IF(Klimastation="","",VLOOKUP(Klimastation,Klima!$A$4:$BW$44,58))</f>
        <v>0</v>
      </c>
    </row>
    <row r="146" spans="1:16">
      <c r="B146" s="1" t="s">
        <v>366</v>
      </c>
      <c r="C146" s="121">
        <f>IF(Klimastation="","",VLOOKUP(Klimastation,Klima!$A$4:$BW$44,64))</f>
        <v>0</v>
      </c>
    </row>
    <row r="147" spans="1:16">
      <c r="B147" s="1" t="s">
        <v>465</v>
      </c>
      <c r="C147" s="121">
        <f>IF(Klimastation="","",VLOOKUP(Klimastation,Klima!$A$4:$BW$44,70))</f>
        <v>0</v>
      </c>
    </row>
    <row r="148" spans="1:16">
      <c r="C148" s="2">
        <f>IF(Klimastation="","",VLOOKUP(Klimastation,Klima!$A$4:$BW$44,3))</f>
        <v>0</v>
      </c>
    </row>
    <row r="149" spans="1:16">
      <c r="C149" s="2" t="s">
        <v>49</v>
      </c>
      <c r="D149" s="2" t="s">
        <v>554</v>
      </c>
      <c r="E149" s="2" t="s">
        <v>306</v>
      </c>
      <c r="F149" s="2" t="s">
        <v>409</v>
      </c>
      <c r="G149" s="2" t="s">
        <v>410</v>
      </c>
      <c r="H149" s="2" t="s">
        <v>411</v>
      </c>
      <c r="I149" s="2" t="s">
        <v>221</v>
      </c>
      <c r="J149" s="2" t="s">
        <v>138</v>
      </c>
      <c r="K149" s="2" t="s">
        <v>139</v>
      </c>
      <c r="L149" s="2" t="s">
        <v>269</v>
      </c>
      <c r="M149" s="2" t="s">
        <v>366</v>
      </c>
      <c r="N149" s="2" t="s">
        <v>465</v>
      </c>
    </row>
    <row r="150" spans="1:16">
      <c r="B150" s="1072" t="s">
        <v>474</v>
      </c>
      <c r="C150" s="121">
        <f>IF(Klimastation="","",(VLOOKUP(Klimastation,Klima!$A$4:$BW$44,9))/3.6)</f>
        <v>0</v>
      </c>
      <c r="D150" s="121">
        <f>IF(Klimastation="","",(VLOOKUP(Klimastation,Klima!$A$4:$BW$44,15))/3.6)</f>
        <v>0</v>
      </c>
      <c r="E150" s="121">
        <f>IF(Klimastation="","",(VLOOKUP(Klimastation,Klima!$A$4:$BW$44,21))/3.6)</f>
        <v>0</v>
      </c>
      <c r="F150" s="121">
        <f>IF(Klimastation="","",(VLOOKUP(Klimastation,Klima!$A$4:$BW$44,27))/3.6)</f>
        <v>0</v>
      </c>
      <c r="G150" s="121">
        <f>IF(Klimastation="","",(VLOOKUP(Klimastation,Klima!$A$4:$BW$44,33))/3.6)</f>
        <v>0</v>
      </c>
      <c r="H150" s="121">
        <f>IF(Klimastation="","",(VLOOKUP(Klimastation,Klima!$A$4:$BW$44,39))/3.6)</f>
        <v>0</v>
      </c>
      <c r="I150" s="121">
        <f>IF(Klimastation="","",(VLOOKUP(Klimastation,Klima!$A$4:$BW$44,45))/3.6)</f>
        <v>0</v>
      </c>
      <c r="J150" s="121">
        <f>IF(Klimastation="","",(VLOOKUP(Klimastation,Klima!$A$4:$BW$44,51))/3.6)</f>
        <v>0</v>
      </c>
      <c r="K150" s="121">
        <f>IF(Klimastation="","",(VLOOKUP(Klimastation,Klima!$A$4:$BW$44,57))/3.6)</f>
        <v>0</v>
      </c>
      <c r="L150" s="121">
        <f>IF(Klimastation="","",(VLOOKUP(Klimastation,Klima!$A$4:$BW$44,63))/3.6)</f>
        <v>0</v>
      </c>
      <c r="M150" s="121">
        <f>IF(Klimastation="","",(VLOOKUP(Klimastation,Klima!$A$4:$BW$44,69))/3.6)</f>
        <v>0</v>
      </c>
      <c r="N150" s="121">
        <f>IF(Klimastation="","",(VLOOKUP(Klimastation,Klima!$A$4:$BW$44,75))/3.6)</f>
        <v>0</v>
      </c>
      <c r="O150" s="121">
        <f>SUM(C150:N150)</f>
        <v>0</v>
      </c>
      <c r="P150" s="118" t="s">
        <v>474</v>
      </c>
    </row>
    <row r="151" spans="1:16">
      <c r="A151" s="1" t="s">
        <v>124</v>
      </c>
      <c r="B151" s="1072">
        <v>1</v>
      </c>
      <c r="C151" s="121">
        <f t="shared" ref="C151:N151" si="0">SQRT(C165*C153)</f>
        <v>0</v>
      </c>
      <c r="D151" s="121">
        <f t="shared" si="0"/>
        <v>0</v>
      </c>
      <c r="E151" s="121">
        <f t="shared" si="0"/>
        <v>0</v>
      </c>
      <c r="F151" s="121">
        <f t="shared" si="0"/>
        <v>0</v>
      </c>
      <c r="G151" s="121">
        <f t="shared" si="0"/>
        <v>0</v>
      </c>
      <c r="H151" s="121">
        <f t="shared" si="0"/>
        <v>0</v>
      </c>
      <c r="I151" s="121">
        <f t="shared" si="0"/>
        <v>0</v>
      </c>
      <c r="J151" s="121">
        <f t="shared" si="0"/>
        <v>0</v>
      </c>
      <c r="K151" s="121">
        <f t="shared" si="0"/>
        <v>0</v>
      </c>
      <c r="L151" s="121">
        <f t="shared" si="0"/>
        <v>0</v>
      </c>
      <c r="M151" s="121">
        <f t="shared" si="0"/>
        <v>0</v>
      </c>
      <c r="N151" s="121">
        <f t="shared" si="0"/>
        <v>0</v>
      </c>
      <c r="O151" s="121"/>
    </row>
    <row r="152" spans="1:16">
      <c r="A152" s="1" t="s">
        <v>591</v>
      </c>
      <c r="B152" s="1072">
        <v>2</v>
      </c>
      <c r="C152" s="121">
        <f t="shared" ref="C152:N152" si="1">SQRT(C151*C153)</f>
        <v>0</v>
      </c>
      <c r="D152" s="121">
        <f t="shared" si="1"/>
        <v>0</v>
      </c>
      <c r="E152" s="121">
        <f t="shared" si="1"/>
        <v>0</v>
      </c>
      <c r="F152" s="121">
        <f t="shared" si="1"/>
        <v>0</v>
      </c>
      <c r="G152" s="121">
        <f t="shared" si="1"/>
        <v>0</v>
      </c>
      <c r="H152" s="121">
        <f t="shared" si="1"/>
        <v>0</v>
      </c>
      <c r="I152" s="121">
        <f t="shared" si="1"/>
        <v>0</v>
      </c>
      <c r="J152" s="121">
        <f t="shared" si="1"/>
        <v>0</v>
      </c>
      <c r="K152" s="121">
        <f t="shared" si="1"/>
        <v>0</v>
      </c>
      <c r="L152" s="121">
        <f t="shared" si="1"/>
        <v>0</v>
      </c>
      <c r="M152" s="121">
        <f t="shared" si="1"/>
        <v>0</v>
      </c>
      <c r="N152" s="121">
        <f t="shared" si="1"/>
        <v>0</v>
      </c>
      <c r="O152" s="121"/>
    </row>
    <row r="153" spans="1:16">
      <c r="A153" s="1" t="s">
        <v>191</v>
      </c>
      <c r="B153" s="1072">
        <v>3</v>
      </c>
      <c r="C153" s="121">
        <f>IF(Klimastation="","",(VLOOKUP(Klimastation,Klima!$A$4:$BW$44,5))/3.6)</f>
        <v>0</v>
      </c>
      <c r="D153" s="121">
        <f>IF(Klimastation="","",(VLOOKUP(Klimastation,Klima!$A$4:$BW$44,11))/3.6)</f>
        <v>0</v>
      </c>
      <c r="E153" s="121">
        <f>IF(Klimastation="","",(VLOOKUP(Klimastation,Klima!$A$4:$BW$44,17))/3.6)</f>
        <v>0</v>
      </c>
      <c r="F153" s="121">
        <f>IF(Klimastation="","",(VLOOKUP(Klimastation,Klima!$A$4:$BW$44,23))/3.6)</f>
        <v>0</v>
      </c>
      <c r="G153" s="121">
        <f>IF(Klimastation="","",(VLOOKUP(Klimastation,Klima!$A$4:$BW$44,29))/3.6)</f>
        <v>0</v>
      </c>
      <c r="H153" s="121">
        <f>IF(Klimastation="","",(VLOOKUP(Klimastation,Klima!$A$4:$BW$44,35))/3.6)</f>
        <v>0</v>
      </c>
      <c r="I153" s="121">
        <f>IF(Klimastation="","",(VLOOKUP(Klimastation,Klima!$A$4:$BW$44,41))/3.6)</f>
        <v>0</v>
      </c>
      <c r="J153" s="121">
        <f>IF(Klimastation="","",(VLOOKUP(Klimastation,Klima!$A$4:$BW$44,47))/3.6)</f>
        <v>0</v>
      </c>
      <c r="K153" s="121">
        <f>IF(Klimastation="","",(VLOOKUP(Klimastation,Klima!$A$4:$BW$44,53))/3.6)</f>
        <v>0</v>
      </c>
      <c r="L153" s="121">
        <f>IF(Klimastation="","",(VLOOKUP(Klimastation,Klima!$A$4:$BW$44,59))/3.6)</f>
        <v>0</v>
      </c>
      <c r="M153" s="121">
        <f>IF(Klimastation="","",(VLOOKUP(Klimastation,Klima!$A$4:$BW$44,65))/3.6)</f>
        <v>0</v>
      </c>
      <c r="N153" s="121">
        <f>IF(Klimastation="","",(VLOOKUP(Klimastation,Klima!$A$4:$BW$44,71))/3.6)</f>
        <v>0</v>
      </c>
      <c r="O153" s="121">
        <f>SUM(C153:N153)</f>
        <v>0</v>
      </c>
      <c r="P153" s="118" t="s">
        <v>191</v>
      </c>
    </row>
    <row r="154" spans="1:16">
      <c r="A154" s="1" t="s">
        <v>592</v>
      </c>
      <c r="B154" s="1072">
        <v>4</v>
      </c>
      <c r="C154" s="121">
        <f t="shared" ref="C154:N154" si="2">SQRT(C153*C155)</f>
        <v>0</v>
      </c>
      <c r="D154" s="121">
        <f t="shared" si="2"/>
        <v>0</v>
      </c>
      <c r="E154" s="121">
        <f t="shared" si="2"/>
        <v>0</v>
      </c>
      <c r="F154" s="121">
        <f t="shared" si="2"/>
        <v>0</v>
      </c>
      <c r="G154" s="121">
        <f t="shared" si="2"/>
        <v>0</v>
      </c>
      <c r="H154" s="121">
        <f t="shared" si="2"/>
        <v>0</v>
      </c>
      <c r="I154" s="121">
        <f t="shared" si="2"/>
        <v>0</v>
      </c>
      <c r="J154" s="121">
        <f t="shared" si="2"/>
        <v>0</v>
      </c>
      <c r="K154" s="121">
        <f t="shared" si="2"/>
        <v>0</v>
      </c>
      <c r="L154" s="121">
        <f t="shared" si="2"/>
        <v>0</v>
      </c>
      <c r="M154" s="121">
        <f t="shared" si="2"/>
        <v>0</v>
      </c>
      <c r="N154" s="121">
        <f t="shared" si="2"/>
        <v>0</v>
      </c>
      <c r="O154" s="121"/>
    </row>
    <row r="155" spans="1:16">
      <c r="A155" s="1" t="s">
        <v>125</v>
      </c>
      <c r="B155" s="1072">
        <v>5</v>
      </c>
      <c r="C155" s="121">
        <f t="shared" ref="C155:N155" si="3">SQRT(C153*C157)</f>
        <v>0</v>
      </c>
      <c r="D155" s="121">
        <f t="shared" si="3"/>
        <v>0</v>
      </c>
      <c r="E155" s="121">
        <f t="shared" si="3"/>
        <v>0</v>
      </c>
      <c r="F155" s="121">
        <f t="shared" si="3"/>
        <v>0</v>
      </c>
      <c r="G155" s="121">
        <f t="shared" si="3"/>
        <v>0</v>
      </c>
      <c r="H155" s="121">
        <f t="shared" si="3"/>
        <v>0</v>
      </c>
      <c r="I155" s="121">
        <f t="shared" si="3"/>
        <v>0</v>
      </c>
      <c r="J155" s="121">
        <f t="shared" si="3"/>
        <v>0</v>
      </c>
      <c r="K155" s="121">
        <f t="shared" si="3"/>
        <v>0</v>
      </c>
      <c r="L155" s="121">
        <f t="shared" si="3"/>
        <v>0</v>
      </c>
      <c r="M155" s="121">
        <f t="shared" si="3"/>
        <v>0</v>
      </c>
      <c r="N155" s="121">
        <f t="shared" si="3"/>
        <v>0</v>
      </c>
      <c r="O155" s="121"/>
    </row>
    <row r="156" spans="1:16">
      <c r="A156" s="1" t="s">
        <v>593</v>
      </c>
      <c r="B156" s="1072">
        <v>6</v>
      </c>
      <c r="C156" s="121">
        <f t="shared" ref="C156:N156" si="4">SQRT(C157*C155)</f>
        <v>0</v>
      </c>
      <c r="D156" s="121">
        <f t="shared" si="4"/>
        <v>0</v>
      </c>
      <c r="E156" s="121">
        <f t="shared" si="4"/>
        <v>0</v>
      </c>
      <c r="F156" s="121">
        <f t="shared" si="4"/>
        <v>0</v>
      </c>
      <c r="G156" s="121">
        <f t="shared" si="4"/>
        <v>0</v>
      </c>
      <c r="H156" s="121">
        <f t="shared" si="4"/>
        <v>0</v>
      </c>
      <c r="I156" s="121">
        <f t="shared" si="4"/>
        <v>0</v>
      </c>
      <c r="J156" s="121">
        <f t="shared" si="4"/>
        <v>0</v>
      </c>
      <c r="K156" s="121">
        <f t="shared" si="4"/>
        <v>0</v>
      </c>
      <c r="L156" s="121">
        <f t="shared" si="4"/>
        <v>0</v>
      </c>
      <c r="M156" s="121">
        <f t="shared" si="4"/>
        <v>0</v>
      </c>
      <c r="N156" s="121">
        <f t="shared" si="4"/>
        <v>0</v>
      </c>
      <c r="O156" s="121"/>
    </row>
    <row r="157" spans="1:16">
      <c r="A157" s="1" t="s">
        <v>53</v>
      </c>
      <c r="B157" s="1072">
        <v>7</v>
      </c>
      <c r="C157" s="121">
        <f>IF(Klimastation="","",(VLOOKUP(Klimastation,Klima!$A$4:$BW$44,7))/3.6)</f>
        <v>0</v>
      </c>
      <c r="D157" s="121">
        <f>IF(Klimastation="","",(VLOOKUP(Klimastation,Klima!$A$4:$BW$44,13))/3.6)</f>
        <v>0</v>
      </c>
      <c r="E157" s="121">
        <f>IF(Klimastation="","",(VLOOKUP(Klimastation,Klima!$A$4:$BW$44,19))/3.6)</f>
        <v>0</v>
      </c>
      <c r="F157" s="121">
        <f>IF(Klimastation="","",(VLOOKUP(Klimastation,Klima!$A$4:$BW$44,25))/3.6)</f>
        <v>0</v>
      </c>
      <c r="G157" s="121">
        <f>IF(Klimastation="","",(VLOOKUP(Klimastation,Klima!$A$4:$BW$44,31))/3.6)</f>
        <v>0</v>
      </c>
      <c r="H157" s="121">
        <f>IF(Klimastation="","",(VLOOKUP(Klimastation,Klima!$A$4:$BW$44,37))/3.6)</f>
        <v>0</v>
      </c>
      <c r="I157" s="121">
        <f>IF(Klimastation="","",(VLOOKUP(Klimastation,Klima!$A$4:$BW$44,43))/3.6)</f>
        <v>0</v>
      </c>
      <c r="J157" s="121">
        <f>IF(Klimastation="","",(VLOOKUP(Klimastation,Klima!$A$4:$BW$44,49))/3.6)</f>
        <v>0</v>
      </c>
      <c r="K157" s="121">
        <f>IF(Klimastation="","",(VLOOKUP(Klimastation,Klima!$A$4:$BW$44,55))/3.6)</f>
        <v>0</v>
      </c>
      <c r="L157" s="121">
        <f>IF(Klimastation="","",(VLOOKUP(Klimastation,Klima!$A$4:$BW$44,61))/3.6)</f>
        <v>0</v>
      </c>
      <c r="M157" s="121">
        <f>IF(Klimastation="","",(VLOOKUP(Klimastation,Klima!$A$4:$BW$44,67))/3.6)</f>
        <v>0</v>
      </c>
      <c r="N157" s="121">
        <f>IF(Klimastation="","",(VLOOKUP(Klimastation,Klima!$A$4:$BW$44,73))/3.6)</f>
        <v>0</v>
      </c>
      <c r="O157" s="121">
        <f>SUM(C157:N157)</f>
        <v>0</v>
      </c>
      <c r="P157" s="118" t="s">
        <v>53</v>
      </c>
    </row>
    <row r="158" spans="1:16">
      <c r="A158" s="1" t="s">
        <v>594</v>
      </c>
      <c r="B158" s="1072">
        <v>8</v>
      </c>
      <c r="C158" s="121">
        <f t="shared" ref="C158:N158" si="5">SQRT(C159*C157)</f>
        <v>0</v>
      </c>
      <c r="D158" s="121">
        <f t="shared" si="5"/>
        <v>0</v>
      </c>
      <c r="E158" s="121">
        <f t="shared" si="5"/>
        <v>0</v>
      </c>
      <c r="F158" s="121">
        <f t="shared" si="5"/>
        <v>0</v>
      </c>
      <c r="G158" s="121">
        <f t="shared" si="5"/>
        <v>0</v>
      </c>
      <c r="H158" s="121">
        <f t="shared" si="5"/>
        <v>0</v>
      </c>
      <c r="I158" s="121">
        <f t="shared" si="5"/>
        <v>0</v>
      </c>
      <c r="J158" s="121">
        <f t="shared" si="5"/>
        <v>0</v>
      </c>
      <c r="K158" s="121">
        <f t="shared" si="5"/>
        <v>0</v>
      </c>
      <c r="L158" s="121">
        <f t="shared" si="5"/>
        <v>0</v>
      </c>
      <c r="M158" s="121">
        <f t="shared" si="5"/>
        <v>0</v>
      </c>
      <c r="N158" s="121">
        <f t="shared" si="5"/>
        <v>0</v>
      </c>
      <c r="O158" s="121"/>
    </row>
    <row r="159" spans="1:16">
      <c r="A159" s="1" t="s">
        <v>88</v>
      </c>
      <c r="B159" s="1072">
        <v>9</v>
      </c>
      <c r="C159" s="121">
        <f t="shared" ref="C159:N159" si="6">SQRT(C161*C157)</f>
        <v>0</v>
      </c>
      <c r="D159" s="121">
        <f t="shared" si="6"/>
        <v>0</v>
      </c>
      <c r="E159" s="121">
        <f t="shared" si="6"/>
        <v>0</v>
      </c>
      <c r="F159" s="121">
        <f t="shared" si="6"/>
        <v>0</v>
      </c>
      <c r="G159" s="121">
        <f t="shared" si="6"/>
        <v>0</v>
      </c>
      <c r="H159" s="121">
        <f t="shared" si="6"/>
        <v>0</v>
      </c>
      <c r="I159" s="121">
        <f t="shared" si="6"/>
        <v>0</v>
      </c>
      <c r="J159" s="121">
        <f t="shared" si="6"/>
        <v>0</v>
      </c>
      <c r="K159" s="121">
        <f t="shared" si="6"/>
        <v>0</v>
      </c>
      <c r="L159" s="121">
        <f t="shared" si="6"/>
        <v>0</v>
      </c>
      <c r="M159" s="121">
        <f t="shared" si="6"/>
        <v>0</v>
      </c>
      <c r="N159" s="121">
        <f t="shared" si="6"/>
        <v>0</v>
      </c>
      <c r="O159" s="121"/>
    </row>
    <row r="160" spans="1:16">
      <c r="A160" s="1" t="s">
        <v>595</v>
      </c>
      <c r="B160" s="1072">
        <v>10</v>
      </c>
      <c r="C160" s="121">
        <f t="shared" ref="C160:N160" si="7">SQRT(C161*C159)</f>
        <v>0</v>
      </c>
      <c r="D160" s="121">
        <f t="shared" si="7"/>
        <v>0</v>
      </c>
      <c r="E160" s="121">
        <f t="shared" si="7"/>
        <v>0</v>
      </c>
      <c r="F160" s="121">
        <f t="shared" si="7"/>
        <v>0</v>
      </c>
      <c r="G160" s="121">
        <f t="shared" si="7"/>
        <v>0</v>
      </c>
      <c r="H160" s="121">
        <f t="shared" si="7"/>
        <v>0</v>
      </c>
      <c r="I160" s="121">
        <f t="shared" si="7"/>
        <v>0</v>
      </c>
      <c r="J160" s="121">
        <f t="shared" si="7"/>
        <v>0</v>
      </c>
      <c r="K160" s="121">
        <f t="shared" si="7"/>
        <v>0</v>
      </c>
      <c r="L160" s="121">
        <f t="shared" si="7"/>
        <v>0</v>
      </c>
      <c r="M160" s="121">
        <f t="shared" si="7"/>
        <v>0</v>
      </c>
      <c r="N160" s="121">
        <f t="shared" si="7"/>
        <v>0</v>
      </c>
      <c r="O160" s="121"/>
    </row>
    <row r="161" spans="1:16">
      <c r="A161" s="1" t="s">
        <v>54</v>
      </c>
      <c r="B161" s="1072">
        <v>11</v>
      </c>
      <c r="C161" s="121">
        <f>IF(Klimastation="","",(VLOOKUP(Klimastation,Klima!$A$4:$BW$44,8))/3.6)</f>
        <v>0</v>
      </c>
      <c r="D161" s="121">
        <f>IF(Klimastation="","",(VLOOKUP(Klimastation,Klima!$A$4:$BW$44,14))/3.6)</f>
        <v>0</v>
      </c>
      <c r="E161" s="121">
        <f>IF(Klimastation="","",(VLOOKUP(Klimastation,Klima!$A$4:$BW$44,20))/3.6)</f>
        <v>0</v>
      </c>
      <c r="F161" s="121">
        <f>IF(Klimastation="","",(VLOOKUP(Klimastation,Klima!$A$4:$BW$44,26))/3.6)</f>
        <v>0</v>
      </c>
      <c r="G161" s="121">
        <f>IF(Klimastation="","",(VLOOKUP(Klimastation,Klima!$A$4:$BW$44,32))/3.6)</f>
        <v>0</v>
      </c>
      <c r="H161" s="121">
        <f>IF(Klimastation="","",(VLOOKUP(Klimastation,Klima!$A$4:$BW$44,38))/3.6)</f>
        <v>0</v>
      </c>
      <c r="I161" s="121">
        <f>IF(Klimastation="","",(VLOOKUP(Klimastation,Klima!$A$4:$BW$44,44))/3.6)</f>
        <v>0</v>
      </c>
      <c r="J161" s="121">
        <f>IF(Klimastation="","",(VLOOKUP(Klimastation,Klima!$A$4:$BW$44,50))/3.6)</f>
        <v>0</v>
      </c>
      <c r="K161" s="121">
        <f>IF(Klimastation="","",(VLOOKUP(Klimastation,Klima!$A$4:$BW$44,56))/3.6)</f>
        <v>0</v>
      </c>
      <c r="L161" s="121">
        <f>IF(Klimastation="","",(VLOOKUP(Klimastation,Klima!$A$4:$BW$44,62))/3.6)</f>
        <v>0</v>
      </c>
      <c r="M161" s="121">
        <f>IF(Klimastation="","",(VLOOKUP(Klimastation,Klima!$A$4:$BW$44,68))/3.6)</f>
        <v>0</v>
      </c>
      <c r="N161" s="121">
        <f>IF(Klimastation="","",(VLOOKUP(Klimastation,Klima!$A$4:$BW$44,74))/3.6)</f>
        <v>0</v>
      </c>
      <c r="O161" s="121">
        <f>SUM(C161:N161)</f>
        <v>0</v>
      </c>
      <c r="P161" s="118" t="s">
        <v>54</v>
      </c>
    </row>
    <row r="162" spans="1:16">
      <c r="A162" s="1" t="s">
        <v>588</v>
      </c>
      <c r="B162" s="1072">
        <v>12</v>
      </c>
      <c r="C162" s="121">
        <f t="shared" ref="C162:N162" si="8">SQRT(C161*C163)</f>
        <v>0</v>
      </c>
      <c r="D162" s="121">
        <f t="shared" si="8"/>
        <v>0</v>
      </c>
      <c r="E162" s="121">
        <f t="shared" si="8"/>
        <v>0</v>
      </c>
      <c r="F162" s="121">
        <f t="shared" si="8"/>
        <v>0</v>
      </c>
      <c r="G162" s="121">
        <f t="shared" si="8"/>
        <v>0</v>
      </c>
      <c r="H162" s="121">
        <f t="shared" si="8"/>
        <v>0</v>
      </c>
      <c r="I162" s="121">
        <f t="shared" si="8"/>
        <v>0</v>
      </c>
      <c r="J162" s="121">
        <f t="shared" si="8"/>
        <v>0</v>
      </c>
      <c r="K162" s="121">
        <f t="shared" si="8"/>
        <v>0</v>
      </c>
      <c r="L162" s="121">
        <f t="shared" si="8"/>
        <v>0</v>
      </c>
      <c r="M162" s="121">
        <f t="shared" si="8"/>
        <v>0</v>
      </c>
      <c r="N162" s="121">
        <f t="shared" si="8"/>
        <v>0</v>
      </c>
      <c r="O162" s="121"/>
    </row>
    <row r="163" spans="1:16">
      <c r="A163" s="1" t="s">
        <v>126</v>
      </c>
      <c r="B163" s="1072">
        <v>13</v>
      </c>
      <c r="C163" s="121">
        <f t="shared" ref="C163:N163" si="9">SQRT(C161*C165)</f>
        <v>0</v>
      </c>
      <c r="D163" s="121">
        <f t="shared" si="9"/>
        <v>0</v>
      </c>
      <c r="E163" s="121">
        <f t="shared" si="9"/>
        <v>0</v>
      </c>
      <c r="F163" s="121">
        <f t="shared" si="9"/>
        <v>0</v>
      </c>
      <c r="G163" s="121">
        <f t="shared" si="9"/>
        <v>0</v>
      </c>
      <c r="H163" s="121">
        <f t="shared" si="9"/>
        <v>0</v>
      </c>
      <c r="I163" s="121">
        <f t="shared" si="9"/>
        <v>0</v>
      </c>
      <c r="J163" s="121">
        <f t="shared" si="9"/>
        <v>0</v>
      </c>
      <c r="K163" s="121">
        <f t="shared" si="9"/>
        <v>0</v>
      </c>
      <c r="L163" s="121">
        <f t="shared" si="9"/>
        <v>0</v>
      </c>
      <c r="M163" s="121">
        <f t="shared" si="9"/>
        <v>0</v>
      </c>
      <c r="N163" s="121">
        <f t="shared" si="9"/>
        <v>0</v>
      </c>
      <c r="O163" s="121"/>
    </row>
    <row r="164" spans="1:16">
      <c r="A164" s="1" t="s">
        <v>672</v>
      </c>
      <c r="B164" s="1072">
        <v>14</v>
      </c>
      <c r="C164" s="121">
        <f t="shared" ref="C164:N164" si="10">SQRT(C163*C165)</f>
        <v>0</v>
      </c>
      <c r="D164" s="121">
        <f t="shared" si="10"/>
        <v>0</v>
      </c>
      <c r="E164" s="121">
        <f t="shared" si="10"/>
        <v>0</v>
      </c>
      <c r="F164" s="121">
        <f t="shared" si="10"/>
        <v>0</v>
      </c>
      <c r="G164" s="121">
        <f t="shared" si="10"/>
        <v>0</v>
      </c>
      <c r="H164" s="121">
        <f t="shared" si="10"/>
        <v>0</v>
      </c>
      <c r="I164" s="121">
        <f t="shared" si="10"/>
        <v>0</v>
      </c>
      <c r="J164" s="121">
        <f t="shared" si="10"/>
        <v>0</v>
      </c>
      <c r="K164" s="121">
        <f t="shared" si="10"/>
        <v>0</v>
      </c>
      <c r="L164" s="121">
        <f t="shared" si="10"/>
        <v>0</v>
      </c>
      <c r="M164" s="121">
        <f t="shared" si="10"/>
        <v>0</v>
      </c>
      <c r="N164" s="121">
        <f t="shared" si="10"/>
        <v>0</v>
      </c>
      <c r="O164" s="121"/>
    </row>
    <row r="165" spans="1:16">
      <c r="A165" s="1" t="s">
        <v>377</v>
      </c>
      <c r="B165" s="1072">
        <v>15</v>
      </c>
      <c r="C165" s="121">
        <f>IF(Klimastation="","",(VLOOKUP(Klimastation,Klima!$A$4:$BW$44,6))/3.6)</f>
        <v>0</v>
      </c>
      <c r="D165" s="121">
        <f>IF(Klimastation="","",(VLOOKUP(Klimastation,Klima!$A$4:$BW$44,12))/3.6)</f>
        <v>0</v>
      </c>
      <c r="E165" s="121">
        <f>IF(Klimastation="","",(VLOOKUP(Klimastation,Klima!$A$4:$BW$44,18))/3.6)</f>
        <v>0</v>
      </c>
      <c r="F165" s="121">
        <f>IF(Klimastation="","",(VLOOKUP(Klimastation,Klima!$A$4:$BW$44,24))/3.6)</f>
        <v>0</v>
      </c>
      <c r="G165" s="121">
        <f>IF(Klimastation="","",(VLOOKUP(Klimastation,Klima!$A$4:$BW$44,30))/3.6)</f>
        <v>0</v>
      </c>
      <c r="H165" s="121">
        <f>IF(Klimastation="","",(VLOOKUP(Klimastation,Klima!$A$4:$BW$44,36))/3.6)</f>
        <v>0</v>
      </c>
      <c r="I165" s="121">
        <f>IF(Klimastation="","",(VLOOKUP(Klimastation,Klima!$A$4:$BW$44,42))/3.6)</f>
        <v>0</v>
      </c>
      <c r="J165" s="121">
        <f>IF(Klimastation="","",(VLOOKUP(Klimastation,Klima!$A$4:$BW$44,48))/3.6)</f>
        <v>0</v>
      </c>
      <c r="K165" s="121">
        <f>IF(Klimastation="","",(VLOOKUP(Klimastation,Klima!$A$4:$BW$44,54))/3.6)</f>
        <v>0</v>
      </c>
      <c r="L165" s="121">
        <f>IF(Klimastation="","",(VLOOKUP(Klimastation,Klima!$A$4:$BW$44,60))/3.6)</f>
        <v>0</v>
      </c>
      <c r="M165" s="121">
        <f>IF(Klimastation="","",(VLOOKUP(Klimastation,Klima!$A$4:$BW$44,66))/3.6)</f>
        <v>0</v>
      </c>
      <c r="N165" s="121">
        <f>IF(Klimastation="","",(VLOOKUP(Klimastation,Klima!$A$4:$BW$44,72))/3.6)</f>
        <v>0</v>
      </c>
      <c r="O165" s="121">
        <f>SUM(C165:N165)</f>
        <v>0</v>
      </c>
      <c r="P165" s="118" t="s">
        <v>169</v>
      </c>
    </row>
    <row r="166" spans="1:16">
      <c r="A166" s="1" t="s">
        <v>590</v>
      </c>
      <c r="B166" s="1072">
        <v>16</v>
      </c>
      <c r="C166" s="121">
        <f t="shared" ref="C166:N166" si="11">SQRT(C165*C151)</f>
        <v>0</v>
      </c>
      <c r="D166" s="121">
        <f t="shared" si="11"/>
        <v>0</v>
      </c>
      <c r="E166" s="121">
        <f t="shared" si="11"/>
        <v>0</v>
      </c>
      <c r="F166" s="121">
        <f t="shared" si="11"/>
        <v>0</v>
      </c>
      <c r="G166" s="121">
        <f t="shared" si="11"/>
        <v>0</v>
      </c>
      <c r="H166" s="121">
        <f t="shared" si="11"/>
        <v>0</v>
      </c>
      <c r="I166" s="121">
        <f t="shared" si="11"/>
        <v>0</v>
      </c>
      <c r="J166" s="121">
        <f t="shared" si="11"/>
        <v>0</v>
      </c>
      <c r="K166" s="121">
        <f t="shared" si="11"/>
        <v>0</v>
      </c>
      <c r="L166" s="121">
        <f t="shared" si="11"/>
        <v>0</v>
      </c>
      <c r="M166" s="121">
        <f t="shared" si="11"/>
        <v>0</v>
      </c>
      <c r="N166" s="121">
        <f t="shared" si="11"/>
        <v>0</v>
      </c>
      <c r="O166" s="121"/>
    </row>
    <row r="173" spans="1:16">
      <c r="B173" s="2"/>
    </row>
  </sheetData>
  <mergeCells count="2">
    <mergeCell ref="F135:G135"/>
    <mergeCell ref="F136:G136"/>
  </mergeCells>
  <phoneticPr fontId="18" type="noConversion"/>
  <pageMargins left="0.7" right="0.7" top="0.75" bottom="0.75" header="0.4921259845" footer="0.4921259845"/>
  <pageSetup paperSize="0" orientation="portrait" horizontalDpi="4294967292" verticalDpi="429496729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tabColor rgb="FFFFFF00"/>
    <pageSetUpPr autoPageBreaks="0"/>
  </sheetPr>
  <dimension ref="B7:S98"/>
  <sheetViews>
    <sheetView showGridLines="0" showRowColHeaders="0" zoomScale="125" zoomScaleNormal="125" zoomScalePageLayoutView="125" workbookViewId="0">
      <selection activeCell="K125" sqref="K125"/>
    </sheetView>
  </sheetViews>
  <sheetFormatPr baseColWidth="10" defaultColWidth="10.875" defaultRowHeight="10.199999999999999"/>
  <cols>
    <col min="1" max="1" width="1.625" style="330" customWidth="1"/>
    <col min="2" max="2" width="6.625" style="330" customWidth="1"/>
    <col min="3" max="3" width="11.875" style="330" customWidth="1"/>
    <col min="4" max="19" width="7.375" style="330" customWidth="1"/>
    <col min="20" max="16384" width="10.875" style="330"/>
  </cols>
  <sheetData>
    <row r="7" spans="2:19" ht="18.75" customHeight="1">
      <c r="C7" s="384"/>
      <c r="D7" s="1390" t="s">
        <v>235</v>
      </c>
      <c r="E7" s="1390"/>
      <c r="F7" s="1390"/>
      <c r="G7" s="1390"/>
      <c r="H7" s="1390"/>
      <c r="I7" s="1390"/>
      <c r="J7" s="1390"/>
      <c r="K7" s="1390"/>
      <c r="L7" s="1390"/>
      <c r="M7" s="1390"/>
      <c r="N7" s="1390"/>
      <c r="O7" s="1390"/>
      <c r="P7" s="1390"/>
      <c r="Q7" s="1390"/>
      <c r="R7" s="1390"/>
      <c r="S7" s="1390"/>
    </row>
    <row r="9" spans="2:19" ht="10.8" thickBot="1"/>
    <row r="10" spans="2:19" ht="24.75" customHeight="1">
      <c r="D10" s="1394" t="s">
        <v>514</v>
      </c>
      <c r="E10" s="1395"/>
      <c r="F10" s="1395"/>
      <c r="G10" s="1396"/>
      <c r="H10" s="1394" t="s">
        <v>515</v>
      </c>
      <c r="I10" s="1395"/>
      <c r="J10" s="1395"/>
      <c r="K10" s="1395"/>
      <c r="L10" s="1395"/>
      <c r="M10" s="1395"/>
      <c r="N10" s="1395"/>
      <c r="O10" s="1395"/>
      <c r="P10" s="1395"/>
      <c r="Q10" s="1395"/>
      <c r="R10" s="1395"/>
      <c r="S10" s="1396"/>
    </row>
    <row r="11" spans="2:19" ht="24.75" customHeight="1" thickBot="1">
      <c r="B11" s="331"/>
      <c r="C11" s="332"/>
      <c r="D11" s="375"/>
      <c r="E11" s="376"/>
      <c r="F11" s="376"/>
      <c r="G11" s="377"/>
      <c r="H11" s="1397" t="s">
        <v>497</v>
      </c>
      <c r="I11" s="1398"/>
      <c r="J11" s="1398"/>
      <c r="K11" s="1399"/>
      <c r="L11" s="1400" t="s">
        <v>246</v>
      </c>
      <c r="M11" s="1398"/>
      <c r="N11" s="1398"/>
      <c r="O11" s="1399"/>
      <c r="P11" s="1400" t="s">
        <v>506</v>
      </c>
      <c r="Q11" s="1398"/>
      <c r="R11" s="1398"/>
      <c r="S11" s="1401"/>
    </row>
    <row r="12" spans="2:19" ht="24.75" customHeight="1" thickBot="1">
      <c r="B12" s="333"/>
      <c r="C12" s="645" t="s">
        <v>215</v>
      </c>
      <c r="D12" s="1020">
        <v>0.2</v>
      </c>
      <c r="E12" s="1021">
        <v>0.4</v>
      </c>
      <c r="F12" s="1022">
        <v>0.6</v>
      </c>
      <c r="G12" s="379">
        <v>1</v>
      </c>
      <c r="H12" s="1020">
        <v>0.2</v>
      </c>
      <c r="I12" s="1022">
        <v>0.4</v>
      </c>
      <c r="J12" s="1023">
        <v>0.6</v>
      </c>
      <c r="K12" s="380">
        <v>1</v>
      </c>
      <c r="L12" s="1024">
        <v>0.2</v>
      </c>
      <c r="M12" s="1022">
        <v>0.4</v>
      </c>
      <c r="N12" s="1024">
        <v>0.6</v>
      </c>
      <c r="O12" s="381">
        <v>1</v>
      </c>
      <c r="P12" s="1021">
        <v>0.2</v>
      </c>
      <c r="Q12" s="1022">
        <v>0.4</v>
      </c>
      <c r="R12" s="1023">
        <v>0.6</v>
      </c>
      <c r="S12" s="379">
        <v>1</v>
      </c>
    </row>
    <row r="13" spans="2:19" ht="24.75" customHeight="1">
      <c r="B13" s="1391" t="s">
        <v>37</v>
      </c>
      <c r="C13" s="382" t="s">
        <v>236</v>
      </c>
      <c r="D13" s="334">
        <v>1</v>
      </c>
      <c r="E13" s="373">
        <v>1</v>
      </c>
      <c r="F13" s="335">
        <v>1</v>
      </c>
      <c r="G13" s="336">
        <v>1</v>
      </c>
      <c r="H13" s="334">
        <v>0.82</v>
      </c>
      <c r="I13" s="335">
        <v>0.69</v>
      </c>
      <c r="J13" s="337">
        <v>0.6</v>
      </c>
      <c r="K13" s="337">
        <v>0.49</v>
      </c>
      <c r="L13" s="335">
        <v>0.67</v>
      </c>
      <c r="M13" s="335">
        <v>0.52</v>
      </c>
      <c r="N13" s="335">
        <v>0.43</v>
      </c>
      <c r="O13" s="335">
        <v>0.31</v>
      </c>
      <c r="P13" s="335">
        <v>0.53</v>
      </c>
      <c r="Q13" s="335">
        <v>0.37</v>
      </c>
      <c r="R13" s="337">
        <v>0.28999999999999998</v>
      </c>
      <c r="S13" s="336">
        <v>0.2</v>
      </c>
    </row>
    <row r="14" spans="2:19" ht="24.75" customHeight="1">
      <c r="B14" s="1392"/>
      <c r="C14" s="382" t="s">
        <v>237</v>
      </c>
      <c r="D14" s="334">
        <v>0.92</v>
      </c>
      <c r="E14" s="373">
        <v>0.88</v>
      </c>
      <c r="F14" s="335">
        <v>0.85</v>
      </c>
      <c r="G14" s="336">
        <v>0.8</v>
      </c>
      <c r="H14" s="334">
        <v>0.8</v>
      </c>
      <c r="I14" s="335">
        <v>0.67</v>
      </c>
      <c r="J14" s="337">
        <v>0.56999999999999995</v>
      </c>
      <c r="K14" s="337">
        <v>0.46</v>
      </c>
      <c r="L14" s="335">
        <v>0.66</v>
      </c>
      <c r="M14" s="335">
        <v>0.51</v>
      </c>
      <c r="N14" s="335">
        <v>0.41</v>
      </c>
      <c r="O14" s="335">
        <v>0.3</v>
      </c>
      <c r="P14" s="335">
        <v>0.53</v>
      </c>
      <c r="Q14" s="335">
        <v>0.36</v>
      </c>
      <c r="R14" s="337">
        <v>0.28000000000000003</v>
      </c>
      <c r="S14" s="336">
        <v>0.2</v>
      </c>
    </row>
    <row r="15" spans="2:19" ht="24.75" customHeight="1">
      <c r="B15" s="1392"/>
      <c r="C15" s="382" t="s">
        <v>351</v>
      </c>
      <c r="D15" s="334">
        <v>0.88</v>
      </c>
      <c r="E15" s="373">
        <v>0.83</v>
      </c>
      <c r="F15" s="335">
        <v>0.78</v>
      </c>
      <c r="G15" s="336">
        <v>0.7</v>
      </c>
      <c r="H15" s="334">
        <v>0.79</v>
      </c>
      <c r="I15" s="335">
        <v>0.65</v>
      </c>
      <c r="J15" s="337">
        <v>0.55000000000000004</v>
      </c>
      <c r="K15" s="337">
        <v>0.43</v>
      </c>
      <c r="L15" s="335">
        <v>0.65</v>
      </c>
      <c r="M15" s="335">
        <v>0.49</v>
      </c>
      <c r="N15" s="335">
        <v>0.4</v>
      </c>
      <c r="O15" s="335">
        <v>0.28999999999999998</v>
      </c>
      <c r="P15" s="335">
        <v>0.52</v>
      </c>
      <c r="Q15" s="335">
        <v>0.36</v>
      </c>
      <c r="R15" s="337">
        <v>0.27</v>
      </c>
      <c r="S15" s="336">
        <v>0.19</v>
      </c>
    </row>
    <row r="16" spans="2:19" ht="24.75" customHeight="1">
      <c r="B16" s="1392"/>
      <c r="C16" s="382" t="s">
        <v>144</v>
      </c>
      <c r="D16" s="334">
        <v>0.82</v>
      </c>
      <c r="E16" s="373">
        <v>0.73</v>
      </c>
      <c r="F16" s="335">
        <v>0.66</v>
      </c>
      <c r="G16" s="336">
        <v>0.56000000000000005</v>
      </c>
      <c r="H16" s="334">
        <v>0.76</v>
      </c>
      <c r="I16" s="335">
        <v>0.61</v>
      </c>
      <c r="J16" s="337">
        <v>0.51</v>
      </c>
      <c r="K16" s="337">
        <v>0.39</v>
      </c>
      <c r="L16" s="335">
        <v>0.63</v>
      </c>
      <c r="M16" s="335">
        <v>0.47</v>
      </c>
      <c r="N16" s="335">
        <v>0.37</v>
      </c>
      <c r="O16" s="335">
        <v>0.27</v>
      </c>
      <c r="P16" s="335">
        <v>0.5</v>
      </c>
      <c r="Q16" s="335">
        <v>0.34</v>
      </c>
      <c r="R16" s="337">
        <v>0.26</v>
      </c>
      <c r="S16" s="336">
        <v>0.18</v>
      </c>
    </row>
    <row r="17" spans="2:19" ht="24.75" customHeight="1">
      <c r="B17" s="1392"/>
      <c r="C17" s="382" t="s">
        <v>158</v>
      </c>
      <c r="D17" s="334">
        <v>0.77</v>
      </c>
      <c r="E17" s="373">
        <v>0.66</v>
      </c>
      <c r="F17" s="335">
        <v>0.57999999999999996</v>
      </c>
      <c r="G17" s="336">
        <v>0.48</v>
      </c>
      <c r="H17" s="334">
        <v>0.73</v>
      </c>
      <c r="I17" s="335">
        <v>0.56999999999999995</v>
      </c>
      <c r="J17" s="337">
        <v>0.47</v>
      </c>
      <c r="K17" s="337">
        <v>0.35</v>
      </c>
      <c r="L17" s="335">
        <v>0.61</v>
      </c>
      <c r="M17" s="335">
        <v>0.45</v>
      </c>
      <c r="N17" s="335">
        <v>0.35</v>
      </c>
      <c r="O17" s="335">
        <v>0.25</v>
      </c>
      <c r="P17" s="335">
        <v>0.49</v>
      </c>
      <c r="Q17" s="335">
        <v>0.33</v>
      </c>
      <c r="R17" s="337">
        <v>0.25</v>
      </c>
      <c r="S17" s="336">
        <v>0.17</v>
      </c>
    </row>
    <row r="18" spans="2:19" ht="24.75" customHeight="1">
      <c r="B18" s="1392"/>
      <c r="C18" s="382" t="s">
        <v>159</v>
      </c>
      <c r="D18" s="334">
        <v>0.69</v>
      </c>
      <c r="E18" s="373">
        <v>0.56000000000000005</v>
      </c>
      <c r="F18" s="335">
        <v>0.47</v>
      </c>
      <c r="G18" s="336">
        <v>0.37</v>
      </c>
      <c r="H18" s="334">
        <v>0.68</v>
      </c>
      <c r="I18" s="335">
        <v>0.51</v>
      </c>
      <c r="J18" s="337">
        <v>0.41</v>
      </c>
      <c r="K18" s="337">
        <v>0.3</v>
      </c>
      <c r="L18" s="335">
        <v>0.56999999999999995</v>
      </c>
      <c r="M18" s="335">
        <v>0.41</v>
      </c>
      <c r="N18" s="335">
        <v>0.32</v>
      </c>
      <c r="O18" s="335">
        <v>0.22</v>
      </c>
      <c r="P18" s="335">
        <v>0.47</v>
      </c>
      <c r="Q18" s="335">
        <v>0.31</v>
      </c>
      <c r="R18" s="337">
        <v>0.23</v>
      </c>
      <c r="S18" s="336">
        <v>0.16</v>
      </c>
    </row>
    <row r="19" spans="2:19" ht="24.75" customHeight="1" thickBot="1">
      <c r="B19" s="1393"/>
      <c r="C19" s="383" t="s">
        <v>160</v>
      </c>
      <c r="D19" s="338">
        <v>0.55000000000000004</v>
      </c>
      <c r="E19" s="374">
        <v>0.41</v>
      </c>
      <c r="F19" s="339">
        <v>0.33</v>
      </c>
      <c r="G19" s="340">
        <v>0.25</v>
      </c>
      <c r="H19" s="338">
        <v>0.57999999999999996</v>
      </c>
      <c r="I19" s="339">
        <v>0.41</v>
      </c>
      <c r="J19" s="341">
        <v>0.32</v>
      </c>
      <c r="K19" s="341">
        <v>0.22</v>
      </c>
      <c r="L19" s="339">
        <v>0.5</v>
      </c>
      <c r="M19" s="339">
        <v>0.33</v>
      </c>
      <c r="N19" s="339">
        <v>0.25</v>
      </c>
      <c r="O19" s="339">
        <v>0.17</v>
      </c>
      <c r="P19" s="339">
        <v>0.42</v>
      </c>
      <c r="Q19" s="339">
        <v>0.27</v>
      </c>
      <c r="R19" s="341">
        <v>0.2</v>
      </c>
      <c r="S19" s="340">
        <v>0.13</v>
      </c>
    </row>
    <row r="30" spans="2:19" ht="15.75" customHeight="1">
      <c r="D30" s="378" t="s">
        <v>507</v>
      </c>
      <c r="E30" s="378"/>
      <c r="F30" s="378" t="s">
        <v>555</v>
      </c>
      <c r="G30" s="342"/>
      <c r="H30" s="342"/>
      <c r="I30" s="342"/>
      <c r="J30" s="342"/>
      <c r="K30" s="342"/>
      <c r="L30" s="342"/>
      <c r="M30" s="342"/>
      <c r="N30" s="342"/>
      <c r="O30" s="342"/>
      <c r="P30" s="342"/>
      <c r="Q30" s="342"/>
      <c r="R30" s="342"/>
    </row>
    <row r="31" spans="2:19" ht="15.75" customHeight="1">
      <c r="D31" s="378" t="s">
        <v>311</v>
      </c>
      <c r="E31" s="378"/>
      <c r="F31" s="378" t="s">
        <v>394</v>
      </c>
      <c r="G31" s="342"/>
      <c r="H31" s="342"/>
      <c r="I31" s="342"/>
      <c r="J31" s="342"/>
      <c r="K31" s="342"/>
      <c r="L31" s="342"/>
      <c r="M31" s="342"/>
      <c r="N31" s="342"/>
      <c r="O31" s="342"/>
      <c r="P31" s="342"/>
      <c r="Q31" s="342"/>
      <c r="R31" s="342"/>
    </row>
    <row r="32" spans="2:19" ht="15.75" customHeight="1">
      <c r="D32" s="378" t="s">
        <v>252</v>
      </c>
      <c r="E32" s="378"/>
      <c r="F32" s="378" t="s">
        <v>225</v>
      </c>
      <c r="G32" s="342"/>
      <c r="H32" s="342"/>
      <c r="I32" s="342"/>
      <c r="J32" s="342"/>
      <c r="K32" s="342"/>
      <c r="L32" s="342"/>
      <c r="M32" s="342"/>
      <c r="N32" s="342"/>
      <c r="O32" s="342"/>
      <c r="P32" s="342"/>
      <c r="Q32" s="342"/>
      <c r="R32" s="342"/>
    </row>
    <row r="33" spans="4:18" ht="15.75" customHeight="1">
      <c r="D33" s="378" t="s">
        <v>253</v>
      </c>
      <c r="E33" s="378"/>
      <c r="F33" s="1389" t="s">
        <v>69</v>
      </c>
      <c r="G33" s="1389"/>
      <c r="H33" s="1389"/>
      <c r="I33" s="1389"/>
      <c r="J33" s="1389"/>
      <c r="K33" s="1389"/>
      <c r="L33" s="1389"/>
      <c r="M33" s="1389"/>
      <c r="N33" s="371"/>
      <c r="O33" s="371"/>
      <c r="P33" s="371"/>
      <c r="Q33" s="371"/>
      <c r="R33" s="371"/>
    </row>
    <row r="34" spans="4:18" ht="15.75" customHeight="1">
      <c r="D34" s="342"/>
      <c r="E34" s="342"/>
      <c r="F34" s="1389"/>
      <c r="G34" s="1389"/>
      <c r="H34" s="1389"/>
      <c r="I34" s="1389"/>
      <c r="J34" s="1389"/>
      <c r="K34" s="1389"/>
      <c r="L34" s="1389"/>
      <c r="M34" s="1389"/>
      <c r="N34" s="371"/>
      <c r="O34" s="371"/>
      <c r="P34" s="371"/>
      <c r="Q34" s="371"/>
      <c r="R34" s="371"/>
    </row>
    <row r="35" spans="4:18" ht="15.75" customHeight="1">
      <c r="D35" s="342"/>
      <c r="E35" s="342"/>
      <c r="F35" s="1389"/>
      <c r="G35" s="1389"/>
      <c r="H35" s="1389"/>
      <c r="I35" s="1389"/>
      <c r="J35" s="1389"/>
      <c r="K35" s="1389"/>
      <c r="L35" s="1389"/>
      <c r="M35" s="1389"/>
      <c r="N35" s="371"/>
      <c r="O35" s="371"/>
      <c r="P35" s="371"/>
      <c r="Q35" s="371"/>
      <c r="R35" s="371"/>
    </row>
    <row r="36" spans="4:18" ht="15.75" customHeight="1">
      <c r="F36" s="1389"/>
      <c r="G36" s="1389"/>
      <c r="H36" s="1389"/>
      <c r="I36" s="1389"/>
      <c r="J36" s="1389"/>
      <c r="K36" s="1389"/>
      <c r="L36" s="1389"/>
      <c r="M36" s="1389"/>
    </row>
    <row r="37" spans="4:18">
      <c r="F37" s="1389"/>
      <c r="G37" s="1389"/>
      <c r="H37" s="1389"/>
      <c r="I37" s="1389"/>
      <c r="J37" s="1389"/>
      <c r="K37" s="1389"/>
      <c r="L37" s="1389"/>
      <c r="M37" s="1389"/>
    </row>
    <row r="53" spans="2:19" ht="12.6">
      <c r="B53" s="343"/>
      <c r="C53" s="343"/>
      <c r="D53" s="343"/>
      <c r="E53" s="343"/>
      <c r="F53" s="343"/>
      <c r="G53" s="343"/>
      <c r="H53" s="343"/>
      <c r="I53" s="343"/>
      <c r="J53" s="343"/>
      <c r="K53" s="343"/>
      <c r="L53" s="343"/>
      <c r="M53" s="343"/>
      <c r="N53" s="343"/>
      <c r="O53" s="343"/>
      <c r="P53" s="343"/>
      <c r="Q53" s="343"/>
      <c r="R53" s="343"/>
      <c r="S53" s="343"/>
    </row>
    <row r="54" spans="2:19" ht="12.6">
      <c r="B54" s="343"/>
      <c r="C54" s="343"/>
      <c r="D54" s="343"/>
      <c r="E54" s="343"/>
      <c r="F54" s="343"/>
      <c r="G54" s="343"/>
      <c r="H54" s="343"/>
      <c r="I54" s="343"/>
      <c r="J54" s="343"/>
      <c r="K54" s="343"/>
      <c r="L54" s="343"/>
      <c r="M54" s="343"/>
      <c r="N54" s="343"/>
      <c r="O54" s="343"/>
      <c r="P54" s="343"/>
      <c r="Q54" s="343"/>
      <c r="R54" s="343"/>
      <c r="S54" s="343"/>
    </row>
    <row r="55" spans="2:19" ht="12.6">
      <c r="B55" s="343"/>
      <c r="C55" s="343"/>
      <c r="D55" s="343"/>
      <c r="E55" s="343"/>
      <c r="F55" s="343"/>
      <c r="G55" s="343"/>
      <c r="H55" s="343"/>
      <c r="I55" s="343"/>
      <c r="J55" s="343"/>
      <c r="K55" s="343"/>
      <c r="L55" s="343"/>
      <c r="M55" s="343"/>
      <c r="N55" s="343"/>
      <c r="O55" s="343"/>
      <c r="P55" s="343"/>
      <c r="Q55" s="343"/>
      <c r="R55" s="343"/>
      <c r="S55" s="343"/>
    </row>
    <row r="56" spans="2:19" ht="12.6">
      <c r="B56" s="343"/>
      <c r="C56" s="343"/>
      <c r="D56" s="343"/>
      <c r="E56" s="343"/>
      <c r="F56" s="343"/>
      <c r="G56" s="343"/>
      <c r="H56" s="343"/>
      <c r="I56" s="343"/>
      <c r="J56" s="343"/>
      <c r="K56" s="343"/>
      <c r="L56" s="343"/>
      <c r="M56" s="343"/>
      <c r="N56" s="343"/>
      <c r="O56" s="343"/>
      <c r="P56" s="343"/>
      <c r="Q56" s="343"/>
      <c r="R56" s="343"/>
      <c r="S56" s="343"/>
    </row>
    <row r="57" spans="2:19" ht="12.75" customHeight="1">
      <c r="B57" s="343"/>
      <c r="C57" s="343"/>
      <c r="D57" s="343"/>
      <c r="E57" s="343"/>
      <c r="F57" s="343"/>
      <c r="G57" s="343"/>
      <c r="H57" s="343"/>
      <c r="I57" s="343"/>
      <c r="J57" s="343"/>
      <c r="K57" s="343"/>
      <c r="L57" s="343"/>
      <c r="M57" s="343"/>
      <c r="N57" s="343"/>
      <c r="O57" s="343"/>
      <c r="P57" s="343"/>
      <c r="Q57" s="343"/>
      <c r="R57" s="343"/>
      <c r="S57" s="343"/>
    </row>
    <row r="58" spans="2:19" ht="12" customHeight="1">
      <c r="B58" s="343"/>
      <c r="C58" s="343"/>
      <c r="D58" s="343"/>
      <c r="E58" s="343"/>
      <c r="F58" s="343"/>
      <c r="G58" s="343"/>
      <c r="H58" s="343"/>
      <c r="I58" s="343"/>
      <c r="J58" s="343"/>
      <c r="K58" s="343"/>
      <c r="L58" s="343"/>
      <c r="M58" s="343"/>
      <c r="N58" s="343"/>
      <c r="O58" s="343"/>
      <c r="P58" s="343"/>
      <c r="Q58" s="343"/>
      <c r="R58" s="343"/>
      <c r="S58" s="343"/>
    </row>
    <row r="59" spans="2:19" ht="12.6">
      <c r="B59" s="343"/>
      <c r="C59" s="343"/>
      <c r="D59" s="343"/>
      <c r="E59" s="343"/>
      <c r="F59" s="343"/>
      <c r="G59" s="343"/>
      <c r="H59" s="343"/>
      <c r="I59" s="343"/>
      <c r="J59" s="343"/>
      <c r="K59" s="343"/>
      <c r="L59" s="343"/>
      <c r="M59" s="343"/>
      <c r="N59" s="343"/>
      <c r="O59" s="343"/>
      <c r="P59" s="343"/>
      <c r="Q59" s="343"/>
      <c r="R59" s="343"/>
      <c r="S59" s="343"/>
    </row>
    <row r="60" spans="2:19" ht="12.6">
      <c r="B60" s="343"/>
      <c r="C60" s="343"/>
      <c r="D60" s="343"/>
      <c r="E60" s="343"/>
      <c r="F60" s="343"/>
      <c r="G60" s="343"/>
      <c r="H60" s="343"/>
      <c r="I60" s="343"/>
      <c r="J60" s="343"/>
      <c r="K60" s="343"/>
      <c r="L60" s="343"/>
      <c r="M60" s="343"/>
      <c r="N60" s="343"/>
      <c r="O60" s="343"/>
      <c r="P60" s="343"/>
      <c r="Q60" s="343"/>
      <c r="R60" s="343"/>
      <c r="S60" s="343"/>
    </row>
    <row r="61" spans="2:19" ht="12.6">
      <c r="B61" s="343"/>
      <c r="C61" s="343"/>
      <c r="D61" s="343"/>
      <c r="E61" s="343"/>
      <c r="F61" s="343"/>
      <c r="G61" s="343"/>
      <c r="H61" s="343"/>
      <c r="I61" s="343"/>
      <c r="J61" s="343"/>
      <c r="K61" s="343"/>
      <c r="L61" s="343"/>
      <c r="M61" s="343"/>
      <c r="N61" s="343"/>
      <c r="O61" s="343"/>
      <c r="P61" s="343"/>
      <c r="Q61" s="343"/>
      <c r="R61" s="343"/>
      <c r="S61" s="343"/>
    </row>
    <row r="63" spans="2:19" ht="12" customHeight="1"/>
    <row r="67" ht="12" customHeight="1"/>
    <row r="72" ht="12" customHeight="1"/>
    <row r="77" ht="12" customHeight="1"/>
    <row r="80" ht="12" customHeight="1"/>
    <row r="83" ht="12" customHeight="1"/>
    <row r="87" ht="12" customHeight="1"/>
    <row r="91" ht="12" customHeight="1"/>
    <row r="95" ht="12" customHeight="1"/>
    <row r="98" ht="12" customHeight="1"/>
  </sheetData>
  <sheetProtection algorithmName="SHA-512" hashValue="JLtuNoY/Ib/ObEndmdXUH+BeHA8WyyhnvqdG17RlVhqHsfWqgDu3t1VzYdO/jfM0Z4OkxiAcP5yvEzt/UO1MHA==" saltValue="LnR6J3JqLWHLFLzKjodBvw==" spinCount="100000" sheet="1" objects="1" scenarios="1" selectLockedCells="1"/>
  <mergeCells count="8">
    <mergeCell ref="F33:M37"/>
    <mergeCell ref="D7:S7"/>
    <mergeCell ref="B13:B19"/>
    <mergeCell ref="D10:G10"/>
    <mergeCell ref="H10:S10"/>
    <mergeCell ref="H11:K11"/>
    <mergeCell ref="L11:O11"/>
    <mergeCell ref="P11:S11"/>
  </mergeCells>
  <phoneticPr fontId="18" type="noConversion"/>
  <pageMargins left="0.7" right="0.7" top="0.75" bottom="0.75" header="0.4921259845" footer="0.4921259845"/>
  <pageSetup paperSize="0" orientation="portrait" horizontalDpi="4294967292" verticalDpi="429496729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1">
    <tabColor rgb="FFFFFF00"/>
    <pageSetUpPr autoPageBreaks="0"/>
  </sheetPr>
  <dimension ref="B3:O80"/>
  <sheetViews>
    <sheetView showGridLines="0" showRowColHeaders="0" zoomScale="110" zoomScaleNormal="110" zoomScalePageLayoutView="110" workbookViewId="0">
      <selection activeCell="O117" sqref="O117"/>
    </sheetView>
  </sheetViews>
  <sheetFormatPr baseColWidth="10" defaultColWidth="10.875" defaultRowHeight="10.199999999999999"/>
  <cols>
    <col min="1" max="1" width="3.5" style="330" customWidth="1"/>
    <col min="2" max="2" width="5" style="330" customWidth="1"/>
    <col min="3" max="3" width="14" style="330" customWidth="1"/>
    <col min="4" max="15" width="7.875" style="330" customWidth="1"/>
    <col min="16" max="16384" width="10.875" style="330"/>
  </cols>
  <sheetData>
    <row r="3" spans="2:15" ht="12.6">
      <c r="B3" s="343"/>
      <c r="C3" s="346"/>
      <c r="D3" s="347"/>
      <c r="E3" s="348"/>
      <c r="F3" s="346"/>
      <c r="G3" s="347"/>
      <c r="H3" s="347"/>
      <c r="I3" s="347"/>
      <c r="J3" s="347"/>
      <c r="K3" s="347"/>
      <c r="L3" s="347"/>
      <c r="M3" s="348"/>
      <c r="N3" s="343"/>
      <c r="O3" s="343"/>
    </row>
    <row r="4" spans="2:15" ht="12.6">
      <c r="B4" s="343"/>
      <c r="C4" s="366" t="s">
        <v>223</v>
      </c>
      <c r="D4" s="345"/>
      <c r="E4" s="350"/>
      <c r="F4" s="366" t="s">
        <v>438</v>
      </c>
      <c r="G4" s="345"/>
      <c r="H4" s="345"/>
      <c r="I4" s="345"/>
      <c r="J4" s="345"/>
      <c r="K4" s="345"/>
      <c r="L4" s="345"/>
      <c r="M4" s="354"/>
      <c r="N4" s="343"/>
      <c r="O4" s="343"/>
    </row>
    <row r="5" spans="2:15" ht="12.6">
      <c r="B5" s="343"/>
      <c r="C5" s="349"/>
      <c r="D5" s="345"/>
      <c r="E5" s="350"/>
      <c r="F5" s="349"/>
      <c r="G5" s="345"/>
      <c r="H5" s="345"/>
      <c r="I5" s="345"/>
      <c r="J5" s="345"/>
      <c r="K5" s="345"/>
      <c r="L5" s="345"/>
      <c r="M5" s="354"/>
      <c r="N5" s="343"/>
      <c r="O5" s="343"/>
    </row>
    <row r="6" spans="2:15" ht="12.6">
      <c r="B6" s="343"/>
      <c r="C6" s="346"/>
      <c r="D6" s="348"/>
      <c r="E6" s="367"/>
      <c r="F6" s="346"/>
      <c r="G6" s="347"/>
      <c r="H6" s="347"/>
      <c r="I6" s="347"/>
      <c r="J6" s="347"/>
      <c r="K6" s="347"/>
      <c r="L6" s="347"/>
      <c r="M6" s="348"/>
      <c r="N6" s="343"/>
      <c r="O6" s="343"/>
    </row>
    <row r="7" spans="2:15" ht="12.6">
      <c r="B7" s="343"/>
      <c r="C7" s="366" t="s">
        <v>224</v>
      </c>
      <c r="D7" s="350"/>
      <c r="E7" s="368" t="s">
        <v>439</v>
      </c>
      <c r="F7" s="1402" t="s">
        <v>596</v>
      </c>
      <c r="G7" s="1403"/>
      <c r="H7" s="1403"/>
      <c r="I7" s="1403"/>
      <c r="J7" s="1403"/>
      <c r="K7" s="1403"/>
      <c r="L7" s="1403"/>
      <c r="M7" s="1404"/>
      <c r="N7" s="344"/>
      <c r="O7" s="344"/>
    </row>
    <row r="8" spans="2:15" ht="12.6">
      <c r="B8" s="343"/>
      <c r="C8" s="349"/>
      <c r="D8" s="350"/>
      <c r="E8" s="368"/>
      <c r="F8" s="1402"/>
      <c r="G8" s="1403"/>
      <c r="H8" s="1403"/>
      <c r="I8" s="1403"/>
      <c r="J8" s="1403"/>
      <c r="K8" s="1403"/>
      <c r="L8" s="1403"/>
      <c r="M8" s="1404"/>
      <c r="N8" s="344"/>
      <c r="O8" s="344"/>
    </row>
    <row r="9" spans="2:15" ht="12.6">
      <c r="B9" s="343"/>
      <c r="C9" s="349"/>
      <c r="D9" s="350"/>
      <c r="E9" s="368"/>
      <c r="F9" s="1402"/>
      <c r="G9" s="1403"/>
      <c r="H9" s="1403"/>
      <c r="I9" s="1403"/>
      <c r="J9" s="1403"/>
      <c r="K9" s="1403"/>
      <c r="L9" s="1403"/>
      <c r="M9" s="1404"/>
      <c r="N9" s="344"/>
      <c r="O9" s="344"/>
    </row>
    <row r="10" spans="2:15" ht="12.6">
      <c r="B10" s="343"/>
      <c r="C10" s="349"/>
      <c r="D10" s="350"/>
      <c r="E10" s="368"/>
      <c r="F10" s="1402"/>
      <c r="G10" s="1403"/>
      <c r="H10" s="1403"/>
      <c r="I10" s="1403"/>
      <c r="J10" s="1403"/>
      <c r="K10" s="1403"/>
      <c r="L10" s="1403"/>
      <c r="M10" s="1404"/>
      <c r="N10" s="344"/>
      <c r="O10" s="344"/>
    </row>
    <row r="11" spans="2:15" ht="12.6">
      <c r="B11" s="343"/>
      <c r="C11" s="351"/>
      <c r="D11" s="353"/>
      <c r="E11" s="369"/>
      <c r="F11" s="360"/>
      <c r="G11" s="361"/>
      <c r="H11" s="361"/>
      <c r="I11" s="361"/>
      <c r="J11" s="361"/>
      <c r="K11" s="361"/>
      <c r="L11" s="361"/>
      <c r="M11" s="362"/>
      <c r="N11" s="344"/>
      <c r="O11" s="344"/>
    </row>
    <row r="12" spans="2:15" ht="12.6">
      <c r="B12" s="343"/>
      <c r="C12" s="346"/>
      <c r="D12" s="365"/>
      <c r="E12" s="370"/>
      <c r="F12" s="363"/>
      <c r="G12" s="356"/>
      <c r="H12" s="356"/>
      <c r="I12" s="356"/>
      <c r="J12" s="356"/>
      <c r="K12" s="356"/>
      <c r="L12" s="356"/>
      <c r="M12" s="364"/>
      <c r="N12" s="344"/>
      <c r="O12" s="344"/>
    </row>
    <row r="13" spans="2:15" ht="12.6">
      <c r="B13" s="343"/>
      <c r="C13" s="366" t="s">
        <v>241</v>
      </c>
      <c r="D13" s="350"/>
      <c r="E13" s="368" t="s">
        <v>440</v>
      </c>
      <c r="F13" s="1402" t="s">
        <v>416</v>
      </c>
      <c r="G13" s="1403"/>
      <c r="H13" s="1403"/>
      <c r="I13" s="1403"/>
      <c r="J13" s="1403"/>
      <c r="K13" s="1403"/>
      <c r="L13" s="1403"/>
      <c r="M13" s="1404"/>
      <c r="N13" s="344"/>
      <c r="O13" s="344"/>
    </row>
    <row r="14" spans="2:15" ht="12.6">
      <c r="B14" s="343"/>
      <c r="C14" s="349"/>
      <c r="D14" s="350"/>
      <c r="E14" s="368"/>
      <c r="F14" s="1402"/>
      <c r="G14" s="1403"/>
      <c r="H14" s="1403"/>
      <c r="I14" s="1403"/>
      <c r="J14" s="1403"/>
      <c r="K14" s="1403"/>
      <c r="L14" s="1403"/>
      <c r="M14" s="1404"/>
      <c r="N14" s="344"/>
      <c r="O14" s="344"/>
    </row>
    <row r="15" spans="2:15" ht="12" customHeight="1">
      <c r="B15" s="343"/>
      <c r="C15" s="351"/>
      <c r="D15" s="353"/>
      <c r="E15" s="369"/>
      <c r="F15" s="360"/>
      <c r="G15" s="361"/>
      <c r="H15" s="361"/>
      <c r="I15" s="361"/>
      <c r="J15" s="361"/>
      <c r="K15" s="361"/>
      <c r="L15" s="361"/>
      <c r="M15" s="362"/>
      <c r="N15" s="344"/>
      <c r="O15" s="344"/>
    </row>
    <row r="16" spans="2:15" ht="12.6">
      <c r="B16" s="343"/>
      <c r="C16" s="346"/>
      <c r="D16" s="365"/>
      <c r="E16" s="370"/>
      <c r="F16" s="363"/>
      <c r="G16" s="356"/>
      <c r="H16" s="356"/>
      <c r="I16" s="356"/>
      <c r="J16" s="356"/>
      <c r="K16" s="356"/>
      <c r="L16" s="356"/>
      <c r="M16" s="364"/>
      <c r="N16" s="344"/>
      <c r="O16" s="344"/>
    </row>
    <row r="17" spans="2:15" ht="12.6">
      <c r="B17" s="343"/>
      <c r="C17" s="366" t="s">
        <v>242</v>
      </c>
      <c r="D17" s="350"/>
      <c r="E17" s="368" t="s">
        <v>417</v>
      </c>
      <c r="F17" s="1402" t="s">
        <v>488</v>
      </c>
      <c r="G17" s="1403"/>
      <c r="H17" s="1403"/>
      <c r="I17" s="1403"/>
      <c r="J17" s="1403"/>
      <c r="K17" s="1403"/>
      <c r="L17" s="1403"/>
      <c r="M17" s="1404"/>
      <c r="N17" s="344"/>
      <c r="O17" s="344"/>
    </row>
    <row r="18" spans="2:15" ht="12.6">
      <c r="B18" s="343"/>
      <c r="C18" s="349"/>
      <c r="D18" s="350"/>
      <c r="E18" s="368"/>
      <c r="F18" s="1402"/>
      <c r="G18" s="1403"/>
      <c r="H18" s="1403"/>
      <c r="I18" s="1403"/>
      <c r="J18" s="1403"/>
      <c r="K18" s="1403"/>
      <c r="L18" s="1403"/>
      <c r="M18" s="1404"/>
      <c r="N18" s="344"/>
      <c r="O18" s="344"/>
    </row>
    <row r="19" spans="2:15" ht="12.6">
      <c r="B19" s="343"/>
      <c r="C19" s="349"/>
      <c r="D19" s="350"/>
      <c r="E19" s="368"/>
      <c r="F19" s="1402"/>
      <c r="G19" s="1403"/>
      <c r="H19" s="1403"/>
      <c r="I19" s="1403"/>
      <c r="J19" s="1403"/>
      <c r="K19" s="1403"/>
      <c r="L19" s="1403"/>
      <c r="M19" s="1404"/>
      <c r="N19" s="344"/>
      <c r="O19" s="344"/>
    </row>
    <row r="20" spans="2:15" ht="12.6">
      <c r="B20" s="343"/>
      <c r="C20" s="351"/>
      <c r="D20" s="353"/>
      <c r="E20" s="369"/>
      <c r="F20" s="360"/>
      <c r="G20" s="361"/>
      <c r="H20" s="361"/>
      <c r="I20" s="361"/>
      <c r="J20" s="361"/>
      <c r="K20" s="361"/>
      <c r="L20" s="361"/>
      <c r="M20" s="362"/>
      <c r="N20" s="344"/>
      <c r="O20" s="344"/>
    </row>
    <row r="21" spans="2:15" ht="12.6">
      <c r="B21" s="343"/>
      <c r="C21" s="346"/>
      <c r="D21" s="365"/>
      <c r="E21" s="370"/>
      <c r="F21" s="363"/>
      <c r="G21" s="356"/>
      <c r="H21" s="356"/>
      <c r="I21" s="356"/>
      <c r="J21" s="356"/>
      <c r="K21" s="356"/>
      <c r="L21" s="356"/>
      <c r="M21" s="364"/>
      <c r="N21" s="344"/>
      <c r="O21" s="344"/>
    </row>
    <row r="22" spans="2:15" ht="12.6">
      <c r="B22" s="343"/>
      <c r="C22" s="366" t="s">
        <v>243</v>
      </c>
      <c r="D22" s="350"/>
      <c r="E22" s="368" t="s">
        <v>418</v>
      </c>
      <c r="F22" s="1402" t="s">
        <v>278</v>
      </c>
      <c r="G22" s="1403"/>
      <c r="H22" s="1403"/>
      <c r="I22" s="1403"/>
      <c r="J22" s="1403"/>
      <c r="K22" s="1403"/>
      <c r="L22" s="1403"/>
      <c r="M22" s="1404"/>
      <c r="N22" s="344"/>
      <c r="O22" s="344"/>
    </row>
    <row r="23" spans="2:15" ht="12.6">
      <c r="B23" s="343"/>
      <c r="C23" s="349"/>
      <c r="D23" s="350"/>
      <c r="E23" s="368"/>
      <c r="F23" s="1402"/>
      <c r="G23" s="1403"/>
      <c r="H23" s="1403"/>
      <c r="I23" s="1403"/>
      <c r="J23" s="1403"/>
      <c r="K23" s="1403"/>
      <c r="L23" s="1403"/>
      <c r="M23" s="1404"/>
      <c r="N23" s="344"/>
      <c r="O23" s="344"/>
    </row>
    <row r="24" spans="2:15" ht="12.6">
      <c r="B24" s="343"/>
      <c r="C24" s="349"/>
      <c r="D24" s="350"/>
      <c r="E24" s="368"/>
      <c r="F24" s="1402"/>
      <c r="G24" s="1403"/>
      <c r="H24" s="1403"/>
      <c r="I24" s="1403"/>
      <c r="J24" s="1403"/>
      <c r="K24" s="1403"/>
      <c r="L24" s="1403"/>
      <c r="M24" s="1404"/>
      <c r="N24" s="344"/>
      <c r="O24" s="344"/>
    </row>
    <row r="25" spans="2:15" ht="12.6">
      <c r="B25" s="343"/>
      <c r="C25" s="351"/>
      <c r="D25" s="353"/>
      <c r="E25" s="369"/>
      <c r="F25" s="360"/>
      <c r="G25" s="361"/>
      <c r="H25" s="361"/>
      <c r="I25" s="361"/>
      <c r="J25" s="361"/>
      <c r="K25" s="361"/>
      <c r="L25" s="361"/>
      <c r="M25" s="362"/>
      <c r="N25" s="344"/>
      <c r="O25" s="344"/>
    </row>
    <row r="26" spans="2:15" ht="12.6">
      <c r="B26" s="343"/>
      <c r="C26" s="346"/>
      <c r="D26" s="365"/>
      <c r="E26" s="370"/>
      <c r="F26" s="363"/>
      <c r="G26" s="356"/>
      <c r="H26" s="356"/>
      <c r="I26" s="356"/>
      <c r="J26" s="356"/>
      <c r="K26" s="356"/>
      <c r="L26" s="356"/>
      <c r="M26" s="364"/>
      <c r="N26" s="344"/>
      <c r="O26" s="344"/>
    </row>
    <row r="27" spans="2:15" ht="12.6">
      <c r="B27" s="343"/>
      <c r="C27" s="366" t="s">
        <v>244</v>
      </c>
      <c r="D27" s="350"/>
      <c r="E27" s="368" t="s">
        <v>419</v>
      </c>
      <c r="F27" s="1402" t="s">
        <v>538</v>
      </c>
      <c r="G27" s="1403"/>
      <c r="H27" s="1403"/>
      <c r="I27" s="1403"/>
      <c r="J27" s="1403"/>
      <c r="K27" s="1403"/>
      <c r="L27" s="1403"/>
      <c r="M27" s="1404"/>
      <c r="N27" s="344"/>
      <c r="O27" s="344"/>
    </row>
    <row r="28" spans="2:15" ht="12.6">
      <c r="B28" s="343"/>
      <c r="C28" s="351"/>
      <c r="D28" s="353"/>
      <c r="E28" s="369"/>
      <c r="F28" s="360"/>
      <c r="G28" s="361"/>
      <c r="H28" s="361"/>
      <c r="I28" s="361"/>
      <c r="J28" s="361"/>
      <c r="K28" s="361"/>
      <c r="L28" s="361"/>
      <c r="M28" s="362"/>
      <c r="N28" s="344"/>
      <c r="O28" s="344"/>
    </row>
    <row r="29" spans="2:15" ht="12.6">
      <c r="B29" s="343"/>
      <c r="C29" s="346"/>
      <c r="D29" s="365"/>
      <c r="E29" s="370"/>
      <c r="F29" s="363"/>
      <c r="G29" s="356"/>
      <c r="H29" s="356"/>
      <c r="I29" s="356"/>
      <c r="J29" s="356"/>
      <c r="K29" s="356"/>
      <c r="L29" s="356"/>
      <c r="M29" s="364"/>
      <c r="N29" s="344"/>
      <c r="O29" s="344"/>
    </row>
    <row r="30" spans="2:15" ht="12.6">
      <c r="B30" s="343"/>
      <c r="C30" s="366" t="s">
        <v>245</v>
      </c>
      <c r="D30" s="350"/>
      <c r="E30" s="368" t="s">
        <v>539</v>
      </c>
      <c r="F30" s="1402" t="s">
        <v>277</v>
      </c>
      <c r="G30" s="1403"/>
      <c r="H30" s="1403"/>
      <c r="I30" s="1403"/>
      <c r="J30" s="1403"/>
      <c r="K30" s="1403"/>
      <c r="L30" s="1403"/>
      <c r="M30" s="1404"/>
      <c r="N30" s="344"/>
      <c r="O30" s="344"/>
    </row>
    <row r="31" spans="2:15" ht="12.6">
      <c r="B31" s="343"/>
      <c r="C31" s="351"/>
      <c r="D31" s="353"/>
      <c r="E31" s="369"/>
      <c r="F31" s="360"/>
      <c r="G31" s="361"/>
      <c r="H31" s="361"/>
      <c r="I31" s="361"/>
      <c r="J31" s="361"/>
      <c r="K31" s="361"/>
      <c r="L31" s="361"/>
      <c r="M31" s="362"/>
      <c r="N31" s="344"/>
      <c r="O31" s="344"/>
    </row>
    <row r="32" spans="2:15" ht="12.6">
      <c r="B32" s="343"/>
      <c r="C32" s="346"/>
      <c r="D32" s="365"/>
      <c r="E32" s="370"/>
      <c r="F32" s="363"/>
      <c r="G32" s="356"/>
      <c r="H32" s="356"/>
      <c r="I32" s="356"/>
      <c r="J32" s="356"/>
      <c r="K32" s="356"/>
      <c r="L32" s="356"/>
      <c r="M32" s="364"/>
      <c r="N32" s="344"/>
      <c r="O32" s="344"/>
    </row>
    <row r="33" spans="2:15" ht="12.6">
      <c r="B33" s="343"/>
      <c r="C33" s="366" t="s">
        <v>303</v>
      </c>
      <c r="D33" s="350"/>
      <c r="E33" s="368" t="s">
        <v>175</v>
      </c>
      <c r="F33" s="1402" t="s">
        <v>222</v>
      </c>
      <c r="G33" s="1403"/>
      <c r="H33" s="1403"/>
      <c r="I33" s="1403"/>
      <c r="J33" s="1403"/>
      <c r="K33" s="1403"/>
      <c r="L33" s="1403"/>
      <c r="M33" s="1404"/>
      <c r="N33" s="344"/>
      <c r="O33" s="344"/>
    </row>
    <row r="34" spans="2:15" ht="12.6">
      <c r="B34" s="343"/>
      <c r="C34" s="349"/>
      <c r="D34" s="350"/>
      <c r="E34" s="368"/>
      <c r="F34" s="1402"/>
      <c r="G34" s="1403"/>
      <c r="H34" s="1403"/>
      <c r="I34" s="1403"/>
      <c r="J34" s="1403"/>
      <c r="K34" s="1403"/>
      <c r="L34" s="1403"/>
      <c r="M34" s="1404"/>
      <c r="N34" s="344"/>
      <c r="O34" s="344"/>
    </row>
    <row r="35" spans="2:15" ht="12.6">
      <c r="B35" s="343"/>
      <c r="C35" s="351"/>
      <c r="D35" s="353"/>
      <c r="E35" s="369"/>
      <c r="F35" s="360"/>
      <c r="G35" s="361"/>
      <c r="H35" s="361"/>
      <c r="I35" s="361"/>
      <c r="J35" s="361"/>
      <c r="K35" s="361"/>
      <c r="L35" s="361"/>
      <c r="M35" s="362"/>
      <c r="N35" s="344"/>
      <c r="O35" s="344"/>
    </row>
    <row r="36" spans="2:15" ht="12.6">
      <c r="B36" s="343"/>
      <c r="C36" s="346"/>
      <c r="D36" s="365"/>
      <c r="E36" s="370"/>
      <c r="F36" s="363"/>
      <c r="G36" s="356"/>
      <c r="H36" s="356"/>
      <c r="I36" s="356"/>
      <c r="J36" s="356"/>
      <c r="K36" s="356"/>
      <c r="L36" s="356"/>
      <c r="M36" s="364"/>
      <c r="N36" s="344"/>
      <c r="O36" s="344"/>
    </row>
    <row r="37" spans="2:15" ht="12.6">
      <c r="B37" s="343"/>
      <c r="C37" s="366" t="s">
        <v>304</v>
      </c>
      <c r="D37" s="350"/>
      <c r="E37" s="368" t="s">
        <v>172</v>
      </c>
      <c r="F37" s="1402" t="s">
        <v>279</v>
      </c>
      <c r="G37" s="1403"/>
      <c r="H37" s="1403"/>
      <c r="I37" s="1403"/>
      <c r="J37" s="1403"/>
      <c r="K37" s="1403"/>
      <c r="L37" s="1403"/>
      <c r="M37" s="1404"/>
      <c r="N37" s="344"/>
      <c r="O37" s="344"/>
    </row>
    <row r="38" spans="2:15" ht="12.6">
      <c r="B38" s="343"/>
      <c r="C38" s="349"/>
      <c r="D38" s="350"/>
      <c r="E38" s="368"/>
      <c r="F38" s="1402"/>
      <c r="G38" s="1403"/>
      <c r="H38" s="1403"/>
      <c r="I38" s="1403"/>
      <c r="J38" s="1403"/>
      <c r="K38" s="1403"/>
      <c r="L38" s="1403"/>
      <c r="M38" s="1404"/>
      <c r="N38" s="344"/>
      <c r="O38" s="344"/>
    </row>
    <row r="39" spans="2:15" ht="12.75" customHeight="1">
      <c r="B39" s="343"/>
      <c r="C39" s="351"/>
      <c r="D39" s="353"/>
      <c r="E39" s="369"/>
      <c r="F39" s="360"/>
      <c r="G39" s="361"/>
      <c r="H39" s="361"/>
      <c r="I39" s="361"/>
      <c r="J39" s="361"/>
      <c r="K39" s="361"/>
      <c r="L39" s="361"/>
      <c r="M39" s="362"/>
      <c r="N39" s="344"/>
      <c r="O39" s="344"/>
    </row>
    <row r="40" spans="2:15" ht="12" customHeight="1">
      <c r="B40" s="343"/>
      <c r="C40" s="346"/>
      <c r="D40" s="365"/>
      <c r="E40" s="370"/>
      <c r="F40" s="363"/>
      <c r="G40" s="356"/>
      <c r="H40" s="356"/>
      <c r="I40" s="356"/>
      <c r="J40" s="356"/>
      <c r="K40" s="356"/>
      <c r="L40" s="356"/>
      <c r="M40" s="364"/>
      <c r="N40" s="344"/>
      <c r="O40" s="344"/>
    </row>
    <row r="41" spans="2:15" ht="12.6">
      <c r="B41" s="343"/>
      <c r="C41" s="366" t="s">
        <v>481</v>
      </c>
      <c r="D41" s="350"/>
      <c r="E41" s="368" t="s">
        <v>129</v>
      </c>
      <c r="F41" s="1402" t="s">
        <v>238</v>
      </c>
      <c r="G41" s="1403"/>
      <c r="H41" s="1403"/>
      <c r="I41" s="1403"/>
      <c r="J41" s="1403"/>
      <c r="K41" s="1403"/>
      <c r="L41" s="1403"/>
      <c r="M41" s="1404"/>
      <c r="N41" s="344"/>
      <c r="O41" s="344"/>
    </row>
    <row r="42" spans="2:15" ht="12.6">
      <c r="B42" s="343"/>
      <c r="C42" s="349"/>
      <c r="D42" s="350"/>
      <c r="E42" s="368"/>
      <c r="F42" s="1402"/>
      <c r="G42" s="1403"/>
      <c r="H42" s="1403"/>
      <c r="I42" s="1403"/>
      <c r="J42" s="1403"/>
      <c r="K42" s="1403"/>
      <c r="L42" s="1403"/>
      <c r="M42" s="1404"/>
      <c r="N42" s="344"/>
      <c r="O42" s="344"/>
    </row>
    <row r="43" spans="2:15" ht="12.6">
      <c r="B43" s="343"/>
      <c r="C43" s="351"/>
      <c r="D43" s="353"/>
      <c r="E43" s="369"/>
      <c r="F43" s="360"/>
      <c r="G43" s="361"/>
      <c r="H43" s="361"/>
      <c r="I43" s="361"/>
      <c r="J43" s="361"/>
      <c r="K43" s="361"/>
      <c r="L43" s="361"/>
      <c r="M43" s="362"/>
      <c r="N43" s="344"/>
      <c r="O43" s="344"/>
    </row>
    <row r="44" spans="2:15" ht="12.6">
      <c r="B44" s="343"/>
      <c r="C44" s="346"/>
      <c r="D44" s="365"/>
      <c r="E44" s="370"/>
      <c r="F44" s="363"/>
      <c r="G44" s="356"/>
      <c r="H44" s="356"/>
      <c r="I44" s="356"/>
      <c r="J44" s="356"/>
      <c r="K44" s="356"/>
      <c r="L44" s="356"/>
      <c r="M44" s="364"/>
      <c r="N44" s="344"/>
      <c r="O44" s="344"/>
    </row>
    <row r="45" spans="2:15" ht="12" customHeight="1">
      <c r="B45" s="343"/>
      <c r="C45" s="366" t="s">
        <v>482</v>
      </c>
      <c r="D45" s="350"/>
      <c r="E45" s="368" t="s">
        <v>239</v>
      </c>
      <c r="F45" s="1402" t="s">
        <v>135</v>
      </c>
      <c r="G45" s="1403"/>
      <c r="H45" s="1403"/>
      <c r="I45" s="1403"/>
      <c r="J45" s="1403"/>
      <c r="K45" s="1403"/>
      <c r="L45" s="1403"/>
      <c r="M45" s="1404"/>
      <c r="N45" s="344"/>
      <c r="O45" s="344"/>
    </row>
    <row r="46" spans="2:15" ht="12.6">
      <c r="B46" s="343"/>
      <c r="C46" s="351"/>
      <c r="D46" s="353"/>
      <c r="E46" s="369"/>
      <c r="F46" s="357"/>
      <c r="G46" s="358"/>
      <c r="H46" s="358"/>
      <c r="I46" s="358"/>
      <c r="J46" s="358"/>
      <c r="K46" s="358"/>
      <c r="L46" s="358"/>
      <c r="M46" s="359"/>
      <c r="N46" s="344"/>
      <c r="O46" s="344"/>
    </row>
    <row r="47" spans="2:15" ht="12.6">
      <c r="B47" s="343"/>
      <c r="C47" s="346"/>
      <c r="D47" s="365"/>
      <c r="E47" s="370"/>
      <c r="F47" s="363"/>
      <c r="G47" s="356"/>
      <c r="H47" s="356"/>
      <c r="I47" s="356"/>
      <c r="J47" s="356"/>
      <c r="K47" s="356"/>
      <c r="L47" s="356"/>
      <c r="M47" s="364"/>
      <c r="N47" s="344"/>
      <c r="O47" s="344"/>
    </row>
    <row r="48" spans="2:15" ht="12.6">
      <c r="B48" s="343"/>
      <c r="C48" s="366" t="s">
        <v>479</v>
      </c>
      <c r="D48" s="350"/>
      <c r="E48" s="368" t="s">
        <v>136</v>
      </c>
      <c r="F48" s="1402" t="s">
        <v>597</v>
      </c>
      <c r="G48" s="1403"/>
      <c r="H48" s="1403"/>
      <c r="I48" s="1403"/>
      <c r="J48" s="1403"/>
      <c r="K48" s="1403"/>
      <c r="L48" s="1403"/>
      <c r="M48" s="1404"/>
      <c r="N48" s="344"/>
      <c r="O48" s="344"/>
    </row>
    <row r="49" spans="2:15" ht="12" customHeight="1">
      <c r="B49" s="343"/>
      <c r="C49" s="349"/>
      <c r="D49" s="350"/>
      <c r="E49" s="368"/>
      <c r="F49" s="1402"/>
      <c r="G49" s="1403"/>
      <c r="H49" s="1403"/>
      <c r="I49" s="1403"/>
      <c r="J49" s="1403"/>
      <c r="K49" s="1403"/>
      <c r="L49" s="1403"/>
      <c r="M49" s="1404"/>
      <c r="N49" s="344"/>
      <c r="O49" s="344"/>
    </row>
    <row r="50" spans="2:15" ht="12.6">
      <c r="B50" s="343"/>
      <c r="C50" s="351"/>
      <c r="D50" s="353"/>
      <c r="E50" s="369"/>
      <c r="F50" s="360"/>
      <c r="G50" s="361"/>
      <c r="H50" s="361"/>
      <c r="I50" s="361"/>
      <c r="J50" s="361"/>
      <c r="K50" s="361"/>
      <c r="L50" s="361"/>
      <c r="M50" s="362"/>
      <c r="N50" s="344"/>
      <c r="O50" s="344"/>
    </row>
    <row r="51" spans="2:15" ht="12.6">
      <c r="B51" s="343"/>
      <c r="C51" s="346"/>
      <c r="D51" s="365"/>
      <c r="E51" s="370"/>
      <c r="F51" s="363"/>
      <c r="G51" s="356"/>
      <c r="H51" s="356"/>
      <c r="I51" s="356"/>
      <c r="J51" s="356"/>
      <c r="K51" s="356"/>
      <c r="L51" s="356"/>
      <c r="M51" s="364"/>
      <c r="N51" s="344"/>
      <c r="O51" s="344"/>
    </row>
    <row r="52" spans="2:15" ht="12.6">
      <c r="B52" s="343"/>
      <c r="C52" s="366" t="s">
        <v>334</v>
      </c>
      <c r="D52" s="350"/>
      <c r="E52" s="368" t="s">
        <v>499</v>
      </c>
      <c r="F52" s="1405" t="s">
        <v>500</v>
      </c>
      <c r="G52" s="1406"/>
      <c r="H52" s="1406"/>
      <c r="I52" s="1406"/>
      <c r="J52" s="1406"/>
      <c r="K52" s="1406"/>
      <c r="L52" s="1406"/>
      <c r="M52" s="1407"/>
      <c r="N52" s="343"/>
      <c r="O52" s="343"/>
    </row>
    <row r="53" spans="2:15" ht="12.6">
      <c r="B53" s="343"/>
      <c r="C53" s="351"/>
      <c r="D53" s="353"/>
      <c r="E53" s="369"/>
      <c r="F53" s="351"/>
      <c r="G53" s="352"/>
      <c r="H53" s="352"/>
      <c r="I53" s="352"/>
      <c r="J53" s="352"/>
      <c r="K53" s="352"/>
      <c r="L53" s="352"/>
      <c r="M53" s="355"/>
      <c r="N53" s="343"/>
      <c r="O53" s="343"/>
    </row>
    <row r="54" spans="2:15" ht="12" customHeight="1">
      <c r="B54" s="343"/>
      <c r="C54" s="343"/>
      <c r="D54" s="343"/>
      <c r="E54" s="343"/>
      <c r="F54" s="343"/>
      <c r="G54" s="343"/>
      <c r="H54" s="343"/>
      <c r="I54" s="343"/>
      <c r="J54" s="343"/>
      <c r="K54" s="343"/>
      <c r="L54" s="343"/>
      <c r="M54" s="343"/>
      <c r="N54" s="343"/>
      <c r="O54" s="343"/>
    </row>
    <row r="55" spans="2:15" ht="12.6">
      <c r="B55" s="343"/>
      <c r="C55" s="343"/>
      <c r="D55" s="343"/>
      <c r="E55" s="343"/>
      <c r="F55" s="343"/>
      <c r="G55" s="343"/>
      <c r="H55" s="343"/>
      <c r="I55" s="343"/>
      <c r="J55" s="343"/>
      <c r="K55" s="343"/>
      <c r="L55" s="343"/>
      <c r="M55" s="343"/>
      <c r="N55" s="343"/>
      <c r="O55" s="343"/>
    </row>
    <row r="56" spans="2:15" ht="12.6">
      <c r="B56" s="343"/>
      <c r="C56" s="343"/>
      <c r="D56" s="343"/>
      <c r="E56" s="343"/>
      <c r="F56" s="343"/>
      <c r="G56" s="343"/>
      <c r="H56" s="343"/>
      <c r="I56" s="343"/>
      <c r="J56" s="343"/>
      <c r="K56" s="343"/>
      <c r="L56" s="343"/>
      <c r="M56" s="343"/>
      <c r="N56" s="343"/>
      <c r="O56" s="343"/>
    </row>
    <row r="57" spans="2:15" ht="12.6">
      <c r="B57" s="343"/>
      <c r="C57" s="343"/>
      <c r="D57" s="343"/>
      <c r="E57" s="343"/>
      <c r="F57" s="343"/>
      <c r="G57" s="343"/>
      <c r="H57" s="343"/>
      <c r="I57" s="343"/>
      <c r="J57" s="343"/>
      <c r="K57" s="343"/>
      <c r="L57" s="343"/>
      <c r="M57" s="343"/>
      <c r="N57" s="343"/>
      <c r="O57" s="343"/>
    </row>
    <row r="58" spans="2:15" ht="12.6">
      <c r="B58" s="343"/>
      <c r="C58" s="343"/>
      <c r="D58" s="343"/>
      <c r="E58" s="343"/>
      <c r="F58" s="343"/>
      <c r="G58" s="343"/>
      <c r="H58" s="343"/>
      <c r="I58" s="343"/>
      <c r="J58" s="343"/>
      <c r="K58" s="343"/>
      <c r="L58" s="343"/>
      <c r="M58" s="343"/>
      <c r="N58" s="343"/>
      <c r="O58" s="343"/>
    </row>
    <row r="59" spans="2:15" ht="12" customHeight="1">
      <c r="B59" s="343"/>
      <c r="C59" s="343"/>
      <c r="D59" s="343"/>
      <c r="E59" s="343"/>
      <c r="F59" s="343"/>
      <c r="G59" s="343"/>
      <c r="H59" s="343"/>
      <c r="I59" s="343"/>
      <c r="J59" s="343"/>
      <c r="K59" s="343"/>
      <c r="L59" s="343"/>
      <c r="M59" s="343"/>
      <c r="N59" s="343"/>
      <c r="O59" s="343"/>
    </row>
    <row r="60" spans="2:15" ht="12.6">
      <c r="B60" s="343"/>
      <c r="C60" s="343"/>
      <c r="D60" s="343"/>
      <c r="E60" s="343"/>
      <c r="F60" s="343"/>
      <c r="G60" s="343"/>
      <c r="H60" s="343"/>
      <c r="I60" s="343"/>
      <c r="J60" s="343"/>
      <c r="K60" s="343"/>
      <c r="L60" s="343"/>
      <c r="M60" s="343"/>
      <c r="N60" s="343"/>
      <c r="O60" s="343"/>
    </row>
    <row r="61" spans="2:15" ht="12.6">
      <c r="B61" s="343"/>
      <c r="C61" s="343"/>
      <c r="D61" s="343"/>
      <c r="E61" s="343"/>
      <c r="F61" s="343"/>
      <c r="G61" s="343"/>
      <c r="H61" s="343"/>
      <c r="I61" s="343"/>
      <c r="J61" s="343"/>
      <c r="K61" s="343"/>
      <c r="L61" s="343"/>
      <c r="M61" s="343"/>
      <c r="N61" s="343"/>
      <c r="O61" s="343"/>
    </row>
    <row r="62" spans="2:15" ht="12" customHeight="1">
      <c r="B62" s="343"/>
      <c r="C62" s="343"/>
      <c r="D62" s="343"/>
      <c r="E62" s="343"/>
      <c r="F62" s="343"/>
      <c r="G62" s="343"/>
      <c r="H62" s="343"/>
      <c r="I62" s="343"/>
      <c r="J62" s="343"/>
      <c r="K62" s="343"/>
      <c r="L62" s="343"/>
      <c r="M62" s="343"/>
      <c r="N62" s="343"/>
      <c r="O62" s="343"/>
    </row>
    <row r="63" spans="2:15" ht="12.6">
      <c r="B63" s="343"/>
      <c r="C63" s="343"/>
      <c r="D63" s="343"/>
      <c r="E63" s="343"/>
      <c r="F63" s="343"/>
      <c r="G63" s="343"/>
      <c r="H63" s="343"/>
      <c r="I63" s="343"/>
      <c r="J63" s="343"/>
      <c r="K63" s="343"/>
      <c r="L63" s="343"/>
      <c r="M63" s="343"/>
      <c r="N63" s="343"/>
      <c r="O63" s="343"/>
    </row>
    <row r="65" ht="12" customHeight="1"/>
    <row r="69" ht="12" customHeight="1"/>
    <row r="73" ht="12" customHeight="1"/>
    <row r="77" ht="12" customHeight="1"/>
    <row r="80" ht="12" customHeight="1"/>
  </sheetData>
  <sheetProtection algorithmName="SHA-512" hashValue="4Ii8zD+I2qgVrY/24hJdrD7E1CyBbK4gb+koF8j4WqYkPhQteY2WOO4ENuYfqqUO7UcDRHCtyzrwUdUAu9rvWA==" saltValue="7dEwn44Px3QswVEubtf3AA==" spinCount="100000" sheet="1" objects="1" scenarios="1" selectLockedCells="1"/>
  <mergeCells count="12">
    <mergeCell ref="F27:M27"/>
    <mergeCell ref="F13:M14"/>
    <mergeCell ref="F7:M10"/>
    <mergeCell ref="F52:M52"/>
    <mergeCell ref="F37:M38"/>
    <mergeCell ref="F41:M42"/>
    <mergeCell ref="F45:M45"/>
    <mergeCell ref="F48:M49"/>
    <mergeCell ref="F30:M30"/>
    <mergeCell ref="F33:M34"/>
    <mergeCell ref="F17:M19"/>
    <mergeCell ref="F22:M24"/>
  </mergeCells>
  <phoneticPr fontId="18"/>
  <pageMargins left="0.7" right="0.7" top="0.75" bottom="0.75" header="0.4921259845" footer="0.4921259845"/>
  <pageSetup paperSize="0"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0070C0"/>
    <pageSetUpPr fitToPage="1"/>
  </sheetPr>
  <dimension ref="B1:K67"/>
  <sheetViews>
    <sheetView showGridLines="0" showRowColHeaders="0" showOutlineSymbols="0" zoomScale="150" zoomScaleNormal="150" zoomScalePageLayoutView="150" workbookViewId="0">
      <selection activeCell="C9" sqref="C9:E9"/>
    </sheetView>
  </sheetViews>
  <sheetFormatPr baseColWidth="10" defaultColWidth="10.875" defaultRowHeight="11.4"/>
  <cols>
    <col min="1" max="1" width="1.125" style="422" customWidth="1"/>
    <col min="2" max="2" width="1.375" style="422" customWidth="1"/>
    <col min="3" max="3" width="26.125" style="422" customWidth="1"/>
    <col min="4" max="4" width="2.375" style="422" customWidth="1"/>
    <col min="5" max="5" width="9.625" style="422" customWidth="1"/>
    <col min="6" max="6" width="13.875" style="422" customWidth="1"/>
    <col min="7" max="7" width="2.125" style="422" customWidth="1"/>
    <col min="8" max="8" width="13.125" style="422" hidden="1" customWidth="1"/>
    <col min="9" max="9" width="47.5" style="422" customWidth="1"/>
    <col min="10" max="10" width="7" style="422" customWidth="1"/>
    <col min="11" max="16" width="2.375" style="422" customWidth="1"/>
    <col min="17" max="16384" width="10.875" style="422"/>
  </cols>
  <sheetData>
    <row r="1" spans="2:11" ht="4.95" customHeight="1"/>
    <row r="2" spans="2:11" s="15" customFormat="1" ht="4.95" customHeight="1"/>
    <row r="3" spans="2:11" ht="19.95" customHeight="1">
      <c r="B3" s="15"/>
      <c r="C3" s="1271" t="s">
        <v>176</v>
      </c>
      <c r="D3" s="1271"/>
      <c r="E3" s="1271"/>
      <c r="F3" s="1271"/>
      <c r="G3" s="1271"/>
      <c r="H3" s="1271"/>
      <c r="I3" s="1271"/>
      <c r="J3" s="1271"/>
      <c r="K3" s="1271"/>
    </row>
    <row r="4" spans="2:11" ht="0.75" customHeight="1">
      <c r="B4" s="308"/>
      <c r="C4" s="390"/>
      <c r="D4" s="390"/>
      <c r="E4" s="390"/>
      <c r="F4" s="390"/>
      <c r="G4" s="391"/>
      <c r="H4" s="390"/>
      <c r="I4" s="391"/>
      <c r="J4" s="391"/>
      <c r="K4" s="308"/>
    </row>
    <row r="5" spans="2:11" ht="9" customHeight="1">
      <c r="C5" s="19"/>
      <c r="D5" s="19"/>
      <c r="E5" s="19"/>
    </row>
    <row r="6" spans="2:11" ht="4.95" customHeight="1">
      <c r="C6" s="441"/>
      <c r="D6" s="442"/>
      <c r="E6" s="443"/>
      <c r="F6" s="444"/>
      <c r="G6" s="426"/>
      <c r="H6" s="426"/>
      <c r="I6" s="426"/>
      <c r="J6" s="426"/>
    </row>
    <row r="7" spans="2:11" ht="16.2">
      <c r="C7" s="1282" t="s">
        <v>558</v>
      </c>
      <c r="D7" s="1283"/>
      <c r="E7" s="1284"/>
      <c r="F7" s="899" t="s">
        <v>212</v>
      </c>
      <c r="G7" s="21"/>
      <c r="H7" s="21"/>
      <c r="I7" s="1272" t="s">
        <v>578</v>
      </c>
      <c r="J7" s="1272"/>
      <c r="K7" s="1272"/>
    </row>
    <row r="8" spans="2:11" ht="4.95" customHeight="1">
      <c r="C8" s="445"/>
      <c r="D8" s="446"/>
      <c r="E8" s="447"/>
      <c r="F8" s="448"/>
      <c r="G8" s="426"/>
      <c r="H8" s="426"/>
      <c r="I8" s="1272"/>
      <c r="J8" s="1272"/>
      <c r="K8" s="1272"/>
    </row>
    <row r="9" spans="2:11" ht="12" customHeight="1">
      <c r="C9" s="1285"/>
      <c r="D9" s="1286"/>
      <c r="E9" s="1287"/>
      <c r="F9" s="449"/>
      <c r="G9" s="450"/>
      <c r="H9" s="450">
        <f>IF(G9&gt;3,G9/3,1)</f>
        <v>1</v>
      </c>
      <c r="I9" s="1272"/>
      <c r="J9" s="1272"/>
      <c r="K9" s="1272"/>
    </row>
    <row r="10" spans="2:11" ht="10.95" hidden="1" customHeight="1">
      <c r="C10" s="451"/>
      <c r="D10" s="452"/>
      <c r="E10" s="453"/>
      <c r="F10" s="454"/>
      <c r="G10" s="450"/>
      <c r="H10" s="450"/>
      <c r="I10" s="896"/>
      <c r="J10" s="896"/>
      <c r="K10" s="896"/>
    </row>
    <row r="11" spans="2:11" ht="12" customHeight="1">
      <c r="C11" s="1276"/>
      <c r="D11" s="1277"/>
      <c r="E11" s="1278"/>
      <c r="F11" s="871"/>
      <c r="G11" s="423"/>
      <c r="H11" s="455">
        <f>IF(G11&gt;3,G11/3,1)</f>
        <v>1</v>
      </c>
      <c r="I11" s="897" t="s">
        <v>579</v>
      </c>
      <c r="J11" s="896"/>
      <c r="K11" s="896"/>
    </row>
    <row r="12" spans="2:11" hidden="1">
      <c r="C12" s="867"/>
      <c r="D12" s="868"/>
      <c r="E12" s="869"/>
      <c r="F12" s="870"/>
      <c r="G12" s="423"/>
      <c r="H12" s="455"/>
      <c r="I12" s="422" t="str">
        <f>IF(F12=0,"",H12)</f>
        <v/>
      </c>
      <c r="J12" s="422" t="str">
        <f>IF(F12*H12=0,"",F12*H12)</f>
        <v/>
      </c>
    </row>
    <row r="13" spans="2:11" ht="12" customHeight="1">
      <c r="C13" s="1273"/>
      <c r="D13" s="1274"/>
      <c r="E13" s="1275"/>
      <c r="F13" s="449"/>
      <c r="G13" s="423"/>
      <c r="H13" s="450">
        <f>IF(G13&gt;3,G13/3,1)</f>
        <v>1</v>
      </c>
      <c r="I13" s="1272" t="s">
        <v>581</v>
      </c>
      <c r="J13" s="1272"/>
      <c r="K13" s="896"/>
    </row>
    <row r="14" spans="2:11" ht="10.95" hidden="1" customHeight="1">
      <c r="C14" s="451"/>
      <c r="D14" s="452"/>
      <c r="E14" s="453"/>
      <c r="F14" s="454"/>
      <c r="G14" s="423"/>
      <c r="H14" s="450"/>
      <c r="I14" s="1272"/>
      <c r="J14" s="1272"/>
      <c r="K14" s="896"/>
    </row>
    <row r="15" spans="2:11" ht="12" customHeight="1">
      <c r="C15" s="1276"/>
      <c r="D15" s="1277"/>
      <c r="E15" s="1278"/>
      <c r="F15" s="871"/>
      <c r="G15" s="423"/>
      <c r="H15" s="455">
        <f>IF(G15&gt;3,G15/3,1)</f>
        <v>1</v>
      </c>
      <c r="I15" s="1272"/>
      <c r="J15" s="1272"/>
      <c r="K15" s="896"/>
    </row>
    <row r="16" spans="2:11" ht="10.95" hidden="1" customHeight="1">
      <c r="C16" s="867"/>
      <c r="D16" s="868"/>
      <c r="E16" s="869"/>
      <c r="F16" s="870"/>
      <c r="G16" s="423"/>
      <c r="H16" s="455"/>
      <c r="I16" s="1272"/>
      <c r="J16" s="1272"/>
      <c r="K16" s="896"/>
    </row>
    <row r="17" spans="3:11" ht="12" customHeight="1">
      <c r="C17" s="1273"/>
      <c r="D17" s="1274"/>
      <c r="E17" s="1275"/>
      <c r="F17" s="449"/>
      <c r="G17" s="423"/>
      <c r="H17" s="450">
        <f>IF(G17&gt;3,G17/3,1)</f>
        <v>1</v>
      </c>
      <c r="I17" s="1272"/>
      <c r="J17" s="1272"/>
      <c r="K17" s="896"/>
    </row>
    <row r="18" spans="3:11" ht="10.95" hidden="1" customHeight="1">
      <c r="C18" s="451"/>
      <c r="D18" s="452"/>
      <c r="E18" s="453"/>
      <c r="F18" s="454"/>
      <c r="G18" s="423"/>
      <c r="H18" s="450"/>
      <c r="I18" s="1272"/>
      <c r="J18" s="1272"/>
      <c r="K18" s="896"/>
    </row>
    <row r="19" spans="3:11" ht="12" customHeight="1">
      <c r="C19" s="1276"/>
      <c r="D19" s="1277"/>
      <c r="E19" s="1278"/>
      <c r="F19" s="871"/>
      <c r="G19" s="423"/>
      <c r="H19" s="455">
        <f>IF(G19&gt;3,G19/3,1)</f>
        <v>1</v>
      </c>
      <c r="I19" s="1272"/>
      <c r="J19" s="1272"/>
      <c r="K19" s="896"/>
    </row>
    <row r="20" spans="3:11" ht="10.95" hidden="1" customHeight="1">
      <c r="C20" s="867"/>
      <c r="D20" s="868"/>
      <c r="E20" s="869"/>
      <c r="F20" s="870"/>
      <c r="G20" s="423"/>
      <c r="H20" s="455"/>
      <c r="I20" s="1272"/>
      <c r="J20" s="1272"/>
      <c r="K20" s="896"/>
    </row>
    <row r="21" spans="3:11" ht="12" customHeight="1">
      <c r="C21" s="1273"/>
      <c r="D21" s="1274"/>
      <c r="E21" s="1275"/>
      <c r="F21" s="449"/>
      <c r="G21" s="423"/>
      <c r="H21" s="450">
        <f>IF(G21&gt;3,G21/3,1)</f>
        <v>1</v>
      </c>
      <c r="I21" s="1272"/>
      <c r="J21" s="1272"/>
      <c r="K21" s="896"/>
    </row>
    <row r="22" spans="3:11" ht="10.95" hidden="1" customHeight="1">
      <c r="C22" s="451"/>
      <c r="D22" s="452"/>
      <c r="E22" s="453"/>
      <c r="F22" s="454"/>
      <c r="G22" s="423"/>
      <c r="H22" s="450"/>
      <c r="I22" s="1272"/>
      <c r="J22" s="1272"/>
      <c r="K22" s="896"/>
    </row>
    <row r="23" spans="3:11" ht="12" customHeight="1">
      <c r="C23" s="1276"/>
      <c r="D23" s="1277"/>
      <c r="E23" s="1278"/>
      <c r="F23" s="871"/>
      <c r="G23" s="423"/>
      <c r="H23" s="455">
        <f>IF(G23&gt;3,G23/3,1)</f>
        <v>1</v>
      </c>
      <c r="I23" s="1272"/>
      <c r="J23" s="1272"/>
      <c r="K23" s="896"/>
    </row>
    <row r="24" spans="3:11" ht="10.95" hidden="1" customHeight="1">
      <c r="C24" s="867"/>
      <c r="D24" s="868"/>
      <c r="E24" s="869"/>
      <c r="F24" s="870"/>
      <c r="G24" s="423"/>
      <c r="H24" s="455"/>
      <c r="I24" s="1272"/>
      <c r="J24" s="1272"/>
      <c r="K24" s="896"/>
    </row>
    <row r="25" spans="3:11" ht="12" customHeight="1">
      <c r="C25" s="1273"/>
      <c r="D25" s="1274"/>
      <c r="E25" s="1275"/>
      <c r="F25" s="449"/>
      <c r="G25" s="423"/>
      <c r="H25" s="450">
        <f>IF(G25&gt;3,G25/3,1)</f>
        <v>1</v>
      </c>
      <c r="I25" s="1272"/>
      <c r="J25" s="1272"/>
      <c r="K25" s="896"/>
    </row>
    <row r="26" spans="3:11" ht="10.95" hidden="1" customHeight="1">
      <c r="C26" s="451"/>
      <c r="D26" s="452"/>
      <c r="E26" s="453"/>
      <c r="F26" s="454"/>
      <c r="G26" s="423"/>
      <c r="H26" s="450"/>
      <c r="I26" s="1272"/>
      <c r="J26" s="1272"/>
      <c r="K26" s="896"/>
    </row>
    <row r="27" spans="3:11" ht="12" customHeight="1">
      <c r="C27" s="1276"/>
      <c r="D27" s="1277"/>
      <c r="E27" s="1278"/>
      <c r="F27" s="871"/>
      <c r="G27" s="423"/>
      <c r="H27" s="455">
        <f>IF(G27&gt;3,G27/3,1)</f>
        <v>1</v>
      </c>
      <c r="I27" s="1272"/>
      <c r="J27" s="1272"/>
      <c r="K27" s="896"/>
    </row>
    <row r="28" spans="3:11" ht="10.95" hidden="1" customHeight="1">
      <c r="C28" s="867"/>
      <c r="D28" s="868"/>
      <c r="E28" s="869"/>
      <c r="F28" s="870"/>
      <c r="G28" s="423"/>
      <c r="H28" s="455"/>
      <c r="I28" s="1272"/>
      <c r="J28" s="1272"/>
      <c r="K28" s="896"/>
    </row>
    <row r="29" spans="3:11" ht="12" customHeight="1">
      <c r="C29" s="1273"/>
      <c r="D29" s="1274"/>
      <c r="E29" s="1275"/>
      <c r="F29" s="449"/>
      <c r="G29" s="423"/>
      <c r="H29" s="450">
        <f>IF(G29&gt;3,G29/3,1)</f>
        <v>1</v>
      </c>
      <c r="I29" s="1272"/>
      <c r="J29" s="1272"/>
      <c r="K29" s="896"/>
    </row>
    <row r="30" spans="3:11" ht="10.95" hidden="1" customHeight="1">
      <c r="C30" s="451"/>
      <c r="D30" s="452"/>
      <c r="E30" s="453"/>
      <c r="F30" s="454"/>
      <c r="G30" s="423"/>
      <c r="H30" s="450"/>
      <c r="I30" s="1272"/>
      <c r="J30" s="1272"/>
      <c r="K30" s="896"/>
    </row>
    <row r="31" spans="3:11" ht="12" customHeight="1">
      <c r="C31" s="1276"/>
      <c r="D31" s="1277"/>
      <c r="E31" s="1278"/>
      <c r="F31" s="871"/>
      <c r="G31" s="423"/>
      <c r="H31" s="455">
        <f>IF(G31&gt;3,G31/3,1)</f>
        <v>1</v>
      </c>
      <c r="I31" s="1272"/>
      <c r="J31" s="1272"/>
      <c r="K31" s="896"/>
    </row>
    <row r="32" spans="3:11" ht="10.95" hidden="1" customHeight="1">
      <c r="C32" s="867"/>
      <c r="D32" s="868"/>
      <c r="E32" s="869"/>
      <c r="F32" s="870"/>
      <c r="G32" s="423"/>
      <c r="H32" s="455"/>
      <c r="I32" s="1272"/>
      <c r="J32" s="1272"/>
      <c r="K32" s="896"/>
    </row>
    <row r="33" spans="3:11" ht="12" customHeight="1">
      <c r="C33" s="1273"/>
      <c r="D33" s="1274"/>
      <c r="E33" s="1275"/>
      <c r="F33" s="449"/>
      <c r="G33" s="423"/>
      <c r="H33" s="450">
        <f>IF(G33&gt;3,G33/3,1)</f>
        <v>1</v>
      </c>
      <c r="I33" s="1272"/>
      <c r="J33" s="1272"/>
      <c r="K33" s="896"/>
    </row>
    <row r="34" spans="3:11" ht="10.95" hidden="1" customHeight="1">
      <c r="C34" s="451"/>
      <c r="D34" s="452"/>
      <c r="E34" s="453"/>
      <c r="F34" s="454"/>
      <c r="G34" s="423"/>
      <c r="H34" s="450"/>
      <c r="I34" s="1272"/>
      <c r="J34" s="1272"/>
      <c r="K34" s="896"/>
    </row>
    <row r="35" spans="3:11" ht="12" customHeight="1">
      <c r="C35" s="1276"/>
      <c r="D35" s="1277"/>
      <c r="E35" s="1278"/>
      <c r="F35" s="871"/>
      <c r="G35" s="423"/>
      <c r="H35" s="455">
        <f>IF(G35&gt;3,G35/3,1)</f>
        <v>1</v>
      </c>
      <c r="I35" s="1272"/>
      <c r="J35" s="1272"/>
      <c r="K35" s="896"/>
    </row>
    <row r="36" spans="3:11" ht="12" hidden="1" customHeight="1">
      <c r="C36" s="867"/>
      <c r="D36" s="868"/>
      <c r="E36" s="869"/>
      <c r="F36" s="870"/>
      <c r="G36" s="455"/>
      <c r="H36" s="455"/>
      <c r="I36" s="1272"/>
      <c r="J36" s="1272"/>
    </row>
    <row r="37" spans="3:11" ht="12" customHeight="1">
      <c r="C37" s="1279"/>
      <c r="D37" s="1280"/>
      <c r="E37" s="1281"/>
      <c r="F37" s="449"/>
      <c r="G37" s="450"/>
      <c r="H37" s="450">
        <f>IF(G37&gt;3,G37/3,1)</f>
        <v>1</v>
      </c>
      <c r="I37" s="1272"/>
      <c r="J37" s="1272"/>
    </row>
    <row r="38" spans="3:11" ht="12" customHeight="1">
      <c r="C38" s="456"/>
      <c r="D38" s="457"/>
      <c r="E38" s="458"/>
      <c r="F38" s="459"/>
      <c r="G38" s="426"/>
      <c r="H38" s="426"/>
      <c r="I38" s="1272"/>
      <c r="J38" s="1272"/>
    </row>
    <row r="39" spans="3:11" ht="13.2">
      <c r="C39" s="900" t="s">
        <v>468</v>
      </c>
      <c r="D39" s="901"/>
      <c r="E39" s="902"/>
      <c r="F39" s="903">
        <f>SUM(F9:F37)+1E-31</f>
        <v>1.0000000000000001E-31</v>
      </c>
      <c r="G39" s="460"/>
      <c r="H39" s="460"/>
      <c r="I39" s="1272"/>
      <c r="J39" s="1272"/>
    </row>
    <row r="40" spans="3:11" ht="6" customHeight="1" thickBot="1">
      <c r="C40" s="461"/>
      <c r="D40" s="462"/>
      <c r="E40" s="463"/>
      <c r="F40" s="464"/>
      <c r="G40" s="426"/>
      <c r="H40" s="426"/>
      <c r="I40" s="426"/>
      <c r="J40" s="426"/>
    </row>
    <row r="41" spans="3:11" ht="6" customHeight="1"/>
    <row r="42" spans="3:11" ht="3.75" customHeight="1">
      <c r="C42" s="423"/>
      <c r="D42" s="423"/>
      <c r="E42" s="423"/>
      <c r="F42" s="423"/>
    </row>
    <row r="43" spans="3:11" ht="10.050000000000001" customHeight="1">
      <c r="C43" s="1289" t="s">
        <v>574</v>
      </c>
      <c r="D43" s="1289"/>
      <c r="E43" s="1289"/>
      <c r="F43" s="1289"/>
      <c r="I43" s="898" t="s">
        <v>30</v>
      </c>
    </row>
    <row r="44" spans="3:11" ht="10.050000000000001" customHeight="1">
      <c r="C44" s="1272" t="s">
        <v>577</v>
      </c>
      <c r="D44" s="1272"/>
      <c r="E44" s="1272"/>
      <c r="F44" s="1272"/>
    </row>
    <row r="45" spans="3:11" ht="10.050000000000001" customHeight="1">
      <c r="C45" s="1272"/>
      <c r="D45" s="1272"/>
      <c r="E45" s="1272"/>
      <c r="F45" s="1272"/>
      <c r="I45" s="898"/>
    </row>
    <row r="46" spans="3:11" ht="10.050000000000001" customHeight="1">
      <c r="C46" s="1272"/>
      <c r="D46" s="1272"/>
      <c r="E46" s="1272"/>
      <c r="F46" s="1272"/>
    </row>
    <row r="47" spans="3:11" ht="10.050000000000001" customHeight="1">
      <c r="C47" s="1272"/>
      <c r="D47" s="1272"/>
      <c r="E47" s="1272"/>
      <c r="F47" s="1272"/>
      <c r="I47" s="897"/>
    </row>
    <row r="48" spans="3:11" ht="10.050000000000001" customHeight="1">
      <c r="C48" s="1272"/>
      <c r="D48" s="1272"/>
      <c r="E48" s="1272"/>
      <c r="F48" s="1272"/>
    </row>
    <row r="49" spans="3:9" ht="10.050000000000001" customHeight="1">
      <c r="C49" s="1272"/>
      <c r="D49" s="1272"/>
      <c r="E49" s="1272"/>
      <c r="F49" s="1272"/>
    </row>
    <row r="50" spans="3:9" ht="10.050000000000001" customHeight="1">
      <c r="C50" s="1272"/>
      <c r="D50" s="1272"/>
      <c r="E50" s="1272"/>
      <c r="F50" s="1272"/>
    </row>
    <row r="51" spans="3:9" ht="10.95" customHeight="1">
      <c r="C51" s="1272"/>
      <c r="D51" s="1272"/>
      <c r="E51" s="1272"/>
      <c r="F51" s="1272"/>
    </row>
    <row r="52" spans="3:9" ht="10.050000000000001" customHeight="1">
      <c r="C52" s="1272"/>
      <c r="D52" s="1272"/>
      <c r="E52" s="1272"/>
      <c r="F52" s="1272"/>
    </row>
    <row r="53" spans="3:9" ht="10.050000000000001" customHeight="1">
      <c r="C53" s="1272"/>
      <c r="D53" s="1272"/>
      <c r="E53" s="1272"/>
      <c r="F53" s="1272"/>
    </row>
    <row r="54" spans="3:9" ht="10.050000000000001" customHeight="1">
      <c r="C54" s="1272"/>
      <c r="D54" s="1272"/>
      <c r="E54" s="1272"/>
      <c r="F54" s="1272"/>
    </row>
    <row r="55" spans="3:9" ht="10.050000000000001" customHeight="1">
      <c r="D55" s="1088"/>
      <c r="E55" s="1088"/>
      <c r="F55" s="1088"/>
      <c r="G55" s="170"/>
      <c r="H55" s="170"/>
      <c r="I55" s="170"/>
    </row>
    <row r="56" spans="3:9" ht="10.050000000000001" customHeight="1">
      <c r="C56" s="1288" t="s">
        <v>575</v>
      </c>
      <c r="D56" s="1288"/>
      <c r="E56" s="1288"/>
      <c r="F56" s="1288"/>
    </row>
    <row r="57" spans="3:9" ht="10.050000000000001" customHeight="1">
      <c r="C57" s="1272" t="s">
        <v>576</v>
      </c>
      <c r="D57" s="1272"/>
      <c r="E57" s="1272"/>
      <c r="F57" s="1272"/>
    </row>
    <row r="58" spans="3:9" ht="10.050000000000001" customHeight="1">
      <c r="C58" s="1272"/>
      <c r="D58" s="1272"/>
      <c r="E58" s="1272"/>
      <c r="F58" s="1272"/>
    </row>
    <row r="59" spans="3:9" ht="10.050000000000001" customHeight="1">
      <c r="C59" s="1272"/>
      <c r="D59" s="1272"/>
      <c r="E59" s="1272"/>
      <c r="F59" s="1272"/>
    </row>
    <row r="60" spans="3:9" ht="10.050000000000001" customHeight="1">
      <c r="C60" s="1272"/>
      <c r="D60" s="1272"/>
      <c r="E60" s="1272"/>
      <c r="F60" s="1272"/>
      <c r="I60" s="1015" t="s">
        <v>580</v>
      </c>
    </row>
    <row r="61" spans="3:9" ht="10.050000000000001" customHeight="1">
      <c r="C61" s="1272"/>
      <c r="D61" s="1272"/>
      <c r="E61" s="1272"/>
      <c r="F61" s="1272"/>
    </row>
    <row r="62" spans="3:9" ht="10.050000000000001" customHeight="1">
      <c r="C62" s="1272"/>
      <c r="D62" s="1272"/>
      <c r="E62" s="1272"/>
      <c r="F62" s="1272"/>
    </row>
    <row r="63" spans="3:9" ht="10.050000000000001" customHeight="1">
      <c r="C63" s="1272"/>
      <c r="D63" s="1272"/>
      <c r="E63" s="1272"/>
      <c r="F63" s="1272"/>
    </row>
    <row r="64" spans="3:9" ht="10.050000000000001" customHeight="1">
      <c r="C64" s="1272"/>
      <c r="D64" s="1272"/>
      <c r="E64" s="1272"/>
      <c r="F64" s="1272"/>
    </row>
    <row r="65" ht="10.050000000000001" customHeight="1"/>
    <row r="66" ht="10.050000000000001" customHeight="1"/>
    <row r="67" ht="10.050000000000001" customHeight="1"/>
  </sheetData>
  <sheetProtection password="D950" sheet="1" objects="1" scenarios="1" selectLockedCells="1"/>
  <mergeCells count="23">
    <mergeCell ref="C57:F64"/>
    <mergeCell ref="C56:F56"/>
    <mergeCell ref="C27:E27"/>
    <mergeCell ref="C29:E29"/>
    <mergeCell ref="C35:E35"/>
    <mergeCell ref="C43:F43"/>
    <mergeCell ref="C44:F54"/>
    <mergeCell ref="C3:K3"/>
    <mergeCell ref="I7:K9"/>
    <mergeCell ref="C33:E33"/>
    <mergeCell ref="C11:E11"/>
    <mergeCell ref="C13:E13"/>
    <mergeCell ref="C15:E15"/>
    <mergeCell ref="I13:J39"/>
    <mergeCell ref="C37:E37"/>
    <mergeCell ref="C25:E25"/>
    <mergeCell ref="C7:E7"/>
    <mergeCell ref="C9:E9"/>
    <mergeCell ref="C31:E31"/>
    <mergeCell ref="C21:E21"/>
    <mergeCell ref="C23:E23"/>
    <mergeCell ref="C17:E17"/>
    <mergeCell ref="C19:E19"/>
  </mergeCells>
  <phoneticPr fontId="18" type="noConversion"/>
  <dataValidations count="1">
    <dataValidation type="decimal" allowBlank="1" showErrorMessage="1" errorTitle="Geschosshöhe" error="Bitte geben Sie die Geschosshöhe in Metern ein!" sqref="G9 G11 G13:G37" xr:uid="{00000000-0002-0000-0100-000000000000}">
      <formula1>0</formula1>
      <formula2>100</formula2>
    </dataValidation>
  </dataValidations>
  <printOptions horizontalCentered="1"/>
  <pageMargins left="0.59055118110236227" right="0.59055118110236227" top="0.98425196850393704" bottom="0.98425196850393704" header="0.51181102362204722" footer="0.51181102362204722"/>
  <pageSetup paperSize="0" orientation="landscape" horizontalDpi="4294967292" verticalDpi="429496729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0070C0"/>
    <pageSetUpPr autoPageBreaks="0"/>
  </sheetPr>
  <dimension ref="A1:BP1485"/>
  <sheetViews>
    <sheetView showGridLines="0" showRowColHeaders="0" showOutlineSymbols="0" zoomScale="145" zoomScaleNormal="143" zoomScalePageLayoutView="143" workbookViewId="0">
      <selection activeCell="B9" sqref="B9"/>
    </sheetView>
  </sheetViews>
  <sheetFormatPr baseColWidth="10" defaultColWidth="10.875" defaultRowHeight="11.4"/>
  <cols>
    <col min="1" max="1" width="7.875" style="182" customWidth="1"/>
    <col min="2" max="2" width="22.625" style="182" customWidth="1"/>
    <col min="3" max="3" width="7.875" style="238" customWidth="1"/>
    <col min="4" max="11" width="7.875" style="182" customWidth="1"/>
    <col min="12" max="12" width="8.875" style="182" customWidth="1"/>
    <col min="13" max="13" width="5.125" style="182" customWidth="1"/>
    <col min="14" max="14" width="6.375" style="182" customWidth="1"/>
    <col min="15" max="15" width="6.125" style="182" customWidth="1"/>
    <col min="16" max="18" width="4" style="182" customWidth="1"/>
    <col min="19" max="19" width="10.875" style="182"/>
    <col min="20" max="25" width="11.5" style="182" hidden="1" customWidth="1"/>
    <col min="26" max="26" width="10.875" style="318" hidden="1" customWidth="1"/>
    <col min="27" max="27" width="6.875" style="318" hidden="1" customWidth="1"/>
    <col min="28" max="28" width="5.625" style="318" hidden="1" customWidth="1"/>
    <col min="29" max="29" width="10.875" style="318" hidden="1" customWidth="1"/>
    <col min="30" max="35" width="0" style="318" hidden="1" customWidth="1"/>
    <col min="36" max="37" width="10.875" style="318"/>
    <col min="38" max="38" width="10.875" style="292"/>
    <col min="39" max="67" width="10.875" style="182"/>
    <col min="68" max="68" width="10.875" style="229"/>
    <col min="69" max="16384" width="10.875" style="182"/>
  </cols>
  <sheetData>
    <row r="1" spans="1:38">
      <c r="A1" s="192"/>
      <c r="B1" s="192"/>
      <c r="C1" s="192"/>
      <c r="D1" s="192"/>
      <c r="E1" s="192"/>
      <c r="F1" s="192"/>
      <c r="G1" s="192"/>
      <c r="H1" s="192"/>
      <c r="I1" s="192"/>
      <c r="J1" s="192"/>
      <c r="K1" s="192"/>
      <c r="L1" s="192"/>
      <c r="M1" s="192"/>
      <c r="N1" s="192"/>
      <c r="O1" s="192"/>
      <c r="P1" s="192"/>
      <c r="Q1" s="192"/>
      <c r="R1" s="192"/>
      <c r="S1" s="192"/>
    </row>
    <row r="2" spans="1:38" ht="19.2">
      <c r="A2" s="192"/>
      <c r="B2" s="1291" t="s">
        <v>314</v>
      </c>
      <c r="C2" s="1291"/>
      <c r="D2" s="1291"/>
      <c r="E2" s="1291"/>
      <c r="F2" s="1291"/>
      <c r="G2" s="1291"/>
      <c r="H2" s="1291"/>
      <c r="I2" s="1291"/>
      <c r="J2" s="1291"/>
      <c r="K2" s="1291"/>
      <c r="L2" s="1291"/>
      <c r="M2" s="1291"/>
      <c r="N2" s="1291"/>
      <c r="O2" s="1291"/>
      <c r="P2" s="193"/>
      <c r="Q2" s="193"/>
      <c r="R2" s="193"/>
      <c r="S2" s="192"/>
    </row>
    <row r="3" spans="1:38" ht="57.75" customHeight="1">
      <c r="A3" s="192"/>
      <c r="B3" s="530"/>
      <c r="C3" s="530"/>
      <c r="D3" s="530"/>
      <c r="E3" s="530"/>
      <c r="F3" s="530"/>
      <c r="G3" s="530"/>
      <c r="H3" s="530"/>
      <c r="I3" s="530"/>
      <c r="J3" s="530"/>
      <c r="K3" s="530"/>
      <c r="L3" s="530"/>
      <c r="M3" s="530"/>
      <c r="N3" s="530"/>
      <c r="O3" s="530"/>
      <c r="P3" s="193"/>
      <c r="Q3" s="193"/>
      <c r="R3" s="193"/>
      <c r="S3" s="192"/>
    </row>
    <row r="4" spans="1:38" s="230" customFormat="1" ht="21" customHeight="1">
      <c r="A4" s="194"/>
      <c r="B4" s="959" t="s">
        <v>259</v>
      </c>
      <c r="C4" s="904"/>
      <c r="D4" s="904"/>
      <c r="E4" s="904"/>
      <c r="F4" s="904"/>
      <c r="G4" s="904"/>
      <c r="H4" s="904"/>
      <c r="I4" s="904"/>
      <c r="J4" s="904"/>
      <c r="K4" s="904"/>
      <c r="L4" s="904"/>
      <c r="M4" s="904"/>
      <c r="N4" s="904"/>
      <c r="O4" s="904"/>
      <c r="P4" s="194"/>
      <c r="Q4" s="194"/>
      <c r="R4" s="194"/>
      <c r="S4" s="194"/>
      <c r="W4" s="230" t="s">
        <v>544</v>
      </c>
      <c r="Z4" s="319"/>
      <c r="AA4" s="319"/>
      <c r="AB4" s="319"/>
      <c r="AC4" s="319"/>
      <c r="AD4" s="319"/>
      <c r="AE4" s="319"/>
      <c r="AF4" s="319"/>
      <c r="AG4" s="319"/>
      <c r="AH4" s="319"/>
      <c r="AI4" s="319"/>
      <c r="AJ4" s="319"/>
      <c r="AK4" s="319"/>
      <c r="AL4" s="298"/>
    </row>
    <row r="5" spans="1:38" s="230" customFormat="1" ht="3" customHeight="1">
      <c r="A5" s="194"/>
      <c r="B5" s="958"/>
      <c r="C5" s="958"/>
      <c r="D5" s="958"/>
      <c r="E5" s="958"/>
      <c r="F5" s="958"/>
      <c r="G5" s="958"/>
      <c r="H5" s="958"/>
      <c r="I5" s="958"/>
      <c r="J5" s="958"/>
      <c r="K5" s="958"/>
      <c r="L5" s="958"/>
      <c r="M5" s="958"/>
      <c r="N5" s="958"/>
      <c r="O5" s="958"/>
      <c r="P5" s="194"/>
      <c r="Q5" s="194"/>
      <c r="R5" s="194"/>
      <c r="S5" s="194"/>
      <c r="W5" s="230" t="s">
        <v>404</v>
      </c>
      <c r="X5" s="230" t="s">
        <v>486</v>
      </c>
      <c r="Z5" s="319"/>
      <c r="AA5" s="319" t="s">
        <v>173</v>
      </c>
      <c r="AB5" s="319"/>
      <c r="AC5" s="319"/>
      <c r="AD5" s="319"/>
      <c r="AE5" s="319"/>
      <c r="AF5" s="319"/>
      <c r="AG5" s="319"/>
      <c r="AH5" s="319"/>
      <c r="AI5" s="319"/>
      <c r="AJ5" s="319"/>
      <c r="AK5" s="319"/>
      <c r="AL5" s="298"/>
    </row>
    <row r="6" spans="1:38" s="230" customFormat="1" ht="10.95" customHeight="1">
      <c r="A6" s="194"/>
      <c r="B6" s="905" t="s">
        <v>297</v>
      </c>
      <c r="C6" s="904" t="s">
        <v>47</v>
      </c>
      <c r="D6" s="904" t="s">
        <v>119</v>
      </c>
      <c r="E6" s="904" t="s">
        <v>464</v>
      </c>
      <c r="F6" s="904" t="s">
        <v>521</v>
      </c>
      <c r="G6" s="904"/>
      <c r="H6" s="905"/>
      <c r="I6" s="904"/>
      <c r="J6" s="904"/>
      <c r="K6" s="906"/>
      <c r="L6" s="904" t="s">
        <v>442</v>
      </c>
      <c r="M6" s="904" t="s">
        <v>349</v>
      </c>
      <c r="N6" s="904" t="s">
        <v>166</v>
      </c>
      <c r="O6" s="904" t="s">
        <v>520</v>
      </c>
      <c r="P6" s="194"/>
      <c r="Q6" s="194"/>
      <c r="R6" s="194"/>
      <c r="S6" s="194"/>
      <c r="Z6" s="319"/>
      <c r="AA6" s="319"/>
      <c r="AB6" s="319"/>
      <c r="AC6" s="319"/>
      <c r="AD6" s="319"/>
      <c r="AE6" s="319"/>
      <c r="AF6" s="319"/>
      <c r="AG6" s="319"/>
      <c r="AH6" s="319"/>
      <c r="AI6" s="319"/>
      <c r="AJ6" s="319"/>
      <c r="AK6" s="319"/>
      <c r="AL6" s="298"/>
    </row>
    <row r="7" spans="1:38" s="231" customFormat="1" ht="12" customHeight="1">
      <c r="A7" s="576"/>
      <c r="B7" s="904"/>
      <c r="C7" s="904" t="s">
        <v>206</v>
      </c>
      <c r="D7" s="904" t="s">
        <v>552</v>
      </c>
      <c r="E7" s="904" t="s">
        <v>181</v>
      </c>
      <c r="F7" s="904"/>
      <c r="G7" s="904"/>
      <c r="H7" s="904"/>
      <c r="I7" s="904"/>
      <c r="J7" s="904"/>
      <c r="K7" s="904"/>
      <c r="L7" s="904" t="s">
        <v>228</v>
      </c>
      <c r="M7" s="904"/>
      <c r="N7" s="904" t="s">
        <v>621</v>
      </c>
      <c r="O7" s="904"/>
      <c r="P7" s="194"/>
      <c r="Q7" s="194"/>
      <c r="R7" s="195"/>
      <c r="S7" s="195"/>
      <c r="W7" s="232">
        <f>(MAX(L9,L23,L36,L49,L62,L75,L88,L101,L114,L127))</f>
        <v>0</v>
      </c>
      <c r="Z7" s="320"/>
      <c r="AA7" s="320"/>
      <c r="AB7" s="320"/>
      <c r="AC7" s="320"/>
      <c r="AD7" s="320"/>
      <c r="AE7" s="320"/>
      <c r="AF7" s="320"/>
      <c r="AG7" s="320"/>
      <c r="AH7" s="320"/>
      <c r="AI7" s="320"/>
      <c r="AJ7" s="320"/>
      <c r="AK7" s="320"/>
      <c r="AL7" s="299"/>
    </row>
    <row r="8" spans="1:38" s="231" customFormat="1" ht="4.95" customHeight="1">
      <c r="A8" s="195"/>
      <c r="B8" s="196"/>
      <c r="C8" s="197"/>
      <c r="D8" s="197"/>
      <c r="E8" s="197"/>
      <c r="F8" s="197"/>
      <c r="G8" s="197"/>
      <c r="H8" s="195"/>
      <c r="I8" s="197"/>
      <c r="J8" s="197"/>
      <c r="K8" s="195"/>
      <c r="L8" s="195"/>
      <c r="M8" s="195"/>
      <c r="N8" s="195"/>
      <c r="O8" s="195"/>
      <c r="P8" s="195"/>
      <c r="Q8" s="195"/>
      <c r="R8" s="195"/>
      <c r="S8" s="195"/>
      <c r="Z8" s="320"/>
      <c r="AA8" s="320"/>
      <c r="AB8" s="320"/>
      <c r="AC8" s="320"/>
      <c r="AD8" s="320"/>
      <c r="AE8" s="320"/>
      <c r="AF8" s="320"/>
      <c r="AG8" s="320"/>
      <c r="AH8" s="320"/>
      <c r="AI8" s="320"/>
      <c r="AJ8" s="320"/>
      <c r="AK8" s="320"/>
      <c r="AL8" s="299"/>
    </row>
    <row r="9" spans="1:38" ht="10.95" customHeight="1">
      <c r="A9" s="192"/>
      <c r="B9" s="646"/>
      <c r="C9" s="696"/>
      <c r="D9" s="653"/>
      <c r="E9" s="654"/>
      <c r="F9" s="655"/>
      <c r="G9" s="210"/>
      <c r="H9" s="198"/>
      <c r="I9" s="198"/>
      <c r="J9" s="198"/>
      <c r="K9" s="211"/>
      <c r="L9" s="219" t="str">
        <f>IF(E9="","",Nutzung!$G$29)</f>
        <v/>
      </c>
      <c r="M9" s="218" t="str">
        <f>IF(D9="","",AB9)</f>
        <v/>
      </c>
      <c r="N9" s="214">
        <f>IF(E9=0,0,SUM(O11:O22))</f>
        <v>0</v>
      </c>
      <c r="O9" s="215" t="str">
        <f>IF(N9/$O$1370=0,"",N9/$O$1370)</f>
        <v/>
      </c>
      <c r="P9" s="198"/>
      <c r="Q9" s="198"/>
      <c r="R9" s="198"/>
      <c r="S9" s="192"/>
      <c r="T9" s="182">
        <f>D9*E9</f>
        <v>0</v>
      </c>
      <c r="W9" s="232">
        <f>(MAX(L144,L157,L170,L183,L196,L209,L222,L235,L248,L261))</f>
        <v>0</v>
      </c>
      <c r="AA9" s="318">
        <f>IF(D9="",0,1)</f>
        <v>0</v>
      </c>
      <c r="AB9" s="318">
        <f>AA9</f>
        <v>0</v>
      </c>
    </row>
    <row r="10" spans="1:38" s="234" customFormat="1" ht="10.199999999999999" hidden="1">
      <c r="A10" s="199"/>
      <c r="B10" s="646"/>
      <c r="C10" s="697"/>
      <c r="D10" s="653"/>
      <c r="E10" s="654"/>
      <c r="F10" s="655"/>
      <c r="G10" s="707" t="s">
        <v>162</v>
      </c>
      <c r="H10" s="200" t="s">
        <v>184</v>
      </c>
      <c r="I10" s="709" t="s">
        <v>471</v>
      </c>
      <c r="J10" s="201"/>
      <c r="K10" s="200" t="s">
        <v>295</v>
      </c>
      <c r="L10" s="225"/>
      <c r="M10" s="117"/>
      <c r="N10" s="216" t="s">
        <v>448</v>
      </c>
      <c r="O10" s="200" t="s">
        <v>166</v>
      </c>
      <c r="P10" s="201"/>
      <c r="Q10" s="201"/>
      <c r="R10" s="201"/>
      <c r="S10" s="199"/>
      <c r="Z10" s="321"/>
      <c r="AA10" s="318"/>
      <c r="AB10" s="321"/>
      <c r="AC10" s="321"/>
      <c r="AD10" s="321"/>
      <c r="AE10" s="321"/>
      <c r="AF10" s="321"/>
      <c r="AG10" s="321"/>
      <c r="AH10" s="321"/>
      <c r="AI10" s="321"/>
      <c r="AJ10" s="321"/>
      <c r="AK10" s="321"/>
      <c r="AL10" s="300"/>
    </row>
    <row r="11" spans="1:38" s="234" customFormat="1" ht="10.199999999999999" hidden="1">
      <c r="A11" s="199"/>
      <c r="B11" s="710" t="s">
        <v>49</v>
      </c>
      <c r="C11" s="697"/>
      <c r="D11" s="653"/>
      <c r="E11" s="654"/>
      <c r="F11" s="655"/>
      <c r="G11" s="708" t="str">
        <f>IF($L$9&lt;Nutzung!$G$29,Nutzung!$G$29,$L$9)</f>
        <v/>
      </c>
      <c r="H11" s="263">
        <f>Klima!$C136</f>
        <v>0</v>
      </c>
      <c r="I11" s="268">
        <v>31</v>
      </c>
      <c r="J11" s="201"/>
      <c r="K11" s="246">
        <f>IF($L$9="",Nutzung!$G$29,Bauteile!$L$9)</f>
        <v>0</v>
      </c>
      <c r="L11" s="224"/>
      <c r="M11" s="117"/>
      <c r="N11" s="217">
        <f>EBF!$F$39</f>
        <v>1.0000000000000001E-31</v>
      </c>
      <c r="O11" s="209">
        <f>IF($E$9="",0,((Nutzung!$G$29+Regelung-1)+((G11-Nutzung!$G$29)/4)-H11)*I11*D9*E9*24/(N11*1000))</f>
        <v>0</v>
      </c>
      <c r="P11" s="201"/>
      <c r="Q11" s="201"/>
      <c r="R11" s="201"/>
      <c r="S11" s="199"/>
      <c r="Z11" s="321"/>
      <c r="AA11" s="318"/>
      <c r="AB11" s="321"/>
      <c r="AC11" s="321"/>
      <c r="AD11" s="321"/>
      <c r="AE11" s="321"/>
      <c r="AF11" s="321"/>
      <c r="AG11" s="321"/>
      <c r="AH11" s="321"/>
      <c r="AI11" s="321"/>
      <c r="AJ11" s="321"/>
      <c r="AK11" s="321"/>
      <c r="AL11" s="300"/>
    </row>
    <row r="12" spans="1:38" s="234" customFormat="1" ht="10.199999999999999" hidden="1">
      <c r="A12" s="199"/>
      <c r="B12" s="710" t="s">
        <v>554</v>
      </c>
      <c r="C12" s="697"/>
      <c r="D12" s="653"/>
      <c r="E12" s="654"/>
      <c r="F12" s="655"/>
      <c r="G12" s="708"/>
      <c r="H12" s="263">
        <f>Klima!$C137</f>
        <v>0</v>
      </c>
      <c r="I12" s="268">
        <v>28</v>
      </c>
      <c r="J12" s="201"/>
      <c r="K12" s="246"/>
      <c r="L12" s="224"/>
      <c r="M12" s="117"/>
      <c r="N12" s="217"/>
      <c r="O12" s="209">
        <f>IF($E$9="",0,((Nutzung!$G$29+Regelung-1)+((G11-Nutzung!$G$29)/4)-H12)*I12*D9*E9*24/(N11*1000))</f>
        <v>0</v>
      </c>
      <c r="P12" s="201"/>
      <c r="Q12" s="201"/>
      <c r="R12" s="201"/>
      <c r="S12" s="199"/>
      <c r="Z12" s="321"/>
      <c r="AA12" s="318"/>
      <c r="AB12" s="321"/>
      <c r="AC12" s="321"/>
      <c r="AD12" s="321"/>
      <c r="AE12" s="321"/>
      <c r="AF12" s="321"/>
      <c r="AG12" s="321"/>
      <c r="AH12" s="321"/>
      <c r="AI12" s="321"/>
      <c r="AJ12" s="321"/>
      <c r="AK12" s="321"/>
      <c r="AL12" s="300"/>
    </row>
    <row r="13" spans="1:38" s="234" customFormat="1" ht="10.199999999999999" hidden="1">
      <c r="A13" s="199"/>
      <c r="B13" s="710" t="s">
        <v>306</v>
      </c>
      <c r="C13" s="697"/>
      <c r="D13" s="653"/>
      <c r="E13" s="654"/>
      <c r="F13" s="655"/>
      <c r="G13" s="708"/>
      <c r="H13" s="263">
        <f>Klima!$C138</f>
        <v>0</v>
      </c>
      <c r="I13" s="268">
        <v>31</v>
      </c>
      <c r="J13" s="201"/>
      <c r="K13" s="246"/>
      <c r="L13" s="224"/>
      <c r="M13" s="117"/>
      <c r="N13" s="217"/>
      <c r="O13" s="209">
        <f>IF($E$9="",0,((Nutzung!$G$29+Regelung-1)+((G11-Nutzung!$G$29)/4)-H13)*I13*D9*E9*24/(N11*1000))</f>
        <v>0</v>
      </c>
      <c r="P13" s="201"/>
      <c r="Q13" s="201"/>
      <c r="R13" s="201"/>
      <c r="S13" s="199"/>
      <c r="Z13" s="321"/>
      <c r="AA13" s="318"/>
      <c r="AB13" s="321"/>
      <c r="AC13" s="321"/>
      <c r="AD13" s="321"/>
      <c r="AE13" s="321"/>
      <c r="AF13" s="321"/>
      <c r="AG13" s="321"/>
      <c r="AH13" s="321"/>
      <c r="AI13" s="321"/>
      <c r="AJ13" s="321"/>
      <c r="AK13" s="321"/>
      <c r="AL13" s="300"/>
    </row>
    <row r="14" spans="1:38" s="234" customFormat="1" ht="10.199999999999999" hidden="1">
      <c r="A14" s="199"/>
      <c r="B14" s="710" t="s">
        <v>409</v>
      </c>
      <c r="C14" s="697"/>
      <c r="D14" s="653"/>
      <c r="E14" s="654"/>
      <c r="F14" s="655"/>
      <c r="G14" s="708"/>
      <c r="H14" s="263">
        <f>Klima!$C139</f>
        <v>0</v>
      </c>
      <c r="I14" s="268">
        <v>30</v>
      </c>
      <c r="J14" s="201"/>
      <c r="K14" s="246"/>
      <c r="L14" s="224"/>
      <c r="M14" s="117"/>
      <c r="N14" s="217"/>
      <c r="O14" s="209">
        <f>IF($E$9="",0,((Nutzung!$G$29+Regelung-1)+((G11-Nutzung!$G$29)/4)-H14)*I14*D9*E9*24/(N11*1000))</f>
        <v>0</v>
      </c>
      <c r="P14" s="201"/>
      <c r="Q14" s="201"/>
      <c r="R14" s="201"/>
      <c r="S14" s="199"/>
      <c r="Z14" s="321"/>
      <c r="AA14" s="318"/>
      <c r="AB14" s="321"/>
      <c r="AC14" s="321"/>
      <c r="AD14" s="321"/>
      <c r="AE14" s="321"/>
      <c r="AF14" s="321"/>
      <c r="AG14" s="321"/>
      <c r="AH14" s="321"/>
      <c r="AI14" s="321"/>
      <c r="AJ14" s="321"/>
      <c r="AK14" s="321"/>
      <c r="AL14" s="300"/>
    </row>
    <row r="15" spans="1:38" s="234" customFormat="1" ht="10.199999999999999" hidden="1">
      <c r="A15" s="199"/>
      <c r="B15" s="710" t="s">
        <v>410</v>
      </c>
      <c r="C15" s="697"/>
      <c r="D15" s="653"/>
      <c r="E15" s="654"/>
      <c r="F15" s="655"/>
      <c r="G15" s="708"/>
      <c r="H15" s="263">
        <f>Klima!$C140</f>
        <v>0</v>
      </c>
      <c r="I15" s="268">
        <v>31</v>
      </c>
      <c r="J15" s="201"/>
      <c r="K15" s="246"/>
      <c r="L15" s="224"/>
      <c r="M15" s="117"/>
      <c r="N15" s="217"/>
      <c r="O15" s="209">
        <f>IF($E$9="",0,((Nutzung!$G$29+Regelung-1)+((G11-Nutzung!$G$29)/4)-H15)*I15*D9*E9*24/(N11*1000))</f>
        <v>0</v>
      </c>
      <c r="P15" s="201"/>
      <c r="Q15" s="201"/>
      <c r="R15" s="201"/>
      <c r="S15" s="199"/>
      <c r="Z15" s="321"/>
      <c r="AA15" s="318"/>
      <c r="AB15" s="321"/>
      <c r="AC15" s="321"/>
      <c r="AD15" s="321"/>
      <c r="AE15" s="321"/>
      <c r="AF15" s="321"/>
      <c r="AG15" s="321"/>
      <c r="AH15" s="321"/>
      <c r="AI15" s="321"/>
      <c r="AJ15" s="321"/>
      <c r="AK15" s="321"/>
      <c r="AL15" s="300"/>
    </row>
    <row r="16" spans="1:38" s="234" customFormat="1" ht="10.199999999999999" hidden="1">
      <c r="A16" s="199"/>
      <c r="B16" s="710" t="s">
        <v>411</v>
      </c>
      <c r="C16" s="697"/>
      <c r="D16" s="653"/>
      <c r="E16" s="654"/>
      <c r="F16" s="655"/>
      <c r="G16" s="708"/>
      <c r="H16" s="263">
        <f>Klima!$C141</f>
        <v>0</v>
      </c>
      <c r="I16" s="268">
        <v>30</v>
      </c>
      <c r="J16" s="201"/>
      <c r="K16" s="246"/>
      <c r="L16" s="224"/>
      <c r="M16" s="117"/>
      <c r="N16" s="217"/>
      <c r="O16" s="209">
        <f>IF($E$9="",0,((Nutzung!$G$29+Regelung-1)+((G11-Nutzung!$G$29)/4)-H16)*I16*D9*E9*24/(N11*1000))</f>
        <v>0</v>
      </c>
      <c r="P16" s="201"/>
      <c r="Q16" s="201"/>
      <c r="R16" s="201"/>
      <c r="S16" s="199"/>
      <c r="Z16" s="321"/>
      <c r="AA16" s="318"/>
      <c r="AB16" s="321"/>
      <c r="AC16" s="321"/>
      <c r="AD16" s="321"/>
      <c r="AE16" s="321"/>
      <c r="AF16" s="321"/>
      <c r="AG16" s="321"/>
      <c r="AH16" s="321"/>
      <c r="AI16" s="321"/>
      <c r="AJ16" s="321"/>
      <c r="AK16" s="321"/>
      <c r="AL16" s="300"/>
    </row>
    <row r="17" spans="1:38" s="234" customFormat="1" ht="10.199999999999999" hidden="1">
      <c r="A17" s="199"/>
      <c r="B17" s="710" t="s">
        <v>221</v>
      </c>
      <c r="C17" s="697"/>
      <c r="D17" s="653"/>
      <c r="E17" s="654"/>
      <c r="F17" s="655"/>
      <c r="G17" s="708"/>
      <c r="H17" s="263">
        <f>Klima!$C142</f>
        <v>0</v>
      </c>
      <c r="I17" s="268">
        <v>31</v>
      </c>
      <c r="J17" s="201"/>
      <c r="K17" s="246"/>
      <c r="L17" s="224"/>
      <c r="M17" s="117"/>
      <c r="N17" s="217"/>
      <c r="O17" s="209">
        <f>IF($E$9="",0,((Nutzung!$G$29+Regelung-1)+((G11-Nutzung!$G$29)/4)-H17)*I17*D9*E9*24/(N11*1000))</f>
        <v>0</v>
      </c>
      <c r="P17" s="201"/>
      <c r="Q17" s="201"/>
      <c r="R17" s="201"/>
      <c r="S17" s="199"/>
      <c r="Z17" s="321"/>
      <c r="AA17" s="318"/>
      <c r="AB17" s="321"/>
      <c r="AC17" s="321"/>
      <c r="AD17" s="321"/>
      <c r="AE17" s="321"/>
      <c r="AF17" s="321"/>
      <c r="AG17" s="321"/>
      <c r="AH17" s="321"/>
      <c r="AI17" s="321"/>
      <c r="AJ17" s="321"/>
      <c r="AK17" s="321"/>
      <c r="AL17" s="300"/>
    </row>
    <row r="18" spans="1:38" s="234" customFormat="1" ht="10.199999999999999" hidden="1">
      <c r="A18" s="199"/>
      <c r="B18" s="710" t="s">
        <v>138</v>
      </c>
      <c r="C18" s="697"/>
      <c r="D18" s="653"/>
      <c r="E18" s="654"/>
      <c r="F18" s="655"/>
      <c r="G18" s="708"/>
      <c r="H18" s="263">
        <f>Klima!$C143</f>
        <v>0</v>
      </c>
      <c r="I18" s="268">
        <v>31</v>
      </c>
      <c r="J18" s="201"/>
      <c r="K18" s="246"/>
      <c r="L18" s="224"/>
      <c r="M18" s="117"/>
      <c r="N18" s="217"/>
      <c r="O18" s="209">
        <f>IF($E$9="",0,((Nutzung!$G$29+Regelung-1)+((G11-Nutzung!$G$29)/4)-H18)*I18*D9*E9*24/(N11*1000))</f>
        <v>0</v>
      </c>
      <c r="P18" s="201"/>
      <c r="Q18" s="201"/>
      <c r="R18" s="201"/>
      <c r="S18" s="199"/>
      <c r="Z18" s="321"/>
      <c r="AA18" s="318"/>
      <c r="AB18" s="321"/>
      <c r="AC18" s="321"/>
      <c r="AD18" s="321"/>
      <c r="AE18" s="321"/>
      <c r="AF18" s="321"/>
      <c r="AG18" s="321"/>
      <c r="AH18" s="321"/>
      <c r="AI18" s="321"/>
      <c r="AJ18" s="321"/>
      <c r="AK18" s="321"/>
      <c r="AL18" s="300"/>
    </row>
    <row r="19" spans="1:38" s="234" customFormat="1" ht="10.199999999999999" hidden="1">
      <c r="A19" s="199"/>
      <c r="B19" s="710" t="s">
        <v>139</v>
      </c>
      <c r="C19" s="697"/>
      <c r="D19" s="653"/>
      <c r="E19" s="654"/>
      <c r="F19" s="655"/>
      <c r="G19" s="708"/>
      <c r="H19" s="263">
        <f>Klima!$C144</f>
        <v>0</v>
      </c>
      <c r="I19" s="268">
        <v>30</v>
      </c>
      <c r="J19" s="201"/>
      <c r="K19" s="246"/>
      <c r="L19" s="224"/>
      <c r="M19" s="117"/>
      <c r="N19" s="217"/>
      <c r="O19" s="209">
        <f>IF($E$9="",0,((Nutzung!$G$29+Regelung-1)+((G11-Nutzung!$G$29)/4)-H19)*I19*D9*E9*24/(N11*1000))</f>
        <v>0</v>
      </c>
      <c r="P19" s="201"/>
      <c r="Q19" s="201"/>
      <c r="R19" s="201"/>
      <c r="S19" s="199"/>
      <c r="Z19" s="321"/>
      <c r="AA19" s="318"/>
      <c r="AB19" s="321"/>
      <c r="AC19" s="321"/>
      <c r="AD19" s="321"/>
      <c r="AE19" s="321"/>
      <c r="AF19" s="321"/>
      <c r="AG19" s="321"/>
      <c r="AH19" s="321"/>
      <c r="AI19" s="321"/>
      <c r="AJ19" s="321"/>
      <c r="AK19" s="321"/>
      <c r="AL19" s="300"/>
    </row>
    <row r="20" spans="1:38" s="234" customFormat="1" ht="10.199999999999999" hidden="1">
      <c r="A20" s="199"/>
      <c r="B20" s="710" t="s">
        <v>269</v>
      </c>
      <c r="C20" s="697"/>
      <c r="D20" s="653"/>
      <c r="E20" s="654"/>
      <c r="F20" s="655"/>
      <c r="G20" s="708"/>
      <c r="H20" s="263">
        <f>Klima!$C145</f>
        <v>0</v>
      </c>
      <c r="I20" s="268">
        <v>31</v>
      </c>
      <c r="J20" s="201"/>
      <c r="K20" s="246"/>
      <c r="L20" s="224"/>
      <c r="M20" s="117"/>
      <c r="N20" s="217"/>
      <c r="O20" s="209">
        <f>IF($E$9="",0,((Nutzung!$G$29+Regelung-1)+((G11-Nutzung!$G$29)/4)-H20)*I20*D9*E9*24/(N11*1000))</f>
        <v>0</v>
      </c>
      <c r="P20" s="201"/>
      <c r="Q20" s="201"/>
      <c r="R20" s="201"/>
      <c r="S20" s="199"/>
      <c r="Z20" s="321"/>
      <c r="AA20" s="318"/>
      <c r="AB20" s="321"/>
      <c r="AC20" s="321"/>
      <c r="AD20" s="321"/>
      <c r="AE20" s="321"/>
      <c r="AF20" s="321"/>
      <c r="AG20" s="321"/>
      <c r="AH20" s="321"/>
      <c r="AI20" s="321"/>
      <c r="AJ20" s="321"/>
      <c r="AK20" s="321"/>
      <c r="AL20" s="300"/>
    </row>
    <row r="21" spans="1:38" s="234" customFormat="1" ht="10.199999999999999" hidden="1">
      <c r="A21" s="199"/>
      <c r="B21" s="710" t="s">
        <v>366</v>
      </c>
      <c r="C21" s="697"/>
      <c r="D21" s="653"/>
      <c r="E21" s="654"/>
      <c r="F21" s="655"/>
      <c r="G21" s="708"/>
      <c r="H21" s="263">
        <f>Klima!$C146</f>
        <v>0</v>
      </c>
      <c r="I21" s="268">
        <v>30</v>
      </c>
      <c r="J21" s="201"/>
      <c r="K21" s="246"/>
      <c r="L21" s="224"/>
      <c r="M21" s="117"/>
      <c r="N21" s="217"/>
      <c r="O21" s="209">
        <f>IF($E$9="",0,((Nutzung!$G$29+Regelung-1)+((G11-Nutzung!$G$29)/4)-H21)*I21*D9*E9*24/(N11*1000))</f>
        <v>0</v>
      </c>
      <c r="P21" s="201"/>
      <c r="Q21" s="201"/>
      <c r="R21" s="201"/>
      <c r="S21" s="199"/>
      <c r="Z21" s="321"/>
      <c r="AA21" s="318"/>
      <c r="AB21" s="321"/>
      <c r="AC21" s="321"/>
      <c r="AD21" s="321"/>
      <c r="AE21" s="321"/>
      <c r="AF21" s="321"/>
      <c r="AG21" s="321"/>
      <c r="AH21" s="321"/>
      <c r="AI21" s="321"/>
      <c r="AJ21" s="321"/>
      <c r="AK21" s="321"/>
      <c r="AL21" s="300"/>
    </row>
    <row r="22" spans="1:38" s="234" customFormat="1" ht="10.199999999999999" hidden="1">
      <c r="A22" s="199"/>
      <c r="B22" s="710" t="s">
        <v>465</v>
      </c>
      <c r="C22" s="697"/>
      <c r="D22" s="653"/>
      <c r="E22" s="654"/>
      <c r="F22" s="655"/>
      <c r="G22" s="708"/>
      <c r="H22" s="263">
        <f>Klima!$C147</f>
        <v>0</v>
      </c>
      <c r="I22" s="268">
        <v>31</v>
      </c>
      <c r="J22" s="201"/>
      <c r="K22" s="246"/>
      <c r="L22" s="224"/>
      <c r="M22" s="117"/>
      <c r="N22" s="217"/>
      <c r="O22" s="209">
        <f>IF($E$9="",0,((Nutzung!$G$29+Regelung-1)+((G11-Nutzung!$G$29)/4)-H22)*I22*D9*E9*24/(N11*1000))</f>
        <v>0</v>
      </c>
      <c r="P22" s="201"/>
      <c r="Q22" s="201"/>
      <c r="R22" s="201"/>
      <c r="S22" s="199"/>
      <c r="Z22" s="321"/>
      <c r="AA22" s="318"/>
      <c r="AB22" s="321"/>
      <c r="AC22" s="321"/>
      <c r="AD22" s="321"/>
      <c r="AE22" s="321"/>
      <c r="AF22" s="321"/>
      <c r="AG22" s="321"/>
      <c r="AH22" s="321"/>
      <c r="AI22" s="321"/>
      <c r="AJ22" s="321"/>
      <c r="AK22" s="321"/>
      <c r="AL22" s="300"/>
    </row>
    <row r="23" spans="1:38" ht="10.95" customHeight="1">
      <c r="A23" s="192"/>
      <c r="B23" s="646"/>
      <c r="C23" s="682"/>
      <c r="D23" s="653"/>
      <c r="E23" s="654"/>
      <c r="F23" s="655"/>
      <c r="G23" s="192"/>
      <c r="H23" s="198"/>
      <c r="I23" s="198"/>
      <c r="J23" s="198"/>
      <c r="K23" s="246"/>
      <c r="L23" s="220" t="str">
        <f>IF(E23="","",Nutzung!$G$29)</f>
        <v/>
      </c>
      <c r="M23" s="218" t="str">
        <f>IF(D23="","",AB23)</f>
        <v/>
      </c>
      <c r="N23" s="214">
        <f>IF(E23=0,0,SUM(O24:O35))</f>
        <v>0</v>
      </c>
      <c r="O23" s="215" t="str">
        <f>IF(N23/$O$1370=0,"",N23/$O$1370)</f>
        <v/>
      </c>
      <c r="P23" s="198"/>
      <c r="Q23" s="198"/>
      <c r="R23" s="198"/>
      <c r="S23" s="192"/>
      <c r="T23" s="182">
        <f>D23*E23</f>
        <v>0</v>
      </c>
      <c r="X23" s="641">
        <f>MAX(L278,L292,L306,L320,L334,L348,L362,L376,L390,L404,L418,L432,L446,L460,L474,L488,L502,L516,L530,L544,)</f>
        <v>0</v>
      </c>
      <c r="AA23" s="318">
        <f>IF(D23="",0,1)</f>
        <v>0</v>
      </c>
      <c r="AB23" s="318">
        <f>AB9+AA23</f>
        <v>0</v>
      </c>
    </row>
    <row r="24" spans="1:38" s="234" customFormat="1" ht="10.199999999999999" hidden="1">
      <c r="A24" s="199"/>
      <c r="B24" s="646"/>
      <c r="C24" s="698"/>
      <c r="D24" s="653"/>
      <c r="E24" s="654"/>
      <c r="F24" s="655"/>
      <c r="G24" s="694" t="str">
        <f>IF($L$23&lt;Nutzung!$G$29,Nutzung!$G$29,$L$23)</f>
        <v/>
      </c>
      <c r="H24" s="201"/>
      <c r="I24" s="201"/>
      <c r="J24" s="201"/>
      <c r="K24" s="246">
        <f>IF($L$23="",Nutzung!$G$29,Bauteile!$L$23)</f>
        <v>0</v>
      </c>
      <c r="L24" s="224"/>
      <c r="M24" s="117"/>
      <c r="N24" s="217"/>
      <c r="O24" s="209">
        <f>IF($E$23="",0,((Nutzung!$G$29+Regelung-1)+((G24-Nutzung!$G$29)/4)-H11)*I11*D23*E23*24/(N11*1000))</f>
        <v>0</v>
      </c>
      <c r="P24" s="201"/>
      <c r="Q24" s="201"/>
      <c r="R24" s="201"/>
      <c r="S24" s="199"/>
      <c r="Z24" s="321"/>
      <c r="AA24" s="318"/>
      <c r="AB24" s="321"/>
      <c r="AC24" s="321"/>
      <c r="AD24" s="321"/>
      <c r="AE24" s="321"/>
      <c r="AF24" s="321"/>
      <c r="AG24" s="321"/>
      <c r="AH24" s="321"/>
      <c r="AI24" s="321"/>
      <c r="AJ24" s="321"/>
      <c r="AK24" s="321"/>
      <c r="AL24" s="300"/>
    </row>
    <row r="25" spans="1:38" s="234" customFormat="1" ht="10.199999999999999" hidden="1">
      <c r="A25" s="199"/>
      <c r="B25" s="646"/>
      <c r="C25" s="699"/>
      <c r="D25" s="653"/>
      <c r="E25" s="654"/>
      <c r="F25" s="655"/>
      <c r="G25" s="199"/>
      <c r="H25" s="201"/>
      <c r="I25" s="201"/>
      <c r="J25" s="201"/>
      <c r="K25" s="246"/>
      <c r="L25" s="224"/>
      <c r="M25" s="117"/>
      <c r="N25" s="217"/>
      <c r="O25" s="209">
        <f>IF($E$23="",0,((Nutzung!$G$29+Regelung-1)+((G24-Nutzung!$G$29)/4)-H12)*I12*D23*E23*24/(N11*1000))</f>
        <v>0</v>
      </c>
      <c r="P25" s="201"/>
      <c r="Q25" s="201"/>
      <c r="R25" s="201"/>
      <c r="S25" s="199"/>
      <c r="Z25" s="321"/>
      <c r="AA25" s="318"/>
      <c r="AB25" s="321"/>
      <c r="AC25" s="321"/>
      <c r="AD25" s="321"/>
      <c r="AE25" s="321"/>
      <c r="AF25" s="321"/>
      <c r="AG25" s="321"/>
      <c r="AH25" s="321"/>
      <c r="AI25" s="321"/>
      <c r="AJ25" s="321"/>
      <c r="AK25" s="321"/>
      <c r="AL25" s="300"/>
    </row>
    <row r="26" spans="1:38" s="234" customFormat="1" ht="10.199999999999999" hidden="1">
      <c r="A26" s="199"/>
      <c r="B26" s="646"/>
      <c r="C26" s="699"/>
      <c r="D26" s="653"/>
      <c r="E26" s="654"/>
      <c r="F26" s="655"/>
      <c r="G26" s="199"/>
      <c r="H26" s="201"/>
      <c r="I26" s="201"/>
      <c r="J26" s="201"/>
      <c r="K26" s="246"/>
      <c r="L26" s="224"/>
      <c r="M26" s="117"/>
      <c r="N26" s="217"/>
      <c r="O26" s="209">
        <f>IF($E$23="",0,((Nutzung!$G$29+Regelung-1)+((G24-Nutzung!$G$29)/4)-H13)*I13*D23*E23*24/(N11*1000))</f>
        <v>0</v>
      </c>
      <c r="P26" s="201"/>
      <c r="Q26" s="201"/>
      <c r="R26" s="201"/>
      <c r="S26" s="199"/>
      <c r="Z26" s="321"/>
      <c r="AA26" s="318"/>
      <c r="AB26" s="321"/>
      <c r="AC26" s="321"/>
      <c r="AD26" s="321"/>
      <c r="AE26" s="321"/>
      <c r="AF26" s="321"/>
      <c r="AG26" s="321"/>
      <c r="AH26" s="321"/>
      <c r="AI26" s="321"/>
      <c r="AJ26" s="321"/>
      <c r="AK26" s="321"/>
      <c r="AL26" s="300"/>
    </row>
    <row r="27" spans="1:38" s="234" customFormat="1" ht="10.199999999999999" hidden="1">
      <c r="A27" s="199"/>
      <c r="B27" s="646"/>
      <c r="C27" s="699"/>
      <c r="D27" s="653"/>
      <c r="E27" s="654"/>
      <c r="F27" s="655"/>
      <c r="G27" s="199"/>
      <c r="H27" s="201"/>
      <c r="I27" s="201"/>
      <c r="J27" s="201"/>
      <c r="K27" s="246"/>
      <c r="L27" s="224"/>
      <c r="M27" s="117"/>
      <c r="N27" s="217"/>
      <c r="O27" s="209">
        <f>IF($E$23="",0,((Nutzung!$G$29+Regelung-1)+((G24-Nutzung!$G$29)/4)-H14)*I14*D23*E23*24/(N11*1000))</f>
        <v>0</v>
      </c>
      <c r="P27" s="201"/>
      <c r="Q27" s="201"/>
      <c r="R27" s="201"/>
      <c r="S27" s="199"/>
      <c r="Z27" s="321"/>
      <c r="AA27" s="318"/>
      <c r="AB27" s="321"/>
      <c r="AC27" s="321"/>
      <c r="AD27" s="321"/>
      <c r="AE27" s="321"/>
      <c r="AF27" s="321"/>
      <c r="AG27" s="321"/>
      <c r="AH27" s="321"/>
      <c r="AI27" s="321"/>
      <c r="AJ27" s="321"/>
      <c r="AK27" s="321"/>
      <c r="AL27" s="300"/>
    </row>
    <row r="28" spans="1:38" s="234" customFormat="1" ht="10.199999999999999" hidden="1">
      <c r="A28" s="199"/>
      <c r="B28" s="646"/>
      <c r="C28" s="699"/>
      <c r="D28" s="653"/>
      <c r="E28" s="654"/>
      <c r="F28" s="655"/>
      <c r="G28" s="199"/>
      <c r="H28" s="201"/>
      <c r="I28" s="201"/>
      <c r="J28" s="201"/>
      <c r="K28" s="246"/>
      <c r="L28" s="224"/>
      <c r="M28" s="117"/>
      <c r="N28" s="217"/>
      <c r="O28" s="209">
        <f>IF($E$23="",0,((Nutzung!$G$29+Regelung-1)+((G24-Nutzung!$G$29)/4)-H15)*I15*D23*E23*24/(N11*1000))</f>
        <v>0</v>
      </c>
      <c r="P28" s="201"/>
      <c r="Q28" s="201"/>
      <c r="R28" s="201"/>
      <c r="S28" s="199"/>
      <c r="Z28" s="321"/>
      <c r="AA28" s="318"/>
      <c r="AB28" s="321"/>
      <c r="AC28" s="321"/>
      <c r="AD28" s="321"/>
      <c r="AE28" s="321"/>
      <c r="AF28" s="321"/>
      <c r="AG28" s="321"/>
      <c r="AH28" s="321"/>
      <c r="AI28" s="321"/>
      <c r="AJ28" s="321"/>
      <c r="AK28" s="321"/>
      <c r="AL28" s="300"/>
    </row>
    <row r="29" spans="1:38" s="234" customFormat="1" ht="10.199999999999999" hidden="1">
      <c r="A29" s="199"/>
      <c r="B29" s="646"/>
      <c r="C29" s="699"/>
      <c r="D29" s="653"/>
      <c r="E29" s="654"/>
      <c r="F29" s="655"/>
      <c r="G29" s="199"/>
      <c r="H29" s="201"/>
      <c r="I29" s="201"/>
      <c r="J29" s="201"/>
      <c r="K29" s="246"/>
      <c r="L29" s="224"/>
      <c r="M29" s="117"/>
      <c r="N29" s="217"/>
      <c r="O29" s="209">
        <f>IF($E$23="",0,((Nutzung!$G$29+Regelung-1)+((G24-Nutzung!$G$29)/4)-H16)*I16*D23*E23*24/(N11*1000))</f>
        <v>0</v>
      </c>
      <c r="P29" s="201"/>
      <c r="Q29" s="201"/>
      <c r="R29" s="201"/>
      <c r="S29" s="199"/>
      <c r="Z29" s="321"/>
      <c r="AA29" s="318"/>
      <c r="AB29" s="321"/>
      <c r="AC29" s="321"/>
      <c r="AD29" s="321"/>
      <c r="AE29" s="321"/>
      <c r="AF29" s="321"/>
      <c r="AG29" s="321"/>
      <c r="AH29" s="321"/>
      <c r="AI29" s="321"/>
      <c r="AJ29" s="321"/>
      <c r="AK29" s="321"/>
      <c r="AL29" s="300"/>
    </row>
    <row r="30" spans="1:38" s="234" customFormat="1" ht="10.199999999999999" hidden="1">
      <c r="A30" s="199"/>
      <c r="B30" s="646"/>
      <c r="C30" s="699"/>
      <c r="D30" s="653"/>
      <c r="E30" s="654"/>
      <c r="F30" s="655"/>
      <c r="G30" s="199"/>
      <c r="H30" s="201"/>
      <c r="I30" s="201"/>
      <c r="J30" s="201"/>
      <c r="K30" s="246"/>
      <c r="L30" s="224"/>
      <c r="M30" s="117"/>
      <c r="N30" s="217"/>
      <c r="O30" s="209">
        <f>IF($E$23="",0,((Nutzung!$G$29+Regelung-1)+((G24-Nutzung!$G$29)/4)-H17)*I17*D23*E23*24/(N11*1000))</f>
        <v>0</v>
      </c>
      <c r="P30" s="201"/>
      <c r="Q30" s="201"/>
      <c r="R30" s="201"/>
      <c r="S30" s="199"/>
      <c r="Z30" s="321"/>
      <c r="AA30" s="318"/>
      <c r="AB30" s="321"/>
      <c r="AC30" s="321"/>
      <c r="AD30" s="321"/>
      <c r="AE30" s="321"/>
      <c r="AF30" s="321"/>
      <c r="AG30" s="321"/>
      <c r="AH30" s="321"/>
      <c r="AI30" s="321"/>
      <c r="AJ30" s="321"/>
      <c r="AK30" s="321"/>
      <c r="AL30" s="300"/>
    </row>
    <row r="31" spans="1:38" s="234" customFormat="1" ht="10.199999999999999" hidden="1">
      <c r="A31" s="199"/>
      <c r="B31" s="646"/>
      <c r="C31" s="699"/>
      <c r="D31" s="653"/>
      <c r="E31" s="654"/>
      <c r="F31" s="655"/>
      <c r="G31" s="199"/>
      <c r="H31" s="201"/>
      <c r="I31" s="201"/>
      <c r="J31" s="201"/>
      <c r="K31" s="246"/>
      <c r="L31" s="224"/>
      <c r="M31" s="117"/>
      <c r="N31" s="217"/>
      <c r="O31" s="209">
        <f>IF($E$23="",0,((Nutzung!$G$29+Regelung-1)+((G24-Nutzung!$G$29)/4)-H18)*I18*D23*E23*24/(N11*1000))</f>
        <v>0</v>
      </c>
      <c r="P31" s="201"/>
      <c r="Q31" s="201"/>
      <c r="R31" s="201"/>
      <c r="S31" s="199"/>
      <c r="Z31" s="321"/>
      <c r="AA31" s="318"/>
      <c r="AB31" s="321"/>
      <c r="AC31" s="321"/>
      <c r="AD31" s="321"/>
      <c r="AE31" s="321"/>
      <c r="AF31" s="321"/>
      <c r="AG31" s="321"/>
      <c r="AH31" s="321"/>
      <c r="AI31" s="321"/>
      <c r="AJ31" s="321"/>
      <c r="AK31" s="321"/>
      <c r="AL31" s="300"/>
    </row>
    <row r="32" spans="1:38" s="234" customFormat="1" ht="10.199999999999999" hidden="1">
      <c r="A32" s="199"/>
      <c r="B32" s="646"/>
      <c r="C32" s="699"/>
      <c r="D32" s="653"/>
      <c r="E32" s="654"/>
      <c r="F32" s="655"/>
      <c r="G32" s="199"/>
      <c r="H32" s="201"/>
      <c r="I32" s="201"/>
      <c r="J32" s="201"/>
      <c r="K32" s="246"/>
      <c r="L32" s="224"/>
      <c r="M32" s="117"/>
      <c r="N32" s="217"/>
      <c r="O32" s="209">
        <f>IF($E$23="",0,((Nutzung!$G$29+Regelung-1)+((G24-Nutzung!$G$29)/4)-H19)*I19*D23*E23*24/(N11*1000))</f>
        <v>0</v>
      </c>
      <c r="P32" s="201"/>
      <c r="Q32" s="201"/>
      <c r="R32" s="201"/>
      <c r="S32" s="199"/>
      <c r="Z32" s="321"/>
      <c r="AA32" s="318"/>
      <c r="AB32" s="321"/>
      <c r="AC32" s="321"/>
      <c r="AD32" s="321"/>
      <c r="AE32" s="321"/>
      <c r="AF32" s="321"/>
      <c r="AG32" s="321"/>
      <c r="AH32" s="321"/>
      <c r="AI32" s="321"/>
      <c r="AJ32" s="321"/>
      <c r="AK32" s="321"/>
      <c r="AL32" s="300"/>
    </row>
    <row r="33" spans="1:38" s="234" customFormat="1" ht="10.199999999999999" hidden="1">
      <c r="A33" s="199"/>
      <c r="B33" s="646"/>
      <c r="C33" s="699"/>
      <c r="D33" s="653"/>
      <c r="E33" s="654"/>
      <c r="F33" s="655"/>
      <c r="G33" s="199"/>
      <c r="H33" s="201"/>
      <c r="I33" s="201"/>
      <c r="J33" s="201"/>
      <c r="K33" s="246"/>
      <c r="L33" s="224"/>
      <c r="M33" s="117"/>
      <c r="N33" s="217"/>
      <c r="O33" s="209">
        <f>IF($E$23="",0,((Nutzung!$G$29+Regelung-1)+((G24-Nutzung!$G$29)/4)-H20)*I20*D23*E23*24/(N11*1000))</f>
        <v>0</v>
      </c>
      <c r="P33" s="201"/>
      <c r="Q33" s="201"/>
      <c r="R33" s="201"/>
      <c r="S33" s="199"/>
      <c r="Z33" s="321"/>
      <c r="AA33" s="318"/>
      <c r="AB33" s="321"/>
      <c r="AC33" s="321"/>
      <c r="AD33" s="321"/>
      <c r="AE33" s="321"/>
      <c r="AF33" s="321"/>
      <c r="AG33" s="321"/>
      <c r="AH33" s="321"/>
      <c r="AI33" s="321"/>
      <c r="AJ33" s="321"/>
      <c r="AK33" s="321"/>
      <c r="AL33" s="300"/>
    </row>
    <row r="34" spans="1:38" s="234" customFormat="1" ht="10.199999999999999" hidden="1">
      <c r="A34" s="199"/>
      <c r="B34" s="646"/>
      <c r="C34" s="699"/>
      <c r="D34" s="653"/>
      <c r="E34" s="654"/>
      <c r="F34" s="655"/>
      <c r="G34" s="199"/>
      <c r="H34" s="201"/>
      <c r="I34" s="201"/>
      <c r="J34" s="201"/>
      <c r="K34" s="246"/>
      <c r="L34" s="224"/>
      <c r="M34" s="117"/>
      <c r="N34" s="217"/>
      <c r="O34" s="209">
        <f>IF($E$23="",0,((Nutzung!$G$29+Regelung-1)+((G24-Nutzung!$G$29)/4)-H21)*I21*D23*E23*24/(N11*1000))</f>
        <v>0</v>
      </c>
      <c r="P34" s="201"/>
      <c r="Q34" s="201"/>
      <c r="R34" s="201"/>
      <c r="S34" s="199"/>
      <c r="Z34" s="321"/>
      <c r="AA34" s="318"/>
      <c r="AB34" s="321"/>
      <c r="AC34" s="321"/>
      <c r="AD34" s="321"/>
      <c r="AE34" s="321"/>
      <c r="AF34" s="321"/>
      <c r="AG34" s="321"/>
      <c r="AH34" s="321"/>
      <c r="AI34" s="321"/>
      <c r="AJ34" s="321"/>
      <c r="AK34" s="321"/>
      <c r="AL34" s="300"/>
    </row>
    <row r="35" spans="1:38" s="234" customFormat="1" ht="10.199999999999999" hidden="1">
      <c r="A35" s="199"/>
      <c r="B35" s="646"/>
      <c r="C35" s="699"/>
      <c r="D35" s="653"/>
      <c r="E35" s="654"/>
      <c r="F35" s="655"/>
      <c r="G35" s="199"/>
      <c r="H35" s="201"/>
      <c r="I35" s="201"/>
      <c r="J35" s="201"/>
      <c r="K35" s="246"/>
      <c r="L35" s="224"/>
      <c r="M35" s="117"/>
      <c r="N35" s="217"/>
      <c r="O35" s="209">
        <f>IF($E$23="",0,((Nutzung!$G$29+Regelung-1)+((G24-Nutzung!$G$29)/4)-H22)*I22*D23*E23*24/(N11*1000))</f>
        <v>0</v>
      </c>
      <c r="P35" s="201"/>
      <c r="Q35" s="201"/>
      <c r="R35" s="201"/>
      <c r="S35" s="199"/>
      <c r="Z35" s="321"/>
      <c r="AA35" s="318"/>
      <c r="AB35" s="321"/>
      <c r="AC35" s="321"/>
      <c r="AD35" s="321"/>
      <c r="AE35" s="321"/>
      <c r="AF35" s="321"/>
      <c r="AG35" s="321"/>
      <c r="AH35" s="321"/>
      <c r="AI35" s="321"/>
      <c r="AJ35" s="321"/>
      <c r="AK35" s="321"/>
      <c r="AL35" s="300"/>
    </row>
    <row r="36" spans="1:38" ht="10.95" customHeight="1">
      <c r="A36" s="192"/>
      <c r="B36" s="646"/>
      <c r="C36" s="700"/>
      <c r="D36" s="653"/>
      <c r="E36" s="654"/>
      <c r="F36" s="655"/>
      <c r="G36" s="192"/>
      <c r="H36" s="198"/>
      <c r="I36" s="198"/>
      <c r="J36" s="198"/>
      <c r="K36" s="246"/>
      <c r="L36" s="220" t="str">
        <f>IF(E36="","",Nutzung!$G$29)</f>
        <v/>
      </c>
      <c r="M36" s="218" t="str">
        <f>IF(D36="","",AB36)</f>
        <v/>
      </c>
      <c r="N36" s="214">
        <f>IF(E36=0,0,SUM(O37:O48))</f>
        <v>0</v>
      </c>
      <c r="O36" s="215" t="str">
        <f>IF(N36/$O$1370=0,"",N36/$O$1370)</f>
        <v/>
      </c>
      <c r="P36" s="198"/>
      <c r="Q36" s="198"/>
      <c r="R36" s="198"/>
      <c r="S36" s="192"/>
      <c r="T36" s="182">
        <f>D36*E36</f>
        <v>0</v>
      </c>
      <c r="W36" s="182">
        <f>MAX(L592,L605,L618,L631,L644,L657)</f>
        <v>0</v>
      </c>
      <c r="AA36" s="318">
        <f>IF(D36="",0,1)</f>
        <v>0</v>
      </c>
      <c r="AB36" s="318">
        <f>AB23+AA36</f>
        <v>0</v>
      </c>
    </row>
    <row r="37" spans="1:38" s="234" customFormat="1" ht="10.199999999999999" hidden="1">
      <c r="A37" s="199"/>
      <c r="B37" s="646"/>
      <c r="C37" s="698"/>
      <c r="D37" s="653"/>
      <c r="E37" s="654"/>
      <c r="F37" s="655"/>
      <c r="G37" s="694" t="str">
        <f>IF($L$36&lt;Nutzung!$G$29,Nutzung!$G$29,$L$36)</f>
        <v/>
      </c>
      <c r="H37" s="201"/>
      <c r="I37" s="201"/>
      <c r="J37" s="201"/>
      <c r="K37" s="246">
        <f>IF($L$36="",Nutzung!$G$29,Bauteile!$L$36)</f>
        <v>0</v>
      </c>
      <c r="L37" s="224"/>
      <c r="M37" s="539"/>
      <c r="N37" s="217"/>
      <c r="O37" s="209">
        <f>IF($E$36="",0,((Nutzung!$G$29+Regelung-1)+(($G$37-Nutzung!$G$29)/4)-H11)*I11*$D$36*$E$36*24/($N$11*1000))</f>
        <v>0</v>
      </c>
      <c r="P37" s="201"/>
      <c r="Q37" s="201"/>
      <c r="R37" s="201"/>
      <c r="S37" s="199"/>
      <c r="Z37" s="321"/>
      <c r="AA37" s="318"/>
      <c r="AB37" s="321"/>
      <c r="AC37" s="321"/>
      <c r="AD37" s="321"/>
      <c r="AE37" s="321"/>
      <c r="AF37" s="321"/>
      <c r="AG37" s="321"/>
      <c r="AH37" s="321"/>
      <c r="AI37" s="321"/>
      <c r="AJ37" s="321"/>
      <c r="AK37" s="321"/>
      <c r="AL37" s="300"/>
    </row>
    <row r="38" spans="1:38" s="234" customFormat="1" ht="10.199999999999999" hidden="1">
      <c r="A38" s="199"/>
      <c r="B38" s="646"/>
      <c r="C38" s="699"/>
      <c r="D38" s="653"/>
      <c r="E38" s="654"/>
      <c r="F38" s="655"/>
      <c r="G38" s="199"/>
      <c r="H38" s="201"/>
      <c r="I38" s="201"/>
      <c r="J38" s="201"/>
      <c r="K38" s="246"/>
      <c r="L38" s="224"/>
      <c r="M38" s="539"/>
      <c r="N38" s="217"/>
      <c r="O38" s="209">
        <f>IF($E$36="",0,((Nutzung!$G$29+Regelung-1)+(($G$37-Nutzung!$G$29)/4)-H12)*I12*$D$36*$E$36*24/($N$11*1000))</f>
        <v>0</v>
      </c>
      <c r="P38" s="201"/>
      <c r="Q38" s="201"/>
      <c r="R38" s="201"/>
      <c r="S38" s="199"/>
      <c r="Z38" s="321"/>
      <c r="AA38" s="318"/>
      <c r="AB38" s="321"/>
      <c r="AC38" s="321"/>
      <c r="AD38" s="321"/>
      <c r="AE38" s="321"/>
      <c r="AF38" s="321"/>
      <c r="AG38" s="321"/>
      <c r="AH38" s="321"/>
      <c r="AI38" s="321"/>
      <c r="AJ38" s="321"/>
      <c r="AK38" s="321"/>
      <c r="AL38" s="300"/>
    </row>
    <row r="39" spans="1:38" s="234" customFormat="1" ht="10.199999999999999" hidden="1">
      <c r="A39" s="199"/>
      <c r="B39" s="646"/>
      <c r="C39" s="699"/>
      <c r="D39" s="653"/>
      <c r="E39" s="654"/>
      <c r="F39" s="655"/>
      <c r="G39" s="199"/>
      <c r="H39" s="201"/>
      <c r="I39" s="201"/>
      <c r="J39" s="201"/>
      <c r="K39" s="246"/>
      <c r="L39" s="224"/>
      <c r="M39" s="539"/>
      <c r="N39" s="217"/>
      <c r="O39" s="209">
        <f>IF($E$36="",0,((Nutzung!$G$29+Regelung-1)+(($G$37-Nutzung!$G$29)/4)-H13)*I13*$D$36*$E$36*24/($N$11*1000))</f>
        <v>0</v>
      </c>
      <c r="P39" s="201"/>
      <c r="Q39" s="201"/>
      <c r="R39" s="201"/>
      <c r="S39" s="199"/>
      <c r="Z39" s="321"/>
      <c r="AA39" s="318"/>
      <c r="AB39" s="321"/>
      <c r="AC39" s="321"/>
      <c r="AD39" s="321"/>
      <c r="AE39" s="321"/>
      <c r="AF39" s="321"/>
      <c r="AG39" s="321"/>
      <c r="AH39" s="321"/>
      <c r="AI39" s="321"/>
      <c r="AJ39" s="321"/>
      <c r="AK39" s="321"/>
      <c r="AL39" s="300"/>
    </row>
    <row r="40" spans="1:38" s="234" customFormat="1" ht="10.199999999999999" hidden="1">
      <c r="A40" s="199"/>
      <c r="B40" s="646"/>
      <c r="C40" s="699"/>
      <c r="D40" s="653"/>
      <c r="E40" s="654"/>
      <c r="F40" s="655"/>
      <c r="G40" s="199"/>
      <c r="H40" s="201"/>
      <c r="I40" s="201"/>
      <c r="J40" s="201"/>
      <c r="K40" s="246"/>
      <c r="L40" s="224"/>
      <c r="M40" s="539"/>
      <c r="N40" s="217"/>
      <c r="O40" s="209">
        <f>IF($E$36="",0,((Nutzung!$G$29+Regelung-1)+(($G$37-Nutzung!$G$29)/4)-H14)*I14*$D$36*$E$36*24/($N$11*1000))</f>
        <v>0</v>
      </c>
      <c r="P40" s="201"/>
      <c r="Q40" s="201"/>
      <c r="R40" s="201"/>
      <c r="S40" s="199"/>
      <c r="Z40" s="321"/>
      <c r="AA40" s="318"/>
      <c r="AB40" s="321"/>
      <c r="AC40" s="321"/>
      <c r="AD40" s="321"/>
      <c r="AE40" s="321"/>
      <c r="AF40" s="321"/>
      <c r="AG40" s="321"/>
      <c r="AH40" s="321"/>
      <c r="AI40" s="321"/>
      <c r="AJ40" s="321"/>
      <c r="AK40" s="321"/>
      <c r="AL40" s="300"/>
    </row>
    <row r="41" spans="1:38" s="234" customFormat="1" ht="10.199999999999999" hidden="1">
      <c r="A41" s="199"/>
      <c r="B41" s="646"/>
      <c r="C41" s="699"/>
      <c r="D41" s="653"/>
      <c r="E41" s="654"/>
      <c r="F41" s="655"/>
      <c r="G41" s="199"/>
      <c r="H41" s="201"/>
      <c r="I41" s="201"/>
      <c r="J41" s="201"/>
      <c r="K41" s="246"/>
      <c r="L41" s="224"/>
      <c r="M41" s="539"/>
      <c r="N41" s="217"/>
      <c r="O41" s="209">
        <f>IF($E$36="",0,((Nutzung!$G$29+Regelung-1)+(($G$37-Nutzung!$G$29)/4)-H15)*I15*$D$36*$E$36*24/($N$11*1000))</f>
        <v>0</v>
      </c>
      <c r="P41" s="201"/>
      <c r="Q41" s="201"/>
      <c r="R41" s="201"/>
      <c r="S41" s="199"/>
      <c r="Z41" s="321"/>
      <c r="AA41" s="318"/>
      <c r="AB41" s="321"/>
      <c r="AC41" s="321"/>
      <c r="AD41" s="321"/>
      <c r="AE41" s="321"/>
      <c r="AF41" s="321"/>
      <c r="AG41" s="321"/>
      <c r="AH41" s="321"/>
      <c r="AI41" s="321"/>
      <c r="AJ41" s="321"/>
      <c r="AK41" s="321"/>
      <c r="AL41" s="300"/>
    </row>
    <row r="42" spans="1:38" s="234" customFormat="1" ht="10.199999999999999" hidden="1">
      <c r="A42" s="199"/>
      <c r="B42" s="646"/>
      <c r="C42" s="699"/>
      <c r="D42" s="653"/>
      <c r="E42" s="654"/>
      <c r="F42" s="655"/>
      <c r="G42" s="199"/>
      <c r="H42" s="201"/>
      <c r="I42" s="201"/>
      <c r="J42" s="201"/>
      <c r="K42" s="246"/>
      <c r="L42" s="224"/>
      <c r="M42" s="539"/>
      <c r="N42" s="217"/>
      <c r="O42" s="209">
        <f>IF($E$36="",0,((Nutzung!$G$29+Regelung-1)+(($G$37-Nutzung!$G$29)/4)-H16)*I16*$D$36*$E$36*24/($N$11*1000))</f>
        <v>0</v>
      </c>
      <c r="P42" s="201"/>
      <c r="Q42" s="201"/>
      <c r="R42" s="201"/>
      <c r="S42" s="199"/>
      <c r="Z42" s="321"/>
      <c r="AA42" s="318"/>
      <c r="AB42" s="321"/>
      <c r="AC42" s="321"/>
      <c r="AD42" s="321"/>
      <c r="AE42" s="321"/>
      <c r="AF42" s="321"/>
      <c r="AG42" s="321"/>
      <c r="AH42" s="321"/>
      <c r="AI42" s="321"/>
      <c r="AJ42" s="321"/>
      <c r="AK42" s="321"/>
      <c r="AL42" s="300"/>
    </row>
    <row r="43" spans="1:38" s="234" customFormat="1" ht="10.199999999999999" hidden="1">
      <c r="A43" s="199"/>
      <c r="B43" s="646"/>
      <c r="C43" s="699"/>
      <c r="D43" s="653"/>
      <c r="E43" s="654"/>
      <c r="F43" s="655"/>
      <c r="G43" s="199"/>
      <c r="H43" s="201"/>
      <c r="I43" s="201"/>
      <c r="J43" s="201"/>
      <c r="K43" s="246"/>
      <c r="L43" s="224"/>
      <c r="M43" s="539"/>
      <c r="N43" s="217"/>
      <c r="O43" s="209">
        <f>IF($E$36="",0,((Nutzung!$G$29+Regelung-1)+(($G$37-Nutzung!$G$29)/4)-H17)*I17*$D$36*$E$36*24/($N$11*1000))</f>
        <v>0</v>
      </c>
      <c r="P43" s="201"/>
      <c r="Q43" s="201"/>
      <c r="R43" s="201"/>
      <c r="S43" s="199"/>
      <c r="Z43" s="321"/>
      <c r="AA43" s="318"/>
      <c r="AB43" s="321"/>
      <c r="AC43" s="321"/>
      <c r="AD43" s="321"/>
      <c r="AE43" s="321"/>
      <c r="AF43" s="321"/>
      <c r="AG43" s="321"/>
      <c r="AH43" s="321"/>
      <c r="AI43" s="321"/>
      <c r="AJ43" s="321"/>
      <c r="AK43" s="321"/>
      <c r="AL43" s="300"/>
    </row>
    <row r="44" spans="1:38" s="234" customFormat="1" ht="10.199999999999999" hidden="1">
      <c r="A44" s="199"/>
      <c r="B44" s="646"/>
      <c r="C44" s="699"/>
      <c r="D44" s="653"/>
      <c r="E44" s="654"/>
      <c r="F44" s="655"/>
      <c r="G44" s="199"/>
      <c r="H44" s="201"/>
      <c r="I44" s="201"/>
      <c r="J44" s="201"/>
      <c r="K44" s="246"/>
      <c r="L44" s="224"/>
      <c r="M44" s="539"/>
      <c r="N44" s="217"/>
      <c r="O44" s="209">
        <f>IF($E$36="",0,((Nutzung!$G$29+Regelung-1)+(($G$37-Nutzung!$G$29)/4)-H18)*I18*$D$36*$E$36*24/($N$11*1000))</f>
        <v>0</v>
      </c>
      <c r="P44" s="201"/>
      <c r="Q44" s="201"/>
      <c r="R44" s="201"/>
      <c r="S44" s="199"/>
      <c r="Z44" s="321"/>
      <c r="AA44" s="318"/>
      <c r="AB44" s="321"/>
      <c r="AC44" s="321"/>
      <c r="AD44" s="321"/>
      <c r="AE44" s="321"/>
      <c r="AF44" s="321"/>
      <c r="AG44" s="321"/>
      <c r="AH44" s="321"/>
      <c r="AI44" s="321"/>
      <c r="AJ44" s="321"/>
      <c r="AK44" s="321"/>
      <c r="AL44" s="300"/>
    </row>
    <row r="45" spans="1:38" s="234" customFormat="1" ht="10.199999999999999" hidden="1">
      <c r="A45" s="199"/>
      <c r="B45" s="646"/>
      <c r="C45" s="699"/>
      <c r="D45" s="653"/>
      <c r="E45" s="654"/>
      <c r="F45" s="655"/>
      <c r="G45" s="199"/>
      <c r="H45" s="201"/>
      <c r="I45" s="201"/>
      <c r="J45" s="201"/>
      <c r="K45" s="246"/>
      <c r="L45" s="224"/>
      <c r="M45" s="539"/>
      <c r="N45" s="217"/>
      <c r="O45" s="209">
        <f>IF($E$36="",0,((Nutzung!$G$29+Regelung-1)+(($G$37-Nutzung!$G$29)/4)-H19)*I19*$D$36*$E$36*24/($N$11*1000))</f>
        <v>0</v>
      </c>
      <c r="P45" s="201"/>
      <c r="Q45" s="201"/>
      <c r="R45" s="201"/>
      <c r="S45" s="199"/>
      <c r="Z45" s="321"/>
      <c r="AA45" s="318"/>
      <c r="AB45" s="321"/>
      <c r="AC45" s="321"/>
      <c r="AD45" s="321"/>
      <c r="AE45" s="321"/>
      <c r="AF45" s="321"/>
      <c r="AG45" s="321"/>
      <c r="AH45" s="321"/>
      <c r="AI45" s="321"/>
      <c r="AJ45" s="321"/>
      <c r="AK45" s="321"/>
      <c r="AL45" s="300"/>
    </row>
    <row r="46" spans="1:38" s="234" customFormat="1" ht="10.199999999999999" hidden="1">
      <c r="A46" s="199"/>
      <c r="B46" s="646"/>
      <c r="C46" s="699"/>
      <c r="D46" s="653"/>
      <c r="E46" s="654"/>
      <c r="F46" s="655"/>
      <c r="G46" s="199"/>
      <c r="H46" s="201"/>
      <c r="I46" s="201"/>
      <c r="J46" s="201"/>
      <c r="K46" s="246"/>
      <c r="L46" s="224"/>
      <c r="M46" s="539"/>
      <c r="N46" s="217"/>
      <c r="O46" s="209">
        <f>IF($E$36="",0,((Nutzung!$G$29+Regelung-1)+(($G$37-Nutzung!$G$29)/4)-H20)*I20*$D$36*$E$36*24/($N$11*1000))</f>
        <v>0</v>
      </c>
      <c r="P46" s="201"/>
      <c r="Q46" s="201"/>
      <c r="R46" s="201"/>
      <c r="S46" s="199"/>
      <c r="Z46" s="321"/>
      <c r="AA46" s="318"/>
      <c r="AB46" s="321"/>
      <c r="AC46" s="321"/>
      <c r="AD46" s="321"/>
      <c r="AE46" s="321"/>
      <c r="AF46" s="321"/>
      <c r="AG46" s="321"/>
      <c r="AH46" s="321"/>
      <c r="AI46" s="321"/>
      <c r="AJ46" s="321"/>
      <c r="AK46" s="321"/>
      <c r="AL46" s="300"/>
    </row>
    <row r="47" spans="1:38" s="234" customFormat="1" ht="10.199999999999999" hidden="1">
      <c r="A47" s="199"/>
      <c r="B47" s="646"/>
      <c r="C47" s="699"/>
      <c r="D47" s="653"/>
      <c r="E47" s="654"/>
      <c r="F47" s="655"/>
      <c r="G47" s="199"/>
      <c r="H47" s="201"/>
      <c r="I47" s="201"/>
      <c r="J47" s="201"/>
      <c r="K47" s="246"/>
      <c r="L47" s="224"/>
      <c r="M47" s="539"/>
      <c r="N47" s="217"/>
      <c r="O47" s="209">
        <f>IF($E$36="",0,((Nutzung!$G$29+Regelung-1)+(($G$37-Nutzung!$G$29)/4)-H21)*I21*$D$36*$E$36*24/($N$11*1000))</f>
        <v>0</v>
      </c>
      <c r="P47" s="201"/>
      <c r="Q47" s="201"/>
      <c r="R47" s="201"/>
      <c r="S47" s="199"/>
      <c r="Z47" s="321"/>
      <c r="AA47" s="318"/>
      <c r="AB47" s="321"/>
      <c r="AC47" s="321"/>
      <c r="AD47" s="321"/>
      <c r="AE47" s="321"/>
      <c r="AF47" s="321"/>
      <c r="AG47" s="321"/>
      <c r="AH47" s="321"/>
      <c r="AI47" s="321"/>
      <c r="AJ47" s="321"/>
      <c r="AK47" s="321"/>
      <c r="AL47" s="300"/>
    </row>
    <row r="48" spans="1:38" s="234" customFormat="1" ht="10.199999999999999" hidden="1">
      <c r="A48" s="199"/>
      <c r="B48" s="646"/>
      <c r="C48" s="699"/>
      <c r="D48" s="653"/>
      <c r="E48" s="654"/>
      <c r="F48" s="655"/>
      <c r="G48" s="199"/>
      <c r="H48" s="201"/>
      <c r="I48" s="201"/>
      <c r="J48" s="201"/>
      <c r="K48" s="246"/>
      <c r="L48" s="224"/>
      <c r="M48" s="539"/>
      <c r="N48" s="217"/>
      <c r="O48" s="209">
        <f>IF($E$36="",0,((Nutzung!$G$29+Regelung-1)+(($G$37-Nutzung!$G$29)/4)-H22)*I22*$D$36*$E$36*24/($N$11*1000))</f>
        <v>0</v>
      </c>
      <c r="P48" s="201"/>
      <c r="Q48" s="201"/>
      <c r="R48" s="201"/>
      <c r="S48" s="199"/>
      <c r="Z48" s="321"/>
      <c r="AA48" s="318"/>
      <c r="AB48" s="321"/>
      <c r="AC48" s="321"/>
      <c r="AD48" s="321"/>
      <c r="AE48" s="321"/>
      <c r="AF48" s="321"/>
      <c r="AG48" s="321"/>
      <c r="AH48" s="321"/>
      <c r="AI48" s="321"/>
      <c r="AJ48" s="321"/>
      <c r="AK48" s="321"/>
      <c r="AL48" s="300"/>
    </row>
    <row r="49" spans="1:38" ht="10.95" customHeight="1">
      <c r="A49" s="192"/>
      <c r="B49" s="646"/>
      <c r="C49" s="682"/>
      <c r="D49" s="653"/>
      <c r="E49" s="654"/>
      <c r="F49" s="655"/>
      <c r="G49" s="192"/>
      <c r="H49" s="198"/>
      <c r="I49" s="198"/>
      <c r="J49" s="198"/>
      <c r="K49" s="246"/>
      <c r="L49" s="220" t="str">
        <f>IF(E49="","",Nutzung!$G$29)</f>
        <v/>
      </c>
      <c r="M49" s="218" t="str">
        <f>IF(D49="","",AB49)</f>
        <v/>
      </c>
      <c r="N49" s="214">
        <f>IF(E49=0,0,SUM(O50:O61))</f>
        <v>0</v>
      </c>
      <c r="O49" s="215" t="str">
        <f>IF(N49/$O$1370=0,"",N49/$O$1370)</f>
        <v/>
      </c>
      <c r="P49" s="198"/>
      <c r="Q49" s="198"/>
      <c r="R49" s="198"/>
      <c r="S49" s="192"/>
      <c r="T49" s="182">
        <f>D49*E49</f>
        <v>0</v>
      </c>
      <c r="W49" s="182">
        <f>MAX(L989,L1002,L1015,L1028)</f>
        <v>0</v>
      </c>
      <c r="X49" s="182">
        <f>MAX(L562,L575)</f>
        <v>0</v>
      </c>
      <c r="AA49" s="318">
        <f>IF(D49="",0,1)</f>
        <v>0</v>
      </c>
      <c r="AB49" s="318">
        <f>AB36+AA49</f>
        <v>0</v>
      </c>
    </row>
    <row r="50" spans="1:38" s="234" customFormat="1" ht="10.199999999999999" hidden="1">
      <c r="A50" s="199"/>
      <c r="B50" s="646"/>
      <c r="C50" s="698"/>
      <c r="D50" s="653"/>
      <c r="E50" s="654"/>
      <c r="F50" s="655"/>
      <c r="G50" s="694" t="str">
        <f>IF($L$49&lt;Nutzung!$G$29,Nutzung!$G$29,$L$49)</f>
        <v/>
      </c>
      <c r="H50" s="201"/>
      <c r="I50" s="201"/>
      <c r="J50" s="201"/>
      <c r="K50" s="246">
        <f>IF($L$49="",Nutzung!$G$29,Bauteile!$L$49)</f>
        <v>0</v>
      </c>
      <c r="L50" s="224"/>
      <c r="M50" s="539"/>
      <c r="N50" s="217"/>
      <c r="O50" s="209">
        <f>IF($E$49="",0,((Nutzung!$G$29+Regelung-1)+(($G$50-Nutzung!$G$29)/4)-H11)*I11*$D$49*$E$49*24/($N$11*1000))</f>
        <v>0</v>
      </c>
      <c r="P50" s="201"/>
      <c r="Q50" s="201"/>
      <c r="R50" s="201"/>
      <c r="S50" s="199"/>
      <c r="Z50" s="321"/>
      <c r="AA50" s="318"/>
      <c r="AB50" s="321"/>
      <c r="AC50" s="321"/>
      <c r="AD50" s="321"/>
      <c r="AE50" s="321"/>
      <c r="AF50" s="321"/>
      <c r="AG50" s="321"/>
      <c r="AH50" s="321"/>
      <c r="AI50" s="321"/>
      <c r="AJ50" s="321"/>
      <c r="AK50" s="321"/>
      <c r="AL50" s="300"/>
    </row>
    <row r="51" spans="1:38" s="234" customFormat="1" ht="10.199999999999999" hidden="1">
      <c r="A51" s="199"/>
      <c r="B51" s="646"/>
      <c r="C51" s="699"/>
      <c r="D51" s="653"/>
      <c r="E51" s="654"/>
      <c r="F51" s="655"/>
      <c r="G51" s="199"/>
      <c r="H51" s="201"/>
      <c r="I51" s="201"/>
      <c r="J51" s="201"/>
      <c r="K51" s="246"/>
      <c r="L51" s="224"/>
      <c r="M51" s="539"/>
      <c r="N51" s="217"/>
      <c r="O51" s="209">
        <f>IF($E$49="",0,((Nutzung!$G$29+Regelung-1)+(($G$50-Nutzung!$G$29)/4)-H12)*I12*$D$49*$E$49*24/($N$11*1000))</f>
        <v>0</v>
      </c>
      <c r="P51" s="201"/>
      <c r="Q51" s="201"/>
      <c r="R51" s="201"/>
      <c r="S51" s="199"/>
      <c r="Z51" s="321"/>
      <c r="AA51" s="318"/>
      <c r="AB51" s="321"/>
      <c r="AC51" s="321"/>
      <c r="AD51" s="321"/>
      <c r="AE51" s="321"/>
      <c r="AF51" s="321"/>
      <c r="AG51" s="321"/>
      <c r="AH51" s="321"/>
      <c r="AI51" s="321"/>
      <c r="AJ51" s="321"/>
      <c r="AK51" s="321"/>
      <c r="AL51" s="300"/>
    </row>
    <row r="52" spans="1:38" s="234" customFormat="1" ht="10.199999999999999" hidden="1">
      <c r="A52" s="199"/>
      <c r="B52" s="646"/>
      <c r="C52" s="699"/>
      <c r="D52" s="653"/>
      <c r="E52" s="654"/>
      <c r="F52" s="655"/>
      <c r="G52" s="199"/>
      <c r="H52" s="201"/>
      <c r="I52" s="201"/>
      <c r="J52" s="201"/>
      <c r="K52" s="246"/>
      <c r="L52" s="224"/>
      <c r="M52" s="539"/>
      <c r="N52" s="217"/>
      <c r="O52" s="209">
        <f>IF($E$49="",0,((Nutzung!$G$29+Regelung-1)+(($G$50-Nutzung!$G$29)/4)-H13)*I13*$D$49*$E$49*24/($N$11*1000))</f>
        <v>0</v>
      </c>
      <c r="P52" s="201"/>
      <c r="Q52" s="201"/>
      <c r="R52" s="201"/>
      <c r="S52" s="199"/>
      <c r="Z52" s="321"/>
      <c r="AA52" s="318"/>
      <c r="AB52" s="321"/>
      <c r="AC52" s="321"/>
      <c r="AD52" s="321"/>
      <c r="AE52" s="321"/>
      <c r="AF52" s="321"/>
      <c r="AG52" s="321"/>
      <c r="AH52" s="321"/>
      <c r="AI52" s="321"/>
      <c r="AJ52" s="321"/>
      <c r="AK52" s="321"/>
      <c r="AL52" s="300"/>
    </row>
    <row r="53" spans="1:38" s="234" customFormat="1" ht="10.199999999999999" hidden="1">
      <c r="A53" s="199"/>
      <c r="B53" s="646"/>
      <c r="C53" s="699"/>
      <c r="D53" s="653"/>
      <c r="E53" s="654"/>
      <c r="F53" s="655"/>
      <c r="G53" s="199"/>
      <c r="H53" s="201"/>
      <c r="I53" s="201"/>
      <c r="J53" s="201"/>
      <c r="K53" s="246"/>
      <c r="L53" s="224"/>
      <c r="M53" s="539"/>
      <c r="N53" s="217"/>
      <c r="O53" s="209">
        <f>IF($E$49="",0,((Nutzung!$G$29+Regelung-1)+(($G$50-Nutzung!$G$29)/4)-H14)*I14*$D$49*$E$49*24/($N$11*1000))</f>
        <v>0</v>
      </c>
      <c r="P53" s="201"/>
      <c r="Q53" s="201"/>
      <c r="R53" s="201"/>
      <c r="S53" s="199"/>
      <c r="Z53" s="321"/>
      <c r="AA53" s="318"/>
      <c r="AB53" s="321"/>
      <c r="AC53" s="321"/>
      <c r="AD53" s="321"/>
      <c r="AE53" s="321"/>
      <c r="AF53" s="321"/>
      <c r="AG53" s="321"/>
      <c r="AH53" s="321"/>
      <c r="AI53" s="321"/>
      <c r="AJ53" s="321"/>
      <c r="AK53" s="321"/>
      <c r="AL53" s="300"/>
    </row>
    <row r="54" spans="1:38" s="234" customFormat="1" ht="10.199999999999999" hidden="1">
      <c r="A54" s="199"/>
      <c r="B54" s="646"/>
      <c r="C54" s="699"/>
      <c r="D54" s="653"/>
      <c r="E54" s="654"/>
      <c r="F54" s="655"/>
      <c r="G54" s="199"/>
      <c r="H54" s="201"/>
      <c r="I54" s="201"/>
      <c r="J54" s="201"/>
      <c r="K54" s="246"/>
      <c r="L54" s="224"/>
      <c r="M54" s="539"/>
      <c r="N54" s="217"/>
      <c r="O54" s="209">
        <f>IF($E$49="",0,((Nutzung!$G$29+Regelung-1)+(($G$50-Nutzung!$G$29)/4)-H15)*I15*$D$49*$E$49*24/($N$11*1000))</f>
        <v>0</v>
      </c>
      <c r="P54" s="201"/>
      <c r="Q54" s="201"/>
      <c r="R54" s="201"/>
      <c r="S54" s="199"/>
      <c r="Z54" s="321"/>
      <c r="AA54" s="318"/>
      <c r="AB54" s="321"/>
      <c r="AC54" s="321"/>
      <c r="AD54" s="321"/>
      <c r="AE54" s="321"/>
      <c r="AF54" s="321"/>
      <c r="AG54" s="321"/>
      <c r="AH54" s="321"/>
      <c r="AI54" s="321"/>
      <c r="AJ54" s="321"/>
      <c r="AK54" s="321"/>
      <c r="AL54" s="300"/>
    </row>
    <row r="55" spans="1:38" s="234" customFormat="1" ht="10.199999999999999" hidden="1">
      <c r="A55" s="199"/>
      <c r="B55" s="646"/>
      <c r="C55" s="699"/>
      <c r="D55" s="653"/>
      <c r="E55" s="654"/>
      <c r="F55" s="655"/>
      <c r="G55" s="199"/>
      <c r="H55" s="201"/>
      <c r="I55" s="201"/>
      <c r="J55" s="201"/>
      <c r="K55" s="246"/>
      <c r="L55" s="224"/>
      <c r="M55" s="539"/>
      <c r="N55" s="217"/>
      <c r="O55" s="209">
        <f>IF($E$49="",0,((Nutzung!$G$29+Regelung-1)+(($G$50-Nutzung!$G$29)/4)-H16)*I16*$D$49*$E$49*24/($N$11*1000))</f>
        <v>0</v>
      </c>
      <c r="P55" s="201"/>
      <c r="Q55" s="201"/>
      <c r="R55" s="201"/>
      <c r="S55" s="199"/>
      <c r="Z55" s="321"/>
      <c r="AA55" s="318"/>
      <c r="AB55" s="321"/>
      <c r="AC55" s="321"/>
      <c r="AD55" s="321"/>
      <c r="AE55" s="321"/>
      <c r="AF55" s="321"/>
      <c r="AG55" s="321"/>
      <c r="AH55" s="321"/>
      <c r="AI55" s="321"/>
      <c r="AJ55" s="321"/>
      <c r="AK55" s="321"/>
      <c r="AL55" s="300"/>
    </row>
    <row r="56" spans="1:38" s="234" customFormat="1" ht="10.199999999999999" hidden="1">
      <c r="A56" s="199"/>
      <c r="B56" s="646"/>
      <c r="C56" s="701"/>
      <c r="D56" s="653"/>
      <c r="E56" s="654"/>
      <c r="F56" s="655"/>
      <c r="G56" s="199"/>
      <c r="H56" s="201"/>
      <c r="I56" s="201"/>
      <c r="J56" s="201"/>
      <c r="K56" s="246"/>
      <c r="L56" s="224"/>
      <c r="M56" s="539"/>
      <c r="N56" s="217"/>
      <c r="O56" s="209">
        <f>IF($E$49="",0,((Nutzung!$G$29+Regelung-1)+(($G$50-Nutzung!$G$29)/4)-H17)*I17*$D$49*$E$49*24/($N$11*1000))</f>
        <v>0</v>
      </c>
      <c r="P56" s="201"/>
      <c r="Q56" s="201"/>
      <c r="R56" s="201"/>
      <c r="S56" s="199"/>
      <c r="Z56" s="321"/>
      <c r="AA56" s="318"/>
      <c r="AB56" s="321"/>
      <c r="AC56" s="321"/>
      <c r="AD56" s="321"/>
      <c r="AE56" s="321"/>
      <c r="AF56" s="321"/>
      <c r="AG56" s="321"/>
      <c r="AH56" s="321"/>
      <c r="AI56" s="321"/>
      <c r="AJ56" s="321"/>
      <c r="AK56" s="321"/>
      <c r="AL56" s="300"/>
    </row>
    <row r="57" spans="1:38" s="234" customFormat="1" ht="10.199999999999999" hidden="1">
      <c r="A57" s="199"/>
      <c r="B57" s="646"/>
      <c r="C57" s="699"/>
      <c r="D57" s="653"/>
      <c r="E57" s="654"/>
      <c r="F57" s="655"/>
      <c r="G57" s="199"/>
      <c r="H57" s="201"/>
      <c r="I57" s="201"/>
      <c r="J57" s="201"/>
      <c r="K57" s="246"/>
      <c r="L57" s="224"/>
      <c r="M57" s="539"/>
      <c r="N57" s="217"/>
      <c r="O57" s="209">
        <f>IF($E$49="",0,((Nutzung!$G$29+Regelung-1)+(($G$50-Nutzung!$G$29)/4)-H18)*I18*$D$49*$E$49*24/($N$11*1000))</f>
        <v>0</v>
      </c>
      <c r="P57" s="201"/>
      <c r="Q57" s="201"/>
      <c r="R57" s="201"/>
      <c r="S57" s="199"/>
      <c r="Z57" s="321"/>
      <c r="AA57" s="318"/>
      <c r="AB57" s="321"/>
      <c r="AC57" s="321"/>
      <c r="AD57" s="321"/>
      <c r="AE57" s="321"/>
      <c r="AF57" s="321"/>
      <c r="AG57" s="321"/>
      <c r="AH57" s="321"/>
      <c r="AI57" s="321"/>
      <c r="AJ57" s="321"/>
      <c r="AK57" s="321"/>
      <c r="AL57" s="300"/>
    </row>
    <row r="58" spans="1:38" s="234" customFormat="1" ht="10.199999999999999" hidden="1">
      <c r="A58" s="199"/>
      <c r="B58" s="646"/>
      <c r="C58" s="699"/>
      <c r="D58" s="653"/>
      <c r="E58" s="654"/>
      <c r="F58" s="655"/>
      <c r="G58" s="199"/>
      <c r="H58" s="201"/>
      <c r="I58" s="201"/>
      <c r="J58" s="201"/>
      <c r="K58" s="246"/>
      <c r="L58" s="224"/>
      <c r="M58" s="539"/>
      <c r="N58" s="217"/>
      <c r="O58" s="209">
        <f>IF($E$49="",0,((Nutzung!$G$29+Regelung-1)+(($G$50-Nutzung!$G$29)/4)-H19)*I19*$D$49*$E$49*24/($N$11*1000))</f>
        <v>0</v>
      </c>
      <c r="P58" s="201"/>
      <c r="Q58" s="201"/>
      <c r="R58" s="201"/>
      <c r="S58" s="199"/>
      <c r="Z58" s="321"/>
      <c r="AA58" s="318"/>
      <c r="AB58" s="321"/>
      <c r="AC58" s="321"/>
      <c r="AD58" s="321"/>
      <c r="AE58" s="321"/>
      <c r="AF58" s="321"/>
      <c r="AG58" s="321"/>
      <c r="AH58" s="321"/>
      <c r="AI58" s="321"/>
      <c r="AJ58" s="321"/>
      <c r="AK58" s="321"/>
      <c r="AL58" s="300"/>
    </row>
    <row r="59" spans="1:38" s="234" customFormat="1" ht="10.199999999999999" hidden="1">
      <c r="A59" s="199"/>
      <c r="B59" s="646"/>
      <c r="C59" s="699"/>
      <c r="D59" s="653"/>
      <c r="E59" s="654"/>
      <c r="F59" s="655"/>
      <c r="G59" s="199"/>
      <c r="H59" s="201"/>
      <c r="I59" s="201"/>
      <c r="J59" s="201"/>
      <c r="K59" s="246"/>
      <c r="L59" s="224"/>
      <c r="M59" s="539"/>
      <c r="N59" s="217"/>
      <c r="O59" s="209">
        <f>IF($E$49="",0,((Nutzung!$G$29+Regelung-1)+(($G$50-Nutzung!$G$29)/4)-H20)*I20*$D$49*$E$49*24/($N$11*1000))</f>
        <v>0</v>
      </c>
      <c r="P59" s="201"/>
      <c r="Q59" s="201"/>
      <c r="R59" s="201"/>
      <c r="S59" s="199"/>
      <c r="Z59" s="321"/>
      <c r="AA59" s="318"/>
      <c r="AB59" s="321"/>
      <c r="AC59" s="321"/>
      <c r="AD59" s="321"/>
      <c r="AE59" s="321"/>
      <c r="AF59" s="321"/>
      <c r="AG59" s="321"/>
      <c r="AH59" s="321"/>
      <c r="AI59" s="321"/>
      <c r="AJ59" s="321"/>
      <c r="AK59" s="321"/>
      <c r="AL59" s="300"/>
    </row>
    <row r="60" spans="1:38" s="234" customFormat="1" ht="10.199999999999999" hidden="1">
      <c r="A60" s="199"/>
      <c r="B60" s="646"/>
      <c r="C60" s="699"/>
      <c r="D60" s="653"/>
      <c r="E60" s="654"/>
      <c r="F60" s="655"/>
      <c r="G60" s="199"/>
      <c r="H60" s="201"/>
      <c r="I60" s="201"/>
      <c r="J60" s="201"/>
      <c r="K60" s="246"/>
      <c r="L60" s="224"/>
      <c r="M60" s="539"/>
      <c r="N60" s="217"/>
      <c r="O60" s="209">
        <f>IF($E$49="",0,((Nutzung!$G$29+Regelung-1)+(($G$50-Nutzung!$G$29)/4)-H21)*I21*$D$49*$E$49*24/($N$11*1000))</f>
        <v>0</v>
      </c>
      <c r="P60" s="201"/>
      <c r="Q60" s="201"/>
      <c r="R60" s="201"/>
      <c r="S60" s="199"/>
      <c r="Z60" s="321"/>
      <c r="AA60" s="318"/>
      <c r="AB60" s="321"/>
      <c r="AC60" s="321"/>
      <c r="AD60" s="321"/>
      <c r="AE60" s="321"/>
      <c r="AF60" s="321"/>
      <c r="AG60" s="321"/>
      <c r="AH60" s="321"/>
      <c r="AI60" s="321"/>
      <c r="AJ60" s="321"/>
      <c r="AK60" s="321"/>
      <c r="AL60" s="300"/>
    </row>
    <row r="61" spans="1:38" s="234" customFormat="1" ht="10.199999999999999" hidden="1">
      <c r="A61" s="199"/>
      <c r="B61" s="646"/>
      <c r="C61" s="699"/>
      <c r="D61" s="653"/>
      <c r="E61" s="654"/>
      <c r="F61" s="655"/>
      <c r="G61" s="199"/>
      <c r="H61" s="201"/>
      <c r="I61" s="201"/>
      <c r="J61" s="201"/>
      <c r="K61" s="246"/>
      <c r="L61" s="224"/>
      <c r="M61" s="539"/>
      <c r="N61" s="217"/>
      <c r="O61" s="209">
        <f>IF($E$49="",0,((Nutzung!$G$29+Regelung-1)+(($G$50-Nutzung!$G$29)/4)-H22)*I22*$D$49*$E$49*24/($N$11*1000))</f>
        <v>0</v>
      </c>
      <c r="P61" s="201"/>
      <c r="Q61" s="201"/>
      <c r="R61" s="201"/>
      <c r="S61" s="199"/>
      <c r="Z61" s="321"/>
      <c r="AA61" s="318"/>
      <c r="AB61" s="321"/>
      <c r="AC61" s="321"/>
      <c r="AD61" s="321"/>
      <c r="AE61" s="321"/>
      <c r="AF61" s="321"/>
      <c r="AG61" s="321"/>
      <c r="AH61" s="321"/>
      <c r="AI61" s="321"/>
      <c r="AJ61" s="321"/>
      <c r="AK61" s="321"/>
      <c r="AL61" s="300"/>
    </row>
    <row r="62" spans="1:38" ht="10.95" customHeight="1">
      <c r="A62" s="203" t="str">
        <f>Bilanz!M16</f>
        <v>0</v>
      </c>
      <c r="B62" s="646"/>
      <c r="C62" s="682"/>
      <c r="D62" s="653"/>
      <c r="E62" s="654"/>
      <c r="F62" s="655"/>
      <c r="G62" s="192"/>
      <c r="H62" s="198"/>
      <c r="I62" s="198"/>
      <c r="J62" s="198"/>
      <c r="K62" s="246"/>
      <c r="L62" s="220" t="str">
        <f>IF(E62="","",Nutzung!$G$29)</f>
        <v/>
      </c>
      <c r="M62" s="218" t="str">
        <f>IF(D62="","",AB62)</f>
        <v/>
      </c>
      <c r="N62" s="214">
        <f>IF(E62=0,0,SUM(O63:O74))</f>
        <v>0</v>
      </c>
      <c r="O62" s="215" t="str">
        <f>IF(N62/$O$1370=0,"",N62/$O$1370)</f>
        <v/>
      </c>
      <c r="P62" s="198"/>
      <c r="Q62" s="198"/>
      <c r="R62" s="198"/>
      <c r="S62" s="192"/>
      <c r="T62" s="182">
        <f>D62*E62</f>
        <v>0</v>
      </c>
      <c r="W62" s="182">
        <f>MAX(L1045,L1058,L1071,L1084,L1097,L1110,L1123,L1136,L1149)</f>
        <v>0</v>
      </c>
      <c r="AA62" s="318">
        <f>IF(D62="",0,1)</f>
        <v>0</v>
      </c>
      <c r="AB62" s="318">
        <f>AB49+AA62</f>
        <v>0</v>
      </c>
    </row>
    <row r="63" spans="1:38" s="234" customFormat="1" ht="10.199999999999999" hidden="1">
      <c r="A63" s="199"/>
      <c r="B63" s="646"/>
      <c r="C63" s="698"/>
      <c r="D63" s="653"/>
      <c r="E63" s="654"/>
      <c r="F63" s="655"/>
      <c r="G63" s="694" t="str">
        <f>IF($L$62&lt;Nutzung!$G$29,Nutzung!$G$29,$L$62)</f>
        <v/>
      </c>
      <c r="H63" s="201"/>
      <c r="I63" s="201"/>
      <c r="J63" s="201"/>
      <c r="K63" s="246">
        <f>IF($L$62="",Nutzung!$G$29,Bauteile!$L$62)</f>
        <v>0</v>
      </c>
      <c r="L63" s="224"/>
      <c r="M63" s="539"/>
      <c r="N63" s="217"/>
      <c r="O63" s="209">
        <f>IF($E$62="",0,((Nutzung!$G$29+Regelung-1)+(($G$63-Nutzung!$G$29)/4)-H11)*I11*$D$62*$E$62*24/($N$11*1000))</f>
        <v>0</v>
      </c>
      <c r="P63" s="201"/>
      <c r="Q63" s="201"/>
      <c r="R63" s="201"/>
      <c r="S63" s="199"/>
      <c r="Z63" s="321"/>
      <c r="AA63" s="318"/>
      <c r="AB63" s="321"/>
      <c r="AC63" s="321"/>
      <c r="AD63" s="321"/>
      <c r="AE63" s="321"/>
      <c r="AF63" s="321"/>
      <c r="AG63" s="321"/>
      <c r="AH63" s="321"/>
      <c r="AI63" s="321"/>
      <c r="AJ63" s="321"/>
      <c r="AK63" s="321"/>
      <c r="AL63" s="300"/>
    </row>
    <row r="64" spans="1:38" s="234" customFormat="1" ht="10.199999999999999" hidden="1">
      <c r="A64" s="199"/>
      <c r="B64" s="646"/>
      <c r="C64" s="699"/>
      <c r="D64" s="653"/>
      <c r="E64" s="654"/>
      <c r="F64" s="655"/>
      <c r="G64" s="199"/>
      <c r="H64" s="201"/>
      <c r="I64" s="201"/>
      <c r="J64" s="201"/>
      <c r="K64" s="246"/>
      <c r="L64" s="224"/>
      <c r="M64" s="539"/>
      <c r="N64" s="217"/>
      <c r="O64" s="209">
        <f>IF($E$62="",0,((Nutzung!$G$29+Regelung-1)+(($G$63-Nutzung!$G$29)/4)-H12)*I12*$D$62*$E$62*24/($N$11*1000))</f>
        <v>0</v>
      </c>
      <c r="P64" s="201"/>
      <c r="Q64" s="201"/>
      <c r="R64" s="201"/>
      <c r="S64" s="199"/>
      <c r="Z64" s="321"/>
      <c r="AA64" s="318"/>
      <c r="AB64" s="321"/>
      <c r="AC64" s="321"/>
      <c r="AD64" s="321"/>
      <c r="AE64" s="321"/>
      <c r="AF64" s="321"/>
      <c r="AG64" s="321"/>
      <c r="AH64" s="321"/>
      <c r="AI64" s="321"/>
      <c r="AJ64" s="321"/>
      <c r="AK64" s="321"/>
      <c r="AL64" s="300"/>
    </row>
    <row r="65" spans="1:38" s="234" customFormat="1" ht="10.199999999999999" hidden="1">
      <c r="A65" s="199"/>
      <c r="B65" s="646"/>
      <c r="C65" s="699"/>
      <c r="D65" s="653"/>
      <c r="E65" s="654"/>
      <c r="F65" s="655"/>
      <c r="G65" s="199"/>
      <c r="H65" s="201"/>
      <c r="I65" s="201"/>
      <c r="J65" s="201"/>
      <c r="K65" s="246"/>
      <c r="L65" s="224"/>
      <c r="M65" s="539"/>
      <c r="N65" s="217"/>
      <c r="O65" s="209">
        <f>IF($E$62="",0,((Nutzung!$G$29+Regelung-1)+(($G$63-Nutzung!$G$29)/4)-H13)*I13*$D$62*$E$62*24/($N$11*1000))</f>
        <v>0</v>
      </c>
      <c r="P65" s="201"/>
      <c r="Q65" s="201"/>
      <c r="R65" s="201"/>
      <c r="S65" s="199"/>
      <c r="Z65" s="321"/>
      <c r="AA65" s="318"/>
      <c r="AB65" s="321"/>
      <c r="AC65" s="321"/>
      <c r="AD65" s="321"/>
      <c r="AE65" s="321"/>
      <c r="AF65" s="321"/>
      <c r="AG65" s="321"/>
      <c r="AH65" s="321"/>
      <c r="AI65" s="321"/>
      <c r="AJ65" s="321"/>
      <c r="AK65" s="321"/>
      <c r="AL65" s="300"/>
    </row>
    <row r="66" spans="1:38" s="234" customFormat="1" ht="10.199999999999999" hidden="1">
      <c r="A66" s="199"/>
      <c r="B66" s="646"/>
      <c r="C66" s="699"/>
      <c r="D66" s="653"/>
      <c r="E66" s="654"/>
      <c r="F66" s="655"/>
      <c r="G66" s="199"/>
      <c r="H66" s="201"/>
      <c r="I66" s="201"/>
      <c r="J66" s="201"/>
      <c r="K66" s="246"/>
      <c r="L66" s="224"/>
      <c r="M66" s="539"/>
      <c r="N66" s="217"/>
      <c r="O66" s="209">
        <f>IF($E$62="",0,((Nutzung!$G$29+Regelung-1)+(($G$63-Nutzung!$G$29)/4)-H14)*I14*$D$62*$E$62*24/($N$11*1000))</f>
        <v>0</v>
      </c>
      <c r="P66" s="201"/>
      <c r="Q66" s="201"/>
      <c r="R66" s="201"/>
      <c r="S66" s="199"/>
      <c r="Z66" s="321"/>
      <c r="AA66" s="318"/>
      <c r="AB66" s="321"/>
      <c r="AC66" s="321"/>
      <c r="AD66" s="321"/>
      <c r="AE66" s="321"/>
      <c r="AF66" s="321"/>
      <c r="AG66" s="321"/>
      <c r="AH66" s="321"/>
      <c r="AI66" s="321"/>
      <c r="AJ66" s="321"/>
      <c r="AK66" s="321"/>
      <c r="AL66" s="300"/>
    </row>
    <row r="67" spans="1:38" s="234" customFormat="1" ht="10.199999999999999" hidden="1">
      <c r="A67" s="199"/>
      <c r="B67" s="646"/>
      <c r="C67" s="699"/>
      <c r="D67" s="653"/>
      <c r="E67" s="654"/>
      <c r="F67" s="655"/>
      <c r="G67" s="199"/>
      <c r="H67" s="201"/>
      <c r="I67" s="201"/>
      <c r="J67" s="201"/>
      <c r="K67" s="246"/>
      <c r="L67" s="224"/>
      <c r="M67" s="539"/>
      <c r="N67" s="217"/>
      <c r="O67" s="209">
        <f>IF($E$62="",0,((Nutzung!$G$29+Regelung-1)+(($G$63-Nutzung!$G$29)/4)-H15)*I15*$D$62*$E$62*24/($N$11*1000))</f>
        <v>0</v>
      </c>
      <c r="P67" s="201"/>
      <c r="Q67" s="201"/>
      <c r="R67" s="201"/>
      <c r="S67" s="199"/>
      <c r="Z67" s="321"/>
      <c r="AA67" s="318"/>
      <c r="AB67" s="321"/>
      <c r="AC67" s="321"/>
      <c r="AD67" s="321"/>
      <c r="AE67" s="321"/>
      <c r="AF67" s="321"/>
      <c r="AG67" s="321"/>
      <c r="AH67" s="321"/>
      <c r="AI67" s="321"/>
      <c r="AJ67" s="321"/>
      <c r="AK67" s="321"/>
      <c r="AL67" s="300"/>
    </row>
    <row r="68" spans="1:38" s="234" customFormat="1" ht="10.199999999999999" hidden="1">
      <c r="A68" s="199"/>
      <c r="B68" s="646"/>
      <c r="C68" s="699"/>
      <c r="D68" s="653"/>
      <c r="E68" s="654"/>
      <c r="F68" s="655"/>
      <c r="G68" s="199"/>
      <c r="H68" s="201"/>
      <c r="I68" s="201"/>
      <c r="J68" s="201"/>
      <c r="K68" s="246"/>
      <c r="L68" s="224"/>
      <c r="M68" s="539"/>
      <c r="N68" s="217"/>
      <c r="O68" s="209">
        <f>IF($E$62="",0,((Nutzung!$G$29+Regelung-1)+(($G$63-Nutzung!$G$29)/4)-H16)*I16*$D$62*$E$62*24/($N$11*1000))</f>
        <v>0</v>
      </c>
      <c r="P68" s="201"/>
      <c r="Q68" s="201"/>
      <c r="R68" s="201"/>
      <c r="S68" s="199"/>
      <c r="Z68" s="321"/>
      <c r="AA68" s="318"/>
      <c r="AB68" s="321"/>
      <c r="AC68" s="321"/>
      <c r="AD68" s="321"/>
      <c r="AE68" s="321"/>
      <c r="AF68" s="321"/>
      <c r="AG68" s="321"/>
      <c r="AH68" s="321"/>
      <c r="AI68" s="321"/>
      <c r="AJ68" s="321"/>
      <c r="AK68" s="321"/>
      <c r="AL68" s="300"/>
    </row>
    <row r="69" spans="1:38" s="234" customFormat="1" ht="10.199999999999999" hidden="1">
      <c r="A69" s="199"/>
      <c r="B69" s="646"/>
      <c r="C69" s="699"/>
      <c r="D69" s="653"/>
      <c r="E69" s="654"/>
      <c r="F69" s="655"/>
      <c r="G69" s="199"/>
      <c r="H69" s="201"/>
      <c r="I69" s="201"/>
      <c r="J69" s="201"/>
      <c r="K69" s="246"/>
      <c r="L69" s="224"/>
      <c r="M69" s="539"/>
      <c r="N69" s="217"/>
      <c r="O69" s="209">
        <f>IF($E$62="",0,((Nutzung!$G$29+Regelung-1)+(($G$63-Nutzung!$G$29)/4)-H17)*I17*$D$62*$E$62*24/($N$11*1000))</f>
        <v>0</v>
      </c>
      <c r="P69" s="201"/>
      <c r="Q69" s="201"/>
      <c r="R69" s="201"/>
      <c r="S69" s="199"/>
      <c r="Z69" s="321"/>
      <c r="AA69" s="318"/>
      <c r="AB69" s="321"/>
      <c r="AC69" s="321"/>
      <c r="AD69" s="321"/>
      <c r="AE69" s="321"/>
      <c r="AF69" s="321"/>
      <c r="AG69" s="321"/>
      <c r="AH69" s="321"/>
      <c r="AI69" s="321"/>
      <c r="AJ69" s="321"/>
      <c r="AK69" s="321"/>
      <c r="AL69" s="300"/>
    </row>
    <row r="70" spans="1:38" s="234" customFormat="1" ht="10.199999999999999" hidden="1">
      <c r="A70" s="199"/>
      <c r="B70" s="646"/>
      <c r="C70" s="699"/>
      <c r="D70" s="653"/>
      <c r="E70" s="654"/>
      <c r="F70" s="655"/>
      <c r="G70" s="199"/>
      <c r="H70" s="201"/>
      <c r="I70" s="201"/>
      <c r="J70" s="201"/>
      <c r="K70" s="246"/>
      <c r="L70" s="224"/>
      <c r="M70" s="539"/>
      <c r="N70" s="217"/>
      <c r="O70" s="209">
        <f>IF($E$62="",0,((Nutzung!$G$29+Regelung-1)+(($G$63-Nutzung!$G$29)/4)-H18)*I18*$D$62*$E$62*24/($N$11*1000))</f>
        <v>0</v>
      </c>
      <c r="P70" s="201"/>
      <c r="Q70" s="201"/>
      <c r="R70" s="201"/>
      <c r="S70" s="199"/>
      <c r="Z70" s="321"/>
      <c r="AA70" s="318"/>
      <c r="AB70" s="321"/>
      <c r="AC70" s="321"/>
      <c r="AD70" s="321"/>
      <c r="AE70" s="321"/>
      <c r="AF70" s="321"/>
      <c r="AG70" s="321"/>
      <c r="AH70" s="321"/>
      <c r="AI70" s="321"/>
      <c r="AJ70" s="321"/>
      <c r="AK70" s="321"/>
      <c r="AL70" s="300"/>
    </row>
    <row r="71" spans="1:38" s="234" customFormat="1" ht="10.199999999999999" hidden="1">
      <c r="A71" s="199"/>
      <c r="B71" s="646"/>
      <c r="C71" s="699"/>
      <c r="D71" s="653"/>
      <c r="E71" s="654"/>
      <c r="F71" s="655"/>
      <c r="G71" s="199"/>
      <c r="H71" s="201"/>
      <c r="I71" s="201"/>
      <c r="J71" s="201"/>
      <c r="K71" s="246"/>
      <c r="L71" s="224"/>
      <c r="M71" s="539"/>
      <c r="N71" s="217"/>
      <c r="O71" s="209">
        <f>IF($E$62="",0,((Nutzung!$G$29+Regelung-1)+(($G$63-Nutzung!$G$29)/4)-H19)*I19*$D$62*$E$62*24/($N$11*1000))</f>
        <v>0</v>
      </c>
      <c r="P71" s="201"/>
      <c r="Q71" s="201"/>
      <c r="R71" s="201"/>
      <c r="S71" s="199"/>
      <c r="Z71" s="321"/>
      <c r="AA71" s="318"/>
      <c r="AB71" s="321"/>
      <c r="AC71" s="321"/>
      <c r="AD71" s="321"/>
      <c r="AE71" s="321"/>
      <c r="AF71" s="321"/>
      <c r="AG71" s="321"/>
      <c r="AH71" s="321"/>
      <c r="AI71" s="321"/>
      <c r="AJ71" s="321"/>
      <c r="AK71" s="321"/>
      <c r="AL71" s="300"/>
    </row>
    <row r="72" spans="1:38" s="234" customFormat="1" ht="10.199999999999999" hidden="1">
      <c r="A72" s="199"/>
      <c r="B72" s="646"/>
      <c r="C72" s="699"/>
      <c r="D72" s="653"/>
      <c r="E72" s="654"/>
      <c r="F72" s="655"/>
      <c r="G72" s="199"/>
      <c r="H72" s="201"/>
      <c r="I72" s="201"/>
      <c r="J72" s="201"/>
      <c r="K72" s="246"/>
      <c r="L72" s="224"/>
      <c r="M72" s="539"/>
      <c r="N72" s="217"/>
      <c r="O72" s="209">
        <f>IF($E$62="",0,((Nutzung!$G$29+Regelung-1)+(($G$63-Nutzung!$G$29)/4)-H20)*I20*$D$62*$E$62*24/($N$11*1000))</f>
        <v>0</v>
      </c>
      <c r="P72" s="201"/>
      <c r="Q72" s="201"/>
      <c r="R72" s="201"/>
      <c r="S72" s="199"/>
      <c r="Z72" s="321"/>
      <c r="AA72" s="318"/>
      <c r="AB72" s="321"/>
      <c r="AC72" s="321"/>
      <c r="AD72" s="321"/>
      <c r="AE72" s="321"/>
      <c r="AF72" s="321"/>
      <c r="AG72" s="321"/>
      <c r="AH72" s="321"/>
      <c r="AI72" s="321"/>
      <c r="AJ72" s="321"/>
      <c r="AK72" s="321"/>
      <c r="AL72" s="300"/>
    </row>
    <row r="73" spans="1:38" s="234" customFormat="1" ht="10.199999999999999" hidden="1">
      <c r="A73" s="199"/>
      <c r="B73" s="646"/>
      <c r="C73" s="699"/>
      <c r="D73" s="653"/>
      <c r="E73" s="654"/>
      <c r="F73" s="655"/>
      <c r="G73" s="199"/>
      <c r="H73" s="201"/>
      <c r="I73" s="201"/>
      <c r="J73" s="201"/>
      <c r="K73" s="246"/>
      <c r="L73" s="224"/>
      <c r="M73" s="539"/>
      <c r="N73" s="217"/>
      <c r="O73" s="209">
        <f>IF($E$62="",0,((Nutzung!$G$29+Regelung-1)+(($G$63-Nutzung!$G$29)/4)-H21)*I21*$D$62*$E$62*24/($N$11*1000))</f>
        <v>0</v>
      </c>
      <c r="P73" s="201"/>
      <c r="Q73" s="201"/>
      <c r="R73" s="201"/>
      <c r="S73" s="199"/>
      <c r="Z73" s="321"/>
      <c r="AA73" s="318"/>
      <c r="AB73" s="321"/>
      <c r="AC73" s="321"/>
      <c r="AD73" s="321"/>
      <c r="AE73" s="321"/>
      <c r="AF73" s="321"/>
      <c r="AG73" s="321"/>
      <c r="AH73" s="321"/>
      <c r="AI73" s="321"/>
      <c r="AJ73" s="321"/>
      <c r="AK73" s="321"/>
      <c r="AL73" s="300"/>
    </row>
    <row r="74" spans="1:38" s="234" customFormat="1" ht="10.199999999999999" hidden="1">
      <c r="A74" s="199"/>
      <c r="B74" s="646"/>
      <c r="C74" s="699"/>
      <c r="D74" s="653"/>
      <c r="E74" s="654"/>
      <c r="F74" s="655"/>
      <c r="G74" s="199"/>
      <c r="H74" s="201"/>
      <c r="I74" s="201"/>
      <c r="J74" s="201"/>
      <c r="K74" s="246"/>
      <c r="L74" s="224"/>
      <c r="M74" s="539"/>
      <c r="N74" s="217"/>
      <c r="O74" s="209">
        <f>IF($E$62="",0,((Nutzung!$G$29+Regelung-1)+(($G$63-Nutzung!$G$29)/4)-H22)*I22*$D$62*$E$62*24/($N$11*1000))</f>
        <v>0</v>
      </c>
      <c r="P74" s="201"/>
      <c r="Q74" s="201"/>
      <c r="R74" s="201"/>
      <c r="S74" s="199"/>
      <c r="Z74" s="321"/>
      <c r="AA74" s="318"/>
      <c r="AB74" s="321"/>
      <c r="AC74" s="321"/>
      <c r="AD74" s="321"/>
      <c r="AE74" s="321"/>
      <c r="AF74" s="321"/>
      <c r="AG74" s="321"/>
      <c r="AH74" s="321"/>
      <c r="AI74" s="321"/>
      <c r="AJ74" s="321"/>
      <c r="AK74" s="321"/>
      <c r="AL74" s="300"/>
    </row>
    <row r="75" spans="1:38" ht="10.95" customHeight="1">
      <c r="A75" s="192"/>
      <c r="B75" s="646"/>
      <c r="C75" s="700"/>
      <c r="D75" s="653"/>
      <c r="E75" s="654"/>
      <c r="F75" s="655"/>
      <c r="G75" s="192"/>
      <c r="H75" s="198"/>
      <c r="I75" s="198"/>
      <c r="J75" s="198"/>
      <c r="K75" s="246"/>
      <c r="L75" s="220" t="str">
        <f>IF(E75="","",Nutzung!$G$29)</f>
        <v/>
      </c>
      <c r="M75" s="218" t="str">
        <f>IF(D75="","",AB75)</f>
        <v/>
      </c>
      <c r="N75" s="214">
        <f>IF(E75=0,0,SUM(O76:O87))</f>
        <v>0</v>
      </c>
      <c r="O75" s="215" t="str">
        <f>IF(N75/$O$1370=0,"",N75/$O$1370)</f>
        <v/>
      </c>
      <c r="P75" s="198"/>
      <c r="Q75" s="198"/>
      <c r="R75" s="198"/>
      <c r="S75" s="192"/>
      <c r="T75" s="182">
        <f>D75*E75</f>
        <v>0</v>
      </c>
      <c r="W75" s="182">
        <f>MAX(L1166,L1179,L1192,L1205,L1218,L1231,L1244,L1257)</f>
        <v>0</v>
      </c>
      <c r="AA75" s="318">
        <f>IF(D75="",0,1)</f>
        <v>0</v>
      </c>
      <c r="AB75" s="318">
        <f>AB62+AA75</f>
        <v>0</v>
      </c>
    </row>
    <row r="76" spans="1:38" s="234" customFormat="1" ht="10.199999999999999" hidden="1">
      <c r="A76" s="199"/>
      <c r="B76" s="646"/>
      <c r="C76" s="698"/>
      <c r="D76" s="653"/>
      <c r="E76" s="654"/>
      <c r="F76" s="655"/>
      <c r="G76" s="694" t="str">
        <f>IF($L$75&lt;Nutzung!$G$29,Nutzung!$G$29,$L$75)</f>
        <v/>
      </c>
      <c r="H76" s="201"/>
      <c r="I76" s="201"/>
      <c r="J76" s="201"/>
      <c r="K76" s="246">
        <f>IF($L$75="",Nutzung!$G$29,Bauteile!$L$75)</f>
        <v>0</v>
      </c>
      <c r="L76" s="224"/>
      <c r="M76" s="539"/>
      <c r="N76" s="217"/>
      <c r="O76" s="209">
        <f>IF($E$75="",0,((Nutzung!$G$29+Regelung-1)+(($G$76-Nutzung!$G$29)/4)-H11)*I11*$D$75*$E$75*24/($N$11*1000))</f>
        <v>0</v>
      </c>
      <c r="P76" s="201"/>
      <c r="Q76" s="201"/>
      <c r="R76" s="201"/>
      <c r="S76" s="199"/>
      <c r="Z76" s="321"/>
      <c r="AA76" s="318"/>
      <c r="AB76" s="321"/>
      <c r="AC76" s="321"/>
      <c r="AD76" s="321"/>
      <c r="AE76" s="321"/>
      <c r="AF76" s="321"/>
      <c r="AG76" s="321"/>
      <c r="AH76" s="321"/>
      <c r="AI76" s="321"/>
      <c r="AJ76" s="321"/>
      <c r="AK76" s="321"/>
      <c r="AL76" s="300"/>
    </row>
    <row r="77" spans="1:38" s="234" customFormat="1" ht="10.199999999999999" hidden="1">
      <c r="A77" s="199"/>
      <c r="B77" s="646"/>
      <c r="C77" s="699"/>
      <c r="D77" s="653"/>
      <c r="E77" s="654"/>
      <c r="F77" s="655"/>
      <c r="G77" s="199"/>
      <c r="H77" s="201"/>
      <c r="I77" s="201"/>
      <c r="J77" s="201"/>
      <c r="K77" s="246"/>
      <c r="L77" s="224"/>
      <c r="M77" s="539"/>
      <c r="N77" s="217"/>
      <c r="O77" s="209">
        <f>IF($E$75="",0,((Nutzung!$G$29+Regelung-1)+(($G$76-Nutzung!$G$29)/4)-H12)*I12*$D$75*$E$75*24/($N$11*1000))</f>
        <v>0</v>
      </c>
      <c r="P77" s="201"/>
      <c r="Q77" s="201"/>
      <c r="R77" s="201"/>
      <c r="S77" s="199"/>
      <c r="Z77" s="321"/>
      <c r="AA77" s="318"/>
      <c r="AB77" s="321"/>
      <c r="AC77" s="321"/>
      <c r="AD77" s="321"/>
      <c r="AE77" s="321"/>
      <c r="AF77" s="321"/>
      <c r="AG77" s="321"/>
      <c r="AH77" s="321"/>
      <c r="AI77" s="321"/>
      <c r="AJ77" s="321"/>
      <c r="AK77" s="321"/>
      <c r="AL77" s="300"/>
    </row>
    <row r="78" spans="1:38" s="234" customFormat="1" ht="10.199999999999999" hidden="1">
      <c r="A78" s="199"/>
      <c r="B78" s="646"/>
      <c r="C78" s="699"/>
      <c r="D78" s="653"/>
      <c r="E78" s="654"/>
      <c r="F78" s="655"/>
      <c r="G78" s="199"/>
      <c r="H78" s="201"/>
      <c r="I78" s="201"/>
      <c r="J78" s="201"/>
      <c r="K78" s="246"/>
      <c r="L78" s="224"/>
      <c r="M78" s="539"/>
      <c r="N78" s="217"/>
      <c r="O78" s="209">
        <f>IF($E$75="",0,((Nutzung!$G$29+Regelung-1)+(($G$76-Nutzung!$G$29)/4)-H13)*I13*$D$75*$E$75*24/($N$11*1000))</f>
        <v>0</v>
      </c>
      <c r="P78" s="201"/>
      <c r="Q78" s="201"/>
      <c r="R78" s="201"/>
      <c r="S78" s="199"/>
      <c r="Z78" s="321"/>
      <c r="AA78" s="318"/>
      <c r="AB78" s="321"/>
      <c r="AC78" s="321"/>
      <c r="AD78" s="321"/>
      <c r="AE78" s="321"/>
      <c r="AF78" s="321"/>
      <c r="AG78" s="321"/>
      <c r="AH78" s="321"/>
      <c r="AI78" s="321"/>
      <c r="AJ78" s="321"/>
      <c r="AK78" s="321"/>
      <c r="AL78" s="300"/>
    </row>
    <row r="79" spans="1:38" s="234" customFormat="1" ht="10.199999999999999" hidden="1">
      <c r="A79" s="199"/>
      <c r="B79" s="646"/>
      <c r="C79" s="699"/>
      <c r="D79" s="653"/>
      <c r="E79" s="654"/>
      <c r="F79" s="655"/>
      <c r="G79" s="199"/>
      <c r="H79" s="201"/>
      <c r="I79" s="201"/>
      <c r="J79" s="201"/>
      <c r="K79" s="246"/>
      <c r="L79" s="224"/>
      <c r="M79" s="539"/>
      <c r="N79" s="217"/>
      <c r="O79" s="209">
        <f>IF($E$75="",0,((Nutzung!$G$29+Regelung-1)+(($G$76-Nutzung!$G$29)/4)-H14)*I14*$D$75*$E$75*24/($N$11*1000))</f>
        <v>0</v>
      </c>
      <c r="P79" s="201"/>
      <c r="Q79" s="201"/>
      <c r="R79" s="201"/>
      <c r="S79" s="199"/>
      <c r="Z79" s="321"/>
      <c r="AA79" s="318"/>
      <c r="AB79" s="321"/>
      <c r="AC79" s="321"/>
      <c r="AD79" s="321"/>
      <c r="AE79" s="321"/>
      <c r="AF79" s="321"/>
      <c r="AG79" s="321"/>
      <c r="AH79" s="321"/>
      <c r="AI79" s="321"/>
      <c r="AJ79" s="321"/>
      <c r="AK79" s="321"/>
      <c r="AL79" s="300"/>
    </row>
    <row r="80" spans="1:38" s="234" customFormat="1" ht="10.199999999999999" hidden="1">
      <c r="A80" s="199"/>
      <c r="B80" s="646"/>
      <c r="C80" s="699"/>
      <c r="D80" s="653"/>
      <c r="E80" s="654"/>
      <c r="F80" s="655"/>
      <c r="G80" s="199"/>
      <c r="H80" s="201"/>
      <c r="I80" s="201"/>
      <c r="J80" s="201"/>
      <c r="K80" s="246"/>
      <c r="L80" s="224"/>
      <c r="M80" s="539"/>
      <c r="N80" s="217"/>
      <c r="O80" s="209">
        <f>IF($E$75="",0,((Nutzung!$G$29+Regelung-1)+(($G$76-Nutzung!$G$29)/4)-H15)*I15*$D$75*$E$75*24/($N$11*1000))</f>
        <v>0</v>
      </c>
      <c r="P80" s="201"/>
      <c r="Q80" s="201"/>
      <c r="R80" s="201"/>
      <c r="S80" s="199"/>
      <c r="Z80" s="321"/>
      <c r="AA80" s="318"/>
      <c r="AB80" s="321"/>
      <c r="AC80" s="321"/>
      <c r="AD80" s="321"/>
      <c r="AE80" s="321"/>
      <c r="AF80" s="321"/>
      <c r="AG80" s="321"/>
      <c r="AH80" s="321"/>
      <c r="AI80" s="321"/>
      <c r="AJ80" s="321"/>
      <c r="AK80" s="321"/>
      <c r="AL80" s="300"/>
    </row>
    <row r="81" spans="1:38" s="234" customFormat="1" ht="10.199999999999999" hidden="1">
      <c r="A81" s="199"/>
      <c r="B81" s="646"/>
      <c r="C81" s="699"/>
      <c r="D81" s="653"/>
      <c r="E81" s="654"/>
      <c r="F81" s="655"/>
      <c r="G81" s="199"/>
      <c r="H81" s="201"/>
      <c r="I81" s="201"/>
      <c r="J81" s="201"/>
      <c r="K81" s="246"/>
      <c r="L81" s="224"/>
      <c r="M81" s="539"/>
      <c r="N81" s="217"/>
      <c r="O81" s="209">
        <f>IF($E$75="",0,((Nutzung!$G$29+Regelung-1)+(($G$76-Nutzung!$G$29)/4)-H16)*I16*$D$75*$E$75*24/($N$11*1000))</f>
        <v>0</v>
      </c>
      <c r="P81" s="201"/>
      <c r="Q81" s="201"/>
      <c r="R81" s="201"/>
      <c r="S81" s="199"/>
      <c r="Z81" s="321"/>
      <c r="AA81" s="318"/>
      <c r="AB81" s="321"/>
      <c r="AC81" s="321"/>
      <c r="AD81" s="321"/>
      <c r="AE81" s="321"/>
      <c r="AF81" s="321"/>
      <c r="AG81" s="321"/>
      <c r="AH81" s="321"/>
      <c r="AI81" s="321"/>
      <c r="AJ81" s="321"/>
      <c r="AK81" s="321"/>
      <c r="AL81" s="300"/>
    </row>
    <row r="82" spans="1:38" s="234" customFormat="1" ht="10.199999999999999" hidden="1">
      <c r="A82" s="199"/>
      <c r="B82" s="646"/>
      <c r="C82" s="699"/>
      <c r="D82" s="653"/>
      <c r="E82" s="654"/>
      <c r="F82" s="655"/>
      <c r="G82" s="199"/>
      <c r="H82" s="201"/>
      <c r="I82" s="201"/>
      <c r="J82" s="201"/>
      <c r="K82" s="246"/>
      <c r="L82" s="224"/>
      <c r="M82" s="539"/>
      <c r="N82" s="217"/>
      <c r="O82" s="209">
        <f>IF($E$75="",0,((Nutzung!$G$29+Regelung-1)+(($G$76-Nutzung!$G$29)/4)-H17)*I17*$D$75*$E$75*24/($N$11*1000))</f>
        <v>0</v>
      </c>
      <c r="P82" s="201"/>
      <c r="Q82" s="201"/>
      <c r="R82" s="201"/>
      <c r="S82" s="199"/>
      <c r="Z82" s="321"/>
      <c r="AA82" s="318"/>
      <c r="AB82" s="321"/>
      <c r="AC82" s="321"/>
      <c r="AD82" s="321"/>
      <c r="AE82" s="321"/>
      <c r="AF82" s="321"/>
      <c r="AG82" s="321"/>
      <c r="AH82" s="321"/>
      <c r="AI82" s="321"/>
      <c r="AJ82" s="321"/>
      <c r="AK82" s="321"/>
      <c r="AL82" s="300"/>
    </row>
    <row r="83" spans="1:38" s="234" customFormat="1" ht="10.199999999999999" hidden="1">
      <c r="A83" s="199"/>
      <c r="B83" s="646"/>
      <c r="C83" s="699"/>
      <c r="D83" s="653"/>
      <c r="E83" s="654"/>
      <c r="F83" s="655"/>
      <c r="G83" s="199"/>
      <c r="H83" s="201"/>
      <c r="I83" s="201"/>
      <c r="J83" s="201"/>
      <c r="K83" s="246"/>
      <c r="L83" s="224"/>
      <c r="M83" s="539"/>
      <c r="N83" s="217"/>
      <c r="O83" s="209">
        <f>IF($E$75="",0,((Nutzung!$G$29+Regelung-1)+(($G$76-Nutzung!$G$29)/4)-H18)*I18*$D$75*$E$75*24/($N$11*1000))</f>
        <v>0</v>
      </c>
      <c r="P83" s="201"/>
      <c r="Q83" s="201"/>
      <c r="R83" s="201"/>
      <c r="S83" s="199"/>
      <c r="Z83" s="321"/>
      <c r="AA83" s="318"/>
      <c r="AB83" s="321"/>
      <c r="AC83" s="321"/>
      <c r="AD83" s="321"/>
      <c r="AE83" s="321"/>
      <c r="AF83" s="321"/>
      <c r="AG83" s="321"/>
      <c r="AH83" s="321"/>
      <c r="AI83" s="321"/>
      <c r="AJ83" s="321"/>
      <c r="AK83" s="321"/>
      <c r="AL83" s="300"/>
    </row>
    <row r="84" spans="1:38" s="234" customFormat="1" ht="10.199999999999999" hidden="1">
      <c r="A84" s="199"/>
      <c r="B84" s="646"/>
      <c r="C84" s="699"/>
      <c r="D84" s="653"/>
      <c r="E84" s="654"/>
      <c r="F84" s="655"/>
      <c r="G84" s="199"/>
      <c r="H84" s="201"/>
      <c r="I84" s="201"/>
      <c r="J84" s="201"/>
      <c r="K84" s="246"/>
      <c r="L84" s="224"/>
      <c r="M84" s="539"/>
      <c r="N84" s="217"/>
      <c r="O84" s="209">
        <f>IF($E$75="",0,((Nutzung!$G$29+Regelung-1)+(($G$76-Nutzung!$G$29)/4)-H19)*I19*$D$75*$E$75*24/($N$11*1000))</f>
        <v>0</v>
      </c>
      <c r="P84" s="201"/>
      <c r="Q84" s="201"/>
      <c r="R84" s="201"/>
      <c r="S84" s="199"/>
      <c r="Z84" s="321"/>
      <c r="AA84" s="318"/>
      <c r="AB84" s="321"/>
      <c r="AC84" s="321"/>
      <c r="AD84" s="321"/>
      <c r="AE84" s="321"/>
      <c r="AF84" s="321"/>
      <c r="AG84" s="321"/>
      <c r="AH84" s="321"/>
      <c r="AI84" s="321"/>
      <c r="AJ84" s="321"/>
      <c r="AK84" s="321"/>
      <c r="AL84" s="300"/>
    </row>
    <row r="85" spans="1:38" s="234" customFormat="1" ht="10.199999999999999" hidden="1">
      <c r="A85" s="199"/>
      <c r="B85" s="646"/>
      <c r="C85" s="699"/>
      <c r="D85" s="653"/>
      <c r="E85" s="654"/>
      <c r="F85" s="655"/>
      <c r="G85" s="199"/>
      <c r="H85" s="201"/>
      <c r="I85" s="201"/>
      <c r="J85" s="201"/>
      <c r="K85" s="246"/>
      <c r="L85" s="224"/>
      <c r="M85" s="539"/>
      <c r="N85" s="217"/>
      <c r="O85" s="209">
        <f>IF($E$75="",0,((Nutzung!$G$29+Regelung-1)+(($G$76-Nutzung!$G$29)/4)-H20)*I20*$D$75*$E$75*24/($N$11*1000))</f>
        <v>0</v>
      </c>
      <c r="P85" s="201"/>
      <c r="Q85" s="201"/>
      <c r="R85" s="201"/>
      <c r="S85" s="199"/>
      <c r="Z85" s="321"/>
      <c r="AA85" s="318"/>
      <c r="AB85" s="321"/>
      <c r="AC85" s="321"/>
      <c r="AD85" s="321"/>
      <c r="AE85" s="321"/>
      <c r="AF85" s="321"/>
      <c r="AG85" s="321"/>
      <c r="AH85" s="321"/>
      <c r="AI85" s="321"/>
      <c r="AJ85" s="321"/>
      <c r="AK85" s="321"/>
      <c r="AL85" s="300"/>
    </row>
    <row r="86" spans="1:38" s="234" customFormat="1" ht="10.199999999999999" hidden="1">
      <c r="A86" s="199"/>
      <c r="B86" s="646"/>
      <c r="C86" s="699"/>
      <c r="D86" s="653"/>
      <c r="E86" s="654"/>
      <c r="F86" s="655"/>
      <c r="G86" s="199"/>
      <c r="H86" s="201"/>
      <c r="I86" s="201"/>
      <c r="J86" s="201"/>
      <c r="K86" s="246"/>
      <c r="L86" s="224"/>
      <c r="M86" s="539"/>
      <c r="N86" s="217"/>
      <c r="O86" s="209">
        <f>IF($E$75="",0,((Nutzung!$G$29+Regelung-1)+(($G$76-Nutzung!$G$29)/4)-H21)*I21*$D$75*$E$75*24/($N$11*1000))</f>
        <v>0</v>
      </c>
      <c r="P86" s="201"/>
      <c r="Q86" s="201"/>
      <c r="R86" s="201"/>
      <c r="S86" s="199"/>
      <c r="Z86" s="321"/>
      <c r="AA86" s="318"/>
      <c r="AB86" s="321"/>
      <c r="AC86" s="321"/>
      <c r="AD86" s="321"/>
      <c r="AE86" s="321"/>
      <c r="AF86" s="321"/>
      <c r="AG86" s="321"/>
      <c r="AH86" s="321"/>
      <c r="AI86" s="321"/>
      <c r="AJ86" s="321"/>
      <c r="AK86" s="321"/>
      <c r="AL86" s="300"/>
    </row>
    <row r="87" spans="1:38" s="234" customFormat="1" ht="10.199999999999999" hidden="1">
      <c r="A87" s="199"/>
      <c r="B87" s="646"/>
      <c r="C87" s="699"/>
      <c r="D87" s="653"/>
      <c r="E87" s="654"/>
      <c r="F87" s="655"/>
      <c r="G87" s="199"/>
      <c r="H87" s="201"/>
      <c r="I87" s="201"/>
      <c r="J87" s="201"/>
      <c r="K87" s="246"/>
      <c r="L87" s="224"/>
      <c r="M87" s="539"/>
      <c r="N87" s="217"/>
      <c r="O87" s="209">
        <f>IF($E$75="",0,((Nutzung!$G$29+Regelung-1)+(($G$76-Nutzung!$G$29)/4)-H22)*I22*$D$75*$E$75*24/($N$11*1000))</f>
        <v>0</v>
      </c>
      <c r="P87" s="201"/>
      <c r="Q87" s="201"/>
      <c r="R87" s="201"/>
      <c r="S87" s="199"/>
      <c r="Z87" s="321"/>
      <c r="AA87" s="318"/>
      <c r="AB87" s="321"/>
      <c r="AC87" s="321"/>
      <c r="AD87" s="321"/>
      <c r="AE87" s="321"/>
      <c r="AF87" s="321"/>
      <c r="AG87" s="321"/>
      <c r="AH87" s="321"/>
      <c r="AI87" s="321"/>
      <c r="AJ87" s="321"/>
      <c r="AK87" s="321"/>
      <c r="AL87" s="300"/>
    </row>
    <row r="88" spans="1:38" ht="10.95" customHeight="1">
      <c r="A88" s="192"/>
      <c r="B88" s="646"/>
      <c r="C88" s="700"/>
      <c r="D88" s="653"/>
      <c r="E88" s="654"/>
      <c r="F88" s="655"/>
      <c r="G88" s="192"/>
      <c r="H88" s="198"/>
      <c r="I88" s="198"/>
      <c r="J88" s="198"/>
      <c r="K88" s="246"/>
      <c r="L88" s="220" t="str">
        <f>IF(E88="","",Nutzung!$G$29)</f>
        <v/>
      </c>
      <c r="M88" s="218" t="str">
        <f>IF(D88="","",AB88)</f>
        <v/>
      </c>
      <c r="N88" s="214">
        <f>IF(E88=0,0,SUM(O89:O100))</f>
        <v>0</v>
      </c>
      <c r="O88" s="215" t="str">
        <f>IF(N88/$O$1370=0,"",N88/$O$1370)</f>
        <v/>
      </c>
      <c r="P88" s="198"/>
      <c r="Q88" s="198"/>
      <c r="R88" s="198"/>
      <c r="S88" s="192"/>
      <c r="T88" s="182">
        <f>D88*E88</f>
        <v>0</v>
      </c>
      <c r="X88" s="182">
        <f>MAX(L1317,L1330,L1343,L1356)</f>
        <v>0</v>
      </c>
      <c r="AA88" s="318">
        <f>IF(D88="",0,1)</f>
        <v>0</v>
      </c>
      <c r="AB88" s="318">
        <f>AB75+AA88</f>
        <v>0</v>
      </c>
    </row>
    <row r="89" spans="1:38" s="234" customFormat="1" ht="10.199999999999999" hidden="1">
      <c r="A89" s="199"/>
      <c r="B89" s="646"/>
      <c r="C89" s="698"/>
      <c r="D89" s="653"/>
      <c r="E89" s="654"/>
      <c r="F89" s="655"/>
      <c r="G89" s="694" t="str">
        <f>IF($L$88&lt;Nutzung!$G$29,Nutzung!$G$29,$L$88)</f>
        <v/>
      </c>
      <c r="H89" s="201"/>
      <c r="I89" s="201"/>
      <c r="J89" s="201"/>
      <c r="K89" s="246">
        <f>IF($L$88="",Nutzung!$G$29,Bauteile!$L$88)</f>
        <v>0</v>
      </c>
      <c r="L89" s="224"/>
      <c r="M89" s="539"/>
      <c r="N89" s="217"/>
      <c r="O89" s="209">
        <f>IF($E$88="",0,((Nutzung!$G$29+Regelung-1)+(($G$89-Nutzung!$G$29)/4)-H11)*I11*$D$88*$E$88*24/($N$11*1000))</f>
        <v>0</v>
      </c>
      <c r="P89" s="201"/>
      <c r="Q89" s="201"/>
      <c r="R89" s="201"/>
      <c r="S89" s="199"/>
      <c r="Z89" s="321"/>
      <c r="AA89" s="318"/>
      <c r="AB89" s="321"/>
      <c r="AC89" s="321"/>
      <c r="AD89" s="321"/>
      <c r="AE89" s="321"/>
      <c r="AF89" s="321"/>
      <c r="AG89" s="321"/>
      <c r="AH89" s="321"/>
      <c r="AI89" s="321"/>
      <c r="AJ89" s="321"/>
      <c r="AK89" s="321"/>
      <c r="AL89" s="300"/>
    </row>
    <row r="90" spans="1:38" s="234" customFormat="1" ht="10.199999999999999" hidden="1">
      <c r="A90" s="199"/>
      <c r="B90" s="646"/>
      <c r="C90" s="699"/>
      <c r="D90" s="653"/>
      <c r="E90" s="654"/>
      <c r="F90" s="655"/>
      <c r="G90" s="199"/>
      <c r="H90" s="201"/>
      <c r="I90" s="201"/>
      <c r="J90" s="201"/>
      <c r="K90" s="246"/>
      <c r="L90" s="224"/>
      <c r="M90" s="539"/>
      <c r="N90" s="217"/>
      <c r="O90" s="209">
        <f>IF($E$88="",0,((Nutzung!$G$29+Regelung-1)+(($G$89-Nutzung!$G$29)/4)-H12)*I12*$D$88*$E$88*24/($N$11*1000))</f>
        <v>0</v>
      </c>
      <c r="P90" s="201"/>
      <c r="Q90" s="201"/>
      <c r="R90" s="201"/>
      <c r="S90" s="199"/>
      <c r="Z90" s="321"/>
      <c r="AA90" s="318"/>
      <c r="AB90" s="321"/>
      <c r="AC90" s="321"/>
      <c r="AD90" s="321"/>
      <c r="AE90" s="321"/>
      <c r="AF90" s="321"/>
      <c r="AG90" s="321"/>
      <c r="AH90" s="321"/>
      <c r="AI90" s="321"/>
      <c r="AJ90" s="321"/>
      <c r="AK90" s="321"/>
      <c r="AL90" s="300"/>
    </row>
    <row r="91" spans="1:38" s="234" customFormat="1" ht="10.199999999999999" hidden="1">
      <c r="A91" s="199"/>
      <c r="B91" s="646"/>
      <c r="C91" s="699"/>
      <c r="D91" s="653"/>
      <c r="E91" s="654"/>
      <c r="F91" s="655"/>
      <c r="G91" s="199"/>
      <c r="H91" s="201"/>
      <c r="I91" s="201"/>
      <c r="J91" s="201"/>
      <c r="K91" s="246"/>
      <c r="L91" s="224"/>
      <c r="M91" s="539"/>
      <c r="N91" s="217"/>
      <c r="O91" s="209">
        <f>IF($E$88="",0,((Nutzung!$G$29+Regelung-1)+(($G$89-Nutzung!$G$29)/4)-H13)*I13*$D$88*$E$88*24/($N$11*1000))</f>
        <v>0</v>
      </c>
      <c r="P91" s="201"/>
      <c r="Q91" s="201"/>
      <c r="R91" s="201"/>
      <c r="S91" s="199"/>
      <c r="Z91" s="321"/>
      <c r="AA91" s="318"/>
      <c r="AB91" s="321"/>
      <c r="AC91" s="321"/>
      <c r="AD91" s="321"/>
      <c r="AE91" s="321"/>
      <c r="AF91" s="321"/>
      <c r="AG91" s="321"/>
      <c r="AH91" s="321"/>
      <c r="AI91" s="321"/>
      <c r="AJ91" s="321"/>
      <c r="AK91" s="321"/>
      <c r="AL91" s="300"/>
    </row>
    <row r="92" spans="1:38" s="234" customFormat="1" ht="10.199999999999999" hidden="1">
      <c r="A92" s="199"/>
      <c r="B92" s="646"/>
      <c r="C92" s="699"/>
      <c r="D92" s="653"/>
      <c r="E92" s="654"/>
      <c r="F92" s="655"/>
      <c r="G92" s="199"/>
      <c r="H92" s="201"/>
      <c r="I92" s="201"/>
      <c r="J92" s="201"/>
      <c r="K92" s="246"/>
      <c r="L92" s="224"/>
      <c r="M92" s="539"/>
      <c r="N92" s="217"/>
      <c r="O92" s="209">
        <f>IF($E$88="",0,((Nutzung!$G$29+Regelung-1)+(($G$89-Nutzung!$G$29)/4)-H14)*I14*$D$88*$E$88*24/($N$11*1000))</f>
        <v>0</v>
      </c>
      <c r="P92" s="201"/>
      <c r="Q92" s="201"/>
      <c r="R92" s="201"/>
      <c r="S92" s="199"/>
      <c r="Z92" s="321"/>
      <c r="AA92" s="318"/>
      <c r="AB92" s="321"/>
      <c r="AC92" s="321"/>
      <c r="AD92" s="321"/>
      <c r="AE92" s="321"/>
      <c r="AF92" s="321"/>
      <c r="AG92" s="321"/>
      <c r="AH92" s="321"/>
      <c r="AI92" s="321"/>
      <c r="AJ92" s="321"/>
      <c r="AK92" s="321"/>
      <c r="AL92" s="300"/>
    </row>
    <row r="93" spans="1:38" s="234" customFormat="1" ht="10.199999999999999" hidden="1">
      <c r="A93" s="199"/>
      <c r="B93" s="646"/>
      <c r="C93" s="699"/>
      <c r="D93" s="653"/>
      <c r="E93" s="654"/>
      <c r="F93" s="655"/>
      <c r="G93" s="199"/>
      <c r="H93" s="201"/>
      <c r="I93" s="201"/>
      <c r="J93" s="201"/>
      <c r="K93" s="246"/>
      <c r="L93" s="224"/>
      <c r="M93" s="539"/>
      <c r="N93" s="217"/>
      <c r="O93" s="209">
        <f>IF($E$88="",0,((Nutzung!$G$29+Regelung-1)+(($G$89-Nutzung!$G$29)/4)-H15)*I15*$D$88*$E$88*24/($N$11*1000))</f>
        <v>0</v>
      </c>
      <c r="P93" s="201"/>
      <c r="Q93" s="201"/>
      <c r="R93" s="201"/>
      <c r="S93" s="199"/>
      <c r="Z93" s="321"/>
      <c r="AA93" s="318"/>
      <c r="AB93" s="321"/>
      <c r="AC93" s="321"/>
      <c r="AD93" s="321"/>
      <c r="AE93" s="321"/>
      <c r="AF93" s="321"/>
      <c r="AG93" s="321"/>
      <c r="AH93" s="321"/>
      <c r="AI93" s="321"/>
      <c r="AJ93" s="321"/>
      <c r="AK93" s="321"/>
      <c r="AL93" s="300"/>
    </row>
    <row r="94" spans="1:38" s="234" customFormat="1" ht="10.199999999999999" hidden="1">
      <c r="A94" s="199"/>
      <c r="B94" s="646"/>
      <c r="C94" s="699"/>
      <c r="D94" s="653"/>
      <c r="E94" s="654"/>
      <c r="F94" s="655"/>
      <c r="G94" s="199"/>
      <c r="H94" s="201"/>
      <c r="I94" s="201"/>
      <c r="J94" s="201"/>
      <c r="K94" s="246"/>
      <c r="L94" s="224"/>
      <c r="M94" s="539"/>
      <c r="N94" s="217"/>
      <c r="O94" s="209">
        <f>IF($E$88="",0,((Nutzung!$G$29+Regelung-1)+(($G$89-Nutzung!$G$29)/4)-H16)*I16*$D$88*$E$88*24/($N$11*1000))</f>
        <v>0</v>
      </c>
      <c r="P94" s="201"/>
      <c r="Q94" s="201"/>
      <c r="R94" s="201"/>
      <c r="S94" s="199"/>
      <c r="Z94" s="321"/>
      <c r="AA94" s="318"/>
      <c r="AB94" s="321"/>
      <c r="AC94" s="321"/>
      <c r="AD94" s="321"/>
      <c r="AE94" s="321"/>
      <c r="AF94" s="321"/>
      <c r="AG94" s="321"/>
      <c r="AH94" s="321"/>
      <c r="AI94" s="321"/>
      <c r="AJ94" s="321"/>
      <c r="AK94" s="321"/>
      <c r="AL94" s="300"/>
    </row>
    <row r="95" spans="1:38" s="234" customFormat="1" ht="10.199999999999999" hidden="1">
      <c r="A95" s="199"/>
      <c r="B95" s="646"/>
      <c r="C95" s="699"/>
      <c r="D95" s="653"/>
      <c r="E95" s="654"/>
      <c r="F95" s="655"/>
      <c r="G95" s="199"/>
      <c r="H95" s="201"/>
      <c r="I95" s="201"/>
      <c r="J95" s="201"/>
      <c r="K95" s="246"/>
      <c r="L95" s="224"/>
      <c r="M95" s="539"/>
      <c r="N95" s="217"/>
      <c r="O95" s="209">
        <f>IF($E$88="",0,((Nutzung!$G$29+Regelung-1)+(($G$89-Nutzung!$G$29)/4)-H17)*I17*$D$88*$E$88*24/($N$11*1000))</f>
        <v>0</v>
      </c>
      <c r="P95" s="201"/>
      <c r="Q95" s="201"/>
      <c r="R95" s="201"/>
      <c r="S95" s="199"/>
      <c r="Z95" s="321"/>
      <c r="AA95" s="318"/>
      <c r="AB95" s="321"/>
      <c r="AC95" s="321"/>
      <c r="AD95" s="321"/>
      <c r="AE95" s="321"/>
      <c r="AF95" s="321"/>
      <c r="AG95" s="321"/>
      <c r="AH95" s="321"/>
      <c r="AI95" s="321"/>
      <c r="AJ95" s="321"/>
      <c r="AK95" s="321"/>
      <c r="AL95" s="300"/>
    </row>
    <row r="96" spans="1:38" s="234" customFormat="1" ht="10.199999999999999" hidden="1">
      <c r="A96" s="199"/>
      <c r="B96" s="646"/>
      <c r="C96" s="699"/>
      <c r="D96" s="653"/>
      <c r="E96" s="654"/>
      <c r="F96" s="655"/>
      <c r="G96" s="199"/>
      <c r="H96" s="201"/>
      <c r="I96" s="201"/>
      <c r="J96" s="201"/>
      <c r="K96" s="246"/>
      <c r="L96" s="224"/>
      <c r="M96" s="539"/>
      <c r="N96" s="217"/>
      <c r="O96" s="209">
        <f>IF($E$88="",0,((Nutzung!$G$29+Regelung-1)+(($G$89-Nutzung!$G$29)/4)-H18)*I18*$D$88*$E$88*24/($N$11*1000))</f>
        <v>0</v>
      </c>
      <c r="P96" s="201"/>
      <c r="Q96" s="201"/>
      <c r="R96" s="201"/>
      <c r="S96" s="199"/>
      <c r="Z96" s="321"/>
      <c r="AA96" s="318"/>
      <c r="AB96" s="321"/>
      <c r="AC96" s="321"/>
      <c r="AD96" s="321"/>
      <c r="AE96" s="321"/>
      <c r="AF96" s="321"/>
      <c r="AG96" s="321"/>
      <c r="AH96" s="321"/>
      <c r="AI96" s="321"/>
      <c r="AJ96" s="321"/>
      <c r="AK96" s="321"/>
      <c r="AL96" s="300"/>
    </row>
    <row r="97" spans="1:38" s="234" customFormat="1" ht="10.199999999999999" hidden="1">
      <c r="A97" s="199"/>
      <c r="B97" s="646"/>
      <c r="C97" s="699"/>
      <c r="D97" s="653"/>
      <c r="E97" s="654"/>
      <c r="F97" s="655"/>
      <c r="G97" s="199"/>
      <c r="H97" s="201"/>
      <c r="I97" s="201"/>
      <c r="J97" s="201"/>
      <c r="K97" s="246"/>
      <c r="L97" s="224"/>
      <c r="M97" s="539"/>
      <c r="N97" s="217"/>
      <c r="O97" s="209">
        <f>IF($E$88="",0,((Nutzung!$G$29+Regelung-1)+(($G$89-Nutzung!$G$29)/4)-H19)*I19*$D$88*$E$88*24/($N$11*1000))</f>
        <v>0</v>
      </c>
      <c r="P97" s="201"/>
      <c r="Q97" s="201"/>
      <c r="R97" s="201"/>
      <c r="S97" s="199"/>
      <c r="Z97" s="321"/>
      <c r="AA97" s="318"/>
      <c r="AB97" s="321"/>
      <c r="AC97" s="321"/>
      <c r="AD97" s="321"/>
      <c r="AE97" s="321"/>
      <c r="AF97" s="321"/>
      <c r="AG97" s="321"/>
      <c r="AH97" s="321"/>
      <c r="AI97" s="321"/>
      <c r="AJ97" s="321"/>
      <c r="AK97" s="321"/>
      <c r="AL97" s="300"/>
    </row>
    <row r="98" spans="1:38" s="234" customFormat="1" ht="10.199999999999999" hidden="1">
      <c r="A98" s="199"/>
      <c r="B98" s="646"/>
      <c r="C98" s="699"/>
      <c r="D98" s="653"/>
      <c r="E98" s="654"/>
      <c r="F98" s="655"/>
      <c r="G98" s="199"/>
      <c r="H98" s="201"/>
      <c r="I98" s="201"/>
      <c r="J98" s="201"/>
      <c r="K98" s="246"/>
      <c r="L98" s="224"/>
      <c r="M98" s="539"/>
      <c r="N98" s="217"/>
      <c r="O98" s="209">
        <f>IF($E$88="",0,((Nutzung!$G$29+Regelung-1)+(($G$89-Nutzung!$G$29)/4)-H20)*I20*$D$88*$E$88*24/($N$11*1000))</f>
        <v>0</v>
      </c>
      <c r="P98" s="201"/>
      <c r="Q98" s="201"/>
      <c r="R98" s="201"/>
      <c r="S98" s="199"/>
      <c r="Z98" s="321"/>
      <c r="AA98" s="318"/>
      <c r="AB98" s="321"/>
      <c r="AC98" s="321"/>
      <c r="AD98" s="321"/>
      <c r="AE98" s="321"/>
      <c r="AF98" s="321"/>
      <c r="AG98" s="321"/>
      <c r="AH98" s="321"/>
      <c r="AI98" s="321"/>
      <c r="AJ98" s="321"/>
      <c r="AK98" s="321"/>
      <c r="AL98" s="300"/>
    </row>
    <row r="99" spans="1:38" s="234" customFormat="1" ht="10.199999999999999" hidden="1">
      <c r="A99" s="199"/>
      <c r="B99" s="646"/>
      <c r="C99" s="699"/>
      <c r="D99" s="653"/>
      <c r="E99" s="654"/>
      <c r="F99" s="655"/>
      <c r="G99" s="199"/>
      <c r="H99" s="201"/>
      <c r="I99" s="201"/>
      <c r="J99" s="201"/>
      <c r="K99" s="246"/>
      <c r="L99" s="224"/>
      <c r="M99" s="539"/>
      <c r="N99" s="217"/>
      <c r="O99" s="209">
        <f>IF($E$88="",0,((Nutzung!$G$29+Regelung-1)+(($G$89-Nutzung!$G$29)/4)-H21)*I21*$D$88*$E$88*24/($N$11*1000))</f>
        <v>0</v>
      </c>
      <c r="P99" s="201"/>
      <c r="Q99" s="201"/>
      <c r="R99" s="201"/>
      <c r="S99" s="199"/>
      <c r="Z99" s="321"/>
      <c r="AA99" s="318"/>
      <c r="AB99" s="321"/>
      <c r="AC99" s="321"/>
      <c r="AD99" s="321"/>
      <c r="AE99" s="321"/>
      <c r="AF99" s="321"/>
      <c r="AG99" s="321"/>
      <c r="AH99" s="321"/>
      <c r="AI99" s="321"/>
      <c r="AJ99" s="321"/>
      <c r="AK99" s="321"/>
      <c r="AL99" s="300"/>
    </row>
    <row r="100" spans="1:38" s="234" customFormat="1" ht="10.199999999999999" hidden="1">
      <c r="A100" s="199"/>
      <c r="B100" s="646"/>
      <c r="C100" s="699"/>
      <c r="D100" s="653"/>
      <c r="E100" s="654"/>
      <c r="F100" s="655"/>
      <c r="G100" s="199"/>
      <c r="H100" s="201"/>
      <c r="I100" s="201"/>
      <c r="J100" s="201"/>
      <c r="K100" s="246"/>
      <c r="L100" s="224"/>
      <c r="M100" s="539"/>
      <c r="N100" s="217"/>
      <c r="O100" s="209">
        <f>IF($E$88="",0,((Nutzung!$G$29+Regelung-1)+(($G$89-Nutzung!$G$29)/4)-H22)*I22*$D$88*$E$88*24/($N$11*1000))</f>
        <v>0</v>
      </c>
      <c r="P100" s="201"/>
      <c r="Q100" s="201"/>
      <c r="R100" s="201"/>
      <c r="S100" s="199"/>
      <c r="Z100" s="321"/>
      <c r="AA100" s="318"/>
      <c r="AB100" s="321"/>
      <c r="AC100" s="321"/>
      <c r="AD100" s="321"/>
      <c r="AE100" s="321"/>
      <c r="AF100" s="321"/>
      <c r="AG100" s="321"/>
      <c r="AH100" s="321"/>
      <c r="AI100" s="321"/>
      <c r="AJ100" s="321"/>
      <c r="AK100" s="321"/>
      <c r="AL100" s="300"/>
    </row>
    <row r="101" spans="1:38" ht="10.95" customHeight="1">
      <c r="A101" s="192"/>
      <c r="B101" s="646"/>
      <c r="C101" s="700"/>
      <c r="D101" s="653"/>
      <c r="E101" s="654"/>
      <c r="F101" s="655"/>
      <c r="G101" s="192"/>
      <c r="H101" s="198"/>
      <c r="I101" s="198"/>
      <c r="J101" s="198"/>
      <c r="K101" s="246"/>
      <c r="L101" s="220" t="str">
        <f>IF(E101="","",Nutzung!$G$29)</f>
        <v/>
      </c>
      <c r="M101" s="218" t="str">
        <f>IF(D101="","",AB101)</f>
        <v/>
      </c>
      <c r="N101" s="214">
        <f>IF(E101=0,0,SUM(O102:O113))</f>
        <v>0</v>
      </c>
      <c r="O101" s="215" t="str">
        <f>IF(N101/$O$1370=0,"",N101/$O$1370)</f>
        <v/>
      </c>
      <c r="P101" s="198"/>
      <c r="Q101" s="198"/>
      <c r="R101" s="198"/>
      <c r="S101" s="192"/>
      <c r="T101" s="182">
        <f>D101*E101</f>
        <v>0</v>
      </c>
      <c r="AA101" s="318">
        <f>IF(D101="",0,1)</f>
        <v>0</v>
      </c>
      <c r="AB101" s="318">
        <f>AB88+AA101</f>
        <v>0</v>
      </c>
    </row>
    <row r="102" spans="1:38" s="234" customFormat="1" ht="10.199999999999999" hidden="1">
      <c r="A102" s="199"/>
      <c r="B102" s="646"/>
      <c r="C102" s="698"/>
      <c r="D102" s="653"/>
      <c r="E102" s="654"/>
      <c r="F102" s="655"/>
      <c r="G102" s="694" t="str">
        <f>IF($L$101&lt;Nutzung!$G$29,Nutzung!$G$29,$L$101)</f>
        <v/>
      </c>
      <c r="H102" s="201"/>
      <c r="I102" s="201"/>
      <c r="J102" s="201"/>
      <c r="K102" s="246">
        <f>IF($L$101="",Nutzung!$G$29,Bauteile!$L$101)</f>
        <v>0</v>
      </c>
      <c r="L102" s="224"/>
      <c r="M102" s="539"/>
      <c r="N102" s="217"/>
      <c r="O102" s="209">
        <f>IF($E$101="",0,((Nutzung!$G$29+Regelung-1)+(($G$102-Nutzung!$G$29)/4)-H11)*I11*$D$101*$E$101*24/($N$11*1000))</f>
        <v>0</v>
      </c>
      <c r="P102" s="201"/>
      <c r="Q102" s="201"/>
      <c r="R102" s="201"/>
      <c r="S102" s="199"/>
      <c r="Z102" s="321"/>
      <c r="AA102" s="318"/>
      <c r="AB102" s="321"/>
      <c r="AC102" s="321"/>
      <c r="AD102" s="321"/>
      <c r="AE102" s="321"/>
      <c r="AF102" s="321"/>
      <c r="AG102" s="321"/>
      <c r="AH102" s="321"/>
      <c r="AI102" s="321"/>
      <c r="AJ102" s="321"/>
      <c r="AK102" s="321"/>
      <c r="AL102" s="300"/>
    </row>
    <row r="103" spans="1:38" s="234" customFormat="1" ht="10.199999999999999" hidden="1">
      <c r="A103" s="199"/>
      <c r="B103" s="646"/>
      <c r="C103" s="699"/>
      <c r="D103" s="653"/>
      <c r="E103" s="654"/>
      <c r="F103" s="655"/>
      <c r="G103" s="199"/>
      <c r="H103" s="201"/>
      <c r="I103" s="201"/>
      <c r="J103" s="201"/>
      <c r="K103" s="246"/>
      <c r="L103" s="224"/>
      <c r="M103" s="539"/>
      <c r="N103" s="217"/>
      <c r="O103" s="209">
        <f>IF($E$101="",0,((Nutzung!$G$29+Regelung-1)+(($G$102-Nutzung!$G$29)/4)-H12)*I12*$D$101*$E$101*24/($N$11*1000))</f>
        <v>0</v>
      </c>
      <c r="P103" s="201"/>
      <c r="Q103" s="201"/>
      <c r="R103" s="201"/>
      <c r="S103" s="199"/>
      <c r="Z103" s="321"/>
      <c r="AA103" s="318"/>
      <c r="AB103" s="321"/>
      <c r="AC103" s="321"/>
      <c r="AD103" s="321"/>
      <c r="AE103" s="321"/>
      <c r="AF103" s="321"/>
      <c r="AG103" s="321"/>
      <c r="AH103" s="321"/>
      <c r="AI103" s="321"/>
      <c r="AJ103" s="321"/>
      <c r="AK103" s="321"/>
      <c r="AL103" s="300"/>
    </row>
    <row r="104" spans="1:38" s="234" customFormat="1" ht="10.199999999999999" hidden="1">
      <c r="A104" s="199"/>
      <c r="B104" s="646"/>
      <c r="C104" s="699"/>
      <c r="D104" s="653"/>
      <c r="E104" s="654"/>
      <c r="F104" s="655"/>
      <c r="G104" s="199"/>
      <c r="H104" s="201"/>
      <c r="I104" s="201"/>
      <c r="J104" s="201"/>
      <c r="K104" s="246"/>
      <c r="L104" s="224"/>
      <c r="M104" s="539"/>
      <c r="N104" s="217"/>
      <c r="O104" s="209">
        <f>IF($E$101="",0,((Nutzung!$G$29+Regelung-1)+(($G$102-Nutzung!$G$29)/4)-H13)*I13*$D$101*$E$101*24/($N$11*1000))</f>
        <v>0</v>
      </c>
      <c r="P104" s="201"/>
      <c r="Q104" s="201"/>
      <c r="R104" s="201"/>
      <c r="S104" s="199"/>
      <c r="Z104" s="321"/>
      <c r="AA104" s="318"/>
      <c r="AB104" s="321"/>
      <c r="AC104" s="321"/>
      <c r="AD104" s="321"/>
      <c r="AE104" s="321"/>
      <c r="AF104" s="321"/>
      <c r="AG104" s="321"/>
      <c r="AH104" s="321"/>
      <c r="AI104" s="321"/>
      <c r="AJ104" s="321"/>
      <c r="AK104" s="321"/>
      <c r="AL104" s="300"/>
    </row>
    <row r="105" spans="1:38" s="234" customFormat="1" ht="10.199999999999999" hidden="1">
      <c r="A105" s="199"/>
      <c r="B105" s="646"/>
      <c r="C105" s="699"/>
      <c r="D105" s="653"/>
      <c r="E105" s="654"/>
      <c r="F105" s="655"/>
      <c r="G105" s="199"/>
      <c r="H105" s="201"/>
      <c r="I105" s="201"/>
      <c r="J105" s="201"/>
      <c r="K105" s="246"/>
      <c r="L105" s="224"/>
      <c r="M105" s="539"/>
      <c r="N105" s="217"/>
      <c r="O105" s="209">
        <f>IF($E$101="",0,((Nutzung!$G$29+Regelung-1)+(($G$102-Nutzung!$G$29)/4)-H14)*I14*$D$101*$E$101*24/($N$11*1000))</f>
        <v>0</v>
      </c>
      <c r="P105" s="201"/>
      <c r="Q105" s="201"/>
      <c r="R105" s="201"/>
      <c r="S105" s="199"/>
      <c r="Z105" s="321"/>
      <c r="AA105" s="318"/>
      <c r="AB105" s="321"/>
      <c r="AC105" s="321"/>
      <c r="AD105" s="321"/>
      <c r="AE105" s="321"/>
      <c r="AF105" s="321"/>
      <c r="AG105" s="321"/>
      <c r="AH105" s="321"/>
      <c r="AI105" s="321"/>
      <c r="AJ105" s="321"/>
      <c r="AK105" s="321"/>
      <c r="AL105" s="300"/>
    </row>
    <row r="106" spans="1:38" s="234" customFormat="1" ht="10.199999999999999" hidden="1">
      <c r="A106" s="199"/>
      <c r="B106" s="646"/>
      <c r="C106" s="699"/>
      <c r="D106" s="653"/>
      <c r="E106" s="654"/>
      <c r="F106" s="655"/>
      <c r="G106" s="199"/>
      <c r="H106" s="201"/>
      <c r="I106" s="201"/>
      <c r="J106" s="201"/>
      <c r="K106" s="246"/>
      <c r="L106" s="224"/>
      <c r="M106" s="539"/>
      <c r="N106" s="217"/>
      <c r="O106" s="209">
        <f>IF($E$101="",0,((Nutzung!$G$29+Regelung-1)+(($G$102-Nutzung!$G$29)/4)-H15)*I15*$D$101*$E$101*24/($N$11*1000))</f>
        <v>0</v>
      </c>
      <c r="P106" s="201"/>
      <c r="Q106" s="201"/>
      <c r="R106" s="201"/>
      <c r="S106" s="199"/>
      <c r="Z106" s="321"/>
      <c r="AA106" s="318"/>
      <c r="AB106" s="321"/>
      <c r="AC106" s="321"/>
      <c r="AD106" s="321"/>
      <c r="AE106" s="321"/>
      <c r="AF106" s="321"/>
      <c r="AG106" s="321"/>
      <c r="AH106" s="321"/>
      <c r="AI106" s="321"/>
      <c r="AJ106" s="321"/>
      <c r="AK106" s="321"/>
      <c r="AL106" s="300"/>
    </row>
    <row r="107" spans="1:38" s="234" customFormat="1" ht="10.199999999999999" hidden="1">
      <c r="A107" s="199"/>
      <c r="B107" s="646"/>
      <c r="C107" s="699"/>
      <c r="D107" s="653"/>
      <c r="E107" s="654"/>
      <c r="F107" s="655"/>
      <c r="G107" s="199"/>
      <c r="H107" s="201"/>
      <c r="I107" s="201"/>
      <c r="J107" s="201"/>
      <c r="K107" s="246"/>
      <c r="L107" s="224"/>
      <c r="M107" s="539"/>
      <c r="N107" s="217"/>
      <c r="O107" s="209">
        <f>IF($E$101="",0,((Nutzung!$G$29+Regelung-1)+(($G$102-Nutzung!$G$29)/4)-H16)*I16*$D$101*$E$101*24/($N$11*1000))</f>
        <v>0</v>
      </c>
      <c r="P107" s="201"/>
      <c r="Q107" s="201"/>
      <c r="R107" s="201"/>
      <c r="S107" s="199"/>
      <c r="Z107" s="321"/>
      <c r="AA107" s="318"/>
      <c r="AB107" s="321"/>
      <c r="AC107" s="321"/>
      <c r="AD107" s="321"/>
      <c r="AE107" s="321"/>
      <c r="AF107" s="321"/>
      <c r="AG107" s="321"/>
      <c r="AH107" s="321"/>
      <c r="AI107" s="321"/>
      <c r="AJ107" s="321"/>
      <c r="AK107" s="321"/>
      <c r="AL107" s="300"/>
    </row>
    <row r="108" spans="1:38" s="234" customFormat="1" ht="10.199999999999999" hidden="1">
      <c r="A108" s="199"/>
      <c r="B108" s="646"/>
      <c r="C108" s="699"/>
      <c r="D108" s="653"/>
      <c r="E108" s="654"/>
      <c r="F108" s="655"/>
      <c r="G108" s="199"/>
      <c r="H108" s="201"/>
      <c r="I108" s="201"/>
      <c r="J108" s="201"/>
      <c r="K108" s="246"/>
      <c r="L108" s="224"/>
      <c r="M108" s="539"/>
      <c r="N108" s="217"/>
      <c r="O108" s="209">
        <f>IF($E$101="",0,((Nutzung!$G$29+Regelung-1)+(($G$102-Nutzung!$G$29)/4)-H17)*I17*$D$101*$E$101*24/($N$11*1000))</f>
        <v>0</v>
      </c>
      <c r="P108" s="201"/>
      <c r="Q108" s="201"/>
      <c r="R108" s="201"/>
      <c r="S108" s="199"/>
      <c r="Z108" s="321"/>
      <c r="AA108" s="318"/>
      <c r="AB108" s="321"/>
      <c r="AC108" s="321"/>
      <c r="AD108" s="321"/>
      <c r="AE108" s="321"/>
      <c r="AF108" s="321"/>
      <c r="AG108" s="321"/>
      <c r="AH108" s="321"/>
      <c r="AI108" s="321"/>
      <c r="AJ108" s="321"/>
      <c r="AK108" s="321"/>
      <c r="AL108" s="300"/>
    </row>
    <row r="109" spans="1:38" s="234" customFormat="1" ht="10.199999999999999" hidden="1">
      <c r="A109" s="199"/>
      <c r="B109" s="646"/>
      <c r="C109" s="699"/>
      <c r="D109" s="653"/>
      <c r="E109" s="654"/>
      <c r="F109" s="655"/>
      <c r="G109" s="199"/>
      <c r="H109" s="201"/>
      <c r="I109" s="201"/>
      <c r="J109" s="201"/>
      <c r="K109" s="246"/>
      <c r="L109" s="224"/>
      <c r="M109" s="539"/>
      <c r="N109" s="217"/>
      <c r="O109" s="209">
        <f>IF($E$101="",0,((Nutzung!$G$29+Regelung-1)+(($G$102-Nutzung!$G$29)/4)-H18)*I18*$D$101*$E$101*24/($N$11*1000))</f>
        <v>0</v>
      </c>
      <c r="P109" s="201"/>
      <c r="Q109" s="201"/>
      <c r="R109" s="201"/>
      <c r="S109" s="199"/>
      <c r="Z109" s="321"/>
      <c r="AA109" s="318"/>
      <c r="AB109" s="321"/>
      <c r="AC109" s="321"/>
      <c r="AD109" s="321"/>
      <c r="AE109" s="321"/>
      <c r="AF109" s="321"/>
      <c r="AG109" s="321"/>
      <c r="AH109" s="321"/>
      <c r="AI109" s="321"/>
      <c r="AJ109" s="321"/>
      <c r="AK109" s="321"/>
      <c r="AL109" s="300"/>
    </row>
    <row r="110" spans="1:38" s="234" customFormat="1" ht="10.199999999999999" hidden="1">
      <c r="A110" s="199"/>
      <c r="B110" s="646"/>
      <c r="C110" s="699"/>
      <c r="D110" s="653"/>
      <c r="E110" s="654"/>
      <c r="F110" s="655"/>
      <c r="G110" s="199"/>
      <c r="H110" s="201"/>
      <c r="I110" s="201"/>
      <c r="J110" s="201"/>
      <c r="K110" s="246"/>
      <c r="L110" s="224"/>
      <c r="M110" s="539"/>
      <c r="N110" s="217"/>
      <c r="O110" s="209">
        <f>IF($E$101="",0,((Nutzung!$G$29+Regelung-1)+(($G$102-Nutzung!$G$29)/4)-H19)*I19*$D$101*$E$101*24/($N$11*1000))</f>
        <v>0</v>
      </c>
      <c r="P110" s="201"/>
      <c r="Q110" s="201"/>
      <c r="R110" s="201"/>
      <c r="S110" s="199"/>
      <c r="Z110" s="321"/>
      <c r="AA110" s="318"/>
      <c r="AB110" s="321"/>
      <c r="AC110" s="321"/>
      <c r="AD110" s="321"/>
      <c r="AE110" s="321"/>
      <c r="AF110" s="321"/>
      <c r="AG110" s="321"/>
      <c r="AH110" s="321"/>
      <c r="AI110" s="321"/>
      <c r="AJ110" s="321"/>
      <c r="AK110" s="321"/>
      <c r="AL110" s="300"/>
    </row>
    <row r="111" spans="1:38" s="234" customFormat="1" ht="10.199999999999999" hidden="1">
      <c r="A111" s="199"/>
      <c r="B111" s="646"/>
      <c r="C111" s="699"/>
      <c r="D111" s="653"/>
      <c r="E111" s="654"/>
      <c r="F111" s="655"/>
      <c r="G111" s="199"/>
      <c r="H111" s="201"/>
      <c r="I111" s="201"/>
      <c r="J111" s="201"/>
      <c r="K111" s="246"/>
      <c r="L111" s="224"/>
      <c r="M111" s="539"/>
      <c r="N111" s="217"/>
      <c r="O111" s="209">
        <f>IF($E$101="",0,((Nutzung!$G$29+Regelung-1)+(($G$102-Nutzung!$G$29)/4)-H20)*I20*$D$101*$E$101*24/($N$11*1000))</f>
        <v>0</v>
      </c>
      <c r="P111" s="201"/>
      <c r="Q111" s="201"/>
      <c r="R111" s="201"/>
      <c r="S111" s="199"/>
      <c r="Z111" s="321"/>
      <c r="AA111" s="318"/>
      <c r="AB111" s="321"/>
      <c r="AC111" s="321"/>
      <c r="AD111" s="321"/>
      <c r="AE111" s="321"/>
      <c r="AF111" s="321"/>
      <c r="AG111" s="321"/>
      <c r="AH111" s="321"/>
      <c r="AI111" s="321"/>
      <c r="AJ111" s="321"/>
      <c r="AK111" s="321"/>
      <c r="AL111" s="300"/>
    </row>
    <row r="112" spans="1:38" s="234" customFormat="1" ht="10.199999999999999" hidden="1">
      <c r="A112" s="199"/>
      <c r="B112" s="646"/>
      <c r="C112" s="699"/>
      <c r="D112" s="653"/>
      <c r="E112" s="654"/>
      <c r="F112" s="655"/>
      <c r="G112" s="199"/>
      <c r="H112" s="201"/>
      <c r="I112" s="201"/>
      <c r="J112" s="201"/>
      <c r="K112" s="246"/>
      <c r="L112" s="224"/>
      <c r="M112" s="539"/>
      <c r="N112" s="217"/>
      <c r="O112" s="209">
        <f>IF($E$101="",0,((Nutzung!$G$29+Regelung-1)+(($G$102-Nutzung!$G$29)/4)-H21)*I21*$D$101*$E$101*24/($N$11*1000))</f>
        <v>0</v>
      </c>
      <c r="P112" s="201"/>
      <c r="Q112" s="201"/>
      <c r="R112" s="201"/>
      <c r="S112" s="199"/>
      <c r="Z112" s="321"/>
      <c r="AA112" s="318"/>
      <c r="AB112" s="321"/>
      <c r="AC112" s="321"/>
      <c r="AD112" s="321"/>
      <c r="AE112" s="321"/>
      <c r="AF112" s="321"/>
      <c r="AG112" s="321"/>
      <c r="AH112" s="321"/>
      <c r="AI112" s="321"/>
      <c r="AJ112" s="321"/>
      <c r="AK112" s="321"/>
      <c r="AL112" s="300"/>
    </row>
    <row r="113" spans="1:38" s="234" customFormat="1" ht="10.199999999999999" hidden="1">
      <c r="A113" s="199"/>
      <c r="B113" s="646"/>
      <c r="C113" s="699"/>
      <c r="D113" s="653"/>
      <c r="E113" s="654"/>
      <c r="F113" s="655"/>
      <c r="G113" s="199"/>
      <c r="H113" s="201"/>
      <c r="I113" s="201"/>
      <c r="J113" s="201"/>
      <c r="K113" s="246"/>
      <c r="L113" s="224"/>
      <c r="M113" s="539"/>
      <c r="N113" s="217"/>
      <c r="O113" s="209">
        <f>IF($E$101="",0,((Nutzung!$G$29+Regelung-1)+(($G$102-Nutzung!$G$29)/4)-H22)*I22*$D$101*$E$101*24/($N$11*1000))</f>
        <v>0</v>
      </c>
      <c r="P113" s="201"/>
      <c r="Q113" s="201"/>
      <c r="R113" s="201"/>
      <c r="S113" s="199"/>
      <c r="Z113" s="321"/>
      <c r="AA113" s="318"/>
      <c r="AB113" s="321"/>
      <c r="AC113" s="321"/>
      <c r="AD113" s="321"/>
      <c r="AE113" s="321"/>
      <c r="AF113" s="321"/>
      <c r="AG113" s="321"/>
      <c r="AH113" s="321"/>
      <c r="AI113" s="321"/>
      <c r="AJ113" s="321"/>
      <c r="AK113" s="321"/>
      <c r="AL113" s="300"/>
    </row>
    <row r="114" spans="1:38" ht="10.95" customHeight="1">
      <c r="A114" s="192"/>
      <c r="B114" s="646"/>
      <c r="C114" s="700"/>
      <c r="D114" s="653"/>
      <c r="E114" s="654"/>
      <c r="F114" s="655"/>
      <c r="G114" s="192"/>
      <c r="H114" s="198"/>
      <c r="I114" s="198"/>
      <c r="J114" s="198"/>
      <c r="K114" s="246"/>
      <c r="L114" s="220" t="str">
        <f>IF(E114="","",Nutzung!$G$29)</f>
        <v/>
      </c>
      <c r="M114" s="218" t="str">
        <f>IF(D114="","",AB114)</f>
        <v/>
      </c>
      <c r="N114" s="214">
        <f>IF(E114=0,0,SUM(O115:O126))</f>
        <v>0</v>
      </c>
      <c r="O114" s="215" t="str">
        <f>IF(N114/$O$1370=0,"",N114/$O$1370)</f>
        <v/>
      </c>
      <c r="P114" s="198"/>
      <c r="Q114" s="198"/>
      <c r="R114" s="198"/>
      <c r="S114" s="192"/>
      <c r="T114" s="182">
        <f>D114*E114</f>
        <v>0</v>
      </c>
      <c r="W114" s="182">
        <f>MAX(W7:W88)</f>
        <v>0</v>
      </c>
      <c r="X114" s="182">
        <f>MAX(X23:X88)</f>
        <v>0</v>
      </c>
      <c r="AA114" s="318">
        <f>IF(D114="",0,1)</f>
        <v>0</v>
      </c>
      <c r="AB114" s="318">
        <f>AB101+AA114</f>
        <v>0</v>
      </c>
    </row>
    <row r="115" spans="1:38" s="234" customFormat="1" ht="10.199999999999999" hidden="1">
      <c r="A115" s="199"/>
      <c r="B115" s="646"/>
      <c r="C115" s="698"/>
      <c r="D115" s="653"/>
      <c r="E115" s="654"/>
      <c r="F115" s="655"/>
      <c r="G115" s="694" t="str">
        <f>IF($L$114&lt;Nutzung!$G$29,Nutzung!$G$29,$L$114)</f>
        <v/>
      </c>
      <c r="H115" s="201"/>
      <c r="I115" s="201"/>
      <c r="J115" s="201"/>
      <c r="K115" s="246">
        <f>IF($L$114="",Nutzung!$G$29,Bauteile!$L$114)</f>
        <v>0</v>
      </c>
      <c r="L115" s="224"/>
      <c r="M115" s="539"/>
      <c r="N115" s="217"/>
      <c r="O115" s="209">
        <f>IF($E$114="",0,((Nutzung!$G$29+Regelung-1)+(($G$115-Nutzung!$G$29)/4)-H11)*I11*$D$114*$E$114*24/($N$11*1000))</f>
        <v>0</v>
      </c>
      <c r="P115" s="201"/>
      <c r="Q115" s="201"/>
      <c r="R115" s="201"/>
      <c r="S115" s="199"/>
      <c r="Z115" s="321"/>
      <c r="AA115" s="318"/>
      <c r="AB115" s="321"/>
      <c r="AC115" s="321"/>
      <c r="AD115" s="321"/>
      <c r="AE115" s="321"/>
      <c r="AF115" s="321"/>
      <c r="AG115" s="321"/>
      <c r="AH115" s="321"/>
      <c r="AI115" s="321"/>
      <c r="AJ115" s="321"/>
      <c r="AK115" s="321"/>
      <c r="AL115" s="300"/>
    </row>
    <row r="116" spans="1:38" s="234" customFormat="1" ht="10.199999999999999" hidden="1">
      <c r="A116" s="199"/>
      <c r="B116" s="646"/>
      <c r="C116" s="699"/>
      <c r="D116" s="653"/>
      <c r="E116" s="654"/>
      <c r="F116" s="655"/>
      <c r="G116" s="199"/>
      <c r="H116" s="201"/>
      <c r="I116" s="201"/>
      <c r="J116" s="201"/>
      <c r="K116" s="246"/>
      <c r="L116" s="224"/>
      <c r="M116" s="539"/>
      <c r="N116" s="217"/>
      <c r="O116" s="209">
        <f>IF($E$114="",0,((Nutzung!$G$29+Regelung-1)+(($G$115-Nutzung!$G$29)/4)-H12)*I12*$D$114*$E$114*24/($N$11*1000))</f>
        <v>0</v>
      </c>
      <c r="P116" s="201"/>
      <c r="Q116" s="201"/>
      <c r="R116" s="201"/>
      <c r="S116" s="199"/>
      <c r="Z116" s="321"/>
      <c r="AA116" s="318"/>
      <c r="AB116" s="321"/>
      <c r="AC116" s="321"/>
      <c r="AD116" s="321"/>
      <c r="AE116" s="321"/>
      <c r="AF116" s="321"/>
      <c r="AG116" s="321"/>
      <c r="AH116" s="321"/>
      <c r="AI116" s="321"/>
      <c r="AJ116" s="321"/>
      <c r="AK116" s="321"/>
      <c r="AL116" s="300"/>
    </row>
    <row r="117" spans="1:38" s="234" customFormat="1" ht="10.199999999999999" hidden="1">
      <c r="A117" s="199"/>
      <c r="B117" s="646"/>
      <c r="C117" s="699"/>
      <c r="D117" s="653"/>
      <c r="E117" s="654"/>
      <c r="F117" s="655"/>
      <c r="G117" s="199"/>
      <c r="H117" s="201"/>
      <c r="I117" s="201"/>
      <c r="J117" s="201"/>
      <c r="K117" s="246"/>
      <c r="L117" s="224"/>
      <c r="M117" s="539"/>
      <c r="N117" s="217"/>
      <c r="O117" s="209">
        <f>IF($E$114="",0,((Nutzung!$G$29+Regelung-1)+(($G$115-Nutzung!$G$29)/4)-H13)*I13*$D$114*$E$114*24/($N$11*1000))</f>
        <v>0</v>
      </c>
      <c r="P117" s="201"/>
      <c r="Q117" s="201"/>
      <c r="R117" s="201"/>
      <c r="S117" s="199"/>
      <c r="Z117" s="321"/>
      <c r="AA117" s="318"/>
      <c r="AB117" s="321"/>
      <c r="AC117" s="321"/>
      <c r="AD117" s="321"/>
      <c r="AE117" s="321"/>
      <c r="AF117" s="321"/>
      <c r="AG117" s="321"/>
      <c r="AH117" s="321"/>
      <c r="AI117" s="321"/>
      <c r="AJ117" s="321"/>
      <c r="AK117" s="321"/>
      <c r="AL117" s="300"/>
    </row>
    <row r="118" spans="1:38" s="234" customFormat="1" ht="10.199999999999999" hidden="1">
      <c r="A118" s="199"/>
      <c r="B118" s="646"/>
      <c r="C118" s="699"/>
      <c r="D118" s="653"/>
      <c r="E118" s="654"/>
      <c r="F118" s="655"/>
      <c r="G118" s="199"/>
      <c r="H118" s="201"/>
      <c r="I118" s="201"/>
      <c r="J118" s="201"/>
      <c r="K118" s="246"/>
      <c r="L118" s="224"/>
      <c r="M118" s="539"/>
      <c r="N118" s="217"/>
      <c r="O118" s="209">
        <f>IF($E$114="",0,((Nutzung!$G$29+Regelung-1)+(($G$115-Nutzung!$G$29)/4)-H14)*I14*$D$114*$E$114*24/($N$11*1000))</f>
        <v>0</v>
      </c>
      <c r="P118" s="201"/>
      <c r="Q118" s="201"/>
      <c r="R118" s="201"/>
      <c r="S118" s="199"/>
      <c r="Z118" s="321"/>
      <c r="AA118" s="318"/>
      <c r="AB118" s="321"/>
      <c r="AC118" s="321"/>
      <c r="AD118" s="321"/>
      <c r="AE118" s="321"/>
      <c r="AF118" s="321"/>
      <c r="AG118" s="321"/>
      <c r="AH118" s="321"/>
      <c r="AI118" s="321"/>
      <c r="AJ118" s="321"/>
      <c r="AK118" s="321"/>
      <c r="AL118" s="300"/>
    </row>
    <row r="119" spans="1:38" s="234" customFormat="1" ht="10.199999999999999" hidden="1">
      <c r="A119" s="199"/>
      <c r="B119" s="646"/>
      <c r="C119" s="699"/>
      <c r="D119" s="653"/>
      <c r="E119" s="654"/>
      <c r="F119" s="655"/>
      <c r="G119" s="199"/>
      <c r="H119" s="201"/>
      <c r="I119" s="201"/>
      <c r="J119" s="201"/>
      <c r="K119" s="246"/>
      <c r="L119" s="224"/>
      <c r="M119" s="539"/>
      <c r="N119" s="217"/>
      <c r="O119" s="209">
        <f>IF($E$114="",0,((Nutzung!$G$29+Regelung-1)+(($G$115-Nutzung!$G$29)/4)-H15)*I15*$D$114*$E$114*24/($N$11*1000))</f>
        <v>0</v>
      </c>
      <c r="P119" s="201"/>
      <c r="Q119" s="201"/>
      <c r="R119" s="201"/>
      <c r="S119" s="199"/>
      <c r="Z119" s="321"/>
      <c r="AA119" s="318"/>
      <c r="AB119" s="321"/>
      <c r="AC119" s="321"/>
      <c r="AD119" s="321"/>
      <c r="AE119" s="321"/>
      <c r="AF119" s="321"/>
      <c r="AG119" s="321"/>
      <c r="AH119" s="321"/>
      <c r="AI119" s="321"/>
      <c r="AJ119" s="321"/>
      <c r="AK119" s="321"/>
      <c r="AL119" s="300"/>
    </row>
    <row r="120" spans="1:38" s="234" customFormat="1" ht="10.199999999999999" hidden="1">
      <c r="A120" s="199"/>
      <c r="B120" s="646"/>
      <c r="C120" s="699"/>
      <c r="D120" s="653"/>
      <c r="E120" s="654"/>
      <c r="F120" s="655"/>
      <c r="G120" s="199"/>
      <c r="H120" s="201"/>
      <c r="I120" s="201"/>
      <c r="J120" s="201"/>
      <c r="K120" s="246"/>
      <c r="L120" s="224"/>
      <c r="M120" s="539"/>
      <c r="N120" s="217"/>
      <c r="O120" s="209">
        <f>IF($E$114="",0,((Nutzung!$G$29+Regelung-1)+(($G$115-Nutzung!$G$29)/4)-H16)*I16*$D$114*$E$114*24/($N$11*1000))</f>
        <v>0</v>
      </c>
      <c r="P120" s="201"/>
      <c r="Q120" s="201"/>
      <c r="R120" s="201"/>
      <c r="S120" s="199"/>
      <c r="Z120" s="321"/>
      <c r="AA120" s="318"/>
      <c r="AB120" s="321"/>
      <c r="AC120" s="321"/>
      <c r="AD120" s="321"/>
      <c r="AE120" s="321"/>
      <c r="AF120" s="321"/>
      <c r="AG120" s="321"/>
      <c r="AH120" s="321"/>
      <c r="AI120" s="321"/>
      <c r="AJ120" s="321"/>
      <c r="AK120" s="321"/>
      <c r="AL120" s="300"/>
    </row>
    <row r="121" spans="1:38" s="234" customFormat="1" ht="10.199999999999999" hidden="1">
      <c r="A121" s="199"/>
      <c r="B121" s="646"/>
      <c r="C121" s="699"/>
      <c r="D121" s="653"/>
      <c r="E121" s="654"/>
      <c r="F121" s="655"/>
      <c r="G121" s="199"/>
      <c r="H121" s="201"/>
      <c r="I121" s="201"/>
      <c r="J121" s="201"/>
      <c r="K121" s="246"/>
      <c r="L121" s="224"/>
      <c r="M121" s="539"/>
      <c r="N121" s="217"/>
      <c r="O121" s="209">
        <f>IF($E$114="",0,((Nutzung!$G$29+Regelung-1)+(($G$115-Nutzung!$G$29)/4)-H17)*I17*$D$114*$E$114*24/($N$11*1000))</f>
        <v>0</v>
      </c>
      <c r="P121" s="201"/>
      <c r="Q121" s="201"/>
      <c r="R121" s="201"/>
      <c r="S121" s="199"/>
      <c r="Z121" s="321"/>
      <c r="AA121" s="318"/>
      <c r="AB121" s="321"/>
      <c r="AC121" s="321"/>
      <c r="AD121" s="321"/>
      <c r="AE121" s="321"/>
      <c r="AF121" s="321"/>
      <c r="AG121" s="321"/>
      <c r="AH121" s="321"/>
      <c r="AI121" s="321"/>
      <c r="AJ121" s="321"/>
      <c r="AK121" s="321"/>
      <c r="AL121" s="300"/>
    </row>
    <row r="122" spans="1:38" s="234" customFormat="1" ht="10.199999999999999" hidden="1">
      <c r="A122" s="199"/>
      <c r="B122" s="646"/>
      <c r="C122" s="699"/>
      <c r="D122" s="653"/>
      <c r="E122" s="654"/>
      <c r="F122" s="655"/>
      <c r="G122" s="199"/>
      <c r="H122" s="201"/>
      <c r="I122" s="201"/>
      <c r="J122" s="201"/>
      <c r="K122" s="246"/>
      <c r="L122" s="224"/>
      <c r="M122" s="539"/>
      <c r="N122" s="217"/>
      <c r="O122" s="209">
        <f>IF($E$114="",0,((Nutzung!$G$29+Regelung-1)+(($G$115-Nutzung!$G$29)/4)-H18)*I18*$D$114*$E$114*24/($N$11*1000))</f>
        <v>0</v>
      </c>
      <c r="P122" s="201"/>
      <c r="Q122" s="201"/>
      <c r="R122" s="201"/>
      <c r="S122" s="199"/>
      <c r="Z122" s="321"/>
      <c r="AA122" s="318"/>
      <c r="AB122" s="321"/>
      <c r="AC122" s="321"/>
      <c r="AD122" s="321"/>
      <c r="AE122" s="321"/>
      <c r="AF122" s="321"/>
      <c r="AG122" s="321"/>
      <c r="AH122" s="321"/>
      <c r="AI122" s="321"/>
      <c r="AJ122" s="321"/>
      <c r="AK122" s="321"/>
      <c r="AL122" s="300"/>
    </row>
    <row r="123" spans="1:38" s="234" customFormat="1" ht="10.199999999999999" hidden="1">
      <c r="A123" s="199"/>
      <c r="B123" s="646"/>
      <c r="C123" s="699"/>
      <c r="D123" s="653"/>
      <c r="E123" s="654"/>
      <c r="F123" s="655"/>
      <c r="G123" s="199"/>
      <c r="H123" s="201"/>
      <c r="I123" s="201"/>
      <c r="J123" s="201"/>
      <c r="K123" s="246"/>
      <c r="L123" s="224"/>
      <c r="M123" s="539"/>
      <c r="N123" s="217"/>
      <c r="O123" s="209">
        <f>IF($E$114="",0,((Nutzung!$G$29+Regelung-1)+(($G$115-Nutzung!$G$29)/4)-H19)*I19*$D$114*$E$114*24/($N$11*1000))</f>
        <v>0</v>
      </c>
      <c r="P123" s="201"/>
      <c r="Q123" s="201"/>
      <c r="R123" s="201"/>
      <c r="S123" s="199"/>
      <c r="Z123" s="321"/>
      <c r="AA123" s="318"/>
      <c r="AB123" s="321"/>
      <c r="AC123" s="321"/>
      <c r="AD123" s="321"/>
      <c r="AE123" s="321"/>
      <c r="AF123" s="321"/>
      <c r="AG123" s="321"/>
      <c r="AH123" s="321"/>
      <c r="AI123" s="321"/>
      <c r="AJ123" s="321"/>
      <c r="AK123" s="321"/>
      <c r="AL123" s="300"/>
    </row>
    <row r="124" spans="1:38" s="234" customFormat="1" ht="10.199999999999999" hidden="1">
      <c r="A124" s="199"/>
      <c r="B124" s="646"/>
      <c r="C124" s="699"/>
      <c r="D124" s="653"/>
      <c r="E124" s="654"/>
      <c r="F124" s="655"/>
      <c r="G124" s="199"/>
      <c r="H124" s="201"/>
      <c r="I124" s="201"/>
      <c r="J124" s="201"/>
      <c r="K124" s="246"/>
      <c r="L124" s="224"/>
      <c r="M124" s="539"/>
      <c r="N124" s="217"/>
      <c r="O124" s="209">
        <f>IF($E$114="",0,((Nutzung!$G$29+Regelung-1)+(($G$115-Nutzung!$G$29)/4)-H20)*I20*$D$114*$E$114*24/($N$11*1000))</f>
        <v>0</v>
      </c>
      <c r="P124" s="201"/>
      <c r="Q124" s="201"/>
      <c r="R124" s="201"/>
      <c r="S124" s="199"/>
      <c r="Z124" s="321"/>
      <c r="AA124" s="318"/>
      <c r="AB124" s="321"/>
      <c r="AC124" s="321"/>
      <c r="AD124" s="321"/>
      <c r="AE124" s="321"/>
      <c r="AF124" s="321"/>
      <c r="AG124" s="321"/>
      <c r="AH124" s="321"/>
      <c r="AI124" s="321"/>
      <c r="AJ124" s="321"/>
      <c r="AK124" s="321"/>
      <c r="AL124" s="300"/>
    </row>
    <row r="125" spans="1:38" s="234" customFormat="1" ht="10.199999999999999" hidden="1">
      <c r="A125" s="199"/>
      <c r="B125" s="646"/>
      <c r="C125" s="699"/>
      <c r="D125" s="653"/>
      <c r="E125" s="654"/>
      <c r="F125" s="655"/>
      <c r="G125" s="199"/>
      <c r="H125" s="201"/>
      <c r="I125" s="201"/>
      <c r="J125" s="201"/>
      <c r="K125" s="246"/>
      <c r="L125" s="224"/>
      <c r="M125" s="539"/>
      <c r="N125" s="217"/>
      <c r="O125" s="209">
        <f>IF($E$114="",0,((Nutzung!$G$29+Regelung-1)+(($G$115-Nutzung!$G$29)/4)-H21)*I21*$D$114*$E$114*24/($N$11*1000))</f>
        <v>0</v>
      </c>
      <c r="P125" s="201"/>
      <c r="Q125" s="201"/>
      <c r="R125" s="201"/>
      <c r="S125" s="199"/>
      <c r="Z125" s="321"/>
      <c r="AA125" s="318"/>
      <c r="AB125" s="321"/>
      <c r="AC125" s="321"/>
      <c r="AD125" s="321"/>
      <c r="AE125" s="321"/>
      <c r="AF125" s="321"/>
      <c r="AG125" s="321"/>
      <c r="AH125" s="321"/>
      <c r="AI125" s="321"/>
      <c r="AJ125" s="321"/>
      <c r="AK125" s="321"/>
      <c r="AL125" s="300"/>
    </row>
    <row r="126" spans="1:38" s="234" customFormat="1" ht="10.199999999999999" hidden="1">
      <c r="A126" s="199"/>
      <c r="B126" s="646"/>
      <c r="C126" s="699"/>
      <c r="D126" s="653"/>
      <c r="E126" s="654"/>
      <c r="F126" s="655"/>
      <c r="G126" s="199"/>
      <c r="H126" s="201"/>
      <c r="I126" s="201"/>
      <c r="J126" s="201"/>
      <c r="K126" s="246"/>
      <c r="L126" s="224"/>
      <c r="M126" s="539"/>
      <c r="N126" s="217"/>
      <c r="O126" s="209">
        <f>IF($E$114="",0,((Nutzung!$G$29+Regelung-1)+(($G$115-Nutzung!$G$29)/4)-H22)*I22*$D$114*$E$114*24/($N$11*1000))</f>
        <v>0</v>
      </c>
      <c r="P126" s="201"/>
      <c r="Q126" s="201"/>
      <c r="R126" s="201"/>
      <c r="S126" s="199"/>
      <c r="Z126" s="321"/>
      <c r="AA126" s="318"/>
      <c r="AB126" s="321"/>
      <c r="AC126" s="321"/>
      <c r="AD126" s="321"/>
      <c r="AE126" s="321"/>
      <c r="AF126" s="321"/>
      <c r="AG126" s="321"/>
      <c r="AH126" s="321"/>
      <c r="AI126" s="321"/>
      <c r="AJ126" s="321"/>
      <c r="AK126" s="321"/>
      <c r="AL126" s="300"/>
    </row>
    <row r="127" spans="1:38" ht="10.95" customHeight="1">
      <c r="A127" s="192"/>
      <c r="B127" s="651"/>
      <c r="C127" s="678"/>
      <c r="D127" s="714"/>
      <c r="E127" s="679"/>
      <c r="F127" s="715"/>
      <c r="G127" s="192"/>
      <c r="H127" s="198"/>
      <c r="I127" s="198"/>
      <c r="J127" s="198"/>
      <c r="K127" s="241"/>
      <c r="L127" s="535" t="str">
        <f>IF(E127="","",Nutzung!$G$29)</f>
        <v/>
      </c>
      <c r="M127" s="540" t="str">
        <f>IF(D127="","",AB127)</f>
        <v/>
      </c>
      <c r="N127" s="214">
        <f>IF(E127=0,0,SUM(O128:O139))</f>
        <v>0</v>
      </c>
      <c r="O127" s="215" t="str">
        <f>IF(N127/$O$1370=0,"",N127/$O$1370)</f>
        <v/>
      </c>
      <c r="P127" s="198"/>
      <c r="Q127" s="198"/>
      <c r="R127" s="198"/>
      <c r="S127" s="192"/>
      <c r="T127" s="182">
        <f>D127*E127</f>
        <v>0</v>
      </c>
      <c r="U127" s="182">
        <f>SUM(T9:T127)</f>
        <v>0</v>
      </c>
      <c r="AA127" s="318">
        <f>IF(D127="",0,1)</f>
        <v>0</v>
      </c>
      <c r="AB127" s="318">
        <f>AB114+AA127</f>
        <v>0</v>
      </c>
    </row>
    <row r="128" spans="1:38" s="236" customFormat="1" ht="10.199999999999999" hidden="1">
      <c r="A128" s="204"/>
      <c r="B128" s="648"/>
      <c r="C128" s="712"/>
      <c r="D128" s="657"/>
      <c r="E128" s="713"/>
      <c r="F128" s="713"/>
      <c r="G128" s="704" t="str">
        <f>IF($L$127&lt;Nutzung!$G$29,Nutzung!$G$29,$L$127)</f>
        <v/>
      </c>
      <c r="H128" s="204"/>
      <c r="I128" s="204"/>
      <c r="J128" s="204"/>
      <c r="K128" s="711">
        <f>IF($L$127="",Nutzung!$G$29,Bauteile!$L$127)</f>
        <v>0</v>
      </c>
      <c r="L128" s="685"/>
      <c r="M128" s="693"/>
      <c r="N128" s="205"/>
      <c r="O128" s="206">
        <f>IF($E$127="",0,((Nutzung!$G$29+Regelung-1)+(($G$128-Nutzung!$G$29)/4)-H11)*I11*$D$127*$E$127*24/($N$11*1000))</f>
        <v>0</v>
      </c>
      <c r="P128" s="204"/>
      <c r="Q128" s="204"/>
      <c r="R128" s="204"/>
      <c r="S128" s="204"/>
      <c r="Z128" s="322"/>
      <c r="AA128" s="318"/>
      <c r="AB128" s="322"/>
      <c r="AC128" s="322"/>
      <c r="AD128" s="322"/>
      <c r="AE128" s="322"/>
      <c r="AF128" s="322"/>
      <c r="AG128" s="322"/>
      <c r="AH128" s="322"/>
      <c r="AI128" s="322"/>
      <c r="AJ128" s="322"/>
      <c r="AK128" s="322"/>
      <c r="AL128" s="301"/>
    </row>
    <row r="129" spans="1:38" s="236" customFormat="1" ht="10.199999999999999" hidden="1">
      <c r="A129" s="204"/>
      <c r="B129" s="646"/>
      <c r="C129" s="698"/>
      <c r="D129" s="653"/>
      <c r="E129" s="702"/>
      <c r="F129" s="702"/>
      <c r="G129" s="202"/>
      <c r="H129" s="204"/>
      <c r="I129" s="204"/>
      <c r="J129" s="204"/>
      <c r="K129" s="204"/>
      <c r="L129" s="685"/>
      <c r="M129" s="693"/>
      <c r="N129" s="205"/>
      <c r="O129" s="206">
        <f>IF($E$127="",0,((Nutzung!$G$29+Regelung-1)+(($G$128-Nutzung!$G$29)/4)-H12)*I12*$D$127*$E$127*24/($N$11*1000))</f>
        <v>0</v>
      </c>
      <c r="P129" s="204"/>
      <c r="Q129" s="204"/>
      <c r="R129" s="204"/>
      <c r="S129" s="204"/>
      <c r="Z129" s="322"/>
      <c r="AA129" s="318"/>
      <c r="AB129" s="322"/>
      <c r="AC129" s="322"/>
      <c r="AD129" s="322"/>
      <c r="AE129" s="322"/>
      <c r="AF129" s="322"/>
      <c r="AG129" s="322"/>
      <c r="AH129" s="322"/>
      <c r="AI129" s="322"/>
      <c r="AJ129" s="322"/>
      <c r="AK129" s="322"/>
      <c r="AL129" s="301"/>
    </row>
    <row r="130" spans="1:38" s="236" customFormat="1" ht="10.199999999999999" hidden="1">
      <c r="A130" s="204"/>
      <c r="B130" s="646"/>
      <c r="C130" s="698"/>
      <c r="D130" s="653"/>
      <c r="E130" s="702"/>
      <c r="F130" s="702"/>
      <c r="G130" s="202"/>
      <c r="H130" s="204"/>
      <c r="I130" s="204"/>
      <c r="J130" s="204"/>
      <c r="K130" s="204"/>
      <c r="L130" s="685"/>
      <c r="M130" s="693"/>
      <c r="N130" s="205"/>
      <c r="O130" s="206">
        <f>IF($E$127="",0,((Nutzung!$G$29+Regelung-1)+(($G$128-Nutzung!$G$29)/4)-H13)*I13*$D$127*$E$127*24/($N$11*1000))</f>
        <v>0</v>
      </c>
      <c r="P130" s="204"/>
      <c r="Q130" s="204"/>
      <c r="R130" s="204"/>
      <c r="S130" s="204"/>
      <c r="Z130" s="322"/>
      <c r="AA130" s="318"/>
      <c r="AB130" s="322"/>
      <c r="AC130" s="322"/>
      <c r="AD130" s="322"/>
      <c r="AE130" s="322"/>
      <c r="AF130" s="322"/>
      <c r="AG130" s="322"/>
      <c r="AH130" s="322"/>
      <c r="AI130" s="322"/>
      <c r="AJ130" s="322"/>
      <c r="AK130" s="322"/>
      <c r="AL130" s="301"/>
    </row>
    <row r="131" spans="1:38" s="236" customFormat="1" ht="10.199999999999999" hidden="1">
      <c r="A131" s="204"/>
      <c r="B131" s="646"/>
      <c r="C131" s="698"/>
      <c r="D131" s="653"/>
      <c r="E131" s="702"/>
      <c r="F131" s="702"/>
      <c r="G131" s="202"/>
      <c r="H131" s="204"/>
      <c r="I131" s="204"/>
      <c r="J131" s="204"/>
      <c r="K131" s="204"/>
      <c r="L131" s="685"/>
      <c r="M131" s="693"/>
      <c r="N131" s="205"/>
      <c r="O131" s="206">
        <f>IF($E$127="",0,((Nutzung!$G$29+Regelung-1)+(($G$128-Nutzung!$G$29)/4)-H14)*I14*$D$127*$E$127*24/($N$11*1000))</f>
        <v>0</v>
      </c>
      <c r="P131" s="204"/>
      <c r="Q131" s="204"/>
      <c r="R131" s="204"/>
      <c r="S131" s="204"/>
      <c r="Z131" s="322"/>
      <c r="AA131" s="318"/>
      <c r="AB131" s="322"/>
      <c r="AC131" s="322"/>
      <c r="AD131" s="322"/>
      <c r="AE131" s="322"/>
      <c r="AF131" s="322"/>
      <c r="AG131" s="322"/>
      <c r="AH131" s="322"/>
      <c r="AI131" s="322"/>
      <c r="AJ131" s="322"/>
      <c r="AK131" s="322"/>
      <c r="AL131" s="301"/>
    </row>
    <row r="132" spans="1:38" s="236" customFormat="1" ht="10.199999999999999" hidden="1">
      <c r="A132" s="204"/>
      <c r="B132" s="646"/>
      <c r="C132" s="698"/>
      <c r="D132" s="653"/>
      <c r="E132" s="702"/>
      <c r="F132" s="702"/>
      <c r="G132" s="202"/>
      <c r="H132" s="204"/>
      <c r="I132" s="204"/>
      <c r="J132" s="204"/>
      <c r="K132" s="204"/>
      <c r="L132" s="685"/>
      <c r="M132" s="693"/>
      <c r="N132" s="205"/>
      <c r="O132" s="206">
        <f>IF($E$127="",0,((Nutzung!$G$29+Regelung-1)+(($G$128-Nutzung!$G$29)/4)-H15)*I15*$D$127*$E$127*24/($N$11*1000))</f>
        <v>0</v>
      </c>
      <c r="P132" s="204"/>
      <c r="Q132" s="204"/>
      <c r="R132" s="204"/>
      <c r="S132" s="204"/>
      <c r="Z132" s="322"/>
      <c r="AA132" s="318"/>
      <c r="AB132" s="322"/>
      <c r="AC132" s="322"/>
      <c r="AD132" s="322"/>
      <c r="AE132" s="322"/>
      <c r="AF132" s="322"/>
      <c r="AG132" s="322"/>
      <c r="AH132" s="322"/>
      <c r="AI132" s="322"/>
      <c r="AJ132" s="322"/>
      <c r="AK132" s="322"/>
      <c r="AL132" s="301"/>
    </row>
    <row r="133" spans="1:38" s="236" customFormat="1" ht="10.199999999999999" hidden="1">
      <c r="A133" s="204"/>
      <c r="B133" s="646"/>
      <c r="C133" s="698"/>
      <c r="D133" s="653"/>
      <c r="E133" s="702"/>
      <c r="F133" s="702"/>
      <c r="G133" s="202"/>
      <c r="H133" s="204"/>
      <c r="I133" s="204"/>
      <c r="J133" s="204"/>
      <c r="K133" s="204"/>
      <c r="L133" s="685"/>
      <c r="M133" s="693"/>
      <c r="N133" s="205"/>
      <c r="O133" s="206">
        <f>IF($E$127="",0,((Nutzung!$G$29+Regelung-1)+(($G$128-Nutzung!$G$29)/4)-H16)*I16*$D$127*$E$127*24/($N$11*1000))</f>
        <v>0</v>
      </c>
      <c r="P133" s="204"/>
      <c r="Q133" s="204"/>
      <c r="R133" s="204"/>
      <c r="S133" s="204"/>
      <c r="Z133" s="322"/>
      <c r="AA133" s="318"/>
      <c r="AB133" s="322"/>
      <c r="AC133" s="322"/>
      <c r="AD133" s="322"/>
      <c r="AE133" s="322"/>
      <c r="AF133" s="322"/>
      <c r="AG133" s="322"/>
      <c r="AH133" s="322"/>
      <c r="AI133" s="322"/>
      <c r="AJ133" s="322"/>
      <c r="AK133" s="322"/>
      <c r="AL133" s="301"/>
    </row>
    <row r="134" spans="1:38" s="236" customFormat="1" ht="10.199999999999999" hidden="1">
      <c r="A134" s="204"/>
      <c r="B134" s="646"/>
      <c r="C134" s="698"/>
      <c r="D134" s="653"/>
      <c r="E134" s="705"/>
      <c r="F134" s="702"/>
      <c r="G134" s="202"/>
      <c r="H134" s="204"/>
      <c r="I134" s="204"/>
      <c r="J134" s="204"/>
      <c r="K134" s="204"/>
      <c r="L134" s="685"/>
      <c r="M134" s="693"/>
      <c r="N134" s="205"/>
      <c r="O134" s="206">
        <f>IF($E$127="",0,((Nutzung!$G$29+Regelung-1)+(($G$128-Nutzung!$G$29)/4)-H17)*I17*$D$127*$E$127*24/($N$11*1000))</f>
        <v>0</v>
      </c>
      <c r="P134" s="204"/>
      <c r="Q134" s="204"/>
      <c r="R134" s="204"/>
      <c r="S134" s="204"/>
      <c r="Z134" s="322"/>
      <c r="AA134" s="318"/>
      <c r="AB134" s="322"/>
      <c r="AC134" s="322"/>
      <c r="AD134" s="322"/>
      <c r="AE134" s="322"/>
      <c r="AF134" s="322"/>
      <c r="AG134" s="322"/>
      <c r="AH134" s="322"/>
      <c r="AI134" s="322"/>
      <c r="AJ134" s="322"/>
      <c r="AK134" s="322"/>
      <c r="AL134" s="301"/>
    </row>
    <row r="135" spans="1:38" s="236" customFormat="1" ht="10.199999999999999" hidden="1">
      <c r="A135" s="204"/>
      <c r="B135" s="646"/>
      <c r="C135" s="698"/>
      <c r="D135" s="653"/>
      <c r="E135" s="703"/>
      <c r="F135" s="702"/>
      <c r="G135" s="202"/>
      <c r="H135" s="204"/>
      <c r="I135" s="204"/>
      <c r="J135" s="204"/>
      <c r="K135" s="204"/>
      <c r="L135" s="685"/>
      <c r="M135" s="693"/>
      <c r="N135" s="205"/>
      <c r="O135" s="206">
        <f>IF($E$127="",0,((Nutzung!$G$29+Regelung-1)+(($G$128-Nutzung!$G$29)/4)-H18)*I18*$D$127*$E$127*24/($N$11*1000))</f>
        <v>0</v>
      </c>
      <c r="P135" s="204"/>
      <c r="Q135" s="204"/>
      <c r="R135" s="204"/>
      <c r="S135" s="204"/>
      <c r="Z135" s="322"/>
      <c r="AA135" s="318"/>
      <c r="AB135" s="322"/>
      <c r="AC135" s="322"/>
      <c r="AD135" s="322"/>
      <c r="AE135" s="322"/>
      <c r="AF135" s="322"/>
      <c r="AG135" s="322"/>
      <c r="AH135" s="322"/>
      <c r="AI135" s="322"/>
      <c r="AJ135" s="322"/>
      <c r="AK135" s="322"/>
      <c r="AL135" s="301"/>
    </row>
    <row r="136" spans="1:38" s="236" customFormat="1" ht="10.199999999999999" hidden="1">
      <c r="A136" s="204"/>
      <c r="B136" s="646"/>
      <c r="C136" s="698"/>
      <c r="D136" s="653"/>
      <c r="E136" s="703"/>
      <c r="F136" s="702"/>
      <c r="G136" s="202"/>
      <c r="H136" s="204"/>
      <c r="I136" s="204"/>
      <c r="J136" s="204"/>
      <c r="K136" s="204"/>
      <c r="L136" s="685"/>
      <c r="M136" s="693"/>
      <c r="N136" s="205"/>
      <c r="O136" s="206">
        <f>IF($E$127="",0,((Nutzung!$G$29+Regelung-1)+(($G$128-Nutzung!$G$29)/4)-H19)*I19*$D$127*$E$127*24/($N$11*1000))</f>
        <v>0</v>
      </c>
      <c r="P136" s="204"/>
      <c r="Q136" s="204"/>
      <c r="R136" s="204"/>
      <c r="S136" s="204"/>
      <c r="Z136" s="322"/>
      <c r="AA136" s="318"/>
      <c r="AB136" s="322"/>
      <c r="AC136" s="322"/>
      <c r="AD136" s="322"/>
      <c r="AE136" s="322"/>
      <c r="AF136" s="322"/>
      <c r="AG136" s="322"/>
      <c r="AH136" s="322"/>
      <c r="AI136" s="322"/>
      <c r="AJ136" s="322"/>
      <c r="AK136" s="322"/>
      <c r="AL136" s="301"/>
    </row>
    <row r="137" spans="1:38" s="236" customFormat="1" ht="10.199999999999999" hidden="1">
      <c r="A137" s="204"/>
      <c r="B137" s="646"/>
      <c r="C137" s="698"/>
      <c r="D137" s="653"/>
      <c r="E137" s="703"/>
      <c r="F137" s="702"/>
      <c r="G137" s="202"/>
      <c r="H137" s="204"/>
      <c r="I137" s="204"/>
      <c r="J137" s="204"/>
      <c r="K137" s="204"/>
      <c r="L137" s="685"/>
      <c r="M137" s="693"/>
      <c r="N137" s="205"/>
      <c r="O137" s="206">
        <f>IF($E$127="",0,((Nutzung!$G$29+Regelung-1)+(($G$128-Nutzung!$G$29)/4)-H20)*I20*$D$127*$E$127*24/($N$11*1000))</f>
        <v>0</v>
      </c>
      <c r="P137" s="204"/>
      <c r="Q137" s="204"/>
      <c r="R137" s="204"/>
      <c r="S137" s="204"/>
      <c r="Z137" s="322"/>
      <c r="AA137" s="318"/>
      <c r="AB137" s="322"/>
      <c r="AC137" s="322"/>
      <c r="AD137" s="322"/>
      <c r="AE137" s="322"/>
      <c r="AF137" s="322"/>
      <c r="AG137" s="322"/>
      <c r="AH137" s="322"/>
      <c r="AI137" s="322"/>
      <c r="AJ137" s="322"/>
      <c r="AK137" s="322"/>
      <c r="AL137" s="301"/>
    </row>
    <row r="138" spans="1:38" s="236" customFormat="1" ht="10.199999999999999" hidden="1">
      <c r="A138" s="204"/>
      <c r="B138" s="646"/>
      <c r="C138" s="698"/>
      <c r="D138" s="653"/>
      <c r="E138" s="703"/>
      <c r="F138" s="702"/>
      <c r="G138" s="202"/>
      <c r="H138" s="204"/>
      <c r="I138" s="204"/>
      <c r="J138" s="204"/>
      <c r="K138" s="204"/>
      <c r="L138" s="685"/>
      <c r="M138" s="693"/>
      <c r="N138" s="205"/>
      <c r="O138" s="206">
        <f>IF($E$127="",0,((Nutzung!$G$29+Regelung-1)+(($G$128-Nutzung!$G$29)/4)-H21)*I21*$D$127*$E$127*24/($N$11*1000))</f>
        <v>0</v>
      </c>
      <c r="P138" s="204"/>
      <c r="Q138" s="204"/>
      <c r="R138" s="204"/>
      <c r="S138" s="204"/>
      <c r="Z138" s="322"/>
      <c r="AA138" s="318"/>
      <c r="AB138" s="322"/>
      <c r="AC138" s="322"/>
      <c r="AD138" s="322"/>
      <c r="AE138" s="322"/>
      <c r="AF138" s="322"/>
      <c r="AG138" s="322"/>
      <c r="AH138" s="322"/>
      <c r="AI138" s="322"/>
      <c r="AJ138" s="322"/>
      <c r="AK138" s="322"/>
      <c r="AL138" s="301"/>
    </row>
    <row r="139" spans="1:38" s="236" customFormat="1" ht="10.199999999999999" hidden="1">
      <c r="A139" s="204"/>
      <c r="B139" s="706"/>
      <c r="C139" s="698"/>
      <c r="D139" s="682"/>
      <c r="E139" s="702"/>
      <c r="F139" s="702"/>
      <c r="G139" s="202"/>
      <c r="H139" s="204"/>
      <c r="I139" s="204"/>
      <c r="J139" s="204"/>
      <c r="K139" s="204"/>
      <c r="L139" s="685"/>
      <c r="M139" s="693"/>
      <c r="N139" s="205"/>
      <c r="O139" s="206">
        <f>IF($E$127="",0,((Nutzung!$G$29+Regelung-1)+(($G$128-Nutzung!$G$29)/4)-H22)*I22*$D$127*$E$127*24/($N$11*1000))</f>
        <v>0</v>
      </c>
      <c r="P139" s="204"/>
      <c r="Q139" s="204"/>
      <c r="R139" s="204"/>
      <c r="S139" s="204"/>
      <c r="Z139" s="322"/>
      <c r="AA139" s="318"/>
      <c r="AB139" s="322"/>
      <c r="AC139" s="322"/>
      <c r="AD139" s="322"/>
      <c r="AE139" s="322"/>
      <c r="AF139" s="322"/>
      <c r="AG139" s="322"/>
      <c r="AH139" s="322"/>
      <c r="AI139" s="322"/>
      <c r="AJ139" s="322"/>
      <c r="AK139" s="322"/>
      <c r="AL139" s="301"/>
    </row>
    <row r="140" spans="1:38">
      <c r="A140" s="192"/>
      <c r="B140" s="196"/>
      <c r="C140" s="197"/>
      <c r="D140" s="197"/>
      <c r="E140" s="197"/>
      <c r="F140" s="197"/>
      <c r="G140" s="197"/>
      <c r="H140" s="207"/>
      <c r="I140" s="208"/>
      <c r="J140" s="192"/>
      <c r="K140" s="192"/>
      <c r="L140" s="192"/>
      <c r="M140" s="192"/>
      <c r="N140" s="192"/>
      <c r="O140" s="192"/>
      <c r="P140" s="192"/>
      <c r="Q140" s="192"/>
      <c r="R140" s="192"/>
      <c r="S140" s="192"/>
    </row>
    <row r="141" spans="1:38" s="231" customFormat="1" ht="12" customHeight="1">
      <c r="A141" s="195"/>
      <c r="B141" s="905" t="s">
        <v>298</v>
      </c>
      <c r="C141" s="904" t="s">
        <v>47</v>
      </c>
      <c r="D141" s="904" t="s">
        <v>119</v>
      </c>
      <c r="E141" s="904" t="s">
        <v>464</v>
      </c>
      <c r="F141" s="904" t="s">
        <v>521</v>
      </c>
      <c r="G141" s="904"/>
      <c r="H141" s="904"/>
      <c r="I141" s="904"/>
      <c r="J141" s="904"/>
      <c r="K141" s="906"/>
      <c r="L141" s="904" t="s">
        <v>442</v>
      </c>
      <c r="M141" s="904" t="s">
        <v>349</v>
      </c>
      <c r="N141" s="904" t="s">
        <v>166</v>
      </c>
      <c r="O141" s="904" t="s">
        <v>520</v>
      </c>
      <c r="P141" s="194"/>
      <c r="Q141" s="194"/>
      <c r="R141" s="195"/>
      <c r="S141" s="195"/>
      <c r="Z141" s="320"/>
      <c r="AA141" s="318"/>
      <c r="AB141" s="320"/>
      <c r="AC141" s="320"/>
      <c r="AD141" s="320"/>
      <c r="AE141" s="320"/>
      <c r="AF141" s="320"/>
      <c r="AG141" s="320"/>
      <c r="AH141" s="320"/>
      <c r="AI141" s="320"/>
      <c r="AJ141" s="320"/>
      <c r="AK141" s="320"/>
      <c r="AL141" s="299"/>
    </row>
    <row r="142" spans="1:38" s="231" customFormat="1" ht="12" customHeight="1">
      <c r="A142" s="195"/>
      <c r="B142" s="905"/>
      <c r="C142" s="904" t="s">
        <v>206</v>
      </c>
      <c r="D142" s="904" t="s">
        <v>552</v>
      </c>
      <c r="E142" s="904" t="s">
        <v>181</v>
      </c>
      <c r="F142" s="904"/>
      <c r="G142" s="904"/>
      <c r="H142" s="904"/>
      <c r="I142" s="904"/>
      <c r="J142" s="904"/>
      <c r="K142" s="906"/>
      <c r="L142" s="904" t="s">
        <v>228</v>
      </c>
      <c r="M142" s="904"/>
      <c r="N142" s="904" t="s">
        <v>621</v>
      </c>
      <c r="O142" s="904"/>
      <c r="P142" s="194"/>
      <c r="Q142" s="194"/>
      <c r="R142" s="195"/>
      <c r="S142" s="195"/>
      <c r="Z142" s="320"/>
      <c r="AA142" s="318"/>
      <c r="AB142" s="320"/>
      <c r="AC142" s="320"/>
      <c r="AD142" s="320"/>
      <c r="AE142" s="320"/>
      <c r="AF142" s="320"/>
      <c r="AG142" s="320"/>
      <c r="AH142" s="320"/>
      <c r="AI142" s="320"/>
      <c r="AJ142" s="320"/>
      <c r="AK142" s="320"/>
      <c r="AL142" s="299"/>
    </row>
    <row r="143" spans="1:38" s="231" customFormat="1" ht="4.95" customHeight="1">
      <c r="A143" s="195"/>
      <c r="B143" s="196"/>
      <c r="C143" s="197"/>
      <c r="D143" s="197"/>
      <c r="E143" s="197"/>
      <c r="F143" s="197"/>
      <c r="G143" s="197"/>
      <c r="H143" s="195"/>
      <c r="I143" s="197"/>
      <c r="J143" s="197"/>
      <c r="K143" s="195"/>
      <c r="L143" s="195"/>
      <c r="M143" s="195"/>
      <c r="N143" s="195"/>
      <c r="O143" s="195"/>
      <c r="P143" s="195"/>
      <c r="Q143" s="195"/>
      <c r="R143" s="195"/>
      <c r="S143" s="195"/>
      <c r="Z143" s="320"/>
      <c r="AA143" s="320"/>
      <c r="AB143" s="320"/>
      <c r="AC143" s="320"/>
      <c r="AD143" s="320"/>
      <c r="AE143" s="320"/>
      <c r="AF143" s="320"/>
      <c r="AG143" s="320"/>
      <c r="AH143" s="320"/>
      <c r="AI143" s="320"/>
      <c r="AJ143" s="320"/>
      <c r="AK143" s="320"/>
      <c r="AL143" s="299"/>
    </row>
    <row r="144" spans="1:38" ht="10.95" customHeight="1">
      <c r="A144" s="192"/>
      <c r="B144" s="646"/>
      <c r="C144" s="652"/>
      <c r="D144" s="653"/>
      <c r="E144" s="654"/>
      <c r="F144" s="655"/>
      <c r="G144" s="210"/>
      <c r="H144" s="198"/>
      <c r="I144" s="198"/>
      <c r="J144" s="198"/>
      <c r="K144" s="211"/>
      <c r="L144" s="219" t="str">
        <f>IF(E144="","",Nutzung!$G$29)</f>
        <v/>
      </c>
      <c r="M144" s="218" t="str">
        <f>IF(D144="","",AB144)</f>
        <v/>
      </c>
      <c r="N144" s="214">
        <f>IF(E144=0,0,SUM(O145:O156))</f>
        <v>0</v>
      </c>
      <c r="O144" s="215" t="str">
        <f>IF(N144/$O$1370=0,"",N144/$O$1370)</f>
        <v/>
      </c>
      <c r="P144" s="198"/>
      <c r="Q144" s="198"/>
      <c r="R144" s="198"/>
      <c r="S144" s="192"/>
      <c r="T144" s="182">
        <f>D144*E144</f>
        <v>0</v>
      </c>
      <c r="AA144" s="318">
        <f>IF(D144="",0,1)</f>
        <v>0</v>
      </c>
      <c r="AB144" s="318">
        <f>AB127+AA144</f>
        <v>0</v>
      </c>
    </row>
    <row r="145" spans="1:38" s="235" customFormat="1" ht="10.199999999999999" hidden="1">
      <c r="A145" s="202"/>
      <c r="B145" s="690" t="s">
        <v>49</v>
      </c>
      <c r="C145" s="724"/>
      <c r="D145" s="721"/>
      <c r="E145" s="724"/>
      <c r="F145" s="130"/>
      <c r="G145" s="694" t="str">
        <f>IF($L$144&lt;Nutzung!$G$29,Nutzung!$G$29,$L$144)</f>
        <v/>
      </c>
      <c r="H145" s="263">
        <f>Klima!$C136</f>
        <v>0</v>
      </c>
      <c r="I145" s="722">
        <v>31</v>
      </c>
      <c r="J145" s="239"/>
      <c r="K145" s="246">
        <f>IF(L144="",Nutzung!$G$29,Bauteile!L144)</f>
        <v>0</v>
      </c>
      <c r="L145" s="224"/>
      <c r="M145" s="541"/>
      <c r="N145" s="217">
        <f>EBF!$F$39</f>
        <v>1.0000000000000001E-31</v>
      </c>
      <c r="O145" s="209">
        <f>IF($E$144="",0,((Nutzung!$G$29+Regelung-1)+(($G$145-Nutzung!$G$29)/4)-H145)*I145*$D$144*$E$144*24/($N$145*1000))</f>
        <v>0</v>
      </c>
      <c r="P145" s="239"/>
      <c r="Q145" s="239"/>
      <c r="R145" s="239"/>
      <c r="S145" s="202"/>
      <c r="Z145" s="323"/>
      <c r="AA145" s="318"/>
      <c r="AB145" s="323"/>
      <c r="AC145" s="323"/>
      <c r="AD145" s="323"/>
      <c r="AE145" s="323"/>
      <c r="AF145" s="323"/>
      <c r="AG145" s="323"/>
      <c r="AH145" s="323"/>
      <c r="AI145" s="323"/>
      <c r="AJ145" s="323"/>
      <c r="AK145" s="323"/>
      <c r="AL145" s="302"/>
    </row>
    <row r="146" spans="1:38" s="235" customFormat="1" ht="10.199999999999999" hidden="1">
      <c r="A146" s="202"/>
      <c r="B146" s="690" t="s">
        <v>554</v>
      </c>
      <c r="C146" s="536"/>
      <c r="D146" s="721"/>
      <c r="E146" s="725"/>
      <c r="F146" s="130"/>
      <c r="G146" s="202"/>
      <c r="H146" s="263">
        <f>Klima!$C137</f>
        <v>0</v>
      </c>
      <c r="I146" s="722">
        <v>28</v>
      </c>
      <c r="J146" s="239"/>
      <c r="K146" s="246"/>
      <c r="L146" s="224"/>
      <c r="M146" s="541"/>
      <c r="N146" s="217"/>
      <c r="O146" s="209">
        <f>IF($E$144="",0,((Nutzung!$G$29+Regelung-1)+(($G$145-Nutzung!$G$29)/4)-H146)*I146*$D$144*$E$144*24/($N$145*1000))</f>
        <v>0</v>
      </c>
      <c r="P146" s="239"/>
      <c r="Q146" s="239"/>
      <c r="R146" s="239"/>
      <c r="S146" s="202"/>
      <c r="Z146" s="323"/>
      <c r="AA146" s="318"/>
      <c r="AB146" s="323"/>
      <c r="AC146" s="323"/>
      <c r="AD146" s="323"/>
      <c r="AE146" s="323"/>
      <c r="AF146" s="323"/>
      <c r="AG146" s="323"/>
      <c r="AH146" s="323"/>
      <c r="AI146" s="323"/>
      <c r="AJ146" s="323"/>
      <c r="AK146" s="323"/>
      <c r="AL146" s="302"/>
    </row>
    <row r="147" spans="1:38" s="235" customFormat="1" ht="10.199999999999999" hidden="1">
      <c r="A147" s="202"/>
      <c r="B147" s="690" t="s">
        <v>306</v>
      </c>
      <c r="C147" s="536"/>
      <c r="D147" s="721"/>
      <c r="E147" s="725"/>
      <c r="F147" s="130"/>
      <c r="G147" s="202"/>
      <c r="H147" s="263">
        <f>Klima!$C138</f>
        <v>0</v>
      </c>
      <c r="I147" s="722">
        <v>31</v>
      </c>
      <c r="J147" s="239"/>
      <c r="K147" s="246"/>
      <c r="L147" s="224"/>
      <c r="M147" s="541"/>
      <c r="N147" s="217"/>
      <c r="O147" s="209">
        <f>IF($E$144="",0,((Nutzung!$G$29+Regelung-1)+(($G$145-Nutzung!$G$29)/4)-H147)*I147*$D$144*$E$144*24/($N$145*1000))</f>
        <v>0</v>
      </c>
      <c r="P147" s="239"/>
      <c r="Q147" s="239"/>
      <c r="R147" s="239"/>
      <c r="S147" s="202"/>
      <c r="Z147" s="323"/>
      <c r="AA147" s="318"/>
      <c r="AB147" s="323"/>
      <c r="AC147" s="323"/>
      <c r="AD147" s="323"/>
      <c r="AE147" s="323"/>
      <c r="AF147" s="323"/>
      <c r="AG147" s="323"/>
      <c r="AH147" s="323"/>
      <c r="AI147" s="323"/>
      <c r="AJ147" s="323"/>
      <c r="AK147" s="323"/>
      <c r="AL147" s="302"/>
    </row>
    <row r="148" spans="1:38" s="235" customFormat="1" ht="10.199999999999999" hidden="1">
      <c r="A148" s="202"/>
      <c r="B148" s="690" t="s">
        <v>409</v>
      </c>
      <c r="C148" s="536"/>
      <c r="D148" s="721"/>
      <c r="E148" s="725"/>
      <c r="F148" s="130"/>
      <c r="G148" s="202"/>
      <c r="H148" s="263">
        <f>Klima!$C139</f>
        <v>0</v>
      </c>
      <c r="I148" s="722">
        <v>30</v>
      </c>
      <c r="J148" s="239"/>
      <c r="K148" s="246"/>
      <c r="L148" s="224"/>
      <c r="M148" s="541"/>
      <c r="N148" s="217"/>
      <c r="O148" s="209">
        <f>IF($E$144="",0,((Nutzung!$G$29+Regelung-1)+(($G$145-Nutzung!$G$29)/4)-H148)*I148*$D$144*$E$144*24/($N$145*1000))</f>
        <v>0</v>
      </c>
      <c r="P148" s="239"/>
      <c r="Q148" s="239"/>
      <c r="R148" s="239"/>
      <c r="S148" s="202"/>
      <c r="Z148" s="323"/>
      <c r="AA148" s="318"/>
      <c r="AB148" s="323"/>
      <c r="AC148" s="323"/>
      <c r="AD148" s="323"/>
      <c r="AE148" s="323"/>
      <c r="AF148" s="323"/>
      <c r="AG148" s="323"/>
      <c r="AH148" s="323"/>
      <c r="AI148" s="323"/>
      <c r="AJ148" s="323"/>
      <c r="AK148" s="323"/>
      <c r="AL148" s="302"/>
    </row>
    <row r="149" spans="1:38" s="235" customFormat="1" ht="10.199999999999999" hidden="1">
      <c r="A149" s="202"/>
      <c r="B149" s="690" t="s">
        <v>410</v>
      </c>
      <c r="C149" s="536"/>
      <c r="D149" s="721"/>
      <c r="E149" s="725"/>
      <c r="F149" s="130"/>
      <c r="G149" s="202"/>
      <c r="H149" s="263">
        <f>Klima!$C140</f>
        <v>0</v>
      </c>
      <c r="I149" s="722">
        <v>31</v>
      </c>
      <c r="J149" s="239"/>
      <c r="K149" s="246"/>
      <c r="L149" s="224"/>
      <c r="M149" s="541"/>
      <c r="N149" s="217"/>
      <c r="O149" s="209">
        <f>IF($E$144="",0,((Nutzung!$G$29+Regelung-1)+(($G$145-Nutzung!$G$29)/4)-H149)*I149*$D$144*$E$144*24/($N$145*1000))</f>
        <v>0</v>
      </c>
      <c r="P149" s="239"/>
      <c r="Q149" s="239"/>
      <c r="R149" s="239"/>
      <c r="S149" s="202"/>
      <c r="Z149" s="323"/>
      <c r="AA149" s="318"/>
      <c r="AB149" s="323"/>
      <c r="AC149" s="323"/>
      <c r="AD149" s="323"/>
      <c r="AE149" s="323"/>
      <c r="AF149" s="323"/>
      <c r="AG149" s="323"/>
      <c r="AH149" s="323"/>
      <c r="AI149" s="323"/>
      <c r="AJ149" s="323"/>
      <c r="AK149" s="323"/>
      <c r="AL149" s="302"/>
    </row>
    <row r="150" spans="1:38" s="235" customFormat="1" ht="10.199999999999999" hidden="1">
      <c r="A150" s="202"/>
      <c r="B150" s="690" t="s">
        <v>411</v>
      </c>
      <c r="C150" s="536"/>
      <c r="D150" s="721"/>
      <c r="E150" s="725"/>
      <c r="F150" s="130"/>
      <c r="G150" s="202"/>
      <c r="H150" s="263">
        <f>Klima!$C141</f>
        <v>0</v>
      </c>
      <c r="I150" s="722">
        <v>30</v>
      </c>
      <c r="J150" s="239"/>
      <c r="K150" s="246"/>
      <c r="L150" s="224"/>
      <c r="M150" s="541"/>
      <c r="N150" s="217"/>
      <c r="O150" s="209">
        <f>IF($E$144="",0,((Nutzung!$G$29+Regelung-1)+(($G$145-Nutzung!$G$29)/4)-H150)*I150*$D$144*$E$144*24/($N$145*1000))</f>
        <v>0</v>
      </c>
      <c r="P150" s="239"/>
      <c r="Q150" s="239"/>
      <c r="R150" s="239"/>
      <c r="S150" s="202"/>
      <c r="Z150" s="323"/>
      <c r="AA150" s="318"/>
      <c r="AB150" s="323"/>
      <c r="AC150" s="323"/>
      <c r="AD150" s="323"/>
      <c r="AE150" s="323"/>
      <c r="AF150" s="323"/>
      <c r="AG150" s="323"/>
      <c r="AH150" s="323"/>
      <c r="AI150" s="323"/>
      <c r="AJ150" s="323"/>
      <c r="AK150" s="323"/>
      <c r="AL150" s="302"/>
    </row>
    <row r="151" spans="1:38" s="235" customFormat="1" ht="10.199999999999999" hidden="1">
      <c r="A151" s="202"/>
      <c r="B151" s="690" t="s">
        <v>221</v>
      </c>
      <c r="C151" s="536"/>
      <c r="D151" s="721"/>
      <c r="E151" s="725"/>
      <c r="F151" s="130"/>
      <c r="G151" s="202"/>
      <c r="H151" s="263">
        <f>Klima!$C142</f>
        <v>0</v>
      </c>
      <c r="I151" s="722">
        <v>31</v>
      </c>
      <c r="J151" s="239"/>
      <c r="K151" s="246"/>
      <c r="L151" s="224"/>
      <c r="M151" s="541"/>
      <c r="N151" s="217"/>
      <c r="O151" s="209">
        <f>IF($E$144="",0,((Nutzung!$G$29+Regelung-1)+(($G$145-Nutzung!$G$29)/4)-H151)*I151*$D$144*$E$144*24/($N$145*1000))</f>
        <v>0</v>
      </c>
      <c r="P151" s="239"/>
      <c r="Q151" s="239"/>
      <c r="R151" s="239"/>
      <c r="S151" s="202"/>
      <c r="Z151" s="323"/>
      <c r="AA151" s="318"/>
      <c r="AB151" s="323"/>
      <c r="AC151" s="323"/>
      <c r="AD151" s="323"/>
      <c r="AE151" s="323"/>
      <c r="AF151" s="323"/>
      <c r="AG151" s="323"/>
      <c r="AH151" s="323"/>
      <c r="AI151" s="323"/>
      <c r="AJ151" s="323"/>
      <c r="AK151" s="323"/>
      <c r="AL151" s="302"/>
    </row>
    <row r="152" spans="1:38" s="235" customFormat="1" ht="10.199999999999999" hidden="1">
      <c r="A152" s="202"/>
      <c r="B152" s="690" t="s">
        <v>138</v>
      </c>
      <c r="C152" s="536"/>
      <c r="D152" s="721"/>
      <c r="E152" s="725"/>
      <c r="F152" s="130"/>
      <c r="G152" s="202"/>
      <c r="H152" s="263">
        <f>Klima!$C143</f>
        <v>0</v>
      </c>
      <c r="I152" s="722">
        <v>31</v>
      </c>
      <c r="J152" s="239"/>
      <c r="K152" s="246"/>
      <c r="L152" s="224"/>
      <c r="M152" s="541"/>
      <c r="N152" s="217"/>
      <c r="O152" s="209">
        <f>IF($E$144="",0,((Nutzung!$G$29+Regelung-1)+(($G$145-Nutzung!$G$29)/4)-H152)*I152*$D$144*$E$144*24/($N$145*1000))</f>
        <v>0</v>
      </c>
      <c r="P152" s="239"/>
      <c r="Q152" s="239"/>
      <c r="R152" s="239"/>
      <c r="S152" s="202"/>
      <c r="Z152" s="323"/>
      <c r="AA152" s="318"/>
      <c r="AB152" s="323"/>
      <c r="AC152" s="323"/>
      <c r="AD152" s="323"/>
      <c r="AE152" s="323"/>
      <c r="AF152" s="323"/>
      <c r="AG152" s="323"/>
      <c r="AH152" s="323"/>
      <c r="AI152" s="323"/>
      <c r="AJ152" s="323"/>
      <c r="AK152" s="323"/>
      <c r="AL152" s="302"/>
    </row>
    <row r="153" spans="1:38" s="235" customFormat="1" ht="10.199999999999999" hidden="1">
      <c r="A153" s="202"/>
      <c r="B153" s="690" t="s">
        <v>139</v>
      </c>
      <c r="C153" s="536"/>
      <c r="D153" s="721"/>
      <c r="E153" s="725"/>
      <c r="F153" s="130"/>
      <c r="G153" s="202"/>
      <c r="H153" s="263">
        <f>Klima!$C144</f>
        <v>0</v>
      </c>
      <c r="I153" s="722">
        <v>30</v>
      </c>
      <c r="J153" s="239"/>
      <c r="K153" s="246"/>
      <c r="L153" s="224"/>
      <c r="M153" s="541"/>
      <c r="N153" s="217"/>
      <c r="O153" s="209">
        <f>IF($E$144="",0,((Nutzung!$G$29+Regelung-1)+(($G$145-Nutzung!$G$29)/4)-H153)*I153*$D$144*$E$144*24/($N$145*1000))</f>
        <v>0</v>
      </c>
      <c r="P153" s="239"/>
      <c r="Q153" s="239"/>
      <c r="R153" s="239"/>
      <c r="S153" s="202"/>
      <c r="Z153" s="323"/>
      <c r="AA153" s="318"/>
      <c r="AB153" s="323"/>
      <c r="AC153" s="323"/>
      <c r="AD153" s="323"/>
      <c r="AE153" s="323"/>
      <c r="AF153" s="323"/>
      <c r="AG153" s="323"/>
      <c r="AH153" s="323"/>
      <c r="AI153" s="323"/>
      <c r="AJ153" s="323"/>
      <c r="AK153" s="323"/>
      <c r="AL153" s="302"/>
    </row>
    <row r="154" spans="1:38" s="235" customFormat="1" ht="10.199999999999999" hidden="1">
      <c r="A154" s="202"/>
      <c r="B154" s="690" t="s">
        <v>269</v>
      </c>
      <c r="C154" s="536"/>
      <c r="D154" s="721"/>
      <c r="E154" s="725"/>
      <c r="F154" s="130"/>
      <c r="G154" s="202"/>
      <c r="H154" s="263">
        <f>Klima!$C145</f>
        <v>0</v>
      </c>
      <c r="I154" s="722">
        <v>31</v>
      </c>
      <c r="J154" s="239"/>
      <c r="K154" s="246"/>
      <c r="L154" s="224"/>
      <c r="M154" s="541"/>
      <c r="N154" s="217"/>
      <c r="O154" s="209">
        <f>IF($E$144="",0,((Nutzung!$G$29+Regelung-1)+(($G$145-Nutzung!$G$29)/4)-H154)*I154*$D$144*$E$144*24/($N$145*1000))</f>
        <v>0</v>
      </c>
      <c r="P154" s="239"/>
      <c r="Q154" s="239"/>
      <c r="R154" s="239"/>
      <c r="S154" s="202"/>
      <c r="Z154" s="323"/>
      <c r="AA154" s="318"/>
      <c r="AB154" s="323"/>
      <c r="AC154" s="323"/>
      <c r="AD154" s="323"/>
      <c r="AE154" s="323"/>
      <c r="AF154" s="323"/>
      <c r="AG154" s="323"/>
      <c r="AH154" s="323"/>
      <c r="AI154" s="323"/>
      <c r="AJ154" s="323"/>
      <c r="AK154" s="323"/>
      <c r="AL154" s="302"/>
    </row>
    <row r="155" spans="1:38" s="235" customFormat="1" ht="10.199999999999999" hidden="1">
      <c r="A155" s="202"/>
      <c r="B155" s="690" t="s">
        <v>366</v>
      </c>
      <c r="C155" s="536"/>
      <c r="D155" s="721"/>
      <c r="E155" s="725"/>
      <c r="F155" s="130"/>
      <c r="G155" s="202"/>
      <c r="H155" s="263">
        <f>Klima!$C146</f>
        <v>0</v>
      </c>
      <c r="I155" s="722">
        <v>30</v>
      </c>
      <c r="J155" s="239"/>
      <c r="K155" s="246"/>
      <c r="L155" s="224"/>
      <c r="M155" s="541"/>
      <c r="N155" s="217"/>
      <c r="O155" s="209">
        <f>IF($E$144="",0,((Nutzung!$G$29+Regelung-1)+(($G$145-Nutzung!$G$29)/4)-H155)*I155*$D$144*$E$144*24/($N$145*1000))</f>
        <v>0</v>
      </c>
      <c r="P155" s="239"/>
      <c r="Q155" s="239"/>
      <c r="R155" s="239"/>
      <c r="S155" s="202"/>
      <c r="Z155" s="323"/>
      <c r="AA155" s="318"/>
      <c r="AB155" s="323"/>
      <c r="AC155" s="323"/>
      <c r="AD155" s="323"/>
      <c r="AE155" s="323"/>
      <c r="AF155" s="323"/>
      <c r="AG155" s="323"/>
      <c r="AH155" s="323"/>
      <c r="AI155" s="323"/>
      <c r="AJ155" s="323"/>
      <c r="AK155" s="323"/>
      <c r="AL155" s="302"/>
    </row>
    <row r="156" spans="1:38" s="235" customFormat="1" ht="10.199999999999999" hidden="1">
      <c r="A156" s="202"/>
      <c r="B156" s="690" t="s">
        <v>465</v>
      </c>
      <c r="C156" s="536"/>
      <c r="D156" s="721"/>
      <c r="E156" s="725"/>
      <c r="F156" s="130"/>
      <c r="G156" s="202"/>
      <c r="H156" s="263">
        <f>Klima!$C147</f>
        <v>0</v>
      </c>
      <c r="I156" s="722">
        <v>31</v>
      </c>
      <c r="J156" s="239"/>
      <c r="K156" s="246"/>
      <c r="L156" s="224"/>
      <c r="M156" s="541"/>
      <c r="N156" s="217"/>
      <c r="O156" s="209">
        <f>IF($E$144="",0,((Nutzung!$G$29+Regelung-1)+(($G$145-Nutzung!$G$29)/4)-H156)*I156*$D$144*$E$144*24/($N$145*1000))</f>
        <v>0</v>
      </c>
      <c r="P156" s="239"/>
      <c r="Q156" s="239"/>
      <c r="R156" s="239"/>
      <c r="S156" s="202"/>
      <c r="Z156" s="323"/>
      <c r="AA156" s="318"/>
      <c r="AB156" s="323"/>
      <c r="AC156" s="323"/>
      <c r="AD156" s="323"/>
      <c r="AE156" s="323"/>
      <c r="AF156" s="323"/>
      <c r="AG156" s="323"/>
      <c r="AH156" s="323"/>
      <c r="AI156" s="323"/>
      <c r="AJ156" s="323"/>
      <c r="AK156" s="323"/>
      <c r="AL156" s="302"/>
    </row>
    <row r="157" spans="1:38" ht="10.95" customHeight="1">
      <c r="A157" s="192"/>
      <c r="B157" s="648"/>
      <c r="C157" s="656"/>
      <c r="D157" s="657"/>
      <c r="E157" s="658"/>
      <c r="F157" s="659"/>
      <c r="G157" s="192"/>
      <c r="H157" s="198"/>
      <c r="I157" s="198"/>
      <c r="J157" s="198"/>
      <c r="K157" s="241"/>
      <c r="L157" s="220" t="str">
        <f>IF(E157="","",Nutzung!$G$29)</f>
        <v/>
      </c>
      <c r="M157" s="218" t="str">
        <f>IF(D157="","",AB157)</f>
        <v/>
      </c>
      <c r="N157" s="214">
        <f>IF(E157=0,0,SUM(O158:O169))</f>
        <v>0</v>
      </c>
      <c r="O157" s="215" t="str">
        <f>IF(N157/$O$1370=0,"",N157/$O$1370)</f>
        <v/>
      </c>
      <c r="P157" s="198"/>
      <c r="Q157" s="198"/>
      <c r="R157" s="198"/>
      <c r="S157" s="192"/>
      <c r="T157" s="182">
        <f>D157*E157</f>
        <v>0</v>
      </c>
      <c r="AA157" s="318">
        <f>IF(D157="",0,1)</f>
        <v>0</v>
      </c>
      <c r="AB157" s="318">
        <f>AB144+AA157</f>
        <v>0</v>
      </c>
    </row>
    <row r="158" spans="1:38" s="235" customFormat="1" ht="10.199999999999999" hidden="1">
      <c r="A158" s="202"/>
      <c r="B158" s="690" t="s">
        <v>49</v>
      </c>
      <c r="C158" s="724"/>
      <c r="D158" s="130"/>
      <c r="E158" s="538"/>
      <c r="F158" s="130"/>
      <c r="G158" s="694" t="str">
        <f>IF($L$157&lt;Nutzung!$G$29,Nutzung!$G$29,$L$157)</f>
        <v/>
      </c>
      <c r="H158" s="239"/>
      <c r="I158" s="239"/>
      <c r="J158" s="239"/>
      <c r="K158" s="246">
        <f>IF(L157="",Nutzung!$G$29,Bauteile!L157)</f>
        <v>0</v>
      </c>
      <c r="L158" s="224"/>
      <c r="M158" s="541"/>
      <c r="N158" s="217"/>
      <c r="O158" s="209">
        <f>IF($E$157="",0,((Nutzung!$G$29+Regelung-1)+(($G$158-Nutzung!$G$29)/4)-H145)*I145*$D$157*$E$157*24/($N$145*1000))</f>
        <v>0</v>
      </c>
      <c r="P158" s="239"/>
      <c r="Q158" s="239"/>
      <c r="R158" s="239"/>
      <c r="S158" s="202"/>
      <c r="Z158" s="323"/>
      <c r="AA158" s="318"/>
      <c r="AB158" s="323"/>
      <c r="AC158" s="323"/>
      <c r="AD158" s="323"/>
      <c r="AE158" s="323"/>
      <c r="AF158" s="323"/>
      <c r="AG158" s="323"/>
      <c r="AH158" s="323"/>
      <c r="AI158" s="323"/>
      <c r="AJ158" s="323"/>
      <c r="AK158" s="323"/>
      <c r="AL158" s="302"/>
    </row>
    <row r="159" spans="1:38" s="235" customFormat="1" ht="10.199999999999999" hidden="1">
      <c r="A159" s="202"/>
      <c r="B159" s="690" t="s">
        <v>554</v>
      </c>
      <c r="C159" s="536"/>
      <c r="D159" s="130"/>
      <c r="E159" s="538"/>
      <c r="F159" s="130"/>
      <c r="G159" s="202"/>
      <c r="H159" s="239"/>
      <c r="I159" s="239"/>
      <c r="J159" s="239"/>
      <c r="K159" s="246"/>
      <c r="L159" s="224"/>
      <c r="M159" s="541"/>
      <c r="N159" s="217"/>
      <c r="O159" s="209">
        <f>IF($E$157="",0,((Nutzung!$G$29+Regelung-1)+(($G$158-Nutzung!$G$29)/4)-H146)*I146*$D$157*$E$157*24/($N$145*1000))</f>
        <v>0</v>
      </c>
      <c r="P159" s="239"/>
      <c r="Q159" s="239"/>
      <c r="R159" s="239"/>
      <c r="S159" s="202"/>
      <c r="Z159" s="323"/>
      <c r="AA159" s="318"/>
      <c r="AB159" s="323"/>
      <c r="AC159" s="323"/>
      <c r="AD159" s="323"/>
      <c r="AE159" s="323"/>
      <c r="AF159" s="323"/>
      <c r="AG159" s="323"/>
      <c r="AH159" s="323"/>
      <c r="AI159" s="323"/>
      <c r="AJ159" s="323"/>
      <c r="AK159" s="323"/>
      <c r="AL159" s="302"/>
    </row>
    <row r="160" spans="1:38" s="235" customFormat="1" ht="10.199999999999999" hidden="1">
      <c r="A160" s="202"/>
      <c r="B160" s="690" t="s">
        <v>306</v>
      </c>
      <c r="C160" s="536"/>
      <c r="D160" s="130"/>
      <c r="E160" s="538"/>
      <c r="F160" s="130"/>
      <c r="G160" s="202"/>
      <c r="H160" s="239"/>
      <c r="I160" s="239"/>
      <c r="J160" s="239"/>
      <c r="K160" s="246"/>
      <c r="L160" s="224"/>
      <c r="M160" s="541"/>
      <c r="N160" s="217"/>
      <c r="O160" s="209">
        <f>IF($E$157="",0,((Nutzung!$G$29+Regelung-1)+(($G$158-Nutzung!$G$29)/4)-H147)*I147*$D$157*$E$157*24/($N$145*1000))</f>
        <v>0</v>
      </c>
      <c r="P160" s="239"/>
      <c r="Q160" s="239"/>
      <c r="R160" s="239"/>
      <c r="S160" s="202"/>
      <c r="Z160" s="323"/>
      <c r="AA160" s="318"/>
      <c r="AB160" s="323"/>
      <c r="AC160" s="323"/>
      <c r="AD160" s="323"/>
      <c r="AE160" s="323"/>
      <c r="AF160" s="323"/>
      <c r="AG160" s="323"/>
      <c r="AH160" s="323"/>
      <c r="AI160" s="323"/>
      <c r="AJ160" s="323"/>
      <c r="AK160" s="323"/>
      <c r="AL160" s="302"/>
    </row>
    <row r="161" spans="1:38" s="235" customFormat="1" ht="10.199999999999999" hidden="1">
      <c r="A161" s="202"/>
      <c r="B161" s="690" t="s">
        <v>409</v>
      </c>
      <c r="C161" s="536"/>
      <c r="D161" s="130"/>
      <c r="E161" s="538"/>
      <c r="F161" s="130"/>
      <c r="G161" s="202"/>
      <c r="H161" s="239"/>
      <c r="I161" s="239"/>
      <c r="J161" s="239"/>
      <c r="K161" s="246"/>
      <c r="L161" s="224"/>
      <c r="M161" s="541"/>
      <c r="N161" s="217"/>
      <c r="O161" s="209">
        <f>IF($E$157="",0,((Nutzung!$G$29+Regelung-1)+(($G$158-Nutzung!$G$29)/4)-H148)*I148*$D$157*$E$157*24/($N$145*1000))</f>
        <v>0</v>
      </c>
      <c r="P161" s="239"/>
      <c r="Q161" s="239"/>
      <c r="R161" s="239"/>
      <c r="S161" s="202"/>
      <c r="Z161" s="323"/>
      <c r="AA161" s="318"/>
      <c r="AB161" s="323"/>
      <c r="AC161" s="323"/>
      <c r="AD161" s="323"/>
      <c r="AE161" s="323"/>
      <c r="AF161" s="323"/>
      <c r="AG161" s="323"/>
      <c r="AH161" s="323"/>
      <c r="AI161" s="323"/>
      <c r="AJ161" s="323"/>
      <c r="AK161" s="323"/>
      <c r="AL161" s="302"/>
    </row>
    <row r="162" spans="1:38" s="235" customFormat="1" ht="10.199999999999999" hidden="1">
      <c r="A162" s="202"/>
      <c r="B162" s="690" t="s">
        <v>410</v>
      </c>
      <c r="C162" s="536"/>
      <c r="D162" s="130"/>
      <c r="E162" s="538"/>
      <c r="F162" s="130"/>
      <c r="G162" s="202"/>
      <c r="H162" s="239"/>
      <c r="I162" s="239"/>
      <c r="J162" s="239"/>
      <c r="K162" s="246"/>
      <c r="L162" s="224"/>
      <c r="M162" s="541"/>
      <c r="N162" s="217"/>
      <c r="O162" s="209">
        <f>IF($E$157="",0,((Nutzung!$G$29+Regelung-1)+(($G$158-Nutzung!$G$29)/4)-H149)*I149*$D$157*$E$157*24/($N$145*1000))</f>
        <v>0</v>
      </c>
      <c r="P162" s="239"/>
      <c r="Q162" s="239"/>
      <c r="R162" s="239"/>
      <c r="S162" s="202"/>
      <c r="Z162" s="323"/>
      <c r="AA162" s="318"/>
      <c r="AB162" s="323"/>
      <c r="AC162" s="323"/>
      <c r="AD162" s="323"/>
      <c r="AE162" s="323"/>
      <c r="AF162" s="323"/>
      <c r="AG162" s="323"/>
      <c r="AH162" s="323"/>
      <c r="AI162" s="323"/>
      <c r="AJ162" s="323"/>
      <c r="AK162" s="323"/>
      <c r="AL162" s="302"/>
    </row>
    <row r="163" spans="1:38" s="235" customFormat="1" ht="10.199999999999999" hidden="1">
      <c r="A163" s="202"/>
      <c r="B163" s="690" t="s">
        <v>411</v>
      </c>
      <c r="C163" s="536"/>
      <c r="D163" s="130"/>
      <c r="E163" s="538"/>
      <c r="F163" s="130"/>
      <c r="G163" s="202"/>
      <c r="H163" s="239"/>
      <c r="I163" s="239"/>
      <c r="J163" s="239"/>
      <c r="K163" s="246"/>
      <c r="L163" s="224"/>
      <c r="M163" s="541"/>
      <c r="N163" s="217"/>
      <c r="O163" s="209">
        <f>IF($E$157="",0,((Nutzung!$G$29+Regelung-1)+(($G$158-Nutzung!$G$29)/4)-H150)*I150*$D$157*$E$157*24/($N$145*1000))</f>
        <v>0</v>
      </c>
      <c r="P163" s="239"/>
      <c r="Q163" s="239"/>
      <c r="R163" s="239"/>
      <c r="S163" s="202"/>
      <c r="Z163" s="323"/>
      <c r="AA163" s="318"/>
      <c r="AB163" s="323"/>
      <c r="AC163" s="323"/>
      <c r="AD163" s="323"/>
      <c r="AE163" s="323"/>
      <c r="AF163" s="323"/>
      <c r="AG163" s="323"/>
      <c r="AH163" s="323"/>
      <c r="AI163" s="323"/>
      <c r="AJ163" s="323"/>
      <c r="AK163" s="323"/>
      <c r="AL163" s="302"/>
    </row>
    <row r="164" spans="1:38" s="235" customFormat="1" ht="10.199999999999999" hidden="1">
      <c r="A164" s="202"/>
      <c r="B164" s="690" t="s">
        <v>221</v>
      </c>
      <c r="C164" s="536"/>
      <c r="D164" s="130"/>
      <c r="E164" s="538"/>
      <c r="F164" s="130"/>
      <c r="G164" s="202"/>
      <c r="H164" s="239"/>
      <c r="I164" s="239"/>
      <c r="J164" s="239"/>
      <c r="K164" s="246"/>
      <c r="L164" s="224"/>
      <c r="M164" s="541"/>
      <c r="N164" s="217"/>
      <c r="O164" s="209">
        <f>IF($E$157="",0,((Nutzung!$G$29+Regelung-1)+(($G$158-Nutzung!$G$29)/4)-H151)*I151*$D$157*$E$157*24/($N$145*1000))</f>
        <v>0</v>
      </c>
      <c r="P164" s="239"/>
      <c r="Q164" s="239"/>
      <c r="R164" s="239"/>
      <c r="S164" s="202"/>
      <c r="Z164" s="323"/>
      <c r="AA164" s="318"/>
      <c r="AB164" s="323"/>
      <c r="AC164" s="323"/>
      <c r="AD164" s="323"/>
      <c r="AE164" s="323"/>
      <c r="AF164" s="323"/>
      <c r="AG164" s="323"/>
      <c r="AH164" s="323"/>
      <c r="AI164" s="323"/>
      <c r="AJ164" s="323"/>
      <c r="AK164" s="323"/>
      <c r="AL164" s="302"/>
    </row>
    <row r="165" spans="1:38" s="235" customFormat="1" ht="10.199999999999999" hidden="1">
      <c r="A165" s="202"/>
      <c r="B165" s="690" t="s">
        <v>138</v>
      </c>
      <c r="C165" s="536"/>
      <c r="D165" s="130"/>
      <c r="E165" s="538"/>
      <c r="F165" s="130"/>
      <c r="G165" s="202"/>
      <c r="H165" s="239"/>
      <c r="I165" s="239"/>
      <c r="J165" s="239"/>
      <c r="K165" s="246"/>
      <c r="L165" s="224"/>
      <c r="M165" s="541"/>
      <c r="N165" s="217"/>
      <c r="O165" s="209">
        <f>IF($E$157="",0,((Nutzung!$G$29+Regelung-1)+(($G$158-Nutzung!$G$29)/4)-H152)*I152*$D$157*$E$157*24/($N$145*1000))</f>
        <v>0</v>
      </c>
      <c r="P165" s="239"/>
      <c r="Q165" s="239"/>
      <c r="R165" s="239"/>
      <c r="S165" s="202"/>
      <c r="Z165" s="323"/>
      <c r="AA165" s="318"/>
      <c r="AB165" s="323"/>
      <c r="AC165" s="323"/>
      <c r="AD165" s="323"/>
      <c r="AE165" s="323"/>
      <c r="AF165" s="323"/>
      <c r="AG165" s="323"/>
      <c r="AH165" s="323"/>
      <c r="AI165" s="323"/>
      <c r="AJ165" s="323"/>
      <c r="AK165" s="323"/>
      <c r="AL165" s="302"/>
    </row>
    <row r="166" spans="1:38" s="235" customFormat="1" ht="10.199999999999999" hidden="1">
      <c r="A166" s="202"/>
      <c r="B166" s="690" t="s">
        <v>139</v>
      </c>
      <c r="C166" s="536"/>
      <c r="D166" s="130"/>
      <c r="E166" s="538"/>
      <c r="F166" s="130"/>
      <c r="G166" s="202"/>
      <c r="H166" s="239"/>
      <c r="I166" s="239"/>
      <c r="J166" s="239"/>
      <c r="K166" s="246"/>
      <c r="L166" s="224"/>
      <c r="M166" s="541"/>
      <c r="N166" s="217"/>
      <c r="O166" s="209">
        <f>IF($E$157="",0,((Nutzung!$G$29+Regelung-1)+(($G$158-Nutzung!$G$29)/4)-H153)*I153*$D$157*$E$157*24/($N$145*1000))</f>
        <v>0</v>
      </c>
      <c r="P166" s="239"/>
      <c r="Q166" s="239"/>
      <c r="R166" s="239"/>
      <c r="S166" s="202"/>
      <c r="Z166" s="323"/>
      <c r="AA166" s="318"/>
      <c r="AB166" s="323"/>
      <c r="AC166" s="323"/>
      <c r="AD166" s="323"/>
      <c r="AE166" s="323"/>
      <c r="AF166" s="323"/>
      <c r="AG166" s="323"/>
      <c r="AH166" s="323"/>
      <c r="AI166" s="323"/>
      <c r="AJ166" s="323"/>
      <c r="AK166" s="323"/>
      <c r="AL166" s="302"/>
    </row>
    <row r="167" spans="1:38" s="235" customFormat="1" ht="10.199999999999999" hidden="1">
      <c r="A167" s="202"/>
      <c r="B167" s="690" t="s">
        <v>269</v>
      </c>
      <c r="C167" s="536"/>
      <c r="D167" s="130"/>
      <c r="E167" s="538"/>
      <c r="F167" s="130"/>
      <c r="G167" s="202"/>
      <c r="H167" s="239"/>
      <c r="I167" s="239"/>
      <c r="J167" s="239"/>
      <c r="K167" s="246"/>
      <c r="L167" s="224"/>
      <c r="M167" s="541"/>
      <c r="N167" s="217"/>
      <c r="O167" s="209">
        <f>IF($E$157="",0,((Nutzung!$G$29+Regelung-1)+(($G$158-Nutzung!$G$29)/4)-H154)*I154*$D$157*$E$157*24/($N$145*1000))</f>
        <v>0</v>
      </c>
      <c r="P167" s="239"/>
      <c r="Q167" s="239"/>
      <c r="R167" s="239"/>
      <c r="S167" s="202"/>
      <c r="Z167" s="323"/>
      <c r="AA167" s="318"/>
      <c r="AB167" s="323"/>
      <c r="AC167" s="323"/>
      <c r="AD167" s="323"/>
      <c r="AE167" s="323"/>
      <c r="AF167" s="323"/>
      <c r="AG167" s="323"/>
      <c r="AH167" s="323"/>
      <c r="AI167" s="323"/>
      <c r="AJ167" s="323"/>
      <c r="AK167" s="323"/>
      <c r="AL167" s="302"/>
    </row>
    <row r="168" spans="1:38" s="235" customFormat="1" ht="10.199999999999999" hidden="1">
      <c r="A168" s="202"/>
      <c r="B168" s="690" t="s">
        <v>366</v>
      </c>
      <c r="C168" s="536"/>
      <c r="D168" s="130"/>
      <c r="E168" s="538"/>
      <c r="F168" s="130"/>
      <c r="G168" s="202"/>
      <c r="H168" s="239"/>
      <c r="I168" s="239"/>
      <c r="J168" s="239"/>
      <c r="K168" s="246"/>
      <c r="L168" s="224"/>
      <c r="M168" s="541"/>
      <c r="N168" s="217"/>
      <c r="O168" s="209">
        <f>IF($E$157="",0,((Nutzung!$G$29+Regelung-1)+(($G$158-Nutzung!$G$29)/4)-H155)*I155*$D$157*$E$157*24/($N$145*1000))</f>
        <v>0</v>
      </c>
      <c r="P168" s="239"/>
      <c r="Q168" s="239"/>
      <c r="R168" s="239"/>
      <c r="S168" s="202"/>
      <c r="Z168" s="323"/>
      <c r="AA168" s="318"/>
      <c r="AB168" s="323"/>
      <c r="AC168" s="323"/>
      <c r="AD168" s="323"/>
      <c r="AE168" s="323"/>
      <c r="AF168" s="323"/>
      <c r="AG168" s="323"/>
      <c r="AH168" s="323"/>
      <c r="AI168" s="323"/>
      <c r="AJ168" s="323"/>
      <c r="AK168" s="323"/>
      <c r="AL168" s="302"/>
    </row>
    <row r="169" spans="1:38" s="235" customFormat="1" ht="10.199999999999999" hidden="1">
      <c r="A169" s="202"/>
      <c r="B169" s="690" t="s">
        <v>465</v>
      </c>
      <c r="C169" s="536"/>
      <c r="D169" s="130"/>
      <c r="E169" s="538"/>
      <c r="F169" s="130"/>
      <c r="G169" s="202"/>
      <c r="H169" s="239"/>
      <c r="I169" s="239"/>
      <c r="J169" s="239"/>
      <c r="K169" s="246"/>
      <c r="L169" s="224"/>
      <c r="M169" s="541"/>
      <c r="N169" s="217"/>
      <c r="O169" s="209">
        <f>IF($E$157="",0,((Nutzung!$G$29+Regelung-1)+(($G$158-Nutzung!$G$29)/4)-H156)*I156*$D$157*$E$157*24/($N$145*1000))</f>
        <v>0</v>
      </c>
      <c r="P169" s="239"/>
      <c r="Q169" s="239"/>
      <c r="R169" s="239"/>
      <c r="S169" s="202"/>
      <c r="Z169" s="323"/>
      <c r="AA169" s="318"/>
      <c r="AB169" s="323"/>
      <c r="AC169" s="323"/>
      <c r="AD169" s="323"/>
      <c r="AE169" s="323"/>
      <c r="AF169" s="323"/>
      <c r="AG169" s="323"/>
      <c r="AH169" s="323"/>
      <c r="AI169" s="323"/>
      <c r="AJ169" s="323"/>
      <c r="AK169" s="323"/>
      <c r="AL169" s="302"/>
    </row>
    <row r="170" spans="1:38" ht="10.95" customHeight="1">
      <c r="A170" s="192"/>
      <c r="B170" s="648"/>
      <c r="C170" s="656"/>
      <c r="D170" s="657"/>
      <c r="E170" s="658"/>
      <c r="F170" s="659"/>
      <c r="G170" s="192"/>
      <c r="H170" s="198"/>
      <c r="I170" s="198"/>
      <c r="J170" s="198"/>
      <c r="K170" s="241"/>
      <c r="L170" s="220" t="str">
        <f>IF(E170="","",Nutzung!$G$29)</f>
        <v/>
      </c>
      <c r="M170" s="218" t="str">
        <f>IF(D170="","",AB170)</f>
        <v/>
      </c>
      <c r="N170" s="214">
        <f>IF(E170=0,0,SUM(O171:O182))</f>
        <v>0</v>
      </c>
      <c r="O170" s="215" t="str">
        <f>IF(N170/$O$1370=0,"",N170/$O$1370)</f>
        <v/>
      </c>
      <c r="P170" s="198"/>
      <c r="Q170" s="198"/>
      <c r="R170" s="198"/>
      <c r="S170" s="192"/>
      <c r="T170" s="182">
        <f>D170*E170</f>
        <v>0</v>
      </c>
      <c r="AA170" s="318">
        <f>IF(D170="",0,1)</f>
        <v>0</v>
      </c>
      <c r="AB170" s="318">
        <f>AB157+AA170</f>
        <v>0</v>
      </c>
    </row>
    <row r="171" spans="1:38" s="235" customFormat="1" ht="9.75" hidden="1" customHeight="1">
      <c r="A171" s="202"/>
      <c r="B171" s="690" t="s">
        <v>49</v>
      </c>
      <c r="C171" s="724"/>
      <c r="D171" s="130"/>
      <c r="E171" s="538"/>
      <c r="F171" s="130"/>
      <c r="G171" s="694" t="str">
        <f>IF($L$170&lt;Nutzung!$G$29,Nutzung!$G$29,$L$170)</f>
        <v/>
      </c>
      <c r="H171" s="239"/>
      <c r="I171" s="239"/>
      <c r="J171" s="239"/>
      <c r="K171" s="246">
        <f>IF(L170="",Nutzung!$G$29,Bauteile!L170)</f>
        <v>0</v>
      </c>
      <c r="L171" s="224"/>
      <c r="M171" s="541"/>
      <c r="N171" s="217"/>
      <c r="O171" s="209">
        <f>IF($E$170="",0,((Nutzung!$G$29+Regelung-1)+(($G$171-Nutzung!$G$29)/4)-H145)*I145*$D$170*$E$170*24/($N$145*1000))</f>
        <v>0</v>
      </c>
      <c r="P171" s="239"/>
      <c r="Q171" s="239"/>
      <c r="R171" s="239"/>
      <c r="S171" s="202"/>
      <c r="Z171" s="323"/>
      <c r="AA171" s="318"/>
      <c r="AB171" s="323"/>
      <c r="AC171" s="323"/>
      <c r="AD171" s="323"/>
      <c r="AE171" s="323"/>
      <c r="AF171" s="323"/>
      <c r="AG171" s="323"/>
      <c r="AH171" s="323"/>
      <c r="AI171" s="323"/>
      <c r="AJ171" s="323"/>
      <c r="AK171" s="323"/>
      <c r="AL171" s="302"/>
    </row>
    <row r="172" spans="1:38" s="235" customFormat="1" ht="10.199999999999999" hidden="1">
      <c r="A172" s="202"/>
      <c r="B172" s="690" t="s">
        <v>554</v>
      </c>
      <c r="C172" s="536"/>
      <c r="D172" s="130"/>
      <c r="E172" s="538"/>
      <c r="F172" s="130"/>
      <c r="G172" s="202"/>
      <c r="H172" s="239"/>
      <c r="I172" s="239"/>
      <c r="J172" s="239"/>
      <c r="K172" s="246"/>
      <c r="L172" s="224"/>
      <c r="M172" s="541"/>
      <c r="N172" s="217"/>
      <c r="O172" s="209">
        <f>IF($E$170="",0,((Nutzung!$G$29+Regelung-1)+(($G$171-Nutzung!$G$29)/4)-H146)*I146*$D$170*$E$170*24/($N$145*1000))</f>
        <v>0</v>
      </c>
      <c r="P172" s="239"/>
      <c r="Q172" s="239"/>
      <c r="R172" s="239"/>
      <c r="S172" s="202"/>
      <c r="Z172" s="323"/>
      <c r="AA172" s="318"/>
      <c r="AB172" s="323"/>
      <c r="AC172" s="323"/>
      <c r="AD172" s="323"/>
      <c r="AE172" s="323"/>
      <c r="AF172" s="323"/>
      <c r="AG172" s="323"/>
      <c r="AH172" s="323"/>
      <c r="AI172" s="323"/>
      <c r="AJ172" s="323"/>
      <c r="AK172" s="323"/>
      <c r="AL172" s="302"/>
    </row>
    <row r="173" spans="1:38" s="235" customFormat="1" ht="10.199999999999999" hidden="1">
      <c r="A173" s="202"/>
      <c r="B173" s="690" t="s">
        <v>306</v>
      </c>
      <c r="C173" s="536"/>
      <c r="D173" s="130"/>
      <c r="E173" s="538"/>
      <c r="F173" s="130"/>
      <c r="G173" s="202"/>
      <c r="H173" s="239"/>
      <c r="I173" s="239"/>
      <c r="J173" s="239"/>
      <c r="K173" s="246"/>
      <c r="L173" s="224"/>
      <c r="M173" s="541"/>
      <c r="N173" s="217"/>
      <c r="O173" s="209">
        <f>IF($E$170="",0,((Nutzung!$G$29+Regelung-1)+(($G$171-Nutzung!$G$29)/4)-H147)*I147*$D$170*$E$170*24/($N$145*1000))</f>
        <v>0</v>
      </c>
      <c r="P173" s="239"/>
      <c r="Q173" s="239"/>
      <c r="R173" s="239"/>
      <c r="S173" s="202"/>
      <c r="Z173" s="323"/>
      <c r="AA173" s="318"/>
      <c r="AB173" s="323"/>
      <c r="AC173" s="323"/>
      <c r="AD173" s="323"/>
      <c r="AE173" s="323"/>
      <c r="AF173" s="323"/>
      <c r="AG173" s="323"/>
      <c r="AH173" s="323"/>
      <c r="AI173" s="323"/>
      <c r="AJ173" s="323"/>
      <c r="AK173" s="323"/>
      <c r="AL173" s="302"/>
    </row>
    <row r="174" spans="1:38" s="235" customFormat="1" ht="10.199999999999999" hidden="1">
      <c r="A174" s="202"/>
      <c r="B174" s="690" t="s">
        <v>409</v>
      </c>
      <c r="C174" s="536"/>
      <c r="D174" s="130"/>
      <c r="E174" s="538"/>
      <c r="F174" s="130"/>
      <c r="G174" s="202"/>
      <c r="H174" s="239"/>
      <c r="I174" s="239"/>
      <c r="J174" s="239"/>
      <c r="K174" s="246"/>
      <c r="L174" s="224"/>
      <c r="M174" s="541"/>
      <c r="N174" s="217"/>
      <c r="O174" s="209">
        <f>IF($E$170="",0,((Nutzung!$G$29+Regelung-1)+(($G$171-Nutzung!$G$29)/4)-H148)*I148*$D$170*$E$170*24/($N$145*1000))</f>
        <v>0</v>
      </c>
      <c r="P174" s="239"/>
      <c r="Q174" s="239"/>
      <c r="R174" s="239"/>
      <c r="S174" s="202"/>
      <c r="Z174" s="323"/>
      <c r="AA174" s="318"/>
      <c r="AB174" s="323"/>
      <c r="AC174" s="323"/>
      <c r="AD174" s="323"/>
      <c r="AE174" s="323"/>
      <c r="AF174" s="323"/>
      <c r="AG174" s="323"/>
      <c r="AH174" s="323"/>
      <c r="AI174" s="323"/>
      <c r="AJ174" s="323"/>
      <c r="AK174" s="323"/>
      <c r="AL174" s="302"/>
    </row>
    <row r="175" spans="1:38" s="235" customFormat="1" ht="10.199999999999999" hidden="1">
      <c r="A175" s="202"/>
      <c r="B175" s="690" t="s">
        <v>410</v>
      </c>
      <c r="C175" s="536"/>
      <c r="D175" s="130"/>
      <c r="E175" s="538"/>
      <c r="F175" s="130"/>
      <c r="G175" s="202"/>
      <c r="H175" s="239"/>
      <c r="I175" s="239"/>
      <c r="J175" s="239"/>
      <c r="K175" s="246"/>
      <c r="L175" s="224"/>
      <c r="M175" s="541"/>
      <c r="N175" s="217"/>
      <c r="O175" s="209">
        <f>IF($E$170="",0,((Nutzung!$G$29+Regelung-1)+(($G$171-Nutzung!$G$29)/4)-H149)*I149*$D$170*$E$170*24/($N$145*1000))</f>
        <v>0</v>
      </c>
      <c r="P175" s="239"/>
      <c r="Q175" s="239"/>
      <c r="R175" s="239"/>
      <c r="S175" s="202"/>
      <c r="Z175" s="323"/>
      <c r="AA175" s="318"/>
      <c r="AB175" s="323"/>
      <c r="AC175" s="323"/>
      <c r="AD175" s="323"/>
      <c r="AE175" s="323"/>
      <c r="AF175" s="323"/>
      <c r="AG175" s="323"/>
      <c r="AH175" s="323"/>
      <c r="AI175" s="323"/>
      <c r="AJ175" s="323"/>
      <c r="AK175" s="323"/>
      <c r="AL175" s="302"/>
    </row>
    <row r="176" spans="1:38" s="235" customFormat="1" ht="10.199999999999999" hidden="1">
      <c r="A176" s="202"/>
      <c r="B176" s="690" t="s">
        <v>411</v>
      </c>
      <c r="C176" s="536"/>
      <c r="D176" s="130"/>
      <c r="E176" s="538"/>
      <c r="F176" s="130"/>
      <c r="G176" s="202"/>
      <c r="H176" s="239"/>
      <c r="I176" s="239"/>
      <c r="J176" s="239"/>
      <c r="K176" s="246"/>
      <c r="L176" s="224"/>
      <c r="M176" s="541"/>
      <c r="N176" s="217"/>
      <c r="O176" s="209">
        <f>IF($E$170="",0,((Nutzung!$G$29+Regelung-1)+(($G$171-Nutzung!$G$29)/4)-H150)*I150*$D$170*$E$170*24/($N$145*1000))</f>
        <v>0</v>
      </c>
      <c r="P176" s="239"/>
      <c r="Q176" s="239"/>
      <c r="R176" s="239"/>
      <c r="S176" s="202"/>
      <c r="Z176" s="323"/>
      <c r="AA176" s="318"/>
      <c r="AB176" s="323"/>
      <c r="AC176" s="323"/>
      <c r="AD176" s="323"/>
      <c r="AE176" s="323"/>
      <c r="AF176" s="323"/>
      <c r="AG176" s="323"/>
      <c r="AH176" s="323"/>
      <c r="AI176" s="323"/>
      <c r="AJ176" s="323"/>
      <c r="AK176" s="323"/>
      <c r="AL176" s="302"/>
    </row>
    <row r="177" spans="1:38" s="235" customFormat="1" ht="10.199999999999999" hidden="1">
      <c r="A177" s="202"/>
      <c r="B177" s="690" t="s">
        <v>221</v>
      </c>
      <c r="C177" s="536"/>
      <c r="D177" s="130"/>
      <c r="E177" s="538"/>
      <c r="F177" s="130"/>
      <c r="G177" s="202"/>
      <c r="H177" s="239"/>
      <c r="I177" s="239"/>
      <c r="J177" s="239"/>
      <c r="K177" s="246"/>
      <c r="L177" s="224"/>
      <c r="M177" s="541"/>
      <c r="N177" s="217"/>
      <c r="O177" s="209">
        <f>IF($E$170="",0,((Nutzung!$G$29+Regelung-1)+(($G$171-Nutzung!$G$29)/4)-H151)*I151*$D$170*$E$170*24/($N$145*1000))</f>
        <v>0</v>
      </c>
      <c r="P177" s="239"/>
      <c r="Q177" s="239"/>
      <c r="R177" s="239"/>
      <c r="S177" s="202"/>
      <c r="Z177" s="323"/>
      <c r="AA177" s="318"/>
      <c r="AB177" s="323"/>
      <c r="AC177" s="323"/>
      <c r="AD177" s="323"/>
      <c r="AE177" s="323"/>
      <c r="AF177" s="323"/>
      <c r="AG177" s="323"/>
      <c r="AH177" s="323"/>
      <c r="AI177" s="323"/>
      <c r="AJ177" s="323"/>
      <c r="AK177" s="323"/>
      <c r="AL177" s="302"/>
    </row>
    <row r="178" spans="1:38" s="235" customFormat="1" ht="10.199999999999999" hidden="1">
      <c r="A178" s="202"/>
      <c r="B178" s="690" t="s">
        <v>138</v>
      </c>
      <c r="C178" s="536"/>
      <c r="D178" s="130"/>
      <c r="E178" s="538"/>
      <c r="F178" s="130"/>
      <c r="G178" s="202"/>
      <c r="H178" s="239"/>
      <c r="I178" s="239"/>
      <c r="J178" s="239"/>
      <c r="K178" s="246"/>
      <c r="L178" s="224"/>
      <c r="M178" s="541"/>
      <c r="N178" s="217"/>
      <c r="O178" s="209">
        <f>IF($E$170="",0,((Nutzung!$G$29+Regelung-1)+(($G$171-Nutzung!$G$29)/4)-H152)*I152*$D$170*$E$170*24/($N$145*1000))</f>
        <v>0</v>
      </c>
      <c r="P178" s="239"/>
      <c r="Q178" s="239"/>
      <c r="R178" s="239"/>
      <c r="S178" s="202"/>
      <c r="Z178" s="323"/>
      <c r="AA178" s="318"/>
      <c r="AB178" s="323"/>
      <c r="AC178" s="323"/>
      <c r="AD178" s="323"/>
      <c r="AE178" s="323"/>
      <c r="AF178" s="323"/>
      <c r="AG178" s="323"/>
      <c r="AH178" s="323"/>
      <c r="AI178" s="323"/>
      <c r="AJ178" s="323"/>
      <c r="AK178" s="323"/>
      <c r="AL178" s="302"/>
    </row>
    <row r="179" spans="1:38" s="235" customFormat="1" ht="10.199999999999999" hidden="1">
      <c r="A179" s="202"/>
      <c r="B179" s="690" t="s">
        <v>139</v>
      </c>
      <c r="C179" s="536"/>
      <c r="D179" s="130"/>
      <c r="E179" s="538"/>
      <c r="F179" s="130"/>
      <c r="G179" s="202"/>
      <c r="H179" s="239"/>
      <c r="I179" s="239"/>
      <c r="J179" s="239"/>
      <c r="K179" s="246"/>
      <c r="L179" s="224"/>
      <c r="M179" s="541"/>
      <c r="N179" s="217"/>
      <c r="O179" s="209">
        <f>IF($E$170="",0,((Nutzung!$G$29+Regelung-1)+(($G$171-Nutzung!$G$29)/4)-H153)*I153*$D$170*$E$170*24/($N$145*1000))</f>
        <v>0</v>
      </c>
      <c r="P179" s="239"/>
      <c r="Q179" s="239"/>
      <c r="R179" s="239"/>
      <c r="S179" s="202"/>
      <c r="Z179" s="323"/>
      <c r="AA179" s="318"/>
      <c r="AB179" s="323"/>
      <c r="AC179" s="323"/>
      <c r="AD179" s="323"/>
      <c r="AE179" s="323"/>
      <c r="AF179" s="323"/>
      <c r="AG179" s="323"/>
      <c r="AH179" s="323"/>
      <c r="AI179" s="323"/>
      <c r="AJ179" s="323"/>
      <c r="AK179" s="323"/>
      <c r="AL179" s="302"/>
    </row>
    <row r="180" spans="1:38" s="235" customFormat="1" ht="10.199999999999999" hidden="1">
      <c r="A180" s="202"/>
      <c r="B180" s="690" t="s">
        <v>269</v>
      </c>
      <c r="C180" s="536"/>
      <c r="D180" s="130"/>
      <c r="E180" s="538"/>
      <c r="F180" s="130"/>
      <c r="G180" s="202"/>
      <c r="H180" s="239"/>
      <c r="I180" s="239"/>
      <c r="J180" s="239"/>
      <c r="K180" s="246"/>
      <c r="L180" s="224"/>
      <c r="M180" s="541"/>
      <c r="N180" s="217"/>
      <c r="O180" s="209">
        <f>IF($E$170="",0,((Nutzung!$G$29+Regelung-1)+(($G$171-Nutzung!$G$29)/4)-H154)*I154*$D$170*$E$170*24/($N$145*1000))</f>
        <v>0</v>
      </c>
      <c r="P180" s="239"/>
      <c r="Q180" s="239"/>
      <c r="R180" s="239"/>
      <c r="S180" s="202"/>
      <c r="Z180" s="323"/>
      <c r="AA180" s="318"/>
      <c r="AB180" s="323"/>
      <c r="AC180" s="323"/>
      <c r="AD180" s="323"/>
      <c r="AE180" s="323"/>
      <c r="AF180" s="323"/>
      <c r="AG180" s="323"/>
      <c r="AH180" s="323"/>
      <c r="AI180" s="323"/>
      <c r="AJ180" s="323"/>
      <c r="AK180" s="323"/>
      <c r="AL180" s="302"/>
    </row>
    <row r="181" spans="1:38" s="235" customFormat="1" ht="10.199999999999999" hidden="1">
      <c r="A181" s="202"/>
      <c r="B181" s="690" t="s">
        <v>366</v>
      </c>
      <c r="C181" s="536"/>
      <c r="D181" s="130"/>
      <c r="E181" s="538"/>
      <c r="F181" s="130"/>
      <c r="G181" s="202"/>
      <c r="H181" s="239"/>
      <c r="I181" s="239"/>
      <c r="J181" s="239"/>
      <c r="K181" s="246"/>
      <c r="L181" s="224"/>
      <c r="M181" s="541"/>
      <c r="N181" s="217"/>
      <c r="O181" s="209">
        <f>IF($E$170="",0,((Nutzung!$G$29+Regelung-1)+(($G$171-Nutzung!$G$29)/4)-H155)*I155*$D$170*$E$170*24/($N$145*1000))</f>
        <v>0</v>
      </c>
      <c r="P181" s="239"/>
      <c r="Q181" s="239"/>
      <c r="R181" s="239"/>
      <c r="S181" s="202"/>
      <c r="Z181" s="323"/>
      <c r="AA181" s="318"/>
      <c r="AB181" s="323"/>
      <c r="AC181" s="323"/>
      <c r="AD181" s="323"/>
      <c r="AE181" s="323"/>
      <c r="AF181" s="323"/>
      <c r="AG181" s="323"/>
      <c r="AH181" s="323"/>
      <c r="AI181" s="323"/>
      <c r="AJ181" s="323"/>
      <c r="AK181" s="323"/>
      <c r="AL181" s="302"/>
    </row>
    <row r="182" spans="1:38" s="235" customFormat="1" ht="10.199999999999999" hidden="1">
      <c r="A182" s="202"/>
      <c r="B182" s="690" t="s">
        <v>465</v>
      </c>
      <c r="C182" s="536"/>
      <c r="D182" s="130"/>
      <c r="E182" s="538"/>
      <c r="F182" s="130"/>
      <c r="G182" s="202"/>
      <c r="H182" s="239"/>
      <c r="I182" s="239"/>
      <c r="J182" s="239"/>
      <c r="K182" s="246"/>
      <c r="L182" s="224"/>
      <c r="M182" s="541"/>
      <c r="N182" s="217"/>
      <c r="O182" s="209">
        <f>IF($E$170="",0,((Nutzung!$G$29+Regelung-1)+(($G$171-Nutzung!$G$29)/4)-H156)*I156*$D$170*$E$170*24/($N$145*1000))</f>
        <v>0</v>
      </c>
      <c r="P182" s="239"/>
      <c r="Q182" s="239"/>
      <c r="R182" s="239"/>
      <c r="S182" s="202"/>
      <c r="Z182" s="323"/>
      <c r="AA182" s="318"/>
      <c r="AB182" s="323"/>
      <c r="AC182" s="323"/>
      <c r="AD182" s="323"/>
      <c r="AE182" s="323"/>
      <c r="AF182" s="323"/>
      <c r="AG182" s="323"/>
      <c r="AH182" s="323"/>
      <c r="AI182" s="323"/>
      <c r="AJ182" s="323"/>
      <c r="AK182" s="323"/>
      <c r="AL182" s="302"/>
    </row>
    <row r="183" spans="1:38" ht="10.95" customHeight="1">
      <c r="A183" s="192"/>
      <c r="B183" s="648"/>
      <c r="C183" s="656"/>
      <c r="D183" s="657"/>
      <c r="E183" s="658"/>
      <c r="F183" s="659"/>
      <c r="G183" s="192"/>
      <c r="H183" s="198"/>
      <c r="I183" s="198"/>
      <c r="J183" s="198"/>
      <c r="K183" s="241"/>
      <c r="L183" s="220" t="str">
        <f>IF(E183="","",Nutzung!$G$29)</f>
        <v/>
      </c>
      <c r="M183" s="218" t="str">
        <f>IF(D183="","",AB183)</f>
        <v/>
      </c>
      <c r="N183" s="214">
        <f>IF(E183=0,0,SUM(O184:O195))</f>
        <v>0</v>
      </c>
      <c r="O183" s="215" t="str">
        <f>IF(N183/$O$1370=0,"",N183/$O$1370)</f>
        <v/>
      </c>
      <c r="P183" s="198"/>
      <c r="Q183" s="198"/>
      <c r="R183" s="198"/>
      <c r="S183" s="192"/>
      <c r="T183" s="182">
        <f>D183*E183</f>
        <v>0</v>
      </c>
      <c r="AA183" s="318">
        <f>IF(D183="",0,1)</f>
        <v>0</v>
      </c>
      <c r="AB183" s="318">
        <f>AB170+AA183</f>
        <v>0</v>
      </c>
    </row>
    <row r="184" spans="1:38" s="235" customFormat="1" ht="10.199999999999999" hidden="1">
      <c r="A184" s="202"/>
      <c r="B184" s="690" t="s">
        <v>49</v>
      </c>
      <c r="C184" s="724"/>
      <c r="D184" s="130"/>
      <c r="E184" s="538"/>
      <c r="F184" s="130"/>
      <c r="G184" s="694" t="str">
        <f>IF($L$183&lt;Nutzung!$G$29,Nutzung!$G$29,$L$183)</f>
        <v/>
      </c>
      <c r="H184" s="239"/>
      <c r="I184" s="239"/>
      <c r="J184" s="239"/>
      <c r="K184" s="246">
        <f>IF(L183="",Nutzung!$G$29,Bauteile!L183)</f>
        <v>0</v>
      </c>
      <c r="L184" s="224"/>
      <c r="M184" s="541"/>
      <c r="N184" s="217"/>
      <c r="O184" s="209">
        <f>IF($E$183="",0,((Nutzung!$G$29+Regelung-1)+(($G$184-Nutzung!$G$29)/4)-H145)*I145*$D$183*$E$183*24/($N$145*1000))</f>
        <v>0</v>
      </c>
      <c r="P184" s="239"/>
      <c r="Q184" s="239"/>
      <c r="R184" s="239"/>
      <c r="S184" s="202"/>
      <c r="Z184" s="323"/>
      <c r="AA184" s="318"/>
      <c r="AB184" s="323"/>
      <c r="AC184" s="323"/>
      <c r="AD184" s="323"/>
      <c r="AE184" s="323"/>
      <c r="AF184" s="323"/>
      <c r="AG184" s="323"/>
      <c r="AH184" s="323"/>
      <c r="AI184" s="323"/>
      <c r="AJ184" s="323"/>
      <c r="AK184" s="323"/>
      <c r="AL184" s="302"/>
    </row>
    <row r="185" spans="1:38" s="235" customFormat="1" ht="10.199999999999999" hidden="1">
      <c r="A185" s="202"/>
      <c r="B185" s="690" t="s">
        <v>554</v>
      </c>
      <c r="C185" s="536"/>
      <c r="D185" s="130"/>
      <c r="E185" s="538"/>
      <c r="F185" s="130"/>
      <c r="G185" s="202"/>
      <c r="H185" s="239"/>
      <c r="I185" s="239"/>
      <c r="J185" s="239"/>
      <c r="K185" s="246"/>
      <c r="L185" s="224"/>
      <c r="M185" s="541"/>
      <c r="N185" s="217"/>
      <c r="O185" s="209">
        <f>IF($E$183="",0,((Nutzung!$G$29+Regelung-1)+(($G$184-Nutzung!$G$29)/4)-H146)*I146*$D$183*$E$183*24/($N$145*1000))</f>
        <v>0</v>
      </c>
      <c r="P185" s="239"/>
      <c r="Q185" s="239"/>
      <c r="R185" s="239"/>
      <c r="S185" s="202"/>
      <c r="Z185" s="323"/>
      <c r="AA185" s="318"/>
      <c r="AB185" s="323"/>
      <c r="AC185" s="323"/>
      <c r="AD185" s="323"/>
      <c r="AE185" s="323"/>
      <c r="AF185" s="323"/>
      <c r="AG185" s="323"/>
      <c r="AH185" s="323"/>
      <c r="AI185" s="323"/>
      <c r="AJ185" s="323"/>
      <c r="AK185" s="323"/>
      <c r="AL185" s="302"/>
    </row>
    <row r="186" spans="1:38" s="235" customFormat="1" ht="10.199999999999999" hidden="1">
      <c r="A186" s="202"/>
      <c r="B186" s="690" t="s">
        <v>306</v>
      </c>
      <c r="C186" s="536"/>
      <c r="D186" s="130"/>
      <c r="E186" s="538"/>
      <c r="F186" s="130"/>
      <c r="G186" s="202"/>
      <c r="H186" s="239"/>
      <c r="I186" s="239"/>
      <c r="J186" s="239"/>
      <c r="K186" s="246"/>
      <c r="L186" s="224"/>
      <c r="M186" s="541"/>
      <c r="N186" s="217"/>
      <c r="O186" s="209">
        <f>IF($E$183="",0,((Nutzung!$G$29+Regelung-1)+(($G$184-Nutzung!$G$29)/4)-H147)*I147*$D$183*$E$183*24/($N$145*1000))</f>
        <v>0</v>
      </c>
      <c r="P186" s="239"/>
      <c r="Q186" s="239"/>
      <c r="R186" s="239"/>
      <c r="S186" s="202"/>
      <c r="Z186" s="323"/>
      <c r="AA186" s="318"/>
      <c r="AB186" s="323"/>
      <c r="AC186" s="323"/>
      <c r="AD186" s="323"/>
      <c r="AE186" s="323"/>
      <c r="AF186" s="323"/>
      <c r="AG186" s="323"/>
      <c r="AH186" s="323"/>
      <c r="AI186" s="323"/>
      <c r="AJ186" s="323"/>
      <c r="AK186" s="323"/>
      <c r="AL186" s="302"/>
    </row>
    <row r="187" spans="1:38" s="235" customFormat="1" ht="10.199999999999999" hidden="1">
      <c r="A187" s="202"/>
      <c r="B187" s="690" t="s">
        <v>409</v>
      </c>
      <c r="C187" s="536"/>
      <c r="D187" s="130"/>
      <c r="E187" s="538"/>
      <c r="F187" s="130"/>
      <c r="G187" s="202"/>
      <c r="H187" s="239"/>
      <c r="I187" s="239"/>
      <c r="J187" s="239"/>
      <c r="K187" s="246"/>
      <c r="L187" s="224"/>
      <c r="M187" s="541"/>
      <c r="N187" s="217"/>
      <c r="O187" s="209">
        <f>IF($E$183="",0,((Nutzung!$G$29+Regelung-1)+(($G$184-Nutzung!$G$29)/4)-H148)*I148*$D$183*$E$183*24/($N$145*1000))</f>
        <v>0</v>
      </c>
      <c r="P187" s="239"/>
      <c r="Q187" s="239"/>
      <c r="R187" s="239"/>
      <c r="S187" s="202"/>
      <c r="Z187" s="323"/>
      <c r="AA187" s="318"/>
      <c r="AB187" s="323"/>
      <c r="AC187" s="323"/>
      <c r="AD187" s="323"/>
      <c r="AE187" s="323"/>
      <c r="AF187" s="323"/>
      <c r="AG187" s="323"/>
      <c r="AH187" s="323"/>
      <c r="AI187" s="323"/>
      <c r="AJ187" s="323"/>
      <c r="AK187" s="323"/>
      <c r="AL187" s="302"/>
    </row>
    <row r="188" spans="1:38" s="235" customFormat="1" ht="10.199999999999999" hidden="1">
      <c r="A188" s="202"/>
      <c r="B188" s="690" t="s">
        <v>410</v>
      </c>
      <c r="C188" s="536"/>
      <c r="D188" s="130"/>
      <c r="E188" s="538"/>
      <c r="F188" s="130"/>
      <c r="G188" s="202"/>
      <c r="H188" s="239"/>
      <c r="I188" s="239"/>
      <c r="J188" s="239"/>
      <c r="K188" s="246"/>
      <c r="L188" s="224"/>
      <c r="M188" s="541"/>
      <c r="N188" s="217"/>
      <c r="O188" s="209">
        <f>IF($E$183="",0,((Nutzung!$G$29+Regelung-1)+(($G$184-Nutzung!$G$29)/4)-H149)*I149*$D$183*$E$183*24/($N$145*1000))</f>
        <v>0</v>
      </c>
      <c r="P188" s="239"/>
      <c r="Q188" s="239"/>
      <c r="R188" s="239"/>
      <c r="S188" s="202"/>
      <c r="Z188" s="323"/>
      <c r="AA188" s="318"/>
      <c r="AB188" s="323"/>
      <c r="AC188" s="323"/>
      <c r="AD188" s="323"/>
      <c r="AE188" s="323"/>
      <c r="AF188" s="323"/>
      <c r="AG188" s="323"/>
      <c r="AH188" s="323"/>
      <c r="AI188" s="323"/>
      <c r="AJ188" s="323"/>
      <c r="AK188" s="323"/>
      <c r="AL188" s="302"/>
    </row>
    <row r="189" spans="1:38" s="235" customFormat="1" ht="10.199999999999999" hidden="1">
      <c r="A189" s="202"/>
      <c r="B189" s="690" t="s">
        <v>411</v>
      </c>
      <c r="C189" s="536"/>
      <c r="D189" s="130"/>
      <c r="E189" s="538"/>
      <c r="F189" s="130"/>
      <c r="G189" s="202"/>
      <c r="H189" s="239"/>
      <c r="I189" s="239"/>
      <c r="J189" s="239"/>
      <c r="K189" s="246"/>
      <c r="L189" s="224"/>
      <c r="M189" s="541"/>
      <c r="N189" s="217"/>
      <c r="O189" s="209">
        <f>IF($E$183="",0,((Nutzung!$G$29+Regelung-1)+(($G$184-Nutzung!$G$29)/4)-H150)*I150*$D$183*$E$183*24/($N$145*1000))</f>
        <v>0</v>
      </c>
      <c r="P189" s="239"/>
      <c r="Q189" s="239"/>
      <c r="R189" s="239"/>
      <c r="S189" s="202"/>
      <c r="Z189" s="323"/>
      <c r="AA189" s="318"/>
      <c r="AB189" s="323"/>
      <c r="AC189" s="323"/>
      <c r="AD189" s="323"/>
      <c r="AE189" s="323"/>
      <c r="AF189" s="323"/>
      <c r="AG189" s="323"/>
      <c r="AH189" s="323"/>
      <c r="AI189" s="323"/>
      <c r="AJ189" s="323"/>
      <c r="AK189" s="323"/>
      <c r="AL189" s="302"/>
    </row>
    <row r="190" spans="1:38" s="235" customFormat="1" ht="10.199999999999999" hidden="1">
      <c r="A190" s="202"/>
      <c r="B190" s="690" t="s">
        <v>221</v>
      </c>
      <c r="C190" s="536"/>
      <c r="D190" s="130"/>
      <c r="E190" s="538"/>
      <c r="F190" s="130"/>
      <c r="G190" s="202"/>
      <c r="H190" s="239"/>
      <c r="I190" s="239"/>
      <c r="J190" s="239"/>
      <c r="K190" s="246"/>
      <c r="L190" s="224"/>
      <c r="M190" s="541"/>
      <c r="N190" s="217"/>
      <c r="O190" s="209">
        <f>IF($E$183="",0,((Nutzung!$G$29+Regelung-1)+(($G$184-Nutzung!$G$29)/4)-H151)*I151*$D$183*$E$183*24/($N$145*1000))</f>
        <v>0</v>
      </c>
      <c r="P190" s="239"/>
      <c r="Q190" s="239"/>
      <c r="R190" s="239"/>
      <c r="S190" s="202"/>
      <c r="Z190" s="323"/>
      <c r="AA190" s="318"/>
      <c r="AB190" s="323"/>
      <c r="AC190" s="323"/>
      <c r="AD190" s="323"/>
      <c r="AE190" s="323"/>
      <c r="AF190" s="323"/>
      <c r="AG190" s="323"/>
      <c r="AH190" s="323"/>
      <c r="AI190" s="323"/>
      <c r="AJ190" s="323"/>
      <c r="AK190" s="323"/>
      <c r="AL190" s="302"/>
    </row>
    <row r="191" spans="1:38" s="235" customFormat="1" ht="10.199999999999999" hidden="1">
      <c r="A191" s="202"/>
      <c r="B191" s="690" t="s">
        <v>138</v>
      </c>
      <c r="C191" s="536"/>
      <c r="D191" s="130"/>
      <c r="E191" s="538"/>
      <c r="F191" s="130"/>
      <c r="G191" s="202"/>
      <c r="H191" s="239"/>
      <c r="I191" s="239"/>
      <c r="J191" s="239"/>
      <c r="K191" s="246"/>
      <c r="L191" s="224"/>
      <c r="M191" s="541"/>
      <c r="N191" s="217"/>
      <c r="O191" s="209">
        <f>IF($E$183="",0,((Nutzung!$G$29+Regelung-1)+(($G$184-Nutzung!$G$29)/4)-H152)*I152*$D$183*$E$183*24/($N$145*1000))</f>
        <v>0</v>
      </c>
      <c r="P191" s="239"/>
      <c r="Q191" s="239"/>
      <c r="R191" s="239"/>
      <c r="S191" s="202"/>
      <c r="Z191" s="323"/>
      <c r="AA191" s="318"/>
      <c r="AB191" s="323"/>
      <c r="AC191" s="323"/>
      <c r="AD191" s="323"/>
      <c r="AE191" s="323"/>
      <c r="AF191" s="323"/>
      <c r="AG191" s="323"/>
      <c r="AH191" s="323"/>
      <c r="AI191" s="323"/>
      <c r="AJ191" s="323"/>
      <c r="AK191" s="323"/>
      <c r="AL191" s="302"/>
    </row>
    <row r="192" spans="1:38" s="235" customFormat="1" ht="10.199999999999999" hidden="1">
      <c r="A192" s="202"/>
      <c r="B192" s="690" t="s">
        <v>139</v>
      </c>
      <c r="C192" s="536"/>
      <c r="D192" s="130"/>
      <c r="E192" s="538"/>
      <c r="F192" s="130"/>
      <c r="G192" s="202"/>
      <c r="H192" s="239"/>
      <c r="I192" s="239"/>
      <c r="J192" s="239"/>
      <c r="K192" s="246"/>
      <c r="L192" s="224"/>
      <c r="M192" s="541"/>
      <c r="N192" s="217"/>
      <c r="O192" s="209">
        <f>IF($E$183="",0,((Nutzung!$G$29+Regelung-1)+(($G$184-Nutzung!$G$29)/4)-H153)*I153*$D$183*$E$183*24/($N$145*1000))</f>
        <v>0</v>
      </c>
      <c r="P192" s="239"/>
      <c r="Q192" s="239"/>
      <c r="R192" s="239"/>
      <c r="S192" s="202"/>
      <c r="Z192" s="323"/>
      <c r="AA192" s="318"/>
      <c r="AB192" s="323"/>
      <c r="AC192" s="323"/>
      <c r="AD192" s="323"/>
      <c r="AE192" s="323"/>
      <c r="AF192" s="323"/>
      <c r="AG192" s="323"/>
      <c r="AH192" s="323"/>
      <c r="AI192" s="323"/>
      <c r="AJ192" s="323"/>
      <c r="AK192" s="323"/>
      <c r="AL192" s="302"/>
    </row>
    <row r="193" spans="1:38" s="235" customFormat="1" ht="10.199999999999999" hidden="1">
      <c r="A193" s="202"/>
      <c r="B193" s="690" t="s">
        <v>269</v>
      </c>
      <c r="C193" s="536"/>
      <c r="D193" s="130"/>
      <c r="E193" s="538"/>
      <c r="F193" s="130"/>
      <c r="G193" s="202"/>
      <c r="H193" s="239"/>
      <c r="I193" s="239"/>
      <c r="J193" s="239"/>
      <c r="K193" s="246"/>
      <c r="L193" s="224"/>
      <c r="M193" s="541"/>
      <c r="N193" s="217"/>
      <c r="O193" s="209">
        <f>IF($E$183="",0,((Nutzung!$G$29+Regelung-1)+(($G$184-Nutzung!$G$29)/4)-H154)*I154*$D$183*$E$183*24/($N$145*1000))</f>
        <v>0</v>
      </c>
      <c r="P193" s="239"/>
      <c r="Q193" s="239"/>
      <c r="R193" s="239"/>
      <c r="S193" s="202"/>
      <c r="Z193" s="323"/>
      <c r="AA193" s="318"/>
      <c r="AB193" s="323"/>
      <c r="AC193" s="323"/>
      <c r="AD193" s="323"/>
      <c r="AE193" s="323"/>
      <c r="AF193" s="323"/>
      <c r="AG193" s="323"/>
      <c r="AH193" s="323"/>
      <c r="AI193" s="323"/>
      <c r="AJ193" s="323"/>
      <c r="AK193" s="323"/>
      <c r="AL193" s="302"/>
    </row>
    <row r="194" spans="1:38" s="235" customFormat="1" ht="10.199999999999999" hidden="1">
      <c r="A194" s="202"/>
      <c r="B194" s="690" t="s">
        <v>366</v>
      </c>
      <c r="C194" s="536"/>
      <c r="D194" s="130"/>
      <c r="E194" s="538"/>
      <c r="F194" s="130"/>
      <c r="G194" s="202"/>
      <c r="H194" s="239"/>
      <c r="I194" s="239"/>
      <c r="J194" s="239"/>
      <c r="K194" s="246"/>
      <c r="L194" s="224"/>
      <c r="M194" s="541"/>
      <c r="N194" s="217"/>
      <c r="O194" s="209">
        <f>IF($E$183="",0,((Nutzung!$G$29+Regelung-1)+(($G$184-Nutzung!$G$29)/4)-H155)*I155*$D$183*$E$183*24/($N$145*1000))</f>
        <v>0</v>
      </c>
      <c r="P194" s="239"/>
      <c r="Q194" s="239"/>
      <c r="R194" s="239"/>
      <c r="S194" s="202"/>
      <c r="Z194" s="323"/>
      <c r="AA194" s="318"/>
      <c r="AB194" s="323"/>
      <c r="AC194" s="323"/>
      <c r="AD194" s="323"/>
      <c r="AE194" s="323"/>
      <c r="AF194" s="323"/>
      <c r="AG194" s="323"/>
      <c r="AH194" s="323"/>
      <c r="AI194" s="323"/>
      <c r="AJ194" s="323"/>
      <c r="AK194" s="323"/>
      <c r="AL194" s="302"/>
    </row>
    <row r="195" spans="1:38" s="235" customFormat="1" ht="10.199999999999999" hidden="1">
      <c r="A195" s="202"/>
      <c r="B195" s="690" t="s">
        <v>465</v>
      </c>
      <c r="C195" s="536"/>
      <c r="D195" s="130"/>
      <c r="E195" s="538"/>
      <c r="F195" s="130"/>
      <c r="G195" s="202"/>
      <c r="H195" s="239"/>
      <c r="I195" s="239"/>
      <c r="J195" s="239"/>
      <c r="K195" s="246"/>
      <c r="L195" s="224"/>
      <c r="M195" s="541"/>
      <c r="N195" s="217"/>
      <c r="O195" s="209">
        <f>IF($E$183="",0,((Nutzung!$G$29+Regelung-1)+(($G$184-Nutzung!$G$29)/4)-H156)*I156*$D$183*$E$183*24/($N$145*1000))</f>
        <v>0</v>
      </c>
      <c r="P195" s="239"/>
      <c r="Q195" s="239"/>
      <c r="R195" s="239"/>
      <c r="S195" s="202"/>
      <c r="Z195" s="323"/>
      <c r="AA195" s="318"/>
      <c r="AB195" s="323"/>
      <c r="AC195" s="323"/>
      <c r="AD195" s="323"/>
      <c r="AE195" s="323"/>
      <c r="AF195" s="323"/>
      <c r="AG195" s="323"/>
      <c r="AH195" s="323"/>
      <c r="AI195" s="323"/>
      <c r="AJ195" s="323"/>
      <c r="AK195" s="323"/>
      <c r="AL195" s="302"/>
    </row>
    <row r="196" spans="1:38" ht="10.95" customHeight="1">
      <c r="A196" s="203" t="str">
        <f>A62</f>
        <v>0</v>
      </c>
      <c r="B196" s="648"/>
      <c r="C196" s="656"/>
      <c r="D196" s="657"/>
      <c r="E196" s="658"/>
      <c r="F196" s="659"/>
      <c r="G196" s="192"/>
      <c r="H196" s="198"/>
      <c r="I196" s="198"/>
      <c r="J196" s="198"/>
      <c r="K196" s="241"/>
      <c r="L196" s="220" t="str">
        <f>IF(E196="","",Nutzung!$G$29)</f>
        <v/>
      </c>
      <c r="M196" s="218" t="str">
        <f>IF(D196="","",AB196)</f>
        <v/>
      </c>
      <c r="N196" s="214">
        <f>IF(E196=0,0,SUM(O197:O208))</f>
        <v>0</v>
      </c>
      <c r="O196" s="215" t="str">
        <f>IF(N196/$O$1370=0,"",N196/$O$1370)</f>
        <v/>
      </c>
      <c r="P196" s="198"/>
      <c r="Q196" s="198"/>
      <c r="R196" s="198"/>
      <c r="S196" s="192"/>
      <c r="T196" s="182">
        <f>D196*E196</f>
        <v>0</v>
      </c>
      <c r="AA196" s="318">
        <f>IF(D196="",0,1)</f>
        <v>0</v>
      </c>
      <c r="AB196" s="318">
        <f>AB183+AA196</f>
        <v>0</v>
      </c>
    </row>
    <row r="197" spans="1:38" s="235" customFormat="1" ht="10.199999999999999" hidden="1">
      <c r="A197" s="202"/>
      <c r="B197" s="647" t="s">
        <v>49</v>
      </c>
      <c r="C197" s="724"/>
      <c r="D197" s="130"/>
      <c r="E197" s="538"/>
      <c r="F197" s="130"/>
      <c r="G197" s="694" t="str">
        <f>IF($L$196&lt;Nutzung!$G$29,Nutzung!$G$29,$L$196)</f>
        <v/>
      </c>
      <c r="H197" s="239"/>
      <c r="I197" s="239"/>
      <c r="J197" s="239"/>
      <c r="K197" s="246">
        <f>IF(L196="",Nutzung!$G$29,Bauteile!L196)</f>
        <v>0</v>
      </c>
      <c r="L197" s="224"/>
      <c r="M197" s="541"/>
      <c r="N197" s="217"/>
      <c r="O197" s="209">
        <f>IF($E$196="",0,((Nutzung!$G$29+Regelung-1)+(($G$197-Nutzung!$G$29)/4)-H145)*I145*$D$196*$E$196*24/($N$145*1000))</f>
        <v>0</v>
      </c>
      <c r="P197" s="239"/>
      <c r="Q197" s="239"/>
      <c r="R197" s="239"/>
      <c r="S197" s="202"/>
      <c r="Z197" s="323"/>
      <c r="AA197" s="318"/>
      <c r="AB197" s="323"/>
      <c r="AC197" s="323"/>
      <c r="AD197" s="323"/>
      <c r="AE197" s="323"/>
      <c r="AF197" s="323"/>
      <c r="AG197" s="323"/>
      <c r="AH197" s="323"/>
      <c r="AI197" s="323"/>
      <c r="AJ197" s="323"/>
      <c r="AK197" s="323"/>
      <c r="AL197" s="302"/>
    </row>
    <row r="198" spans="1:38" s="235" customFormat="1" ht="10.199999999999999" hidden="1">
      <c r="A198" s="202"/>
      <c r="B198" s="647" t="s">
        <v>554</v>
      </c>
      <c r="C198" s="536"/>
      <c r="D198" s="130"/>
      <c r="E198" s="538"/>
      <c r="F198" s="130"/>
      <c r="G198" s="202"/>
      <c r="H198" s="239"/>
      <c r="I198" s="239"/>
      <c r="J198" s="239"/>
      <c r="K198" s="246"/>
      <c r="L198" s="224"/>
      <c r="M198" s="541"/>
      <c r="N198" s="217"/>
      <c r="O198" s="209">
        <f>IF($E$196="",0,((Nutzung!$G$29+Regelung-1)+(($G$197-Nutzung!$G$29)/4)-H146)*I146*$D$196*$E$196*24/($N$145*1000))</f>
        <v>0</v>
      </c>
      <c r="P198" s="239"/>
      <c r="Q198" s="239"/>
      <c r="R198" s="239"/>
      <c r="S198" s="202"/>
      <c r="Z198" s="323"/>
      <c r="AA198" s="318"/>
      <c r="AB198" s="323"/>
      <c r="AC198" s="323"/>
      <c r="AD198" s="323"/>
      <c r="AE198" s="323"/>
      <c r="AF198" s="323"/>
      <c r="AG198" s="323"/>
      <c r="AH198" s="323"/>
      <c r="AI198" s="323"/>
      <c r="AJ198" s="323"/>
      <c r="AK198" s="323"/>
      <c r="AL198" s="302"/>
    </row>
    <row r="199" spans="1:38" s="235" customFormat="1" ht="10.199999999999999" hidden="1">
      <c r="A199" s="202"/>
      <c r="B199" s="647" t="s">
        <v>306</v>
      </c>
      <c r="C199" s="536"/>
      <c r="D199" s="130"/>
      <c r="E199" s="538"/>
      <c r="F199" s="130"/>
      <c r="G199" s="202"/>
      <c r="H199" s="239"/>
      <c r="I199" s="239"/>
      <c r="J199" s="239"/>
      <c r="K199" s="246"/>
      <c r="L199" s="224"/>
      <c r="M199" s="541"/>
      <c r="N199" s="217"/>
      <c r="O199" s="209">
        <f>IF($E$196="",0,((Nutzung!$G$29+Regelung-1)+(($G$197-Nutzung!$G$29)/4)-H147)*I147*$D$196*$E$196*24/($N$145*1000))</f>
        <v>0</v>
      </c>
      <c r="P199" s="239"/>
      <c r="Q199" s="239"/>
      <c r="R199" s="239"/>
      <c r="S199" s="202"/>
      <c r="Z199" s="323"/>
      <c r="AA199" s="318"/>
      <c r="AB199" s="323"/>
      <c r="AC199" s="323"/>
      <c r="AD199" s="323"/>
      <c r="AE199" s="323"/>
      <c r="AF199" s="323"/>
      <c r="AG199" s="323"/>
      <c r="AH199" s="323"/>
      <c r="AI199" s="323"/>
      <c r="AJ199" s="323"/>
      <c r="AK199" s="323"/>
      <c r="AL199" s="302"/>
    </row>
    <row r="200" spans="1:38" s="235" customFormat="1" ht="10.199999999999999" hidden="1">
      <c r="A200" s="202"/>
      <c r="B200" s="647" t="s">
        <v>409</v>
      </c>
      <c r="C200" s="536"/>
      <c r="D200" s="130"/>
      <c r="E200" s="538"/>
      <c r="F200" s="130"/>
      <c r="G200" s="202"/>
      <c r="H200" s="239"/>
      <c r="I200" s="239"/>
      <c r="J200" s="239"/>
      <c r="K200" s="246"/>
      <c r="L200" s="224"/>
      <c r="M200" s="541"/>
      <c r="N200" s="217"/>
      <c r="O200" s="209">
        <f>IF($E$196="",0,((Nutzung!$G$29+Regelung-1)+(($G$197-Nutzung!$G$29)/4)-H148)*I148*$D$196*$E$196*24/($N$145*1000))</f>
        <v>0</v>
      </c>
      <c r="P200" s="239"/>
      <c r="Q200" s="239"/>
      <c r="R200" s="239"/>
      <c r="S200" s="202"/>
      <c r="Z200" s="323"/>
      <c r="AA200" s="318"/>
      <c r="AB200" s="323"/>
      <c r="AC200" s="323"/>
      <c r="AD200" s="323"/>
      <c r="AE200" s="323"/>
      <c r="AF200" s="323"/>
      <c r="AG200" s="323"/>
      <c r="AH200" s="323"/>
      <c r="AI200" s="323"/>
      <c r="AJ200" s="323"/>
      <c r="AK200" s="323"/>
      <c r="AL200" s="302"/>
    </row>
    <row r="201" spans="1:38" s="235" customFormat="1" ht="10.199999999999999" hidden="1">
      <c r="A201" s="202"/>
      <c r="B201" s="647" t="s">
        <v>410</v>
      </c>
      <c r="C201" s="536"/>
      <c r="D201" s="130"/>
      <c r="E201" s="538"/>
      <c r="F201" s="130"/>
      <c r="G201" s="202"/>
      <c r="H201" s="239"/>
      <c r="I201" s="239"/>
      <c r="J201" s="239"/>
      <c r="K201" s="246"/>
      <c r="L201" s="224"/>
      <c r="M201" s="541"/>
      <c r="N201" s="217"/>
      <c r="O201" s="209">
        <f>IF($E$196="",0,((Nutzung!$G$29+Regelung-1)+(($G$197-Nutzung!$G$29)/4)-H149)*I149*$D$196*$E$196*24/($N$145*1000))</f>
        <v>0</v>
      </c>
      <c r="P201" s="239"/>
      <c r="Q201" s="239"/>
      <c r="R201" s="239"/>
      <c r="S201" s="202"/>
      <c r="Z201" s="323"/>
      <c r="AA201" s="318"/>
      <c r="AB201" s="323"/>
      <c r="AC201" s="323"/>
      <c r="AD201" s="323"/>
      <c r="AE201" s="323"/>
      <c r="AF201" s="323"/>
      <c r="AG201" s="323"/>
      <c r="AH201" s="323"/>
      <c r="AI201" s="323"/>
      <c r="AJ201" s="323"/>
      <c r="AK201" s="323"/>
      <c r="AL201" s="302"/>
    </row>
    <row r="202" spans="1:38" s="235" customFormat="1" ht="10.199999999999999" hidden="1">
      <c r="A202" s="202"/>
      <c r="B202" s="647" t="s">
        <v>411</v>
      </c>
      <c r="C202" s="536"/>
      <c r="D202" s="130"/>
      <c r="E202" s="538"/>
      <c r="F202" s="130"/>
      <c r="G202" s="202"/>
      <c r="H202" s="239"/>
      <c r="I202" s="239"/>
      <c r="J202" s="239"/>
      <c r="K202" s="246"/>
      <c r="L202" s="224"/>
      <c r="M202" s="541"/>
      <c r="N202" s="217"/>
      <c r="O202" s="209">
        <f>IF($E$196="",0,((Nutzung!$G$29+Regelung-1)+(($G$197-Nutzung!$G$29)/4)-H150)*I150*$D$196*$E$196*24/($N$145*1000))</f>
        <v>0</v>
      </c>
      <c r="P202" s="239"/>
      <c r="Q202" s="239"/>
      <c r="R202" s="239"/>
      <c r="S202" s="202"/>
      <c r="Z202" s="323"/>
      <c r="AA202" s="318"/>
      <c r="AB202" s="323"/>
      <c r="AC202" s="323"/>
      <c r="AD202" s="323"/>
      <c r="AE202" s="323"/>
      <c r="AF202" s="323"/>
      <c r="AG202" s="323"/>
      <c r="AH202" s="323"/>
      <c r="AI202" s="323"/>
      <c r="AJ202" s="323"/>
      <c r="AK202" s="323"/>
      <c r="AL202" s="302"/>
    </row>
    <row r="203" spans="1:38" s="235" customFormat="1" ht="10.199999999999999" hidden="1">
      <c r="A203" s="202"/>
      <c r="B203" s="647" t="s">
        <v>221</v>
      </c>
      <c r="C203" s="536"/>
      <c r="D203" s="130"/>
      <c r="E203" s="538"/>
      <c r="F203" s="130"/>
      <c r="G203" s="202"/>
      <c r="H203" s="239"/>
      <c r="I203" s="239"/>
      <c r="J203" s="239"/>
      <c r="K203" s="246"/>
      <c r="L203" s="224"/>
      <c r="M203" s="541"/>
      <c r="N203" s="217"/>
      <c r="O203" s="209">
        <f>IF($E$196="",0,((Nutzung!$G$29+Regelung-1)+(($G$197-Nutzung!$G$29)/4)-H151)*I151*$D$196*$E$196*24/($N$145*1000))</f>
        <v>0</v>
      </c>
      <c r="P203" s="239"/>
      <c r="Q203" s="239"/>
      <c r="R203" s="239"/>
      <c r="S203" s="202"/>
      <c r="Z203" s="323"/>
      <c r="AA203" s="318"/>
      <c r="AB203" s="323"/>
      <c r="AC203" s="323"/>
      <c r="AD203" s="323"/>
      <c r="AE203" s="323"/>
      <c r="AF203" s="323"/>
      <c r="AG203" s="323"/>
      <c r="AH203" s="323"/>
      <c r="AI203" s="323"/>
      <c r="AJ203" s="323"/>
      <c r="AK203" s="323"/>
      <c r="AL203" s="302"/>
    </row>
    <row r="204" spans="1:38" s="235" customFormat="1" ht="10.199999999999999" hidden="1">
      <c r="A204" s="202"/>
      <c r="B204" s="647" t="s">
        <v>138</v>
      </c>
      <c r="C204" s="536"/>
      <c r="D204" s="130"/>
      <c r="E204" s="538"/>
      <c r="F204" s="130"/>
      <c r="G204" s="202"/>
      <c r="H204" s="239"/>
      <c r="I204" s="239"/>
      <c r="J204" s="239"/>
      <c r="K204" s="246"/>
      <c r="L204" s="224"/>
      <c r="M204" s="541"/>
      <c r="N204" s="217"/>
      <c r="O204" s="209">
        <f>IF($E$196="",0,((Nutzung!$G$29+Regelung-1)+(($G$197-Nutzung!$G$29)/4)-H152)*I152*$D$196*$E$196*24/($N$145*1000))</f>
        <v>0</v>
      </c>
      <c r="P204" s="239"/>
      <c r="Q204" s="239"/>
      <c r="R204" s="239"/>
      <c r="S204" s="202"/>
      <c r="Z204" s="323"/>
      <c r="AA204" s="318"/>
      <c r="AB204" s="323"/>
      <c r="AC204" s="323"/>
      <c r="AD204" s="323"/>
      <c r="AE204" s="323"/>
      <c r="AF204" s="323"/>
      <c r="AG204" s="323"/>
      <c r="AH204" s="323"/>
      <c r="AI204" s="323"/>
      <c r="AJ204" s="323"/>
      <c r="AK204" s="323"/>
      <c r="AL204" s="302"/>
    </row>
    <row r="205" spans="1:38" s="235" customFormat="1" ht="10.199999999999999" hidden="1">
      <c r="A205" s="202"/>
      <c r="B205" s="647" t="s">
        <v>139</v>
      </c>
      <c r="C205" s="536"/>
      <c r="D205" s="130"/>
      <c r="E205" s="538"/>
      <c r="F205" s="130"/>
      <c r="G205" s="202"/>
      <c r="H205" s="239"/>
      <c r="I205" s="239"/>
      <c r="J205" s="239"/>
      <c r="K205" s="246"/>
      <c r="L205" s="224"/>
      <c r="M205" s="541"/>
      <c r="N205" s="217"/>
      <c r="O205" s="209">
        <f>IF($E$196="",0,((Nutzung!$G$29+Regelung-1)+(($G$197-Nutzung!$G$29)/4)-H153)*I153*$D$196*$E$196*24/($N$145*1000))</f>
        <v>0</v>
      </c>
      <c r="P205" s="239"/>
      <c r="Q205" s="239"/>
      <c r="R205" s="239"/>
      <c r="S205" s="202"/>
      <c r="Z205" s="323"/>
      <c r="AA205" s="318"/>
      <c r="AB205" s="323"/>
      <c r="AC205" s="323"/>
      <c r="AD205" s="323"/>
      <c r="AE205" s="323"/>
      <c r="AF205" s="323"/>
      <c r="AG205" s="323"/>
      <c r="AH205" s="323"/>
      <c r="AI205" s="323"/>
      <c r="AJ205" s="323"/>
      <c r="AK205" s="323"/>
      <c r="AL205" s="302"/>
    </row>
    <row r="206" spans="1:38" s="235" customFormat="1" ht="10.199999999999999" hidden="1">
      <c r="A206" s="202"/>
      <c r="B206" s="647" t="s">
        <v>269</v>
      </c>
      <c r="C206" s="536"/>
      <c r="D206" s="130"/>
      <c r="E206" s="538"/>
      <c r="F206" s="130"/>
      <c r="G206" s="202"/>
      <c r="H206" s="239"/>
      <c r="I206" s="239"/>
      <c r="J206" s="239"/>
      <c r="K206" s="246"/>
      <c r="L206" s="224"/>
      <c r="M206" s="541"/>
      <c r="N206" s="217"/>
      <c r="O206" s="209">
        <f>IF($E$196="",0,((Nutzung!$G$29+Regelung-1)+(($G$197-Nutzung!$G$29)/4)-H154)*I154*$D$196*$E$196*24/($N$145*1000))</f>
        <v>0</v>
      </c>
      <c r="P206" s="239"/>
      <c r="Q206" s="239"/>
      <c r="R206" s="239"/>
      <c r="S206" s="202"/>
      <c r="Z206" s="323"/>
      <c r="AA206" s="318"/>
      <c r="AB206" s="323"/>
      <c r="AC206" s="323"/>
      <c r="AD206" s="323"/>
      <c r="AE206" s="323"/>
      <c r="AF206" s="323"/>
      <c r="AG206" s="323"/>
      <c r="AH206" s="323"/>
      <c r="AI206" s="323"/>
      <c r="AJ206" s="323"/>
      <c r="AK206" s="323"/>
      <c r="AL206" s="302"/>
    </row>
    <row r="207" spans="1:38" s="235" customFormat="1" ht="10.199999999999999" hidden="1">
      <c r="A207" s="202"/>
      <c r="B207" s="647" t="s">
        <v>366</v>
      </c>
      <c r="C207" s="536"/>
      <c r="D207" s="130"/>
      <c r="E207" s="538"/>
      <c r="F207" s="130"/>
      <c r="G207" s="202"/>
      <c r="H207" s="239"/>
      <c r="I207" s="239"/>
      <c r="J207" s="239"/>
      <c r="K207" s="246"/>
      <c r="L207" s="224"/>
      <c r="M207" s="541"/>
      <c r="N207" s="217"/>
      <c r="O207" s="209">
        <f>IF($E$196="",0,((Nutzung!$G$29+Regelung-1)+(($G$197-Nutzung!$G$29)/4)-H155)*I155*$D$196*$E$196*24/($N$145*1000))</f>
        <v>0</v>
      </c>
      <c r="P207" s="239"/>
      <c r="Q207" s="239"/>
      <c r="R207" s="239"/>
      <c r="S207" s="202"/>
      <c r="Z207" s="323"/>
      <c r="AA207" s="318"/>
      <c r="AB207" s="323"/>
      <c r="AC207" s="323"/>
      <c r="AD207" s="323"/>
      <c r="AE207" s="323"/>
      <c r="AF207" s="323"/>
      <c r="AG207" s="323"/>
      <c r="AH207" s="323"/>
      <c r="AI207" s="323"/>
      <c r="AJ207" s="323"/>
      <c r="AK207" s="323"/>
      <c r="AL207" s="302"/>
    </row>
    <row r="208" spans="1:38" s="235" customFormat="1" ht="10.199999999999999" hidden="1">
      <c r="A208" s="202"/>
      <c r="B208" s="647" t="s">
        <v>465</v>
      </c>
      <c r="C208" s="536"/>
      <c r="D208" s="130"/>
      <c r="E208" s="538"/>
      <c r="F208" s="130"/>
      <c r="G208" s="202"/>
      <c r="H208" s="239"/>
      <c r="I208" s="239"/>
      <c r="J208" s="239"/>
      <c r="K208" s="246"/>
      <c r="L208" s="224"/>
      <c r="M208" s="541"/>
      <c r="N208" s="217"/>
      <c r="O208" s="209">
        <f>IF($E$196="",0,((Nutzung!$G$29+Regelung-1)+(($G$197-Nutzung!$G$29)/4)-H156)*I156*$D$196*$E$196*24/($N$145*1000))</f>
        <v>0</v>
      </c>
      <c r="P208" s="239"/>
      <c r="Q208" s="239"/>
      <c r="R208" s="239"/>
      <c r="S208" s="202"/>
      <c r="Z208" s="323"/>
      <c r="AA208" s="318"/>
      <c r="AB208" s="323"/>
      <c r="AC208" s="323"/>
      <c r="AD208" s="323"/>
      <c r="AE208" s="323"/>
      <c r="AF208" s="323"/>
      <c r="AG208" s="323"/>
      <c r="AH208" s="323"/>
      <c r="AI208" s="323"/>
      <c r="AJ208" s="323"/>
      <c r="AK208" s="323"/>
      <c r="AL208" s="302"/>
    </row>
    <row r="209" spans="1:38" ht="10.95" customHeight="1">
      <c r="A209" s="192"/>
      <c r="B209" s="648"/>
      <c r="C209" s="656"/>
      <c r="D209" s="657"/>
      <c r="E209" s="658"/>
      <c r="F209" s="659"/>
      <c r="G209" s="192"/>
      <c r="H209" s="198"/>
      <c r="I209" s="198"/>
      <c r="J209" s="198"/>
      <c r="K209" s="241"/>
      <c r="L209" s="220" t="str">
        <f>IF(E209="","",Nutzung!$G$29)</f>
        <v/>
      </c>
      <c r="M209" s="218" t="str">
        <f>IF(D209="","",AB209)</f>
        <v/>
      </c>
      <c r="N209" s="214">
        <f>IF(E209=0,0,SUM(O210:O221))</f>
        <v>0</v>
      </c>
      <c r="O209" s="215" t="str">
        <f>IF(N209/$O$1370=0,"",N209/$O$1370)</f>
        <v/>
      </c>
      <c r="P209" s="198"/>
      <c r="Q209" s="198"/>
      <c r="R209" s="198"/>
      <c r="S209" s="192"/>
      <c r="T209" s="182">
        <f>D209*E209</f>
        <v>0</v>
      </c>
      <c r="AA209" s="318">
        <f>IF(D209="",0,1)</f>
        <v>0</v>
      </c>
      <c r="AB209" s="318">
        <f>AB196+AA209</f>
        <v>0</v>
      </c>
    </row>
    <row r="210" spans="1:38" s="235" customFormat="1" ht="10.199999999999999" hidden="1">
      <c r="A210" s="202"/>
      <c r="B210" s="647" t="s">
        <v>49</v>
      </c>
      <c r="C210" s="724"/>
      <c r="D210" s="130"/>
      <c r="E210" s="538"/>
      <c r="F210" s="130"/>
      <c r="G210" s="694" t="str">
        <f>IF($L$209&lt;Nutzung!$G$29,Nutzung!$G$29,$L$209)</f>
        <v/>
      </c>
      <c r="H210" s="239"/>
      <c r="I210" s="239"/>
      <c r="J210" s="239"/>
      <c r="K210" s="246">
        <f>IF(L209="",Nutzung!$G$29,Bauteile!L209)</f>
        <v>0</v>
      </c>
      <c r="L210" s="224"/>
      <c r="M210" s="541"/>
      <c r="N210" s="217"/>
      <c r="O210" s="209">
        <f>IF($E$209="",0,((Nutzung!$G$29+Regelung-1)+(($G$210-Nutzung!$G$29)/4)-H145)*I145*$D$209*$E$209*24/($N$145*1000))</f>
        <v>0</v>
      </c>
      <c r="P210" s="239"/>
      <c r="Q210" s="239"/>
      <c r="R210" s="239"/>
      <c r="S210" s="202"/>
      <c r="Z210" s="323"/>
      <c r="AA210" s="318"/>
      <c r="AB210" s="323"/>
      <c r="AC210" s="323"/>
      <c r="AD210" s="323"/>
      <c r="AE210" s="323"/>
      <c r="AF210" s="323"/>
      <c r="AG210" s="323"/>
      <c r="AH210" s="323"/>
      <c r="AI210" s="323"/>
      <c r="AJ210" s="323"/>
      <c r="AK210" s="323"/>
      <c r="AL210" s="302"/>
    </row>
    <row r="211" spans="1:38" s="235" customFormat="1" ht="10.199999999999999" hidden="1">
      <c r="A211" s="202"/>
      <c r="B211" s="647" t="s">
        <v>554</v>
      </c>
      <c r="C211" s="536"/>
      <c r="D211" s="130"/>
      <c r="E211" s="538"/>
      <c r="F211" s="130"/>
      <c r="G211" s="202"/>
      <c r="H211" s="239"/>
      <c r="I211" s="239"/>
      <c r="J211" s="239"/>
      <c r="K211" s="246"/>
      <c r="L211" s="224"/>
      <c r="M211" s="541"/>
      <c r="N211" s="217"/>
      <c r="O211" s="209">
        <f>IF($E$209="",0,((Nutzung!$G$29+Regelung-1)+(($G$210-Nutzung!$G$29)/4)-H146)*I146*$D$209*$E$209*24/($N$145*1000))</f>
        <v>0</v>
      </c>
      <c r="P211" s="239"/>
      <c r="Q211" s="239"/>
      <c r="R211" s="239"/>
      <c r="S211" s="202"/>
      <c r="Z211" s="323"/>
      <c r="AA211" s="318"/>
      <c r="AB211" s="323"/>
      <c r="AC211" s="323"/>
      <c r="AD211" s="323"/>
      <c r="AE211" s="323"/>
      <c r="AF211" s="323"/>
      <c r="AG211" s="323"/>
      <c r="AH211" s="323"/>
      <c r="AI211" s="323"/>
      <c r="AJ211" s="323"/>
      <c r="AK211" s="323"/>
      <c r="AL211" s="302"/>
    </row>
    <row r="212" spans="1:38" s="235" customFormat="1" ht="10.199999999999999" hidden="1">
      <c r="A212" s="202"/>
      <c r="B212" s="647" t="s">
        <v>306</v>
      </c>
      <c r="C212" s="536"/>
      <c r="D212" s="130"/>
      <c r="E212" s="538"/>
      <c r="F212" s="130"/>
      <c r="G212" s="202"/>
      <c r="H212" s="239"/>
      <c r="I212" s="239"/>
      <c r="J212" s="239"/>
      <c r="K212" s="246"/>
      <c r="L212" s="224"/>
      <c r="M212" s="541"/>
      <c r="N212" s="217"/>
      <c r="O212" s="209">
        <f>IF($E$209="",0,((Nutzung!$G$29+Regelung-1)+(($G$210-Nutzung!$G$29)/4)-H147)*I147*$D$209*$E$209*24/($N$145*1000))</f>
        <v>0</v>
      </c>
      <c r="P212" s="239"/>
      <c r="Q212" s="239"/>
      <c r="R212" s="239"/>
      <c r="S212" s="202"/>
      <c r="Z212" s="323"/>
      <c r="AA212" s="318"/>
      <c r="AB212" s="323"/>
      <c r="AC212" s="323"/>
      <c r="AD212" s="323"/>
      <c r="AE212" s="323"/>
      <c r="AF212" s="323"/>
      <c r="AG212" s="323"/>
      <c r="AH212" s="323"/>
      <c r="AI212" s="323"/>
      <c r="AJ212" s="323"/>
      <c r="AK212" s="323"/>
      <c r="AL212" s="302"/>
    </row>
    <row r="213" spans="1:38" s="235" customFormat="1" ht="10.199999999999999" hidden="1">
      <c r="A213" s="202"/>
      <c r="B213" s="647" t="s">
        <v>409</v>
      </c>
      <c r="C213" s="536"/>
      <c r="D213" s="130"/>
      <c r="E213" s="538"/>
      <c r="F213" s="130"/>
      <c r="G213" s="202"/>
      <c r="H213" s="239"/>
      <c r="I213" s="239"/>
      <c r="J213" s="239"/>
      <c r="K213" s="246"/>
      <c r="L213" s="224"/>
      <c r="M213" s="541"/>
      <c r="N213" s="217"/>
      <c r="O213" s="209">
        <f>IF($E$209="",0,((Nutzung!$G$29+Regelung-1)+(($G$210-Nutzung!$G$29)/4)-H148)*I148*$D$209*$E$209*24/($N$145*1000))</f>
        <v>0</v>
      </c>
      <c r="P213" s="239"/>
      <c r="Q213" s="239"/>
      <c r="R213" s="239"/>
      <c r="S213" s="202"/>
      <c r="Z213" s="323"/>
      <c r="AA213" s="318"/>
      <c r="AB213" s="323"/>
      <c r="AC213" s="323"/>
      <c r="AD213" s="323"/>
      <c r="AE213" s="323"/>
      <c r="AF213" s="323"/>
      <c r="AG213" s="323"/>
      <c r="AH213" s="323"/>
      <c r="AI213" s="323"/>
      <c r="AJ213" s="323"/>
      <c r="AK213" s="323"/>
      <c r="AL213" s="302"/>
    </row>
    <row r="214" spans="1:38" s="235" customFormat="1" ht="10.199999999999999" hidden="1">
      <c r="A214" s="202"/>
      <c r="B214" s="647" t="s">
        <v>410</v>
      </c>
      <c r="C214" s="536"/>
      <c r="D214" s="130"/>
      <c r="E214" s="538"/>
      <c r="F214" s="130"/>
      <c r="G214" s="202"/>
      <c r="H214" s="239"/>
      <c r="I214" s="239"/>
      <c r="J214" s="239"/>
      <c r="K214" s="246"/>
      <c r="L214" s="224"/>
      <c r="M214" s="541"/>
      <c r="N214" s="217"/>
      <c r="O214" s="209">
        <f>IF($E$209="",0,((Nutzung!$G$29+Regelung-1)+(($G$210-Nutzung!$G$29)/4)-H149)*I149*$D$209*$E$209*24/($N$145*1000))</f>
        <v>0</v>
      </c>
      <c r="P214" s="239"/>
      <c r="Q214" s="239"/>
      <c r="R214" s="239"/>
      <c r="S214" s="202"/>
      <c r="Z214" s="323"/>
      <c r="AA214" s="318"/>
      <c r="AB214" s="323"/>
      <c r="AC214" s="323"/>
      <c r="AD214" s="323"/>
      <c r="AE214" s="323"/>
      <c r="AF214" s="323"/>
      <c r="AG214" s="323"/>
      <c r="AH214" s="323"/>
      <c r="AI214" s="323"/>
      <c r="AJ214" s="323"/>
      <c r="AK214" s="323"/>
      <c r="AL214" s="302"/>
    </row>
    <row r="215" spans="1:38" s="235" customFormat="1" ht="10.199999999999999" hidden="1">
      <c r="A215" s="202"/>
      <c r="B215" s="647" t="s">
        <v>411</v>
      </c>
      <c r="C215" s="536"/>
      <c r="D215" s="130"/>
      <c r="E215" s="538"/>
      <c r="F215" s="130"/>
      <c r="G215" s="202"/>
      <c r="H215" s="239"/>
      <c r="I215" s="239"/>
      <c r="J215" s="239"/>
      <c r="K215" s="246"/>
      <c r="L215" s="224"/>
      <c r="M215" s="541"/>
      <c r="N215" s="217"/>
      <c r="O215" s="209">
        <f>IF($E$209="",0,((Nutzung!$G$29+Regelung-1)+(($G$210-Nutzung!$G$29)/4)-H150)*I150*$D$209*$E$209*24/($N$145*1000))</f>
        <v>0</v>
      </c>
      <c r="P215" s="239"/>
      <c r="Q215" s="239"/>
      <c r="R215" s="239"/>
      <c r="S215" s="202"/>
      <c r="Z215" s="323"/>
      <c r="AA215" s="318"/>
      <c r="AB215" s="323"/>
      <c r="AC215" s="323"/>
      <c r="AD215" s="323"/>
      <c r="AE215" s="323"/>
      <c r="AF215" s="323"/>
      <c r="AG215" s="323"/>
      <c r="AH215" s="323"/>
      <c r="AI215" s="323"/>
      <c r="AJ215" s="323"/>
      <c r="AK215" s="323"/>
      <c r="AL215" s="302"/>
    </row>
    <row r="216" spans="1:38" s="235" customFormat="1" ht="10.199999999999999" hidden="1">
      <c r="A216" s="202"/>
      <c r="B216" s="647" t="s">
        <v>221</v>
      </c>
      <c r="C216" s="536"/>
      <c r="D216" s="130"/>
      <c r="E216" s="538"/>
      <c r="F216" s="130"/>
      <c r="G216" s="202"/>
      <c r="H216" s="239"/>
      <c r="I216" s="239"/>
      <c r="J216" s="239"/>
      <c r="K216" s="246"/>
      <c r="L216" s="224"/>
      <c r="M216" s="541"/>
      <c r="N216" s="217"/>
      <c r="O216" s="209">
        <f>IF($E$209="",0,((Nutzung!$G$29+Regelung-1)+(($G$210-Nutzung!$G$29)/4)-H151)*I151*$D$209*$E$209*24/($N$145*1000))</f>
        <v>0</v>
      </c>
      <c r="P216" s="239"/>
      <c r="Q216" s="239"/>
      <c r="R216" s="239"/>
      <c r="S216" s="202"/>
      <c r="Z216" s="323"/>
      <c r="AA216" s="318"/>
      <c r="AB216" s="323"/>
      <c r="AC216" s="323"/>
      <c r="AD216" s="323"/>
      <c r="AE216" s="323"/>
      <c r="AF216" s="323"/>
      <c r="AG216" s="323"/>
      <c r="AH216" s="323"/>
      <c r="AI216" s="323"/>
      <c r="AJ216" s="323"/>
      <c r="AK216" s="323"/>
      <c r="AL216" s="302"/>
    </row>
    <row r="217" spans="1:38" s="235" customFormat="1" ht="10.199999999999999" hidden="1">
      <c r="A217" s="202"/>
      <c r="B217" s="647" t="s">
        <v>138</v>
      </c>
      <c r="C217" s="536"/>
      <c r="D217" s="130"/>
      <c r="E217" s="538"/>
      <c r="F217" s="130"/>
      <c r="G217" s="202"/>
      <c r="H217" s="239"/>
      <c r="I217" s="239"/>
      <c r="J217" s="239"/>
      <c r="K217" s="246"/>
      <c r="L217" s="224"/>
      <c r="M217" s="541"/>
      <c r="N217" s="217"/>
      <c r="O217" s="209">
        <f>IF($E$209="",0,((Nutzung!$G$29+Regelung-1)+(($G$210-Nutzung!$G$29)/4)-H152)*I152*$D$209*$E$209*24/($N$145*1000))</f>
        <v>0</v>
      </c>
      <c r="P217" s="239"/>
      <c r="Q217" s="239"/>
      <c r="R217" s="239"/>
      <c r="S217" s="202"/>
      <c r="Z217" s="323"/>
      <c r="AA217" s="318"/>
      <c r="AB217" s="323"/>
      <c r="AC217" s="323"/>
      <c r="AD217" s="323"/>
      <c r="AE217" s="323"/>
      <c r="AF217" s="323"/>
      <c r="AG217" s="323"/>
      <c r="AH217" s="323"/>
      <c r="AI217" s="323"/>
      <c r="AJ217" s="323"/>
      <c r="AK217" s="323"/>
      <c r="AL217" s="302"/>
    </row>
    <row r="218" spans="1:38" s="235" customFormat="1" ht="10.199999999999999" hidden="1">
      <c r="A218" s="202"/>
      <c r="B218" s="647" t="s">
        <v>139</v>
      </c>
      <c r="C218" s="536"/>
      <c r="D218" s="130"/>
      <c r="E218" s="538"/>
      <c r="F218" s="130"/>
      <c r="G218" s="202"/>
      <c r="H218" s="239"/>
      <c r="I218" s="239"/>
      <c r="J218" s="239"/>
      <c r="K218" s="246"/>
      <c r="L218" s="224"/>
      <c r="M218" s="541"/>
      <c r="N218" s="217"/>
      <c r="O218" s="209">
        <f>IF($E$209="",0,((Nutzung!$G$29+Regelung-1)+(($G$210-Nutzung!$G$29)/4)-H153)*I153*$D$209*$E$209*24/($N$145*1000))</f>
        <v>0</v>
      </c>
      <c r="P218" s="239"/>
      <c r="Q218" s="239"/>
      <c r="R218" s="239"/>
      <c r="S218" s="202"/>
      <c r="Z218" s="323"/>
      <c r="AA218" s="318"/>
      <c r="AB218" s="323"/>
      <c r="AC218" s="323"/>
      <c r="AD218" s="323"/>
      <c r="AE218" s="323"/>
      <c r="AF218" s="323"/>
      <c r="AG218" s="323"/>
      <c r="AH218" s="323"/>
      <c r="AI218" s="323"/>
      <c r="AJ218" s="323"/>
      <c r="AK218" s="323"/>
      <c r="AL218" s="302"/>
    </row>
    <row r="219" spans="1:38" s="235" customFormat="1" ht="10.199999999999999" hidden="1">
      <c r="A219" s="202"/>
      <c r="B219" s="647" t="s">
        <v>269</v>
      </c>
      <c r="C219" s="536"/>
      <c r="D219" s="130"/>
      <c r="E219" s="538"/>
      <c r="F219" s="130"/>
      <c r="G219" s="202"/>
      <c r="H219" s="239"/>
      <c r="I219" s="239"/>
      <c r="J219" s="239"/>
      <c r="K219" s="246"/>
      <c r="L219" s="224"/>
      <c r="M219" s="541"/>
      <c r="N219" s="217"/>
      <c r="O219" s="209">
        <f>IF($E$209="",0,((Nutzung!$G$29+Regelung-1)+(($G$210-Nutzung!$G$29)/4)-H154)*I154*$D$209*$E$209*24/($N$145*1000))</f>
        <v>0</v>
      </c>
      <c r="P219" s="239"/>
      <c r="Q219" s="239"/>
      <c r="R219" s="239"/>
      <c r="S219" s="202"/>
      <c r="Z219" s="323"/>
      <c r="AA219" s="318"/>
      <c r="AB219" s="323"/>
      <c r="AC219" s="323"/>
      <c r="AD219" s="323"/>
      <c r="AE219" s="323"/>
      <c r="AF219" s="323"/>
      <c r="AG219" s="323"/>
      <c r="AH219" s="323"/>
      <c r="AI219" s="323"/>
      <c r="AJ219" s="323"/>
      <c r="AK219" s="323"/>
      <c r="AL219" s="302"/>
    </row>
    <row r="220" spans="1:38" s="235" customFormat="1" ht="10.199999999999999" hidden="1">
      <c r="A220" s="202"/>
      <c r="B220" s="647" t="s">
        <v>366</v>
      </c>
      <c r="C220" s="536"/>
      <c r="D220" s="130"/>
      <c r="E220" s="538"/>
      <c r="F220" s="130"/>
      <c r="G220" s="202"/>
      <c r="H220" s="239"/>
      <c r="I220" s="239"/>
      <c r="J220" s="239"/>
      <c r="K220" s="246"/>
      <c r="L220" s="224"/>
      <c r="M220" s="541"/>
      <c r="N220" s="217"/>
      <c r="O220" s="209">
        <f>IF($E$209="",0,((Nutzung!$G$29+Regelung-1)+(($G$210-Nutzung!$G$29)/4)-H155)*I155*$D$209*$E$209*24/($N$145*1000))</f>
        <v>0</v>
      </c>
      <c r="P220" s="239"/>
      <c r="Q220" s="239"/>
      <c r="R220" s="239"/>
      <c r="S220" s="202"/>
      <c r="Z220" s="323"/>
      <c r="AA220" s="318"/>
      <c r="AB220" s="323"/>
      <c r="AC220" s="323"/>
      <c r="AD220" s="323"/>
      <c r="AE220" s="323"/>
      <c r="AF220" s="323"/>
      <c r="AG220" s="323"/>
      <c r="AH220" s="323"/>
      <c r="AI220" s="323"/>
      <c r="AJ220" s="323"/>
      <c r="AK220" s="323"/>
      <c r="AL220" s="302"/>
    </row>
    <row r="221" spans="1:38" s="235" customFormat="1" ht="10.199999999999999" hidden="1">
      <c r="A221" s="202"/>
      <c r="B221" s="647" t="s">
        <v>465</v>
      </c>
      <c r="C221" s="536"/>
      <c r="D221" s="130"/>
      <c r="E221" s="538"/>
      <c r="F221" s="130"/>
      <c r="G221" s="202"/>
      <c r="H221" s="239"/>
      <c r="I221" s="239"/>
      <c r="J221" s="239"/>
      <c r="K221" s="246"/>
      <c r="L221" s="224"/>
      <c r="M221" s="541"/>
      <c r="N221" s="217"/>
      <c r="O221" s="209">
        <f>IF($E$209="",0,((Nutzung!$G$29+Regelung-1)+(($G$210-Nutzung!$G$29)/4)-H156)*I156*$D$209*$E$209*24/($N$145*1000))</f>
        <v>0</v>
      </c>
      <c r="P221" s="239"/>
      <c r="Q221" s="239"/>
      <c r="R221" s="239"/>
      <c r="S221" s="202"/>
      <c r="Z221" s="323"/>
      <c r="AA221" s="318"/>
      <c r="AB221" s="323"/>
      <c r="AC221" s="323"/>
      <c r="AD221" s="323"/>
      <c r="AE221" s="323"/>
      <c r="AF221" s="323"/>
      <c r="AG221" s="323"/>
      <c r="AH221" s="323"/>
      <c r="AI221" s="323"/>
      <c r="AJ221" s="323"/>
      <c r="AK221" s="323"/>
      <c r="AL221" s="302"/>
    </row>
    <row r="222" spans="1:38" ht="10.95" customHeight="1">
      <c r="A222" s="192"/>
      <c r="B222" s="648"/>
      <c r="C222" s="656"/>
      <c r="D222" s="657"/>
      <c r="E222" s="658"/>
      <c r="F222" s="659"/>
      <c r="G222" s="192"/>
      <c r="H222" s="198"/>
      <c r="I222" s="198"/>
      <c r="J222" s="198"/>
      <c r="K222" s="241"/>
      <c r="L222" s="220" t="str">
        <f>IF(E222="","",Nutzung!$G$29)</f>
        <v/>
      </c>
      <c r="M222" s="218" t="str">
        <f>IF(D222="","",AB222)</f>
        <v/>
      </c>
      <c r="N222" s="214">
        <f>IF(E222=0,0,SUM(O223:O234))</f>
        <v>0</v>
      </c>
      <c r="O222" s="215" t="str">
        <f>IF(N222/$O$1370=0,"",N222/$O$1370)</f>
        <v/>
      </c>
      <c r="P222" s="198"/>
      <c r="Q222" s="198"/>
      <c r="R222" s="198"/>
      <c r="S222" s="192"/>
      <c r="T222" s="182">
        <f>D222*E222</f>
        <v>0</v>
      </c>
      <c r="AA222" s="318">
        <f>IF(D222="",0,1)</f>
        <v>0</v>
      </c>
      <c r="AB222" s="318">
        <f>AB209+AA222</f>
        <v>0</v>
      </c>
    </row>
    <row r="223" spans="1:38" s="235" customFormat="1" ht="10.199999999999999" hidden="1">
      <c r="A223" s="202"/>
      <c r="B223" s="647" t="s">
        <v>49</v>
      </c>
      <c r="C223" s="724"/>
      <c r="D223" s="130"/>
      <c r="E223" s="538"/>
      <c r="F223" s="130"/>
      <c r="G223" s="694" t="str">
        <f>IF($L$222&lt;Nutzung!$G$29,Nutzung!$G$29,$L$222)</f>
        <v/>
      </c>
      <c r="H223" s="239"/>
      <c r="I223" s="239"/>
      <c r="J223" s="239"/>
      <c r="K223" s="246">
        <f>IF(L222="",Nutzung!$G$29,Bauteile!L222)</f>
        <v>0</v>
      </c>
      <c r="L223" s="224"/>
      <c r="M223" s="541"/>
      <c r="N223" s="217"/>
      <c r="O223" s="209">
        <f>IF($E$222="",0,((Nutzung!$G$29+Regelung-1)+(($G$223-Nutzung!$G$29)/4)-H145)*I145*$D$222*$E$222*24/($N$145*1000))</f>
        <v>0</v>
      </c>
      <c r="P223" s="239"/>
      <c r="Q223" s="239"/>
      <c r="R223" s="239"/>
      <c r="S223" s="202"/>
      <c r="Z223" s="323"/>
      <c r="AA223" s="318"/>
      <c r="AB223" s="323"/>
      <c r="AC223" s="323"/>
      <c r="AD223" s="323"/>
      <c r="AE223" s="323"/>
      <c r="AF223" s="323"/>
      <c r="AG223" s="323"/>
      <c r="AH223" s="323"/>
      <c r="AI223" s="323"/>
      <c r="AJ223" s="323"/>
      <c r="AK223" s="323"/>
      <c r="AL223" s="302"/>
    </row>
    <row r="224" spans="1:38" s="235" customFormat="1" ht="10.199999999999999" hidden="1">
      <c r="A224" s="202"/>
      <c r="B224" s="647" t="s">
        <v>554</v>
      </c>
      <c r="C224" s="536"/>
      <c r="D224" s="130"/>
      <c r="E224" s="538"/>
      <c r="F224" s="130"/>
      <c r="G224" s="202"/>
      <c r="H224" s="239"/>
      <c r="I224" s="239"/>
      <c r="J224" s="239"/>
      <c r="K224" s="246"/>
      <c r="L224" s="224"/>
      <c r="M224" s="541"/>
      <c r="N224" s="217"/>
      <c r="O224" s="209">
        <f>IF($E$222="",0,((Nutzung!$G$29+Regelung-1)+(($G$223-Nutzung!$G$29)/4)-H146)*I146*$D$222*$E$222*24/($N$145*1000))</f>
        <v>0</v>
      </c>
      <c r="P224" s="239"/>
      <c r="Q224" s="239"/>
      <c r="R224" s="239"/>
      <c r="S224" s="202"/>
      <c r="Z224" s="323"/>
      <c r="AA224" s="318"/>
      <c r="AB224" s="323"/>
      <c r="AC224" s="323"/>
      <c r="AD224" s="323"/>
      <c r="AE224" s="323"/>
      <c r="AF224" s="323"/>
      <c r="AG224" s="323"/>
      <c r="AH224" s="323"/>
      <c r="AI224" s="323"/>
      <c r="AJ224" s="323"/>
      <c r="AK224" s="323"/>
      <c r="AL224" s="302"/>
    </row>
    <row r="225" spans="1:38" s="235" customFormat="1" ht="10.199999999999999" hidden="1">
      <c r="A225" s="202"/>
      <c r="B225" s="647" t="s">
        <v>306</v>
      </c>
      <c r="C225" s="536"/>
      <c r="D225" s="130"/>
      <c r="E225" s="538"/>
      <c r="F225" s="130"/>
      <c r="G225" s="202"/>
      <c r="H225" s="239"/>
      <c r="I225" s="239"/>
      <c r="J225" s="239"/>
      <c r="K225" s="246"/>
      <c r="L225" s="224"/>
      <c r="M225" s="541"/>
      <c r="N225" s="217"/>
      <c r="O225" s="209">
        <f>IF($E$222="",0,((Nutzung!$G$29+Regelung-1)+(($G$223-Nutzung!$G$29)/4)-H147)*I147*$D$222*$E$222*24/($N$145*1000))</f>
        <v>0</v>
      </c>
      <c r="P225" s="239"/>
      <c r="Q225" s="239"/>
      <c r="R225" s="239"/>
      <c r="S225" s="202"/>
      <c r="Z225" s="323"/>
      <c r="AA225" s="318"/>
      <c r="AB225" s="323"/>
      <c r="AC225" s="323"/>
      <c r="AD225" s="323"/>
      <c r="AE225" s="323"/>
      <c r="AF225" s="323"/>
      <c r="AG225" s="323"/>
      <c r="AH225" s="323"/>
      <c r="AI225" s="323"/>
      <c r="AJ225" s="323"/>
      <c r="AK225" s="323"/>
      <c r="AL225" s="302"/>
    </row>
    <row r="226" spans="1:38" s="235" customFormat="1" ht="10.199999999999999" hidden="1">
      <c r="A226" s="202"/>
      <c r="B226" s="647" t="s">
        <v>409</v>
      </c>
      <c r="C226" s="536"/>
      <c r="D226" s="130"/>
      <c r="E226" s="538"/>
      <c r="F226" s="130"/>
      <c r="G226" s="202"/>
      <c r="H226" s="239"/>
      <c r="I226" s="239"/>
      <c r="J226" s="239"/>
      <c r="K226" s="246"/>
      <c r="L226" s="224"/>
      <c r="M226" s="541"/>
      <c r="N226" s="217"/>
      <c r="O226" s="209">
        <f>IF($E$222="",0,((Nutzung!$G$29+Regelung-1)+(($G$223-Nutzung!$G$29)/4)-H148)*I148*$D$222*$E$222*24/($N$145*1000))</f>
        <v>0</v>
      </c>
      <c r="P226" s="239"/>
      <c r="Q226" s="239"/>
      <c r="R226" s="239"/>
      <c r="S226" s="202"/>
      <c r="Z226" s="323"/>
      <c r="AA226" s="318"/>
      <c r="AB226" s="323"/>
      <c r="AC226" s="323"/>
      <c r="AD226" s="323"/>
      <c r="AE226" s="323"/>
      <c r="AF226" s="323"/>
      <c r="AG226" s="323"/>
      <c r="AH226" s="323"/>
      <c r="AI226" s="323"/>
      <c r="AJ226" s="323"/>
      <c r="AK226" s="323"/>
      <c r="AL226" s="302"/>
    </row>
    <row r="227" spans="1:38" s="235" customFormat="1" ht="10.199999999999999" hidden="1">
      <c r="A227" s="202"/>
      <c r="B227" s="647" t="s">
        <v>410</v>
      </c>
      <c r="C227" s="536"/>
      <c r="D227" s="130"/>
      <c r="E227" s="538"/>
      <c r="F227" s="130"/>
      <c r="G227" s="202"/>
      <c r="H227" s="239"/>
      <c r="I227" s="239"/>
      <c r="J227" s="239"/>
      <c r="K227" s="246"/>
      <c r="L227" s="224"/>
      <c r="M227" s="541"/>
      <c r="N227" s="217"/>
      <c r="O227" s="209">
        <f>IF($E$222="",0,((Nutzung!$G$29+Regelung-1)+(($G$223-Nutzung!$G$29)/4)-H149)*I149*$D$222*$E$222*24/($N$145*1000))</f>
        <v>0</v>
      </c>
      <c r="P227" s="239"/>
      <c r="Q227" s="239"/>
      <c r="R227" s="239"/>
      <c r="S227" s="202"/>
      <c r="Z227" s="323"/>
      <c r="AA227" s="318"/>
      <c r="AB227" s="323"/>
      <c r="AC227" s="323"/>
      <c r="AD227" s="323"/>
      <c r="AE227" s="323"/>
      <c r="AF227" s="323"/>
      <c r="AG227" s="323"/>
      <c r="AH227" s="323"/>
      <c r="AI227" s="323"/>
      <c r="AJ227" s="323"/>
      <c r="AK227" s="323"/>
      <c r="AL227" s="302"/>
    </row>
    <row r="228" spans="1:38" s="235" customFormat="1" ht="10.199999999999999" hidden="1">
      <c r="A228" s="202"/>
      <c r="B228" s="647" t="s">
        <v>411</v>
      </c>
      <c r="C228" s="536"/>
      <c r="D228" s="130"/>
      <c r="E228" s="538"/>
      <c r="F228" s="130"/>
      <c r="G228" s="202"/>
      <c r="H228" s="239"/>
      <c r="I228" s="239"/>
      <c r="J228" s="239"/>
      <c r="K228" s="246"/>
      <c r="L228" s="224"/>
      <c r="M228" s="541"/>
      <c r="N228" s="217"/>
      <c r="O228" s="209">
        <f>IF($E$222="",0,((Nutzung!$G$29+Regelung-1)+(($G$223-Nutzung!$G$29)/4)-H150)*I150*$D$222*$E$222*24/($N$145*1000))</f>
        <v>0</v>
      </c>
      <c r="P228" s="239"/>
      <c r="Q228" s="239"/>
      <c r="R228" s="239"/>
      <c r="S228" s="202"/>
      <c r="Z228" s="323"/>
      <c r="AA228" s="318"/>
      <c r="AB228" s="323"/>
      <c r="AC228" s="323"/>
      <c r="AD228" s="323"/>
      <c r="AE228" s="323"/>
      <c r="AF228" s="323"/>
      <c r="AG228" s="323"/>
      <c r="AH228" s="323"/>
      <c r="AI228" s="323"/>
      <c r="AJ228" s="323"/>
      <c r="AK228" s="323"/>
      <c r="AL228" s="302"/>
    </row>
    <row r="229" spans="1:38" s="235" customFormat="1" ht="10.199999999999999" hidden="1">
      <c r="A229" s="202"/>
      <c r="B229" s="647" t="s">
        <v>221</v>
      </c>
      <c r="C229" s="536"/>
      <c r="D229" s="130"/>
      <c r="E229" s="538"/>
      <c r="F229" s="130"/>
      <c r="G229" s="202"/>
      <c r="H229" s="239"/>
      <c r="I229" s="239"/>
      <c r="J229" s="239"/>
      <c r="K229" s="246"/>
      <c r="L229" s="224"/>
      <c r="M229" s="541"/>
      <c r="N229" s="217"/>
      <c r="O229" s="209">
        <f>IF($E$222="",0,((Nutzung!$G$29+Regelung-1)+(($G$223-Nutzung!$G$29)/4)-H151)*I151*$D$222*$E$222*24/($N$145*1000))</f>
        <v>0</v>
      </c>
      <c r="P229" s="239"/>
      <c r="Q229" s="239"/>
      <c r="R229" s="239"/>
      <c r="S229" s="202"/>
      <c r="Z229" s="323"/>
      <c r="AA229" s="318"/>
      <c r="AB229" s="323"/>
      <c r="AC229" s="323"/>
      <c r="AD229" s="323"/>
      <c r="AE229" s="323"/>
      <c r="AF229" s="323"/>
      <c r="AG229" s="323"/>
      <c r="AH229" s="323"/>
      <c r="AI229" s="323"/>
      <c r="AJ229" s="323"/>
      <c r="AK229" s="323"/>
      <c r="AL229" s="302"/>
    </row>
    <row r="230" spans="1:38" s="235" customFormat="1" ht="10.199999999999999" hidden="1">
      <c r="A230" s="202"/>
      <c r="B230" s="647" t="s">
        <v>138</v>
      </c>
      <c r="C230" s="536"/>
      <c r="D230" s="130"/>
      <c r="E230" s="538"/>
      <c r="F230" s="130"/>
      <c r="G230" s="202"/>
      <c r="H230" s="239"/>
      <c r="I230" s="239"/>
      <c r="J230" s="239"/>
      <c r="K230" s="246"/>
      <c r="L230" s="224"/>
      <c r="M230" s="541"/>
      <c r="N230" s="217"/>
      <c r="O230" s="209">
        <f>IF($E$222="",0,((Nutzung!$G$29+Regelung-1)+(($G$223-Nutzung!$G$29)/4)-H152)*I152*$D$222*$E$222*24/($N$145*1000))</f>
        <v>0</v>
      </c>
      <c r="P230" s="239"/>
      <c r="Q230" s="239"/>
      <c r="R230" s="239"/>
      <c r="S230" s="202"/>
      <c r="Z230" s="323"/>
      <c r="AA230" s="318"/>
      <c r="AB230" s="323"/>
      <c r="AC230" s="323"/>
      <c r="AD230" s="323"/>
      <c r="AE230" s="323"/>
      <c r="AF230" s="323"/>
      <c r="AG230" s="323"/>
      <c r="AH230" s="323"/>
      <c r="AI230" s="323"/>
      <c r="AJ230" s="323"/>
      <c r="AK230" s="323"/>
      <c r="AL230" s="302"/>
    </row>
    <row r="231" spans="1:38" s="235" customFormat="1" ht="10.199999999999999" hidden="1">
      <c r="A231" s="202"/>
      <c r="B231" s="647" t="s">
        <v>139</v>
      </c>
      <c r="C231" s="536"/>
      <c r="D231" s="130"/>
      <c r="E231" s="538"/>
      <c r="F231" s="130"/>
      <c r="G231" s="202"/>
      <c r="H231" s="239"/>
      <c r="I231" s="239"/>
      <c r="J231" s="239"/>
      <c r="K231" s="246"/>
      <c r="L231" s="224"/>
      <c r="M231" s="541"/>
      <c r="N231" s="217"/>
      <c r="O231" s="209">
        <f>IF($E$222="",0,((Nutzung!$G$29+Regelung-1)+(($G$223-Nutzung!$G$29)/4)-H153)*I153*$D$222*$E$222*24/($N$145*1000))</f>
        <v>0</v>
      </c>
      <c r="P231" s="239"/>
      <c r="Q231" s="239"/>
      <c r="R231" s="239"/>
      <c r="S231" s="202"/>
      <c r="Z231" s="323"/>
      <c r="AA231" s="318"/>
      <c r="AB231" s="323"/>
      <c r="AC231" s="323"/>
      <c r="AD231" s="323"/>
      <c r="AE231" s="323"/>
      <c r="AF231" s="323"/>
      <c r="AG231" s="323"/>
      <c r="AH231" s="323"/>
      <c r="AI231" s="323"/>
      <c r="AJ231" s="323"/>
      <c r="AK231" s="323"/>
      <c r="AL231" s="302"/>
    </row>
    <row r="232" spans="1:38" s="235" customFormat="1" ht="10.199999999999999" hidden="1">
      <c r="A232" s="202"/>
      <c r="B232" s="647" t="s">
        <v>269</v>
      </c>
      <c r="C232" s="536"/>
      <c r="D232" s="130"/>
      <c r="E232" s="538"/>
      <c r="F232" s="130"/>
      <c r="G232" s="202"/>
      <c r="H232" s="239"/>
      <c r="I232" s="239"/>
      <c r="J232" s="239"/>
      <c r="K232" s="246"/>
      <c r="L232" s="224"/>
      <c r="M232" s="541"/>
      <c r="N232" s="217"/>
      <c r="O232" s="209">
        <f>IF($E$222="",0,((Nutzung!$G$29+Regelung-1)+(($G$223-Nutzung!$G$29)/4)-H154)*I154*$D$222*$E$222*24/($N$145*1000))</f>
        <v>0</v>
      </c>
      <c r="P232" s="239"/>
      <c r="Q232" s="239"/>
      <c r="R232" s="239"/>
      <c r="S232" s="202"/>
      <c r="Z232" s="323"/>
      <c r="AA232" s="318"/>
      <c r="AB232" s="323"/>
      <c r="AC232" s="323"/>
      <c r="AD232" s="323"/>
      <c r="AE232" s="323"/>
      <c r="AF232" s="323"/>
      <c r="AG232" s="323"/>
      <c r="AH232" s="323"/>
      <c r="AI232" s="323"/>
      <c r="AJ232" s="323"/>
      <c r="AK232" s="323"/>
      <c r="AL232" s="302"/>
    </row>
    <row r="233" spans="1:38" s="235" customFormat="1" ht="10.199999999999999" hidden="1">
      <c r="A233" s="202"/>
      <c r="B233" s="647" t="s">
        <v>366</v>
      </c>
      <c r="C233" s="536"/>
      <c r="D233" s="130"/>
      <c r="E233" s="538"/>
      <c r="F233" s="130"/>
      <c r="G233" s="202"/>
      <c r="H233" s="239"/>
      <c r="I233" s="239"/>
      <c r="J233" s="239"/>
      <c r="K233" s="246"/>
      <c r="L233" s="224"/>
      <c r="M233" s="541"/>
      <c r="N233" s="217"/>
      <c r="O233" s="209">
        <f>IF($E$222="",0,((Nutzung!$G$29+Regelung-1)+(($G$223-Nutzung!$G$29)/4)-H155)*I155*$D$222*$E$222*24/($N$145*1000))</f>
        <v>0</v>
      </c>
      <c r="P233" s="239"/>
      <c r="Q233" s="239"/>
      <c r="R233" s="239"/>
      <c r="S233" s="202"/>
      <c r="Z233" s="323"/>
      <c r="AA233" s="318"/>
      <c r="AB233" s="323"/>
      <c r="AC233" s="323"/>
      <c r="AD233" s="323"/>
      <c r="AE233" s="323"/>
      <c r="AF233" s="323"/>
      <c r="AG233" s="323"/>
      <c r="AH233" s="323"/>
      <c r="AI233" s="323"/>
      <c r="AJ233" s="323"/>
      <c r="AK233" s="323"/>
      <c r="AL233" s="302"/>
    </row>
    <row r="234" spans="1:38" s="235" customFormat="1" ht="10.199999999999999" hidden="1">
      <c r="A234" s="202"/>
      <c r="B234" s="647" t="s">
        <v>465</v>
      </c>
      <c r="C234" s="536"/>
      <c r="D234" s="130"/>
      <c r="E234" s="538"/>
      <c r="F234" s="130"/>
      <c r="G234" s="202"/>
      <c r="H234" s="239"/>
      <c r="I234" s="239"/>
      <c r="J234" s="239"/>
      <c r="K234" s="246"/>
      <c r="L234" s="224"/>
      <c r="M234" s="541"/>
      <c r="N234" s="217"/>
      <c r="O234" s="209">
        <f>IF($E$222="",0,((Nutzung!$G$29+Regelung-1)+(($G$223-Nutzung!$G$29)/4)-H156)*I156*$D$222*$E$222*24/($N$145*1000))</f>
        <v>0</v>
      </c>
      <c r="P234" s="239"/>
      <c r="Q234" s="239"/>
      <c r="R234" s="239"/>
      <c r="S234" s="202"/>
      <c r="Z234" s="323"/>
      <c r="AA234" s="318"/>
      <c r="AB234" s="323"/>
      <c r="AC234" s="323"/>
      <c r="AD234" s="323"/>
      <c r="AE234" s="323"/>
      <c r="AF234" s="323"/>
      <c r="AG234" s="323"/>
      <c r="AH234" s="323"/>
      <c r="AI234" s="323"/>
      <c r="AJ234" s="323"/>
      <c r="AK234" s="323"/>
      <c r="AL234" s="302"/>
    </row>
    <row r="235" spans="1:38" ht="10.95" customHeight="1">
      <c r="A235" s="192"/>
      <c r="B235" s="648"/>
      <c r="C235" s="656"/>
      <c r="D235" s="657"/>
      <c r="E235" s="658"/>
      <c r="F235" s="659"/>
      <c r="G235" s="192"/>
      <c r="H235" s="198"/>
      <c r="I235" s="198"/>
      <c r="J235" s="198"/>
      <c r="K235" s="241"/>
      <c r="L235" s="220" t="str">
        <f>IF(E235="","",Nutzung!$G$29)</f>
        <v/>
      </c>
      <c r="M235" s="218" t="str">
        <f>IF(D235="","",AB235)</f>
        <v/>
      </c>
      <c r="N235" s="214">
        <f>IF(E235=0,0,SUM(O236:O247))</f>
        <v>0</v>
      </c>
      <c r="O235" s="215" t="str">
        <f>IF(N235/$O$1370=0,"",N235/$O$1370)</f>
        <v/>
      </c>
      <c r="P235" s="198"/>
      <c r="Q235" s="198"/>
      <c r="R235" s="198"/>
      <c r="S235" s="192"/>
      <c r="T235" s="182">
        <f>D235*E235</f>
        <v>0</v>
      </c>
      <c r="AA235" s="318">
        <f>IF(D235="",0,1)</f>
        <v>0</v>
      </c>
      <c r="AB235" s="318">
        <f>AB222+AA235</f>
        <v>0</v>
      </c>
    </row>
    <row r="236" spans="1:38" s="235" customFormat="1" ht="10.199999999999999" hidden="1">
      <c r="A236" s="202"/>
      <c r="B236" s="647" t="s">
        <v>49</v>
      </c>
      <c r="C236" s="724"/>
      <c r="D236" s="130"/>
      <c r="E236" s="538"/>
      <c r="F236" s="130"/>
      <c r="G236" s="694" t="str">
        <f>IF($L$235&lt;Nutzung!$G$29,Nutzung!$G$29,$L$235)</f>
        <v/>
      </c>
      <c r="H236" s="239"/>
      <c r="I236" s="239"/>
      <c r="J236" s="239"/>
      <c r="K236" s="246">
        <f>IF(L235="",Nutzung!$G$29,Bauteile!L235)</f>
        <v>0</v>
      </c>
      <c r="L236" s="224"/>
      <c r="M236" s="541"/>
      <c r="N236" s="217"/>
      <c r="O236" s="209">
        <f>IF($E$235="",0,((Nutzung!$G$29+Regelung-1)+(($G$236-Nutzung!$G$29)/4)-H145)*I145*$D$235*$E$235*24/($N$145*1000))</f>
        <v>0</v>
      </c>
      <c r="P236" s="239"/>
      <c r="Q236" s="239"/>
      <c r="R236" s="239"/>
      <c r="S236" s="202"/>
      <c r="Z236" s="323"/>
      <c r="AA236" s="318"/>
      <c r="AB236" s="323"/>
      <c r="AC236" s="323"/>
      <c r="AD236" s="323"/>
      <c r="AE236" s="323"/>
      <c r="AF236" s="323"/>
      <c r="AG236" s="323"/>
      <c r="AH236" s="323"/>
      <c r="AI236" s="323"/>
      <c r="AJ236" s="323"/>
      <c r="AK236" s="323"/>
      <c r="AL236" s="302"/>
    </row>
    <row r="237" spans="1:38" s="235" customFormat="1" ht="10.199999999999999" hidden="1">
      <c r="A237" s="202"/>
      <c r="B237" s="647" t="s">
        <v>554</v>
      </c>
      <c r="C237" s="536"/>
      <c r="D237" s="130"/>
      <c r="E237" s="538"/>
      <c r="F237" s="130"/>
      <c r="G237" s="202"/>
      <c r="H237" s="239"/>
      <c r="I237" s="239"/>
      <c r="J237" s="239"/>
      <c r="K237" s="246"/>
      <c r="L237" s="224"/>
      <c r="M237" s="541"/>
      <c r="N237" s="217"/>
      <c r="O237" s="209">
        <f>IF($E$235="",0,((Nutzung!$G$29+Regelung-1)+(($G$236-Nutzung!$G$29)/4)-H146)*I146*$D$235*$E$235*24/($N$145*1000))</f>
        <v>0</v>
      </c>
      <c r="P237" s="239"/>
      <c r="Q237" s="239"/>
      <c r="R237" s="239"/>
      <c r="S237" s="202"/>
      <c r="Z237" s="323"/>
      <c r="AA237" s="318"/>
      <c r="AB237" s="323"/>
      <c r="AC237" s="323"/>
      <c r="AD237" s="323"/>
      <c r="AE237" s="323"/>
      <c r="AF237" s="323"/>
      <c r="AG237" s="323"/>
      <c r="AH237" s="323"/>
      <c r="AI237" s="323"/>
      <c r="AJ237" s="323"/>
      <c r="AK237" s="323"/>
      <c r="AL237" s="302"/>
    </row>
    <row r="238" spans="1:38" s="235" customFormat="1" ht="10.199999999999999" hidden="1">
      <c r="A238" s="202"/>
      <c r="B238" s="647" t="s">
        <v>306</v>
      </c>
      <c r="C238" s="536"/>
      <c r="D238" s="130"/>
      <c r="E238" s="538"/>
      <c r="F238" s="130"/>
      <c r="G238" s="202"/>
      <c r="H238" s="239"/>
      <c r="I238" s="239"/>
      <c r="J238" s="239"/>
      <c r="K238" s="246"/>
      <c r="L238" s="224"/>
      <c r="M238" s="541"/>
      <c r="N238" s="217"/>
      <c r="O238" s="209">
        <f>IF($E$235="",0,((Nutzung!$G$29+Regelung-1)+(($G$236-Nutzung!$G$29)/4)-H147)*I147*$D$235*$E$235*24/($N$145*1000))</f>
        <v>0</v>
      </c>
      <c r="P238" s="239"/>
      <c r="Q238" s="239"/>
      <c r="R238" s="239"/>
      <c r="S238" s="202"/>
      <c r="Z238" s="323"/>
      <c r="AA238" s="318"/>
      <c r="AB238" s="323"/>
      <c r="AC238" s="323"/>
      <c r="AD238" s="323"/>
      <c r="AE238" s="323"/>
      <c r="AF238" s="323"/>
      <c r="AG238" s="323"/>
      <c r="AH238" s="323"/>
      <c r="AI238" s="323"/>
      <c r="AJ238" s="323"/>
      <c r="AK238" s="323"/>
      <c r="AL238" s="302"/>
    </row>
    <row r="239" spans="1:38" s="235" customFormat="1" ht="10.199999999999999" hidden="1">
      <c r="A239" s="202"/>
      <c r="B239" s="647" t="s">
        <v>409</v>
      </c>
      <c r="C239" s="536"/>
      <c r="D239" s="130"/>
      <c r="E239" s="538"/>
      <c r="F239" s="130"/>
      <c r="G239" s="202"/>
      <c r="H239" s="239"/>
      <c r="I239" s="239"/>
      <c r="J239" s="239"/>
      <c r="K239" s="246"/>
      <c r="L239" s="224"/>
      <c r="M239" s="541"/>
      <c r="N239" s="217"/>
      <c r="O239" s="209">
        <f>IF($E$235="",0,((Nutzung!$G$29+Regelung-1)+(($G$236-Nutzung!$G$29)/4)-H148)*I148*$D$235*$E$235*24/($N$145*1000))</f>
        <v>0</v>
      </c>
      <c r="P239" s="239"/>
      <c r="Q239" s="239"/>
      <c r="R239" s="239"/>
      <c r="S239" s="202"/>
      <c r="Z239" s="323"/>
      <c r="AA239" s="318"/>
      <c r="AB239" s="323"/>
      <c r="AC239" s="323"/>
      <c r="AD239" s="323"/>
      <c r="AE239" s="323"/>
      <c r="AF239" s="323"/>
      <c r="AG239" s="323"/>
      <c r="AH239" s="323"/>
      <c r="AI239" s="323"/>
      <c r="AJ239" s="323"/>
      <c r="AK239" s="323"/>
      <c r="AL239" s="302"/>
    </row>
    <row r="240" spans="1:38" s="235" customFormat="1" ht="10.199999999999999" hidden="1">
      <c r="A240" s="202"/>
      <c r="B240" s="647" t="s">
        <v>410</v>
      </c>
      <c r="C240" s="536"/>
      <c r="D240" s="130"/>
      <c r="E240" s="538"/>
      <c r="F240" s="130"/>
      <c r="G240" s="202"/>
      <c r="H240" s="239"/>
      <c r="I240" s="239"/>
      <c r="J240" s="239"/>
      <c r="K240" s="246"/>
      <c r="L240" s="224"/>
      <c r="M240" s="541"/>
      <c r="N240" s="217"/>
      <c r="O240" s="209">
        <f>IF($E$235="",0,((Nutzung!$G$29+Regelung-1)+(($G$236-Nutzung!$G$29)/4)-H149)*I149*$D$235*$E$235*24/($N$145*1000))</f>
        <v>0</v>
      </c>
      <c r="P240" s="239"/>
      <c r="Q240" s="239"/>
      <c r="R240" s="239"/>
      <c r="S240" s="202"/>
      <c r="Z240" s="323"/>
      <c r="AA240" s="318"/>
      <c r="AB240" s="323"/>
      <c r="AC240" s="323"/>
      <c r="AD240" s="323"/>
      <c r="AE240" s="323"/>
      <c r="AF240" s="323"/>
      <c r="AG240" s="323"/>
      <c r="AH240" s="323"/>
      <c r="AI240" s="323"/>
      <c r="AJ240" s="323"/>
      <c r="AK240" s="323"/>
      <c r="AL240" s="302"/>
    </row>
    <row r="241" spans="1:38" s="235" customFormat="1" ht="10.199999999999999" hidden="1">
      <c r="A241" s="202"/>
      <c r="B241" s="647" t="s">
        <v>411</v>
      </c>
      <c r="C241" s="536"/>
      <c r="D241" s="130"/>
      <c r="E241" s="538"/>
      <c r="F241" s="130"/>
      <c r="G241" s="202"/>
      <c r="H241" s="239"/>
      <c r="I241" s="239"/>
      <c r="J241" s="239"/>
      <c r="K241" s="246"/>
      <c r="L241" s="224"/>
      <c r="M241" s="541"/>
      <c r="N241" s="217"/>
      <c r="O241" s="209">
        <f>IF($E$235="",0,((Nutzung!$G$29+Regelung-1)+(($G$236-Nutzung!$G$29)/4)-H150)*I150*$D$235*$E$235*24/($N$145*1000))</f>
        <v>0</v>
      </c>
      <c r="P241" s="239"/>
      <c r="Q241" s="239"/>
      <c r="R241" s="239"/>
      <c r="S241" s="202"/>
      <c r="Z241" s="323"/>
      <c r="AA241" s="318"/>
      <c r="AB241" s="323"/>
      <c r="AC241" s="323"/>
      <c r="AD241" s="323"/>
      <c r="AE241" s="323"/>
      <c r="AF241" s="323"/>
      <c r="AG241" s="323"/>
      <c r="AH241" s="323"/>
      <c r="AI241" s="323"/>
      <c r="AJ241" s="323"/>
      <c r="AK241" s="323"/>
      <c r="AL241" s="302"/>
    </row>
    <row r="242" spans="1:38" s="235" customFormat="1" ht="10.199999999999999" hidden="1">
      <c r="A242" s="202"/>
      <c r="B242" s="647" t="s">
        <v>221</v>
      </c>
      <c r="C242" s="536"/>
      <c r="D242" s="130"/>
      <c r="E242" s="538"/>
      <c r="F242" s="130"/>
      <c r="G242" s="202"/>
      <c r="H242" s="239"/>
      <c r="I242" s="239"/>
      <c r="J242" s="239"/>
      <c r="K242" s="246"/>
      <c r="L242" s="224"/>
      <c r="M242" s="541"/>
      <c r="N242" s="217"/>
      <c r="O242" s="209">
        <f>IF($E$235="",0,((Nutzung!$G$29+Regelung-1)+(($G$236-Nutzung!$G$29)/4)-H151)*I151*$D$235*$E$235*24/($N$145*1000))</f>
        <v>0</v>
      </c>
      <c r="P242" s="239"/>
      <c r="Q242" s="239"/>
      <c r="R242" s="239"/>
      <c r="S242" s="202"/>
      <c r="Z242" s="323"/>
      <c r="AA242" s="318"/>
      <c r="AB242" s="323"/>
      <c r="AC242" s="323"/>
      <c r="AD242" s="323"/>
      <c r="AE242" s="323"/>
      <c r="AF242" s="323"/>
      <c r="AG242" s="323"/>
      <c r="AH242" s="323"/>
      <c r="AI242" s="323"/>
      <c r="AJ242" s="323"/>
      <c r="AK242" s="323"/>
      <c r="AL242" s="302"/>
    </row>
    <row r="243" spans="1:38" s="235" customFormat="1" ht="10.199999999999999" hidden="1">
      <c r="A243" s="202"/>
      <c r="B243" s="647" t="s">
        <v>138</v>
      </c>
      <c r="C243" s="536"/>
      <c r="D243" s="130"/>
      <c r="E243" s="538"/>
      <c r="F243" s="130"/>
      <c r="G243" s="202"/>
      <c r="H243" s="239"/>
      <c r="I243" s="239"/>
      <c r="J243" s="239"/>
      <c r="K243" s="246"/>
      <c r="L243" s="224"/>
      <c r="M243" s="541"/>
      <c r="N243" s="217"/>
      <c r="O243" s="209">
        <f>IF($E$235="",0,((Nutzung!$G$29+Regelung-1)+(($G$236-Nutzung!$G$29)/4)-H152)*I152*$D$235*$E$235*24/($N$145*1000))</f>
        <v>0</v>
      </c>
      <c r="P243" s="239"/>
      <c r="Q243" s="239"/>
      <c r="R243" s="239"/>
      <c r="S243" s="202"/>
      <c r="Z243" s="323"/>
      <c r="AA243" s="318"/>
      <c r="AB243" s="323"/>
      <c r="AC243" s="323"/>
      <c r="AD243" s="323"/>
      <c r="AE243" s="323"/>
      <c r="AF243" s="323"/>
      <c r="AG243" s="323"/>
      <c r="AH243" s="323"/>
      <c r="AI243" s="323"/>
      <c r="AJ243" s="323"/>
      <c r="AK243" s="323"/>
      <c r="AL243" s="302"/>
    </row>
    <row r="244" spans="1:38" s="235" customFormat="1" ht="10.199999999999999" hidden="1">
      <c r="A244" s="202"/>
      <c r="B244" s="647" t="s">
        <v>139</v>
      </c>
      <c r="C244" s="536"/>
      <c r="D244" s="130"/>
      <c r="E244" s="538"/>
      <c r="F244" s="130"/>
      <c r="G244" s="202"/>
      <c r="H244" s="239"/>
      <c r="I244" s="239"/>
      <c r="J244" s="239"/>
      <c r="K244" s="246"/>
      <c r="L244" s="224"/>
      <c r="M244" s="541"/>
      <c r="N244" s="217"/>
      <c r="O244" s="209">
        <f>IF($E$235="",0,((Nutzung!$G$29+Regelung-1)+(($G$236-Nutzung!$G$29)/4)-H153)*I153*$D$235*$E$235*24/($N$145*1000))</f>
        <v>0</v>
      </c>
      <c r="P244" s="239"/>
      <c r="Q244" s="239"/>
      <c r="R244" s="239"/>
      <c r="S244" s="202"/>
      <c r="Z244" s="323"/>
      <c r="AA244" s="318"/>
      <c r="AB244" s="323"/>
      <c r="AC244" s="323"/>
      <c r="AD244" s="323"/>
      <c r="AE244" s="323"/>
      <c r="AF244" s="323"/>
      <c r="AG244" s="323"/>
      <c r="AH244" s="323"/>
      <c r="AI244" s="323"/>
      <c r="AJ244" s="323"/>
      <c r="AK244" s="323"/>
      <c r="AL244" s="302"/>
    </row>
    <row r="245" spans="1:38" s="235" customFormat="1" ht="10.199999999999999" hidden="1">
      <c r="A245" s="202"/>
      <c r="B245" s="647" t="s">
        <v>269</v>
      </c>
      <c r="C245" s="536"/>
      <c r="D245" s="130"/>
      <c r="E245" s="538"/>
      <c r="F245" s="130"/>
      <c r="G245" s="202"/>
      <c r="H245" s="239"/>
      <c r="I245" s="239"/>
      <c r="J245" s="239"/>
      <c r="K245" s="246"/>
      <c r="L245" s="224"/>
      <c r="M245" s="541"/>
      <c r="N245" s="217"/>
      <c r="O245" s="209">
        <f>IF($E$235="",0,((Nutzung!$G$29+Regelung-1)+(($G$236-Nutzung!$G$29)/4)-H154)*I154*$D$235*$E$235*24/($N$145*1000))</f>
        <v>0</v>
      </c>
      <c r="P245" s="239"/>
      <c r="Q245" s="239"/>
      <c r="R245" s="239"/>
      <c r="S245" s="202"/>
      <c r="Z245" s="323"/>
      <c r="AA245" s="318"/>
      <c r="AB245" s="323"/>
      <c r="AC245" s="323"/>
      <c r="AD245" s="323"/>
      <c r="AE245" s="323"/>
      <c r="AF245" s="323"/>
      <c r="AG245" s="323"/>
      <c r="AH245" s="323"/>
      <c r="AI245" s="323"/>
      <c r="AJ245" s="323"/>
      <c r="AK245" s="323"/>
      <c r="AL245" s="302"/>
    </row>
    <row r="246" spans="1:38" s="235" customFormat="1" ht="10.199999999999999" hidden="1">
      <c r="A246" s="202"/>
      <c r="B246" s="647" t="s">
        <v>366</v>
      </c>
      <c r="C246" s="536"/>
      <c r="D246" s="130"/>
      <c r="E246" s="538"/>
      <c r="F246" s="130"/>
      <c r="G246" s="202"/>
      <c r="H246" s="239"/>
      <c r="I246" s="239"/>
      <c r="J246" s="239"/>
      <c r="K246" s="246"/>
      <c r="L246" s="224"/>
      <c r="M246" s="541"/>
      <c r="N246" s="217"/>
      <c r="O246" s="209">
        <f>IF($E$235="",0,((Nutzung!$G$29+Regelung-1)+(($G$236-Nutzung!$G$29)/4)-H155)*I155*$D$235*$E$235*24/($N$145*1000))</f>
        <v>0</v>
      </c>
      <c r="P246" s="239"/>
      <c r="Q246" s="239"/>
      <c r="R246" s="239"/>
      <c r="S246" s="202"/>
      <c r="Z246" s="323"/>
      <c r="AA246" s="318"/>
      <c r="AB246" s="323"/>
      <c r="AC246" s="323"/>
      <c r="AD246" s="323"/>
      <c r="AE246" s="323"/>
      <c r="AF246" s="323"/>
      <c r="AG246" s="323"/>
      <c r="AH246" s="323"/>
      <c r="AI246" s="323"/>
      <c r="AJ246" s="323"/>
      <c r="AK246" s="323"/>
      <c r="AL246" s="302"/>
    </row>
    <row r="247" spans="1:38" s="235" customFormat="1" ht="10.199999999999999" hidden="1">
      <c r="A247" s="202"/>
      <c r="B247" s="647" t="s">
        <v>465</v>
      </c>
      <c r="C247" s="536"/>
      <c r="D247" s="130"/>
      <c r="E247" s="538"/>
      <c r="F247" s="130"/>
      <c r="G247" s="202"/>
      <c r="H247" s="239"/>
      <c r="I247" s="239"/>
      <c r="J247" s="239"/>
      <c r="K247" s="246"/>
      <c r="L247" s="224"/>
      <c r="M247" s="541"/>
      <c r="N247" s="217"/>
      <c r="O247" s="209">
        <f>IF($E$235="",0,((Nutzung!$G$29+Regelung-1)+(($G$236-Nutzung!$G$29)/4)-H156)*I156*$D$235*$E$235*24/($N$145*1000))</f>
        <v>0</v>
      </c>
      <c r="P247" s="239"/>
      <c r="Q247" s="239"/>
      <c r="R247" s="239"/>
      <c r="S247" s="202"/>
      <c r="Z247" s="323"/>
      <c r="AA247" s="318"/>
      <c r="AB247" s="323"/>
      <c r="AC247" s="323"/>
      <c r="AD247" s="323"/>
      <c r="AE247" s="323"/>
      <c r="AF247" s="323"/>
      <c r="AG247" s="323"/>
      <c r="AH247" s="323"/>
      <c r="AI247" s="323"/>
      <c r="AJ247" s="323"/>
      <c r="AK247" s="323"/>
      <c r="AL247" s="302"/>
    </row>
    <row r="248" spans="1:38" ht="10.95" customHeight="1">
      <c r="A248" s="192"/>
      <c r="B248" s="648"/>
      <c r="C248" s="656"/>
      <c r="D248" s="657"/>
      <c r="E248" s="658"/>
      <c r="F248" s="659"/>
      <c r="G248" s="192"/>
      <c r="H248" s="198"/>
      <c r="I248" s="198"/>
      <c r="J248" s="198"/>
      <c r="K248" s="241"/>
      <c r="L248" s="220" t="str">
        <f>IF(E248="","",Nutzung!$G$29)</f>
        <v/>
      </c>
      <c r="M248" s="218" t="str">
        <f>IF(D248="","",AB248)</f>
        <v/>
      </c>
      <c r="N248" s="214">
        <f>IF(E248=0,0,SUM(O249:O260))</f>
        <v>0</v>
      </c>
      <c r="O248" s="215" t="str">
        <f>IF(N248/$O$1370=0,"",N248/$O$1370)</f>
        <v/>
      </c>
      <c r="P248" s="198"/>
      <c r="Q248" s="198"/>
      <c r="R248" s="198"/>
      <c r="S248" s="192"/>
      <c r="T248" s="182">
        <f>D248*E248</f>
        <v>0</v>
      </c>
      <c r="AA248" s="318">
        <f>IF(D248="",0,1)</f>
        <v>0</v>
      </c>
      <c r="AB248" s="318">
        <f>AB235+AA248</f>
        <v>0</v>
      </c>
    </row>
    <row r="249" spans="1:38" s="235" customFormat="1" ht="10.199999999999999" hidden="1">
      <c r="A249" s="202"/>
      <c r="B249" s="647" t="s">
        <v>49</v>
      </c>
      <c r="C249" s="724"/>
      <c r="D249" s="130"/>
      <c r="E249" s="538"/>
      <c r="F249" s="130"/>
      <c r="G249" s="694" t="str">
        <f>IF($L$248&lt;Nutzung!$G$29,Nutzung!$G$29,$L$248)</f>
        <v/>
      </c>
      <c r="H249" s="239"/>
      <c r="I249" s="239"/>
      <c r="J249" s="239"/>
      <c r="K249" s="246">
        <f>IF(L248="",Nutzung!$G$29,Bauteile!L248)</f>
        <v>0</v>
      </c>
      <c r="L249" s="224"/>
      <c r="M249" s="541"/>
      <c r="N249" s="217"/>
      <c r="O249" s="209">
        <f>IF($E$248="",0,((Nutzung!$G$29+Regelung-1)+(($G$249-Nutzung!$G$29)/4)-H145)*I145*$D$248*$E$248*24/($N$145*1000))</f>
        <v>0</v>
      </c>
      <c r="P249" s="239"/>
      <c r="Q249" s="239"/>
      <c r="R249" s="239"/>
      <c r="S249" s="202"/>
      <c r="Z249" s="323"/>
      <c r="AA249" s="318"/>
      <c r="AB249" s="323"/>
      <c r="AC249" s="323"/>
      <c r="AD249" s="323"/>
      <c r="AE249" s="323"/>
      <c r="AF249" s="323"/>
      <c r="AG249" s="323"/>
      <c r="AH249" s="323"/>
      <c r="AI249" s="323"/>
      <c r="AJ249" s="323"/>
      <c r="AK249" s="323"/>
      <c r="AL249" s="302"/>
    </row>
    <row r="250" spans="1:38" s="235" customFormat="1" ht="10.199999999999999" hidden="1">
      <c r="A250" s="202"/>
      <c r="B250" s="647" t="s">
        <v>554</v>
      </c>
      <c r="C250" s="536"/>
      <c r="D250" s="130"/>
      <c r="E250" s="538"/>
      <c r="F250" s="130"/>
      <c r="G250" s="202"/>
      <c r="H250" s="239"/>
      <c r="I250" s="239"/>
      <c r="J250" s="239"/>
      <c r="K250" s="246"/>
      <c r="L250" s="224"/>
      <c r="M250" s="541"/>
      <c r="N250" s="217"/>
      <c r="O250" s="209">
        <f>IF($E$248="",0,((Nutzung!$G$29+Regelung-1)+(($G$249-Nutzung!$G$29)/4)-H146)*I146*$D$248*$E$248*24/($N$145*1000))</f>
        <v>0</v>
      </c>
      <c r="P250" s="239"/>
      <c r="Q250" s="239"/>
      <c r="R250" s="239"/>
      <c r="S250" s="202"/>
      <c r="Z250" s="323"/>
      <c r="AA250" s="318"/>
      <c r="AB250" s="323"/>
      <c r="AC250" s="323"/>
      <c r="AD250" s="323"/>
      <c r="AE250" s="323"/>
      <c r="AF250" s="323"/>
      <c r="AG250" s="323"/>
      <c r="AH250" s="323"/>
      <c r="AI250" s="323"/>
      <c r="AJ250" s="323"/>
      <c r="AK250" s="323"/>
      <c r="AL250" s="302"/>
    </row>
    <row r="251" spans="1:38" s="235" customFormat="1" ht="10.199999999999999" hidden="1">
      <c r="A251" s="202"/>
      <c r="B251" s="647" t="s">
        <v>306</v>
      </c>
      <c r="C251" s="536"/>
      <c r="D251" s="130"/>
      <c r="E251" s="538"/>
      <c r="F251" s="130"/>
      <c r="G251" s="202"/>
      <c r="H251" s="239"/>
      <c r="I251" s="239"/>
      <c r="J251" s="239"/>
      <c r="K251" s="246"/>
      <c r="L251" s="224"/>
      <c r="M251" s="541"/>
      <c r="N251" s="217"/>
      <c r="O251" s="209">
        <f>IF($E$248="",0,((Nutzung!$G$29+Regelung-1)+(($G$249-Nutzung!$G$29)/4)-H147)*I147*$D$248*$E$248*24/($N$145*1000))</f>
        <v>0</v>
      </c>
      <c r="P251" s="239"/>
      <c r="Q251" s="239"/>
      <c r="R251" s="239"/>
      <c r="S251" s="202"/>
      <c r="Z251" s="323"/>
      <c r="AA251" s="318"/>
      <c r="AB251" s="323"/>
      <c r="AC251" s="323"/>
      <c r="AD251" s="323"/>
      <c r="AE251" s="323"/>
      <c r="AF251" s="323"/>
      <c r="AG251" s="323"/>
      <c r="AH251" s="323"/>
      <c r="AI251" s="323"/>
      <c r="AJ251" s="323"/>
      <c r="AK251" s="323"/>
      <c r="AL251" s="302"/>
    </row>
    <row r="252" spans="1:38" s="235" customFormat="1" ht="10.199999999999999" hidden="1">
      <c r="A252" s="202"/>
      <c r="B252" s="647" t="s">
        <v>409</v>
      </c>
      <c r="C252" s="536"/>
      <c r="D252" s="130"/>
      <c r="E252" s="538"/>
      <c r="F252" s="130"/>
      <c r="G252" s="202"/>
      <c r="H252" s="239"/>
      <c r="I252" s="239"/>
      <c r="J252" s="239"/>
      <c r="K252" s="246"/>
      <c r="L252" s="224"/>
      <c r="M252" s="541"/>
      <c r="N252" s="217"/>
      <c r="O252" s="209">
        <f>IF($E$248="",0,((Nutzung!$G$29+Regelung-1)+(($G$249-Nutzung!$G$29)/4)-H148)*I148*$D$248*$E$248*24/($N$145*1000))</f>
        <v>0</v>
      </c>
      <c r="P252" s="239"/>
      <c r="Q252" s="239"/>
      <c r="R252" s="239"/>
      <c r="S252" s="202"/>
      <c r="Z252" s="323"/>
      <c r="AA252" s="318"/>
      <c r="AB252" s="323"/>
      <c r="AC252" s="323"/>
      <c r="AD252" s="323"/>
      <c r="AE252" s="323"/>
      <c r="AF252" s="323"/>
      <c r="AG252" s="323"/>
      <c r="AH252" s="323"/>
      <c r="AI252" s="323"/>
      <c r="AJ252" s="323"/>
      <c r="AK252" s="323"/>
      <c r="AL252" s="302"/>
    </row>
    <row r="253" spans="1:38" s="235" customFormat="1" ht="10.199999999999999" hidden="1">
      <c r="A253" s="202"/>
      <c r="B253" s="647" t="s">
        <v>410</v>
      </c>
      <c r="C253" s="536"/>
      <c r="D253" s="130"/>
      <c r="E253" s="538"/>
      <c r="F253" s="130"/>
      <c r="G253" s="202"/>
      <c r="H253" s="239"/>
      <c r="I253" s="239"/>
      <c r="J253" s="239"/>
      <c r="K253" s="246"/>
      <c r="L253" s="224"/>
      <c r="M253" s="541"/>
      <c r="N253" s="217"/>
      <c r="O253" s="209">
        <f>IF($E$248="",0,((Nutzung!$G$29+Regelung-1)+(($G$249-Nutzung!$G$29)/4)-H149)*I149*$D$248*$E$248*24/($N$145*1000))</f>
        <v>0</v>
      </c>
      <c r="P253" s="239"/>
      <c r="Q253" s="239"/>
      <c r="R253" s="239"/>
      <c r="S253" s="202"/>
      <c r="Z253" s="323"/>
      <c r="AA253" s="318"/>
      <c r="AB253" s="323"/>
      <c r="AC253" s="323"/>
      <c r="AD253" s="323"/>
      <c r="AE253" s="323"/>
      <c r="AF253" s="323"/>
      <c r="AG253" s="323"/>
      <c r="AH253" s="323"/>
      <c r="AI253" s="323"/>
      <c r="AJ253" s="323"/>
      <c r="AK253" s="323"/>
      <c r="AL253" s="302"/>
    </row>
    <row r="254" spans="1:38" s="235" customFormat="1" ht="10.199999999999999" hidden="1">
      <c r="A254" s="202"/>
      <c r="B254" s="647" t="s">
        <v>411</v>
      </c>
      <c r="C254" s="536"/>
      <c r="D254" s="130"/>
      <c r="E254" s="538"/>
      <c r="F254" s="130"/>
      <c r="G254" s="202"/>
      <c r="H254" s="239"/>
      <c r="I254" s="239"/>
      <c r="J254" s="239"/>
      <c r="K254" s="246"/>
      <c r="L254" s="224"/>
      <c r="M254" s="541"/>
      <c r="N254" s="217"/>
      <c r="O254" s="209">
        <f>IF($E$248="",0,((Nutzung!$G$29+Regelung-1)+(($G$249-Nutzung!$G$29)/4)-H150)*I150*$D$248*$E$248*24/($N$145*1000))</f>
        <v>0</v>
      </c>
      <c r="P254" s="239"/>
      <c r="Q254" s="239"/>
      <c r="R254" s="239"/>
      <c r="S254" s="202"/>
      <c r="Z254" s="323"/>
      <c r="AA254" s="318"/>
      <c r="AB254" s="323"/>
      <c r="AC254" s="323"/>
      <c r="AD254" s="323"/>
      <c r="AE254" s="323"/>
      <c r="AF254" s="323"/>
      <c r="AG254" s="323"/>
      <c r="AH254" s="323"/>
      <c r="AI254" s="323"/>
      <c r="AJ254" s="323"/>
      <c r="AK254" s="323"/>
      <c r="AL254" s="302"/>
    </row>
    <row r="255" spans="1:38" s="235" customFormat="1" ht="10.199999999999999" hidden="1">
      <c r="A255" s="202"/>
      <c r="B255" s="647" t="s">
        <v>221</v>
      </c>
      <c r="C255" s="536"/>
      <c r="D255" s="130"/>
      <c r="E255" s="538"/>
      <c r="F255" s="130"/>
      <c r="G255" s="202"/>
      <c r="H255" s="239"/>
      <c r="I255" s="239"/>
      <c r="J255" s="239"/>
      <c r="K255" s="246"/>
      <c r="L255" s="224"/>
      <c r="M255" s="541"/>
      <c r="N255" s="217"/>
      <c r="O255" s="209">
        <f>IF($E$248="",0,((Nutzung!$G$29+Regelung-1)+(($G$249-Nutzung!$G$29)/4)-H151)*I151*$D$248*$E$248*24/($N$145*1000))</f>
        <v>0</v>
      </c>
      <c r="P255" s="239"/>
      <c r="Q255" s="239"/>
      <c r="R255" s="239"/>
      <c r="S255" s="202"/>
      <c r="Z255" s="323"/>
      <c r="AA255" s="318"/>
      <c r="AB255" s="323"/>
      <c r="AC255" s="323"/>
      <c r="AD255" s="323"/>
      <c r="AE255" s="323"/>
      <c r="AF255" s="323"/>
      <c r="AG255" s="323"/>
      <c r="AH255" s="323"/>
      <c r="AI255" s="323"/>
      <c r="AJ255" s="323"/>
      <c r="AK255" s="323"/>
      <c r="AL255" s="302"/>
    </row>
    <row r="256" spans="1:38" s="235" customFormat="1" ht="10.199999999999999" hidden="1">
      <c r="A256" s="202"/>
      <c r="B256" s="647" t="s">
        <v>138</v>
      </c>
      <c r="C256" s="536"/>
      <c r="D256" s="130"/>
      <c r="E256" s="538"/>
      <c r="F256" s="130"/>
      <c r="G256" s="202"/>
      <c r="H256" s="239"/>
      <c r="I256" s="239"/>
      <c r="J256" s="239"/>
      <c r="K256" s="246"/>
      <c r="L256" s="224"/>
      <c r="M256" s="541"/>
      <c r="N256" s="217"/>
      <c r="O256" s="209">
        <f>IF($E$248="",0,((Nutzung!$G$29+Regelung-1)+(($G$249-Nutzung!$G$29)/4)-H152)*I152*$D$248*$E$248*24/($N$145*1000))</f>
        <v>0</v>
      </c>
      <c r="P256" s="239"/>
      <c r="Q256" s="239"/>
      <c r="R256" s="239"/>
      <c r="S256" s="202"/>
      <c r="Z256" s="323"/>
      <c r="AA256" s="318"/>
      <c r="AB256" s="323"/>
      <c r="AC256" s="323"/>
      <c r="AD256" s="323"/>
      <c r="AE256" s="323"/>
      <c r="AF256" s="323"/>
      <c r="AG256" s="323"/>
      <c r="AH256" s="323"/>
      <c r="AI256" s="323"/>
      <c r="AJ256" s="323"/>
      <c r="AK256" s="323"/>
      <c r="AL256" s="302"/>
    </row>
    <row r="257" spans="1:38" s="235" customFormat="1" ht="10.199999999999999" hidden="1">
      <c r="A257" s="202"/>
      <c r="B257" s="647" t="s">
        <v>139</v>
      </c>
      <c r="C257" s="536"/>
      <c r="D257" s="130"/>
      <c r="E257" s="538"/>
      <c r="F257" s="130"/>
      <c r="G257" s="202"/>
      <c r="H257" s="239"/>
      <c r="I257" s="239"/>
      <c r="J257" s="239"/>
      <c r="K257" s="246"/>
      <c r="L257" s="224"/>
      <c r="M257" s="541"/>
      <c r="N257" s="217"/>
      <c r="O257" s="209">
        <f>IF($E$248="",0,((Nutzung!$G$29+Regelung-1)+(($G$249-Nutzung!$G$29)/4)-H153)*I153*$D$248*$E$248*24/($N$145*1000))</f>
        <v>0</v>
      </c>
      <c r="P257" s="239"/>
      <c r="Q257" s="239"/>
      <c r="R257" s="239"/>
      <c r="S257" s="202"/>
      <c r="Z257" s="323"/>
      <c r="AA257" s="318"/>
      <c r="AB257" s="323"/>
      <c r="AC257" s="323"/>
      <c r="AD257" s="323"/>
      <c r="AE257" s="323"/>
      <c r="AF257" s="323"/>
      <c r="AG257" s="323"/>
      <c r="AH257" s="323"/>
      <c r="AI257" s="323"/>
      <c r="AJ257" s="323"/>
      <c r="AK257" s="323"/>
      <c r="AL257" s="302"/>
    </row>
    <row r="258" spans="1:38" s="235" customFormat="1" ht="10.199999999999999" hidden="1">
      <c r="A258" s="202"/>
      <c r="B258" s="647" t="s">
        <v>269</v>
      </c>
      <c r="C258" s="536"/>
      <c r="D258" s="130"/>
      <c r="E258" s="538"/>
      <c r="F258" s="130"/>
      <c r="G258" s="202"/>
      <c r="H258" s="239"/>
      <c r="I258" s="239"/>
      <c r="J258" s="239"/>
      <c r="K258" s="246"/>
      <c r="L258" s="224"/>
      <c r="M258" s="541"/>
      <c r="N258" s="217"/>
      <c r="O258" s="209">
        <f>IF($E$248="",0,((Nutzung!$G$29+Regelung-1)+(($G$249-Nutzung!$G$29)/4)-H154)*I154*$D$248*$E$248*24/($N$145*1000))</f>
        <v>0</v>
      </c>
      <c r="P258" s="239"/>
      <c r="Q258" s="239"/>
      <c r="R258" s="239"/>
      <c r="S258" s="202"/>
      <c r="Z258" s="323"/>
      <c r="AA258" s="318"/>
      <c r="AB258" s="323"/>
      <c r="AC258" s="323"/>
      <c r="AD258" s="323"/>
      <c r="AE258" s="323"/>
      <c r="AF258" s="323"/>
      <c r="AG258" s="323"/>
      <c r="AH258" s="323"/>
      <c r="AI258" s="323"/>
      <c r="AJ258" s="323"/>
      <c r="AK258" s="323"/>
      <c r="AL258" s="302"/>
    </row>
    <row r="259" spans="1:38" s="235" customFormat="1" ht="10.199999999999999" hidden="1">
      <c r="A259" s="202"/>
      <c r="B259" s="647" t="s">
        <v>366</v>
      </c>
      <c r="C259" s="536"/>
      <c r="D259" s="130"/>
      <c r="E259" s="538"/>
      <c r="F259" s="130"/>
      <c r="G259" s="202"/>
      <c r="H259" s="239"/>
      <c r="I259" s="239"/>
      <c r="J259" s="239"/>
      <c r="K259" s="246"/>
      <c r="L259" s="224"/>
      <c r="M259" s="541"/>
      <c r="N259" s="217"/>
      <c r="O259" s="209">
        <f>IF($E$248="",0,((Nutzung!$G$29+Regelung-1)+(($G$249-Nutzung!$G$29)/4)-H155)*I155*$D$248*$E$248*24/($N$145*1000))</f>
        <v>0</v>
      </c>
      <c r="P259" s="239"/>
      <c r="Q259" s="239"/>
      <c r="R259" s="239"/>
      <c r="S259" s="202"/>
      <c r="Z259" s="323"/>
      <c r="AA259" s="318"/>
      <c r="AB259" s="323"/>
      <c r="AC259" s="323"/>
      <c r="AD259" s="323"/>
      <c r="AE259" s="323"/>
      <c r="AF259" s="323"/>
      <c r="AG259" s="323"/>
      <c r="AH259" s="323"/>
      <c r="AI259" s="323"/>
      <c r="AJ259" s="323"/>
      <c r="AK259" s="323"/>
      <c r="AL259" s="302"/>
    </row>
    <row r="260" spans="1:38" s="235" customFormat="1" ht="10.199999999999999" hidden="1">
      <c r="A260" s="202"/>
      <c r="B260" s="647" t="s">
        <v>465</v>
      </c>
      <c r="C260" s="536"/>
      <c r="D260" s="130"/>
      <c r="E260" s="538"/>
      <c r="F260" s="130"/>
      <c r="G260" s="202"/>
      <c r="H260" s="239"/>
      <c r="I260" s="239"/>
      <c r="J260" s="239"/>
      <c r="K260" s="246"/>
      <c r="L260" s="224"/>
      <c r="M260" s="541"/>
      <c r="N260" s="217"/>
      <c r="O260" s="209">
        <f>IF($E$248="",0,((Nutzung!$G$29+Regelung-1)+(($G$249-Nutzung!$G$29)/4)-H156)*I156*$D$248*$E$248*24/($N$145*1000))</f>
        <v>0</v>
      </c>
      <c r="P260" s="239"/>
      <c r="Q260" s="239"/>
      <c r="R260" s="239"/>
      <c r="S260" s="202"/>
      <c r="Z260" s="323"/>
      <c r="AA260" s="318"/>
      <c r="AB260" s="323"/>
      <c r="AC260" s="323"/>
      <c r="AD260" s="323"/>
      <c r="AE260" s="323"/>
      <c r="AF260" s="323"/>
      <c r="AG260" s="323"/>
      <c r="AH260" s="323"/>
      <c r="AI260" s="323"/>
      <c r="AJ260" s="323"/>
      <c r="AK260" s="323"/>
      <c r="AL260" s="302"/>
    </row>
    <row r="261" spans="1:38" ht="10.95" customHeight="1">
      <c r="A261" s="192"/>
      <c r="B261" s="649"/>
      <c r="C261" s="660"/>
      <c r="D261" s="660"/>
      <c r="E261" s="662"/>
      <c r="F261" s="695"/>
      <c r="G261" s="192"/>
      <c r="H261" s="198"/>
      <c r="I261" s="198"/>
      <c r="J261" s="198"/>
      <c r="K261" s="241"/>
      <c r="L261" s="535" t="str">
        <f>IF(E261="","",Nutzung!$G$29)</f>
        <v/>
      </c>
      <c r="M261" s="540" t="str">
        <f>IF(D261="","",AB261)</f>
        <v/>
      </c>
      <c r="N261" s="214">
        <f>IF(E261=0,0,SUM(O262:O273))</f>
        <v>0</v>
      </c>
      <c r="O261" s="215" t="str">
        <f>IF(N261/$O$1370=0,"",N261/$O$1370)</f>
        <v/>
      </c>
      <c r="P261" s="198"/>
      <c r="Q261" s="198"/>
      <c r="R261" s="198"/>
      <c r="S261" s="192"/>
      <c r="T261" s="182">
        <f>D261*E261</f>
        <v>0</v>
      </c>
      <c r="U261" s="182">
        <f>SUM(T144:T261)</f>
        <v>0</v>
      </c>
      <c r="AA261" s="318">
        <f>IF(D261="",0,1)</f>
        <v>0</v>
      </c>
      <c r="AB261" s="318">
        <f>AB248+AA261</f>
        <v>0</v>
      </c>
    </row>
    <row r="262" spans="1:38" s="233" customFormat="1" ht="10.199999999999999" hidden="1">
      <c r="A262" s="196"/>
      <c r="B262" s="716" t="s">
        <v>49</v>
      </c>
      <c r="C262" s="726"/>
      <c r="D262" s="717"/>
      <c r="E262" s="728"/>
      <c r="F262" s="717"/>
      <c r="G262" s="197" t="str">
        <f>IF($L$261&lt;Nutzung!$G$29,Nutzung!$G$29,$L$261)</f>
        <v/>
      </c>
      <c r="H262" s="197"/>
      <c r="I262" s="196"/>
      <c r="J262" s="196"/>
      <c r="K262" s="711">
        <f>IF(L261="",Nutzung!$G$29,Bauteile!L261)</f>
        <v>0</v>
      </c>
      <c r="L262" s="719"/>
      <c r="M262" s="729"/>
      <c r="N262" s="207"/>
      <c r="O262" s="723">
        <f>IF($E$261="",0,((Nutzung!$G$29+Regelung-1)+(($G$262-Nutzung!$G$29)/4)-H145)*I145*$D$261*$E$261*24/($N$145*1000))</f>
        <v>0</v>
      </c>
      <c r="P262" s="196"/>
      <c r="Q262" s="196"/>
      <c r="R262" s="196"/>
      <c r="S262" s="196"/>
      <c r="Z262" s="324"/>
      <c r="AA262" s="318"/>
      <c r="AB262" s="324"/>
      <c r="AC262" s="324"/>
      <c r="AD262" s="324"/>
      <c r="AE262" s="324"/>
      <c r="AF262" s="324"/>
      <c r="AG262" s="324"/>
      <c r="AH262" s="324"/>
      <c r="AI262" s="324"/>
      <c r="AJ262" s="324"/>
      <c r="AK262" s="324"/>
      <c r="AL262" s="303"/>
    </row>
    <row r="263" spans="1:38" s="233" customFormat="1" ht="10.199999999999999" hidden="1">
      <c r="A263" s="196"/>
      <c r="B263" s="716" t="s">
        <v>554</v>
      </c>
      <c r="C263" s="727"/>
      <c r="D263" s="717"/>
      <c r="E263" s="727"/>
      <c r="F263" s="717"/>
      <c r="G263" s="196"/>
      <c r="H263" s="197"/>
      <c r="I263" s="196"/>
      <c r="J263" s="196"/>
      <c r="K263" s="196"/>
      <c r="L263" s="719"/>
      <c r="M263" s="730"/>
      <c r="N263" s="207"/>
      <c r="O263" s="723">
        <f>IF($E$261="",0,((Nutzung!$G$29+Regelung-1)+(($G$262-Nutzung!$G$29)/4)-H146)*I146*$D$261*$E$261*24/($N$145*1000))</f>
        <v>0</v>
      </c>
      <c r="P263" s="196"/>
      <c r="Q263" s="196"/>
      <c r="R263" s="196"/>
      <c r="S263" s="196"/>
      <c r="Z263" s="324"/>
      <c r="AA263" s="318"/>
      <c r="AB263" s="324"/>
      <c r="AC263" s="324"/>
      <c r="AD263" s="324"/>
      <c r="AE263" s="324"/>
      <c r="AF263" s="324"/>
      <c r="AG263" s="324"/>
      <c r="AH263" s="324"/>
      <c r="AI263" s="324"/>
      <c r="AJ263" s="324"/>
      <c r="AK263" s="324"/>
      <c r="AL263" s="303"/>
    </row>
    <row r="264" spans="1:38" s="233" customFormat="1" ht="10.199999999999999" hidden="1">
      <c r="A264" s="196"/>
      <c r="B264" s="716" t="s">
        <v>306</v>
      </c>
      <c r="C264" s="727"/>
      <c r="D264" s="717"/>
      <c r="E264" s="727"/>
      <c r="F264" s="717"/>
      <c r="G264" s="196"/>
      <c r="H264" s="197"/>
      <c r="I264" s="196"/>
      <c r="J264" s="196"/>
      <c r="K264" s="196"/>
      <c r="L264" s="719"/>
      <c r="M264" s="730"/>
      <c r="N264" s="207"/>
      <c r="O264" s="723">
        <f>IF($E$261="",0,((Nutzung!$G$29+Regelung-1)+(($G$262-Nutzung!$G$29)/4)-H147)*I147*$D$261*$E$261*24/($N$145*1000))</f>
        <v>0</v>
      </c>
      <c r="P264" s="196"/>
      <c r="Q264" s="196"/>
      <c r="R264" s="196"/>
      <c r="S264" s="196"/>
      <c r="Z264" s="324"/>
      <c r="AA264" s="318"/>
      <c r="AB264" s="324"/>
      <c r="AC264" s="324"/>
      <c r="AD264" s="324"/>
      <c r="AE264" s="324"/>
      <c r="AF264" s="324"/>
      <c r="AG264" s="324"/>
      <c r="AH264" s="324"/>
      <c r="AI264" s="324"/>
      <c r="AJ264" s="324"/>
      <c r="AK264" s="324"/>
      <c r="AL264" s="303"/>
    </row>
    <row r="265" spans="1:38" s="233" customFormat="1" ht="10.199999999999999" hidden="1">
      <c r="A265" s="196"/>
      <c r="B265" s="716" t="s">
        <v>409</v>
      </c>
      <c r="C265" s="727"/>
      <c r="D265" s="717"/>
      <c r="E265" s="727"/>
      <c r="F265" s="717"/>
      <c r="G265" s="196"/>
      <c r="H265" s="197"/>
      <c r="I265" s="196"/>
      <c r="J265" s="196"/>
      <c r="K265" s="196"/>
      <c r="L265" s="719"/>
      <c r="M265" s="730"/>
      <c r="N265" s="207"/>
      <c r="O265" s="723">
        <f>IF($E$261="",0,((Nutzung!$G$29+Regelung-1)+(($G$262-Nutzung!$G$29)/4)-H148)*I148*$D$261*$E$261*24/($N$145*1000))</f>
        <v>0</v>
      </c>
      <c r="P265" s="196"/>
      <c r="Q265" s="196"/>
      <c r="R265" s="196"/>
      <c r="S265" s="196"/>
      <c r="Z265" s="324"/>
      <c r="AA265" s="318"/>
      <c r="AB265" s="324"/>
      <c r="AC265" s="324"/>
      <c r="AD265" s="324"/>
      <c r="AE265" s="324"/>
      <c r="AF265" s="324"/>
      <c r="AG265" s="324"/>
      <c r="AH265" s="324"/>
      <c r="AI265" s="324"/>
      <c r="AJ265" s="324"/>
      <c r="AK265" s="324"/>
      <c r="AL265" s="303"/>
    </row>
    <row r="266" spans="1:38" s="233" customFormat="1" ht="10.199999999999999" hidden="1">
      <c r="A266" s="196"/>
      <c r="B266" s="716" t="s">
        <v>410</v>
      </c>
      <c r="C266" s="727"/>
      <c r="D266" s="717"/>
      <c r="E266" s="727"/>
      <c r="F266" s="717"/>
      <c r="G266" s="196"/>
      <c r="H266" s="197"/>
      <c r="I266" s="196"/>
      <c r="J266" s="196"/>
      <c r="K266" s="196"/>
      <c r="L266" s="719"/>
      <c r="M266" s="730"/>
      <c r="N266" s="207"/>
      <c r="O266" s="723">
        <f>IF($E$261="",0,((Nutzung!$G$29+Regelung-1)+(($G$262-Nutzung!$G$29)/4)-H149)*I149*$D$261*$E$261*24/($N$145*1000))</f>
        <v>0</v>
      </c>
      <c r="P266" s="196"/>
      <c r="Q266" s="196"/>
      <c r="R266" s="196"/>
      <c r="S266" s="196"/>
      <c r="Z266" s="324"/>
      <c r="AA266" s="318"/>
      <c r="AB266" s="324"/>
      <c r="AC266" s="324"/>
      <c r="AD266" s="324"/>
      <c r="AE266" s="324"/>
      <c r="AF266" s="324"/>
      <c r="AG266" s="324"/>
      <c r="AH266" s="324"/>
      <c r="AI266" s="324"/>
      <c r="AJ266" s="324"/>
      <c r="AK266" s="324"/>
      <c r="AL266" s="303"/>
    </row>
    <row r="267" spans="1:38" s="233" customFormat="1" ht="10.199999999999999" hidden="1">
      <c r="A267" s="196"/>
      <c r="B267" s="716" t="s">
        <v>411</v>
      </c>
      <c r="C267" s="727"/>
      <c r="D267" s="717"/>
      <c r="E267" s="727"/>
      <c r="F267" s="717"/>
      <c r="G267" s="196"/>
      <c r="H267" s="197"/>
      <c r="I267" s="196"/>
      <c r="J267" s="196"/>
      <c r="K267" s="196"/>
      <c r="L267" s="719"/>
      <c r="M267" s="730"/>
      <c r="N267" s="207"/>
      <c r="O267" s="723">
        <f>IF($E$261="",0,((Nutzung!$G$29+Regelung-1)+(($G$262-Nutzung!$G$29)/4)-H150)*I150*$D$261*$E$261*24/($N$145*1000))</f>
        <v>0</v>
      </c>
      <c r="P267" s="196"/>
      <c r="Q267" s="196"/>
      <c r="R267" s="196"/>
      <c r="S267" s="196"/>
      <c r="Z267" s="324"/>
      <c r="AA267" s="318"/>
      <c r="AB267" s="324"/>
      <c r="AC267" s="324"/>
      <c r="AD267" s="324"/>
      <c r="AE267" s="324"/>
      <c r="AF267" s="324"/>
      <c r="AG267" s="324"/>
      <c r="AH267" s="324"/>
      <c r="AI267" s="324"/>
      <c r="AJ267" s="324"/>
      <c r="AK267" s="324"/>
      <c r="AL267" s="303"/>
    </row>
    <row r="268" spans="1:38" s="233" customFormat="1" ht="10.199999999999999" hidden="1">
      <c r="A268" s="196"/>
      <c r="B268" s="716" t="s">
        <v>221</v>
      </c>
      <c r="C268" s="727"/>
      <c r="D268" s="717"/>
      <c r="E268" s="727"/>
      <c r="F268" s="717"/>
      <c r="G268" s="196"/>
      <c r="H268" s="197"/>
      <c r="I268" s="196"/>
      <c r="J268" s="196"/>
      <c r="K268" s="196"/>
      <c r="L268" s="719"/>
      <c r="M268" s="730"/>
      <c r="N268" s="207"/>
      <c r="O268" s="723">
        <f>IF($E$261="",0,((Nutzung!$G$29+Regelung-1)+(($G$262-Nutzung!$G$29)/4)-H151)*I151*$D$261*$E$261*24/($N$145*1000))</f>
        <v>0</v>
      </c>
      <c r="P268" s="196"/>
      <c r="Q268" s="196"/>
      <c r="R268" s="196"/>
      <c r="S268" s="196"/>
      <c r="Z268" s="324"/>
      <c r="AA268" s="318"/>
      <c r="AB268" s="324"/>
      <c r="AC268" s="324"/>
      <c r="AD268" s="324"/>
      <c r="AE268" s="324"/>
      <c r="AF268" s="324"/>
      <c r="AG268" s="324"/>
      <c r="AH268" s="324"/>
      <c r="AI268" s="324"/>
      <c r="AJ268" s="324"/>
      <c r="AK268" s="324"/>
      <c r="AL268" s="303"/>
    </row>
    <row r="269" spans="1:38" s="233" customFormat="1" ht="10.199999999999999" hidden="1">
      <c r="A269" s="196"/>
      <c r="B269" s="716" t="s">
        <v>138</v>
      </c>
      <c r="C269" s="727"/>
      <c r="D269" s="717"/>
      <c r="E269" s="727"/>
      <c r="F269" s="717"/>
      <c r="G269" s="196"/>
      <c r="H269" s="197"/>
      <c r="I269" s="196"/>
      <c r="J269" s="196"/>
      <c r="K269" s="196"/>
      <c r="L269" s="719"/>
      <c r="M269" s="730"/>
      <c r="N269" s="207"/>
      <c r="O269" s="723">
        <f>IF($E$261="",0,((Nutzung!$G$29+Regelung-1)+(($G$262-Nutzung!$G$29)/4)-H152)*I152*$D$261*$E$261*24/($N$145*1000))</f>
        <v>0</v>
      </c>
      <c r="P269" s="196"/>
      <c r="Q269" s="196"/>
      <c r="R269" s="196"/>
      <c r="S269" s="196"/>
      <c r="Z269" s="324"/>
      <c r="AA269" s="318"/>
      <c r="AB269" s="324"/>
      <c r="AC269" s="324"/>
      <c r="AD269" s="324"/>
      <c r="AE269" s="324"/>
      <c r="AF269" s="324"/>
      <c r="AG269" s="324"/>
      <c r="AH269" s="324"/>
      <c r="AI269" s="324"/>
      <c r="AJ269" s="324"/>
      <c r="AK269" s="324"/>
      <c r="AL269" s="303"/>
    </row>
    <row r="270" spans="1:38" s="233" customFormat="1" ht="10.199999999999999" hidden="1">
      <c r="A270" s="196"/>
      <c r="B270" s="716" t="s">
        <v>139</v>
      </c>
      <c r="C270" s="727"/>
      <c r="D270" s="717"/>
      <c r="E270" s="727"/>
      <c r="F270" s="717"/>
      <c r="G270" s="196"/>
      <c r="H270" s="197"/>
      <c r="I270" s="196"/>
      <c r="J270" s="196"/>
      <c r="K270" s="196"/>
      <c r="L270" s="719"/>
      <c r="M270" s="730"/>
      <c r="N270" s="207"/>
      <c r="O270" s="723">
        <f>IF($E$261="",0,((Nutzung!$G$29+Regelung-1)+(($G$262-Nutzung!$G$29)/4)-H153)*I153*$D$261*$E$261*24/($N$145*1000))</f>
        <v>0</v>
      </c>
      <c r="P270" s="196"/>
      <c r="Q270" s="196"/>
      <c r="R270" s="196"/>
      <c r="S270" s="196"/>
      <c r="Z270" s="324"/>
      <c r="AA270" s="318"/>
      <c r="AB270" s="324"/>
      <c r="AC270" s="324"/>
      <c r="AD270" s="324"/>
      <c r="AE270" s="324"/>
      <c r="AF270" s="324"/>
      <c r="AG270" s="324"/>
      <c r="AH270" s="324"/>
      <c r="AI270" s="324"/>
      <c r="AJ270" s="324"/>
      <c r="AK270" s="324"/>
      <c r="AL270" s="303"/>
    </row>
    <row r="271" spans="1:38" s="233" customFormat="1" ht="10.199999999999999" hidden="1">
      <c r="A271" s="196"/>
      <c r="B271" s="716" t="s">
        <v>269</v>
      </c>
      <c r="C271" s="727"/>
      <c r="D271" s="717"/>
      <c r="E271" s="727"/>
      <c r="F271" s="717"/>
      <c r="G271" s="196"/>
      <c r="H271" s="197"/>
      <c r="I271" s="196"/>
      <c r="J271" s="196"/>
      <c r="K271" s="196"/>
      <c r="L271" s="719"/>
      <c r="M271" s="730"/>
      <c r="N271" s="207"/>
      <c r="O271" s="723">
        <f>IF($E$261="",0,((Nutzung!$G$29+Regelung-1)+(($G$262-Nutzung!$G$29)/4)-H154)*I154*$D$261*$E$261*24/($N$145*1000))</f>
        <v>0</v>
      </c>
      <c r="P271" s="196"/>
      <c r="Q271" s="196"/>
      <c r="R271" s="196"/>
      <c r="S271" s="196"/>
      <c r="Z271" s="324"/>
      <c r="AA271" s="318"/>
      <c r="AB271" s="324"/>
      <c r="AC271" s="324"/>
      <c r="AD271" s="324"/>
      <c r="AE271" s="324"/>
      <c r="AF271" s="324"/>
      <c r="AG271" s="324"/>
      <c r="AH271" s="324"/>
      <c r="AI271" s="324"/>
      <c r="AJ271" s="324"/>
      <c r="AK271" s="324"/>
      <c r="AL271" s="303"/>
    </row>
    <row r="272" spans="1:38" s="233" customFormat="1" ht="10.199999999999999" hidden="1">
      <c r="A272" s="196"/>
      <c r="B272" s="716" t="s">
        <v>366</v>
      </c>
      <c r="C272" s="727"/>
      <c r="D272" s="717"/>
      <c r="E272" s="727"/>
      <c r="F272" s="717"/>
      <c r="G272" s="196"/>
      <c r="H272" s="197"/>
      <c r="I272" s="196"/>
      <c r="J272" s="196"/>
      <c r="K272" s="196"/>
      <c r="L272" s="719"/>
      <c r="M272" s="730"/>
      <c r="N272" s="207"/>
      <c r="O272" s="723">
        <f>IF($E$261="",0,((Nutzung!$G$29+Regelung-1)+(($G$262-Nutzung!$G$29)/4)-H155)*I155*$D$261*$E$261*24/($N$145*1000))</f>
        <v>0</v>
      </c>
      <c r="P272" s="196"/>
      <c r="Q272" s="196"/>
      <c r="R272" s="196"/>
      <c r="S272" s="196"/>
      <c r="Z272" s="324"/>
      <c r="AA272" s="318"/>
      <c r="AB272" s="324"/>
      <c r="AC272" s="324"/>
      <c r="AD272" s="324"/>
      <c r="AE272" s="324"/>
      <c r="AF272" s="324"/>
      <c r="AG272" s="324"/>
      <c r="AH272" s="324"/>
      <c r="AI272" s="324"/>
      <c r="AJ272" s="324"/>
      <c r="AK272" s="324"/>
      <c r="AL272" s="303"/>
    </row>
    <row r="273" spans="1:38" s="233" customFormat="1" ht="10.199999999999999" hidden="1">
      <c r="A273" s="196"/>
      <c r="B273" s="716" t="s">
        <v>465</v>
      </c>
      <c r="C273" s="727"/>
      <c r="D273" s="717"/>
      <c r="E273" s="727"/>
      <c r="F273" s="717"/>
      <c r="G273" s="196"/>
      <c r="H273" s="197"/>
      <c r="I273" s="196"/>
      <c r="J273" s="196"/>
      <c r="K273" s="196"/>
      <c r="L273" s="719"/>
      <c r="M273" s="730"/>
      <c r="N273" s="207"/>
      <c r="O273" s="723">
        <f>IF($E$261="",0,((Nutzung!$G$29+Regelung-1)+(($G$262-Nutzung!$G$29)/4)-H156)*I156*$D$261*$E$261*24/($N$145*1000))</f>
        <v>0</v>
      </c>
      <c r="P273" s="196"/>
      <c r="Q273" s="196"/>
      <c r="R273" s="196"/>
      <c r="S273" s="196"/>
      <c r="Z273" s="324"/>
      <c r="AA273" s="318"/>
      <c r="AB273" s="324"/>
      <c r="AC273" s="324"/>
      <c r="AD273" s="324"/>
      <c r="AE273" s="324"/>
      <c r="AF273" s="324"/>
      <c r="AG273" s="324"/>
      <c r="AH273" s="324"/>
      <c r="AI273" s="324"/>
      <c r="AJ273" s="324"/>
      <c r="AK273" s="324"/>
      <c r="AL273" s="303"/>
    </row>
    <row r="274" spans="1:38">
      <c r="A274" s="192"/>
      <c r="B274" s="196"/>
      <c r="C274" s="197"/>
      <c r="D274" s="197"/>
      <c r="E274" s="197"/>
      <c r="F274" s="197"/>
      <c r="G274" s="197"/>
      <c r="H274" s="207"/>
      <c r="I274" s="208"/>
      <c r="J274" s="192"/>
      <c r="K274" s="192"/>
      <c r="L274" s="192"/>
      <c r="M274" s="192"/>
      <c r="N274" s="192"/>
      <c r="O274" s="192"/>
      <c r="P274" s="192"/>
      <c r="Q274" s="192"/>
      <c r="R274" s="192"/>
      <c r="S274" s="192"/>
    </row>
    <row r="275" spans="1:38" s="233" customFormat="1" ht="12" customHeight="1">
      <c r="A275" s="196"/>
      <c r="B275" s="907" t="s">
        <v>299</v>
      </c>
      <c r="C275" s="904" t="s">
        <v>521</v>
      </c>
      <c r="D275" s="904" t="s">
        <v>119</v>
      </c>
      <c r="E275" s="904" t="s">
        <v>464</v>
      </c>
      <c r="F275" s="904" t="s">
        <v>51</v>
      </c>
      <c r="G275" s="904" t="s">
        <v>18</v>
      </c>
      <c r="H275" s="904" t="s">
        <v>193</v>
      </c>
      <c r="I275" s="904" t="s">
        <v>7</v>
      </c>
      <c r="J275" s="904" t="s">
        <v>348</v>
      </c>
      <c r="K275" s="904" t="s">
        <v>348</v>
      </c>
      <c r="L275" s="904" t="s">
        <v>153</v>
      </c>
      <c r="M275" s="904" t="s">
        <v>349</v>
      </c>
      <c r="N275" s="904" t="s">
        <v>166</v>
      </c>
      <c r="O275" s="904" t="s">
        <v>520</v>
      </c>
      <c r="P275" s="194"/>
      <c r="Q275" s="194"/>
      <c r="R275" s="197"/>
      <c r="S275" s="196"/>
      <c r="Z275" s="324"/>
      <c r="AA275" s="318"/>
      <c r="AB275" s="324"/>
      <c r="AC275" s="324"/>
      <c r="AD275" s="324"/>
      <c r="AE275" s="324"/>
      <c r="AF275" s="324"/>
      <c r="AG275" s="324"/>
      <c r="AH275" s="324"/>
      <c r="AI275" s="324"/>
      <c r="AJ275" s="324"/>
      <c r="AK275" s="324"/>
      <c r="AL275" s="303"/>
    </row>
    <row r="276" spans="1:38" s="233" customFormat="1" ht="12" customHeight="1">
      <c r="A276" s="196"/>
      <c r="B276" s="907"/>
      <c r="C276" s="904"/>
      <c r="D276" s="904" t="s">
        <v>552</v>
      </c>
      <c r="E276" s="904" t="s">
        <v>181</v>
      </c>
      <c r="F276" s="904" t="s">
        <v>487</v>
      </c>
      <c r="G276" s="904"/>
      <c r="H276" s="904" t="s">
        <v>699</v>
      </c>
      <c r="I276" s="904" t="s">
        <v>700</v>
      </c>
      <c r="J276" s="904" t="s">
        <v>701</v>
      </c>
      <c r="K276" s="904" t="s">
        <v>701</v>
      </c>
      <c r="L276" s="904" t="s">
        <v>228</v>
      </c>
      <c r="M276" s="904"/>
      <c r="N276" s="904" t="s">
        <v>621</v>
      </c>
      <c r="O276" s="904"/>
      <c r="P276" s="194"/>
      <c r="Q276" s="194"/>
      <c r="R276" s="197"/>
      <c r="S276" s="196"/>
      <c r="Z276" s="324"/>
      <c r="AA276" s="318"/>
      <c r="AB276" s="324"/>
      <c r="AC276" s="324"/>
      <c r="AD276" s="324"/>
      <c r="AE276" s="324"/>
      <c r="AF276" s="324"/>
      <c r="AG276" s="324"/>
      <c r="AH276" s="324"/>
      <c r="AI276" s="324"/>
      <c r="AJ276" s="324"/>
      <c r="AK276" s="324"/>
      <c r="AL276" s="303"/>
    </row>
    <row r="277" spans="1:38" s="231" customFormat="1" ht="4.95" customHeight="1">
      <c r="A277" s="195"/>
      <c r="B277" s="196"/>
      <c r="C277" s="197"/>
      <c r="D277" s="197"/>
      <c r="E277" s="197"/>
      <c r="F277" s="197"/>
      <c r="G277" s="197"/>
      <c r="H277" s="195"/>
      <c r="I277" s="197"/>
      <c r="J277" s="197"/>
      <c r="K277" s="195"/>
      <c r="L277" s="195"/>
      <c r="M277" s="195"/>
      <c r="N277" s="195"/>
      <c r="O277" s="195"/>
      <c r="P277" s="195"/>
      <c r="Q277" s="195"/>
      <c r="R277" s="195"/>
      <c r="S277" s="195"/>
      <c r="Z277" s="320"/>
      <c r="AA277" s="320"/>
      <c r="AB277" s="320"/>
      <c r="AC277" s="320"/>
      <c r="AD277" s="320"/>
      <c r="AE277" s="320"/>
      <c r="AF277" s="320"/>
      <c r="AG277" s="320"/>
      <c r="AH277" s="320"/>
      <c r="AI277" s="320"/>
      <c r="AJ277" s="320"/>
      <c r="AK277" s="320"/>
      <c r="AL277" s="299"/>
    </row>
    <row r="278" spans="1:38" ht="10.95" customHeight="1">
      <c r="A278" s="260"/>
      <c r="B278" s="646"/>
      <c r="C278" s="652"/>
      <c r="D278" s="653"/>
      <c r="E278" s="654"/>
      <c r="F278" s="663"/>
      <c r="G278" s="666"/>
      <c r="H278" s="654"/>
      <c r="I278" s="672"/>
      <c r="J278" s="667"/>
      <c r="K278" s="667"/>
      <c r="L278" s="542" t="str">
        <f>IF(E278="","",Nutzung!$G$29)</f>
        <v/>
      </c>
      <c r="M278" s="218" t="str">
        <f>IF(D278="","",AB278)</f>
        <v/>
      </c>
      <c r="N278" s="214">
        <f>IF(E278=0,0,M280)</f>
        <v>0</v>
      </c>
      <c r="O278" s="215" t="str">
        <f>IF(N278/$O$1370=0,"",N278/$O$1370)</f>
        <v/>
      </c>
      <c r="P278" s="192"/>
      <c r="Q278" s="241"/>
      <c r="R278" s="241"/>
      <c r="S278" s="192"/>
      <c r="T278" s="182">
        <f>D278*E278</f>
        <v>0</v>
      </c>
      <c r="AA278" s="318">
        <f>IF(D278="",0,1)</f>
        <v>0</v>
      </c>
      <c r="AB278" s="318">
        <f>AB261+AA278</f>
        <v>0</v>
      </c>
    </row>
    <row r="279" spans="1:38" hidden="1">
      <c r="A279" s="192"/>
      <c r="B279" s="800" t="s">
        <v>322</v>
      </c>
      <c r="C279" s="826" t="s">
        <v>466</v>
      </c>
      <c r="D279" s="809" t="s">
        <v>471</v>
      </c>
      <c r="E279" s="827"/>
      <c r="F279" s="814" t="s">
        <v>267</v>
      </c>
      <c r="G279" s="828" t="s">
        <v>466</v>
      </c>
      <c r="H279" s="810" t="s">
        <v>260</v>
      </c>
      <c r="I279" s="809" t="s">
        <v>264</v>
      </c>
      <c r="J279" s="815" t="s">
        <v>265</v>
      </c>
      <c r="K279" s="815"/>
      <c r="L279" s="811" t="s">
        <v>413</v>
      </c>
      <c r="M279" s="820" t="s">
        <v>517</v>
      </c>
      <c r="N279" s="192"/>
      <c r="O279" s="192"/>
      <c r="P279" s="192"/>
      <c r="Q279" s="192"/>
      <c r="R279" s="192"/>
      <c r="S279" s="192"/>
    </row>
    <row r="280" spans="1:38" s="235" customFormat="1" ht="10.199999999999999" hidden="1">
      <c r="A280" s="202"/>
      <c r="B280" s="801" t="b">
        <v>0</v>
      </c>
      <c r="C280" s="536" t="str">
        <f>IF($L$278&lt;Nutzung!$G$29,Nutzung!$G$29,$L$278)</f>
        <v/>
      </c>
      <c r="D280" s="538">
        <v>31</v>
      </c>
      <c r="E280" s="725"/>
      <c r="F280" s="536">
        <f>Klima!$C136</f>
        <v>0</v>
      </c>
      <c r="G280" s="543">
        <f>IF(L278="",Nutzung!$G$29,Bauteile!L278)</f>
        <v>0</v>
      </c>
      <c r="H280" s="818">
        <f>IF($E$278="",0,((Nutzung!$G$29+Regelung-1)+(($C$280-Nutzung!$G$29)/2)-F280)*D280*$D$278*$E$278*24/($B$284*1000))</f>
        <v>0</v>
      </c>
      <c r="I280" s="537">
        <f>Einträge!E30*Bilanz!D54</f>
        <v>0</v>
      </c>
      <c r="J280" s="537">
        <f t="shared" ref="J280:J291" si="0">H280-I280</f>
        <v>0</v>
      </c>
      <c r="K280" s="537"/>
      <c r="L280" s="283">
        <f t="shared" ref="L280:L291" si="1">IF($B$282=1,J280,H280)</f>
        <v>0</v>
      </c>
      <c r="M280" s="821" t="str">
        <f>IF(E278="","",SUM(L280:L291))</f>
        <v/>
      </c>
      <c r="N280" s="202"/>
      <c r="O280" s="202"/>
      <c r="P280" s="202"/>
      <c r="Q280" s="202"/>
      <c r="R280" s="202"/>
      <c r="S280" s="202"/>
      <c r="Z280" s="323"/>
      <c r="AA280" s="318"/>
      <c r="AB280" s="323"/>
      <c r="AC280" s="323"/>
      <c r="AD280" s="323"/>
      <c r="AE280" s="323"/>
      <c r="AF280" s="323"/>
      <c r="AG280" s="323"/>
      <c r="AH280" s="323"/>
      <c r="AI280" s="323"/>
      <c r="AJ280" s="323"/>
      <c r="AK280" s="323"/>
      <c r="AL280" s="302"/>
    </row>
    <row r="281" spans="1:38" s="235" customFormat="1" ht="10.199999999999999" hidden="1">
      <c r="A281" s="202"/>
      <c r="B281" s="802" t="s">
        <v>268</v>
      </c>
      <c r="C281" s="536"/>
      <c r="D281" s="538">
        <v>28</v>
      </c>
      <c r="E281" s="725"/>
      <c r="F281" s="536">
        <f>Klima!$C137</f>
        <v>0</v>
      </c>
      <c r="G281" s="551"/>
      <c r="H281" s="818">
        <f>IF($E$278="",0,((Nutzung!$G$29+Regelung-1)+(($C$280-Nutzung!$G$29)/2)-F281)*D281*$D$278*$E$278*24/($B$284*1000))</f>
        <v>0</v>
      </c>
      <c r="I281" s="537">
        <f>Einträge!E31*Bilanz!E54</f>
        <v>0</v>
      </c>
      <c r="J281" s="285">
        <f t="shared" si="0"/>
        <v>0</v>
      </c>
      <c r="K281" s="537"/>
      <c r="L281" s="283">
        <f t="shared" si="1"/>
        <v>0</v>
      </c>
      <c r="M281" s="822"/>
      <c r="N281" s="202"/>
      <c r="O281" s="202"/>
      <c r="P281" s="202"/>
      <c r="Q281" s="202"/>
      <c r="R281" s="242"/>
      <c r="S281" s="202"/>
      <c r="Z281" s="323"/>
      <c r="AA281" s="318"/>
      <c r="AB281" s="323"/>
      <c r="AC281" s="323"/>
      <c r="AD281" s="323"/>
      <c r="AE281" s="323"/>
      <c r="AF281" s="323"/>
      <c r="AG281" s="323"/>
      <c r="AH281" s="323"/>
      <c r="AI281" s="323"/>
      <c r="AJ281" s="323"/>
      <c r="AK281" s="323"/>
      <c r="AL281" s="302"/>
    </row>
    <row r="282" spans="1:38" s="235" customFormat="1" ht="10.199999999999999" hidden="1">
      <c r="A282" s="202"/>
      <c r="B282" s="803">
        <f>IF(B280=FALSE,0,1)</f>
        <v>0</v>
      </c>
      <c r="C282" s="536"/>
      <c r="D282" s="538">
        <v>31</v>
      </c>
      <c r="E282" s="725"/>
      <c r="F282" s="536">
        <f>Klima!$C138</f>
        <v>0</v>
      </c>
      <c r="G282" s="551"/>
      <c r="H282" s="818">
        <f>IF($E$278="",0,((Nutzung!$G$29+Regelung-1)+(($C$280-Nutzung!$G$29)/2)-F282)*D282*$D$278*$E$278*24/($B$284*1000))</f>
        <v>0</v>
      </c>
      <c r="I282" s="537">
        <f>Einträge!E32*Bilanz!F54</f>
        <v>0</v>
      </c>
      <c r="J282" s="285">
        <f t="shared" si="0"/>
        <v>0</v>
      </c>
      <c r="K282" s="537"/>
      <c r="L282" s="283">
        <f t="shared" si="1"/>
        <v>0</v>
      </c>
      <c r="M282" s="821"/>
      <c r="N282" s="202"/>
      <c r="O282" s="202"/>
      <c r="P282" s="202"/>
      <c r="Q282" s="202"/>
      <c r="R282" s="242"/>
      <c r="S282" s="202"/>
      <c r="Z282" s="323"/>
      <c r="AA282" s="318"/>
      <c r="AB282" s="323"/>
      <c r="AC282" s="323"/>
      <c r="AD282" s="323"/>
      <c r="AE282" s="323"/>
      <c r="AF282" s="323"/>
      <c r="AG282" s="323"/>
      <c r="AH282" s="323"/>
      <c r="AI282" s="323"/>
      <c r="AJ282" s="323"/>
      <c r="AK282" s="323"/>
      <c r="AL282" s="302"/>
    </row>
    <row r="283" spans="1:38" s="235" customFormat="1" ht="10.199999999999999" hidden="1">
      <c r="A283" s="202"/>
      <c r="B283" s="804" t="s">
        <v>448</v>
      </c>
      <c r="C283" s="536"/>
      <c r="D283" s="538">
        <v>30</v>
      </c>
      <c r="E283" s="725"/>
      <c r="F283" s="536">
        <f>Klima!$C139</f>
        <v>0</v>
      </c>
      <c r="G283" s="551"/>
      <c r="H283" s="818">
        <f>IF($E$278="",0,((Nutzung!$G$29+Regelung-1)+(($C$280-Nutzung!$G$29)/2)-F283)*D283*$D$278*$E$278*24/($B$284*1000))</f>
        <v>0</v>
      </c>
      <c r="I283" s="537">
        <f>Einträge!E33*Bilanz!G54</f>
        <v>0</v>
      </c>
      <c r="J283" s="285">
        <f t="shared" si="0"/>
        <v>0</v>
      </c>
      <c r="K283" s="537"/>
      <c r="L283" s="283">
        <f t="shared" si="1"/>
        <v>0</v>
      </c>
      <c r="M283" s="822"/>
      <c r="N283" s="202"/>
      <c r="O283" s="202"/>
      <c r="P283" s="202"/>
      <c r="Q283" s="202"/>
      <c r="R283" s="242"/>
      <c r="S283" s="202"/>
      <c r="Z283" s="323"/>
      <c r="AA283" s="318"/>
      <c r="AB283" s="323"/>
      <c r="AC283" s="323"/>
      <c r="AD283" s="323"/>
      <c r="AE283" s="323"/>
      <c r="AF283" s="323"/>
      <c r="AG283" s="323"/>
      <c r="AH283" s="323"/>
      <c r="AI283" s="323"/>
      <c r="AJ283" s="323"/>
      <c r="AK283" s="323"/>
      <c r="AL283" s="302"/>
    </row>
    <row r="284" spans="1:38" s="235" customFormat="1" ht="10.199999999999999" hidden="1">
      <c r="A284" s="202"/>
      <c r="B284" s="805">
        <f>EBF!$F$39</f>
        <v>1.0000000000000001E-31</v>
      </c>
      <c r="C284" s="536"/>
      <c r="D284" s="538">
        <v>31</v>
      </c>
      <c r="E284" s="725"/>
      <c r="F284" s="536">
        <f>Klima!$C140</f>
        <v>0</v>
      </c>
      <c r="G284" s="551"/>
      <c r="H284" s="818">
        <f>IF($E$278="",0,((Nutzung!$G$29+Regelung-1)+(($C$280-Nutzung!$G$29)/2)-F284)*D284*$D$278*$E$278*24/($B$284*1000))</f>
        <v>0</v>
      </c>
      <c r="I284" s="537">
        <f>Einträge!E34*Bilanz!H54</f>
        <v>0</v>
      </c>
      <c r="J284" s="285">
        <f t="shared" si="0"/>
        <v>0</v>
      </c>
      <c r="K284" s="537"/>
      <c r="L284" s="283">
        <f t="shared" si="1"/>
        <v>0</v>
      </c>
      <c r="M284" s="822"/>
      <c r="N284" s="202"/>
      <c r="O284" s="202"/>
      <c r="P284" s="202"/>
      <c r="Q284" s="202"/>
      <c r="R284" s="242"/>
      <c r="S284" s="202"/>
      <c r="Z284" s="323"/>
      <c r="AA284" s="318"/>
      <c r="AB284" s="323"/>
      <c r="AC284" s="323"/>
      <c r="AD284" s="323"/>
      <c r="AE284" s="323"/>
      <c r="AF284" s="323"/>
      <c r="AG284" s="323"/>
      <c r="AH284" s="323"/>
      <c r="AI284" s="323"/>
      <c r="AJ284" s="323"/>
      <c r="AK284" s="323"/>
      <c r="AL284" s="302"/>
    </row>
    <row r="285" spans="1:38" s="235" customFormat="1" ht="10.199999999999999" hidden="1">
      <c r="A285" s="202"/>
      <c r="B285" s="806"/>
      <c r="C285" s="536"/>
      <c r="D285" s="538">
        <v>30</v>
      </c>
      <c r="E285" s="725"/>
      <c r="F285" s="536">
        <f>Klima!$C141</f>
        <v>0</v>
      </c>
      <c r="G285" s="551"/>
      <c r="H285" s="818">
        <f>IF($E$278="",0,((Nutzung!$G$29+Regelung-1)+(($C$280-Nutzung!$G$29)/2)-F285)*D285*$D$278*$E$278*24/($B$284*1000))</f>
        <v>0</v>
      </c>
      <c r="I285" s="537">
        <f>Einträge!E35*Bilanz!I54</f>
        <v>0</v>
      </c>
      <c r="J285" s="285">
        <f t="shared" si="0"/>
        <v>0</v>
      </c>
      <c r="K285" s="537"/>
      <c r="L285" s="283">
        <f t="shared" si="1"/>
        <v>0</v>
      </c>
      <c r="M285" s="821"/>
      <c r="N285" s="268" t="s">
        <v>517</v>
      </c>
      <c r="O285" s="202"/>
      <c r="P285" s="202"/>
      <c r="Q285" s="202"/>
      <c r="R285" s="242"/>
      <c r="S285" s="202"/>
      <c r="Z285" s="323"/>
      <c r="AA285" s="318"/>
      <c r="AB285" s="323"/>
      <c r="AC285" s="323"/>
      <c r="AD285" s="323"/>
      <c r="AE285" s="323"/>
      <c r="AF285" s="323"/>
      <c r="AG285" s="323"/>
      <c r="AH285" s="323"/>
      <c r="AI285" s="323"/>
      <c r="AJ285" s="323"/>
      <c r="AK285" s="323"/>
      <c r="AL285" s="302"/>
    </row>
    <row r="286" spans="1:38" s="235" customFormat="1" ht="10.199999999999999" hidden="1">
      <c r="A286" s="202"/>
      <c r="B286" s="806"/>
      <c r="C286" s="536"/>
      <c r="D286" s="538">
        <v>31</v>
      </c>
      <c r="E286" s="725"/>
      <c r="F286" s="536">
        <f>Klima!$C142</f>
        <v>0</v>
      </c>
      <c r="G286" s="551"/>
      <c r="H286" s="818">
        <f>IF($E$278="",0,((Nutzung!$G$29+Regelung-1)+(($C$280-Nutzung!$G$29)/2)-F286)*D286*$D$278*$E$278*24/($B$284*1000))</f>
        <v>0</v>
      </c>
      <c r="I286" s="537">
        <f>Einträge!E36*Bilanz!J54</f>
        <v>0</v>
      </c>
      <c r="J286" s="285">
        <f t="shared" si="0"/>
        <v>0</v>
      </c>
      <c r="K286" s="537"/>
      <c r="L286" s="283">
        <f t="shared" si="1"/>
        <v>0</v>
      </c>
      <c r="M286" s="821"/>
      <c r="N286" s="709">
        <f>SUM(H280:H291)</f>
        <v>0</v>
      </c>
      <c r="O286" s="202"/>
      <c r="P286" s="202"/>
      <c r="Q286" s="202"/>
      <c r="R286" s="242"/>
      <c r="S286" s="202"/>
      <c r="Z286" s="323"/>
      <c r="AA286" s="318"/>
      <c r="AB286" s="323"/>
      <c r="AC286" s="323"/>
      <c r="AD286" s="323"/>
      <c r="AE286" s="323"/>
      <c r="AF286" s="323"/>
      <c r="AG286" s="323"/>
      <c r="AH286" s="323"/>
      <c r="AI286" s="323"/>
      <c r="AJ286" s="323"/>
      <c r="AK286" s="323"/>
      <c r="AL286" s="302"/>
    </row>
    <row r="287" spans="1:38" s="235" customFormat="1" ht="10.199999999999999" hidden="1">
      <c r="A287" s="202"/>
      <c r="B287" s="806"/>
      <c r="C287" s="536"/>
      <c r="D287" s="538">
        <v>31</v>
      </c>
      <c r="E287" s="725"/>
      <c r="F287" s="536">
        <f>Klima!$C143</f>
        <v>0</v>
      </c>
      <c r="G287" s="551"/>
      <c r="H287" s="818">
        <f>IF($E$278="",0,((Nutzung!$G$29+Regelung-1)+(($C$280-Nutzung!$G$29)/2)-F287)*D287*$D$278*$E$278*24/($B$284*1000))</f>
        <v>0</v>
      </c>
      <c r="I287" s="537">
        <f>Einträge!E37*Bilanz!K54</f>
        <v>0</v>
      </c>
      <c r="J287" s="285">
        <f t="shared" si="0"/>
        <v>0</v>
      </c>
      <c r="K287" s="537"/>
      <c r="L287" s="283">
        <f t="shared" si="1"/>
        <v>0</v>
      </c>
      <c r="M287" s="822"/>
      <c r="N287" s="202"/>
      <c r="O287" s="202"/>
      <c r="P287" s="202"/>
      <c r="Q287" s="202"/>
      <c r="R287" s="242"/>
      <c r="S287" s="202"/>
      <c r="Z287" s="323"/>
      <c r="AA287" s="318"/>
      <c r="AB287" s="323"/>
      <c r="AC287" s="323"/>
      <c r="AD287" s="323"/>
      <c r="AE287" s="323"/>
      <c r="AF287" s="323"/>
      <c r="AG287" s="323"/>
      <c r="AH287" s="323"/>
      <c r="AI287" s="323"/>
      <c r="AJ287" s="323"/>
      <c r="AK287" s="323"/>
      <c r="AL287" s="302"/>
    </row>
    <row r="288" spans="1:38" s="235" customFormat="1" ht="10.199999999999999" hidden="1">
      <c r="A288" s="202"/>
      <c r="B288" s="806"/>
      <c r="C288" s="536"/>
      <c r="D288" s="538">
        <v>30</v>
      </c>
      <c r="E288" s="725"/>
      <c r="F288" s="536">
        <f>Klima!$C144</f>
        <v>0</v>
      </c>
      <c r="G288" s="551"/>
      <c r="H288" s="818">
        <f>IF($E$278="",0,((Nutzung!$G$29+Regelung-1)+(($C$280-Nutzung!$G$29)/2)-F288)*D288*$D$278*$E$278*24/($B$284*1000))</f>
        <v>0</v>
      </c>
      <c r="I288" s="537">
        <f>Einträge!E38*Bilanz!L54</f>
        <v>0</v>
      </c>
      <c r="J288" s="285">
        <f t="shared" si="0"/>
        <v>0</v>
      </c>
      <c r="K288" s="537"/>
      <c r="L288" s="283">
        <f t="shared" si="1"/>
        <v>0</v>
      </c>
      <c r="M288" s="822"/>
      <c r="N288" s="202"/>
      <c r="O288" s="202"/>
      <c r="P288" s="202"/>
      <c r="Q288" s="202"/>
      <c r="R288" s="242"/>
      <c r="S288" s="202"/>
      <c r="Z288" s="323"/>
      <c r="AA288" s="318"/>
      <c r="AB288" s="323"/>
      <c r="AC288" s="323"/>
      <c r="AD288" s="323"/>
      <c r="AE288" s="323"/>
      <c r="AF288" s="323"/>
      <c r="AG288" s="323"/>
      <c r="AH288" s="323"/>
      <c r="AI288" s="323"/>
      <c r="AJ288" s="323"/>
      <c r="AK288" s="323"/>
      <c r="AL288" s="302"/>
    </row>
    <row r="289" spans="1:38" s="235" customFormat="1" ht="10.199999999999999" hidden="1">
      <c r="A289" s="202"/>
      <c r="B289" s="806"/>
      <c r="C289" s="536"/>
      <c r="D289" s="538">
        <v>31</v>
      </c>
      <c r="E289" s="725"/>
      <c r="F289" s="536">
        <f>Klima!$C145</f>
        <v>0</v>
      </c>
      <c r="G289" s="551"/>
      <c r="H289" s="818">
        <f>IF($E$278="",0,((Nutzung!$G$29+Regelung-1)+(($C$280-Nutzung!$G$29)/2)-F289)*D289*$D$278*$E$278*24/($B$284*1000))</f>
        <v>0</v>
      </c>
      <c r="I289" s="537">
        <f>Einträge!E39*Bilanz!M54</f>
        <v>0</v>
      </c>
      <c r="J289" s="285">
        <f t="shared" si="0"/>
        <v>0</v>
      </c>
      <c r="K289" s="537"/>
      <c r="L289" s="283">
        <f t="shared" si="1"/>
        <v>0</v>
      </c>
      <c r="M289" s="822"/>
      <c r="N289" s="202"/>
      <c r="O289" s="202"/>
      <c r="P289" s="202"/>
      <c r="Q289" s="202"/>
      <c r="R289" s="242"/>
      <c r="S289" s="202"/>
      <c r="Z289" s="323"/>
      <c r="AA289" s="318"/>
      <c r="AB289" s="323"/>
      <c r="AC289" s="323"/>
      <c r="AD289" s="323"/>
      <c r="AE289" s="323"/>
      <c r="AF289" s="323"/>
      <c r="AG289" s="323"/>
      <c r="AH289" s="323"/>
      <c r="AI289" s="323"/>
      <c r="AJ289" s="323"/>
      <c r="AK289" s="323"/>
      <c r="AL289" s="302"/>
    </row>
    <row r="290" spans="1:38" s="235" customFormat="1" ht="10.199999999999999" hidden="1">
      <c r="A290" s="202"/>
      <c r="B290" s="806"/>
      <c r="C290" s="536"/>
      <c r="D290" s="538">
        <v>30</v>
      </c>
      <c r="E290" s="725"/>
      <c r="F290" s="536">
        <f>Klima!$C146</f>
        <v>0</v>
      </c>
      <c r="G290" s="551"/>
      <c r="H290" s="818">
        <f>IF($E$278="",0,((Nutzung!$G$29+Regelung-1)+(($C$280-Nutzung!$G$29)/2)-F290)*D290*$D$278*$E$278*24/($B$284*1000))</f>
        <v>0</v>
      </c>
      <c r="I290" s="537">
        <f>Einträge!E40*Bilanz!N54</f>
        <v>0</v>
      </c>
      <c r="J290" s="285">
        <f t="shared" si="0"/>
        <v>0</v>
      </c>
      <c r="K290" s="537"/>
      <c r="L290" s="283">
        <f t="shared" si="1"/>
        <v>0</v>
      </c>
      <c r="M290" s="822"/>
      <c r="N290" s="202"/>
      <c r="O290" s="202"/>
      <c r="P290" s="202"/>
      <c r="Q290" s="202"/>
      <c r="R290" s="242"/>
      <c r="S290" s="202"/>
      <c r="Z290" s="323"/>
      <c r="AA290" s="318"/>
      <c r="AB290" s="323"/>
      <c r="AC290" s="323"/>
      <c r="AD290" s="323"/>
      <c r="AE290" s="323"/>
      <c r="AF290" s="323"/>
      <c r="AG290" s="323"/>
      <c r="AH290" s="323"/>
      <c r="AI290" s="323"/>
      <c r="AJ290" s="323"/>
      <c r="AK290" s="323"/>
      <c r="AL290" s="302"/>
    </row>
    <row r="291" spans="1:38" s="235" customFormat="1" ht="10.199999999999999" hidden="1">
      <c r="A291" s="202"/>
      <c r="B291" s="806"/>
      <c r="C291" s="536"/>
      <c r="D291" s="538">
        <v>31</v>
      </c>
      <c r="E291" s="725"/>
      <c r="F291" s="536">
        <f>Klima!$C147</f>
        <v>0</v>
      </c>
      <c r="G291" s="551"/>
      <c r="H291" s="818">
        <f>IF($E$278="",0,((Nutzung!$G$29+Regelung-1)+(($C$280-Nutzung!$G$29)/2)-F291)*D291*$D$278*$E$278*24/($B$284*1000))</f>
        <v>0</v>
      </c>
      <c r="I291" s="537">
        <f>Einträge!E41*Bilanz!O54</f>
        <v>0</v>
      </c>
      <c r="J291" s="285">
        <f t="shared" si="0"/>
        <v>0</v>
      </c>
      <c r="K291" s="537"/>
      <c r="L291" s="283">
        <f t="shared" si="1"/>
        <v>0</v>
      </c>
      <c r="M291" s="822"/>
      <c r="N291" s="202"/>
      <c r="O291" s="202"/>
      <c r="P291" s="202"/>
      <c r="Q291" s="202"/>
      <c r="R291" s="242"/>
      <c r="S291" s="202"/>
      <c r="Z291" s="323"/>
      <c r="AA291" s="318"/>
      <c r="AB291" s="323"/>
      <c r="AC291" s="323"/>
      <c r="AD291" s="323"/>
      <c r="AE291" s="323"/>
      <c r="AF291" s="323"/>
      <c r="AG291" s="323"/>
      <c r="AH291" s="323"/>
      <c r="AI291" s="323"/>
      <c r="AJ291" s="323"/>
      <c r="AK291" s="323"/>
      <c r="AL291" s="302"/>
    </row>
    <row r="292" spans="1:38" ht="10.95" customHeight="1">
      <c r="A292" s="192"/>
      <c r="B292" s="648"/>
      <c r="C292" s="656"/>
      <c r="D292" s="657"/>
      <c r="E292" s="658"/>
      <c r="F292" s="664"/>
      <c r="G292" s="873"/>
      <c r="H292" s="658"/>
      <c r="I292" s="671"/>
      <c r="J292" s="668"/>
      <c r="K292" s="668"/>
      <c r="L292" s="220" t="str">
        <f>IF(E292="","",Nutzung!$G$29)</f>
        <v/>
      </c>
      <c r="M292" s="780" t="str">
        <f>IF(D292="","",AB292)</f>
        <v/>
      </c>
      <c r="N292" s="214">
        <f>IF(E292=0,0,M294)</f>
        <v>0</v>
      </c>
      <c r="O292" s="215" t="str">
        <f>IF(N292/$O$1370=0,"",N292/$O$1370)</f>
        <v/>
      </c>
      <c r="P292" s="192"/>
      <c r="Q292" s="241"/>
      <c r="R292" s="241"/>
      <c r="S292" s="192"/>
      <c r="T292" s="182">
        <f>D292*E292</f>
        <v>0</v>
      </c>
      <c r="AA292" s="318">
        <f>IF(D292="",0,1)</f>
        <v>0</v>
      </c>
      <c r="AB292" s="318">
        <f>AB278+AA292</f>
        <v>0</v>
      </c>
    </row>
    <row r="293" spans="1:38" ht="10.95" hidden="1" customHeight="1">
      <c r="A293" s="260"/>
      <c r="B293" s="793"/>
      <c r="C293" s="794"/>
      <c r="D293" s="44"/>
      <c r="E293" s="795"/>
      <c r="F293" s="796"/>
      <c r="G293" s="813"/>
      <c r="H293" s="816"/>
      <c r="I293" s="816"/>
      <c r="J293" s="797"/>
      <c r="K293" s="797"/>
      <c r="L293" s="798"/>
      <c r="M293" s="44"/>
      <c r="N293" s="214"/>
      <c r="O293" s="215"/>
      <c r="P293" s="192"/>
      <c r="Q293" s="241"/>
      <c r="R293" s="241"/>
      <c r="S293" s="192"/>
    </row>
    <row r="294" spans="1:38" s="234" customFormat="1" ht="10.199999999999999" hidden="1">
      <c r="A294" s="199"/>
      <c r="B294" s="647" t="s">
        <v>49</v>
      </c>
      <c r="C294" s="536" t="str">
        <f>IF($L$292&lt;Nutzung!$G$29,Nutzung!$G$29,$L$292)</f>
        <v/>
      </c>
      <c r="D294" s="130"/>
      <c r="E294" s="538"/>
      <c r="F294" s="283">
        <f>Bilanz!D54</f>
        <v>0</v>
      </c>
      <c r="G294" s="543">
        <f>IF(L292="",Nutzung!$G$29,Bauteile!L292)</f>
        <v>0</v>
      </c>
      <c r="H294" s="544">
        <f>IF($E$292="",0,((Nutzung!$G$29+Regelung-1)+(($C$294-Nutzung!$G$29)/2)-F280)*D280*$D$292*$E$292*24/($B$284*1000))</f>
        <v>0</v>
      </c>
      <c r="I294" s="537">
        <f>Einträge!E43</f>
        <v>0</v>
      </c>
      <c r="J294" s="285">
        <f>H294-I294*$F$294</f>
        <v>0</v>
      </c>
      <c r="K294" s="553"/>
      <c r="L294" s="283">
        <f t="shared" ref="L294:L305" si="2">IF($B$282=1,J294,H294)</f>
        <v>0</v>
      </c>
      <c r="M294" s="283" t="str">
        <f>IF(E292="","",SUM(L294:L305))</f>
        <v/>
      </c>
      <c r="N294" s="217"/>
      <c r="O294" s="242"/>
      <c r="P294" s="242"/>
      <c r="Q294" s="242"/>
      <c r="R294" s="242"/>
      <c r="S294" s="199"/>
      <c r="Z294" s="321"/>
      <c r="AA294" s="318"/>
      <c r="AB294" s="321"/>
      <c r="AC294" s="321"/>
      <c r="AD294" s="321"/>
      <c r="AE294" s="321"/>
      <c r="AF294" s="321"/>
      <c r="AG294" s="321"/>
      <c r="AH294" s="321"/>
      <c r="AI294" s="321"/>
      <c r="AJ294" s="321"/>
      <c r="AK294" s="321"/>
      <c r="AL294" s="300"/>
    </row>
    <row r="295" spans="1:38" s="234" customFormat="1" ht="10.199999999999999" hidden="1">
      <c r="A295" s="199"/>
      <c r="B295" s="647" t="s">
        <v>554</v>
      </c>
      <c r="C295" s="536"/>
      <c r="D295" s="130"/>
      <c r="E295" s="538"/>
      <c r="F295" s="283">
        <f>Bilanz!E54</f>
        <v>0</v>
      </c>
      <c r="G295" s="552"/>
      <c r="H295" s="544">
        <f>IF($E$292="",0,((Nutzung!$G$29+Regelung-1)+(($C$294-Nutzung!$G$29)/2)-F281)*D281*$D$292*$E$292*24/($B$284*1000))</f>
        <v>0</v>
      </c>
      <c r="I295" s="537">
        <f>Einträge!E44</f>
        <v>0</v>
      </c>
      <c r="J295" s="285">
        <f>H295-I295*$F$295</f>
        <v>0</v>
      </c>
      <c r="K295" s="553"/>
      <c r="L295" s="283">
        <f t="shared" si="2"/>
        <v>0</v>
      </c>
      <c r="M295" s="541"/>
      <c r="N295" s="217"/>
      <c r="O295" s="242"/>
      <c r="P295" s="242"/>
      <c r="Q295" s="242"/>
      <c r="R295" s="242"/>
      <c r="S295" s="199"/>
      <c r="Z295" s="321"/>
      <c r="AA295" s="318"/>
      <c r="AB295" s="321"/>
      <c r="AC295" s="321"/>
      <c r="AD295" s="321"/>
      <c r="AE295" s="321"/>
      <c r="AF295" s="321"/>
      <c r="AG295" s="321"/>
      <c r="AH295" s="321"/>
      <c r="AI295" s="321"/>
      <c r="AJ295" s="321"/>
      <c r="AK295" s="321"/>
      <c r="AL295" s="300"/>
    </row>
    <row r="296" spans="1:38" s="234" customFormat="1" ht="10.199999999999999" hidden="1">
      <c r="A296" s="199"/>
      <c r="B296" s="647" t="s">
        <v>306</v>
      </c>
      <c r="C296" s="536"/>
      <c r="D296" s="130"/>
      <c r="E296" s="538"/>
      <c r="F296" s="283">
        <f>Bilanz!F54</f>
        <v>0</v>
      </c>
      <c r="G296" s="552"/>
      <c r="H296" s="544">
        <f>IF($E$292="",0,((Nutzung!$G$29+Regelung-1)+(($C$294-Nutzung!$G$29)/2)-F282)*D282*$D$292*$E$292*24/($B$284*1000))</f>
        <v>0</v>
      </c>
      <c r="I296" s="537">
        <f>Einträge!E45</f>
        <v>0</v>
      </c>
      <c r="J296" s="285">
        <f>H296-I296*$F$296</f>
        <v>0</v>
      </c>
      <c r="K296" s="553"/>
      <c r="L296" s="283">
        <f t="shared" si="2"/>
        <v>0</v>
      </c>
      <c r="M296" s="541"/>
      <c r="N296" s="217"/>
      <c r="O296" s="242"/>
      <c r="P296" s="242"/>
      <c r="Q296" s="242"/>
      <c r="R296" s="242"/>
      <c r="S296" s="199"/>
      <c r="Z296" s="321"/>
      <c r="AA296" s="318"/>
      <c r="AB296" s="321"/>
      <c r="AC296" s="321"/>
      <c r="AD296" s="321"/>
      <c r="AE296" s="321"/>
      <c r="AF296" s="321"/>
      <c r="AG296" s="321"/>
      <c r="AH296" s="321"/>
      <c r="AI296" s="321"/>
      <c r="AJ296" s="321"/>
      <c r="AK296" s="321"/>
      <c r="AL296" s="300"/>
    </row>
    <row r="297" spans="1:38" s="234" customFormat="1" ht="10.199999999999999" hidden="1">
      <c r="A297" s="199"/>
      <c r="B297" s="647" t="s">
        <v>409</v>
      </c>
      <c r="C297" s="536"/>
      <c r="D297" s="130"/>
      <c r="E297" s="538"/>
      <c r="F297" s="283">
        <f>Bilanz!G54</f>
        <v>0</v>
      </c>
      <c r="G297" s="552"/>
      <c r="H297" s="544">
        <f>IF($E$292="",0,((Nutzung!$G$29+Regelung-1)+(($C$294-Nutzung!$G$29)/2)-F283)*D283*$D$292*$E$292*24/($B$284*1000))</f>
        <v>0</v>
      </c>
      <c r="I297" s="537">
        <f>Einträge!E46</f>
        <v>0</v>
      </c>
      <c r="J297" s="285">
        <f>H297-I297*$F$297</f>
        <v>0</v>
      </c>
      <c r="K297" s="553"/>
      <c r="L297" s="283">
        <f t="shared" si="2"/>
        <v>0</v>
      </c>
      <c r="M297" s="541"/>
      <c r="N297" s="217"/>
      <c r="O297" s="242"/>
      <c r="P297" s="242"/>
      <c r="Q297" s="242"/>
      <c r="R297" s="242"/>
      <c r="S297" s="199"/>
      <c r="Z297" s="321"/>
      <c r="AA297" s="318"/>
      <c r="AB297" s="321"/>
      <c r="AC297" s="321"/>
      <c r="AD297" s="321"/>
      <c r="AE297" s="321"/>
      <c r="AF297" s="321"/>
      <c r="AG297" s="321"/>
      <c r="AH297" s="321"/>
      <c r="AI297" s="321"/>
      <c r="AJ297" s="321"/>
      <c r="AK297" s="321"/>
      <c r="AL297" s="300"/>
    </row>
    <row r="298" spans="1:38" s="234" customFormat="1" ht="10.199999999999999" hidden="1">
      <c r="A298" s="199"/>
      <c r="B298" s="647" t="s">
        <v>410</v>
      </c>
      <c r="C298" s="536"/>
      <c r="D298" s="130"/>
      <c r="E298" s="538"/>
      <c r="F298" s="283">
        <f>Bilanz!H54</f>
        <v>0</v>
      </c>
      <c r="G298" s="552"/>
      <c r="H298" s="544">
        <f>IF($E$292="",0,((Nutzung!$G$29+Regelung-1)+(($C$294-Nutzung!$G$29)/2)-F284)*D284*$D$292*$E$292*24/($B$284*1000))</f>
        <v>0</v>
      </c>
      <c r="I298" s="537">
        <f>Einträge!E47</f>
        <v>0</v>
      </c>
      <c r="J298" s="285">
        <f>H298-I298*$F$298</f>
        <v>0</v>
      </c>
      <c r="K298" s="553"/>
      <c r="L298" s="283">
        <f t="shared" si="2"/>
        <v>0</v>
      </c>
      <c r="M298" s="541"/>
      <c r="N298" s="217"/>
      <c r="O298" s="242"/>
      <c r="P298" s="242"/>
      <c r="Q298" s="242"/>
      <c r="R298" s="242"/>
      <c r="S298" s="199"/>
      <c r="Z298" s="321"/>
      <c r="AA298" s="318"/>
      <c r="AB298" s="321"/>
      <c r="AC298" s="321"/>
      <c r="AD298" s="321"/>
      <c r="AE298" s="321"/>
      <c r="AF298" s="321"/>
      <c r="AG298" s="321"/>
      <c r="AH298" s="321"/>
      <c r="AI298" s="321"/>
      <c r="AJ298" s="321"/>
      <c r="AK298" s="321"/>
      <c r="AL298" s="300"/>
    </row>
    <row r="299" spans="1:38" s="234" customFormat="1" ht="10.199999999999999" hidden="1">
      <c r="A299" s="199"/>
      <c r="B299" s="647" t="s">
        <v>411</v>
      </c>
      <c r="C299" s="536"/>
      <c r="D299" s="130"/>
      <c r="E299" s="538"/>
      <c r="F299" s="283">
        <f>Bilanz!I54</f>
        <v>0</v>
      </c>
      <c r="G299" s="552"/>
      <c r="H299" s="544">
        <f>IF($E$292="",0,((Nutzung!$G$29+Regelung-1)+(($C$294-Nutzung!$G$29)/2)-F285)*D285*$D$292*$E$292*24/($B$284*1000))</f>
        <v>0</v>
      </c>
      <c r="I299" s="537">
        <f>Einträge!E48</f>
        <v>0</v>
      </c>
      <c r="J299" s="285">
        <f>H299-I299*$F$299</f>
        <v>0</v>
      </c>
      <c r="K299" s="553"/>
      <c r="L299" s="283">
        <f t="shared" si="2"/>
        <v>0</v>
      </c>
      <c r="M299" s="541"/>
      <c r="N299" s="217"/>
      <c r="O299" s="242"/>
      <c r="P299" s="242"/>
      <c r="Q299" s="242"/>
      <c r="R299" s="242"/>
      <c r="S299" s="199"/>
      <c r="Z299" s="321"/>
      <c r="AA299" s="318"/>
      <c r="AB299" s="321"/>
      <c r="AC299" s="321"/>
      <c r="AD299" s="321"/>
      <c r="AE299" s="321"/>
      <c r="AF299" s="321"/>
      <c r="AG299" s="321"/>
      <c r="AH299" s="321"/>
      <c r="AI299" s="321"/>
      <c r="AJ299" s="321"/>
      <c r="AK299" s="321"/>
      <c r="AL299" s="300"/>
    </row>
    <row r="300" spans="1:38" s="234" customFormat="1" ht="10.199999999999999" hidden="1">
      <c r="A300" s="199"/>
      <c r="B300" s="647" t="s">
        <v>221</v>
      </c>
      <c r="C300" s="536"/>
      <c r="D300" s="130"/>
      <c r="E300" s="538"/>
      <c r="F300" s="283">
        <f>Bilanz!J54</f>
        <v>0</v>
      </c>
      <c r="G300" s="552"/>
      <c r="H300" s="544">
        <f>IF($E$292="",0,((Nutzung!$G$29+Regelung-1)+(($C$294-Nutzung!$G$29)/2)-F286)*D286*$D$292*$E$292*24/($B$284*1000))</f>
        <v>0</v>
      </c>
      <c r="I300" s="537">
        <f>Einträge!E49</f>
        <v>0</v>
      </c>
      <c r="J300" s="285">
        <f>H300-I300*$F$300</f>
        <v>0</v>
      </c>
      <c r="K300" s="553"/>
      <c r="L300" s="283">
        <f t="shared" si="2"/>
        <v>0</v>
      </c>
      <c r="M300" s="541"/>
      <c r="N300" s="217" t="s">
        <v>517</v>
      </c>
      <c r="O300" s="242"/>
      <c r="P300" s="242"/>
      <c r="Q300" s="242"/>
      <c r="R300" s="242"/>
      <c r="S300" s="199"/>
      <c r="Z300" s="321"/>
      <c r="AA300" s="318"/>
      <c r="AB300" s="321"/>
      <c r="AC300" s="321"/>
      <c r="AD300" s="321"/>
      <c r="AE300" s="321"/>
      <c r="AF300" s="321"/>
      <c r="AG300" s="321"/>
      <c r="AH300" s="321"/>
      <c r="AI300" s="321"/>
      <c r="AJ300" s="321"/>
      <c r="AK300" s="321"/>
      <c r="AL300" s="300"/>
    </row>
    <row r="301" spans="1:38" s="234" customFormat="1" ht="10.199999999999999" hidden="1">
      <c r="A301" s="199"/>
      <c r="B301" s="647" t="s">
        <v>138</v>
      </c>
      <c r="C301" s="536"/>
      <c r="D301" s="130"/>
      <c r="E301" s="538"/>
      <c r="F301" s="283">
        <f>Bilanz!K54</f>
        <v>0</v>
      </c>
      <c r="G301" s="552"/>
      <c r="H301" s="544">
        <f>IF($E$292="",0,((Nutzung!$G$29+Regelung-1)+(($C$294-Nutzung!$G$29)/2)-F287)*D287*$D$292*$E$292*24/($B$284*1000))</f>
        <v>0</v>
      </c>
      <c r="I301" s="537">
        <f>Einträge!E50</f>
        <v>0</v>
      </c>
      <c r="J301" s="285">
        <f>H301-I301*$F$301</f>
        <v>0</v>
      </c>
      <c r="K301" s="553"/>
      <c r="L301" s="283">
        <f t="shared" si="2"/>
        <v>0</v>
      </c>
      <c r="M301" s="541"/>
      <c r="N301" s="254">
        <f>SUM(H294:H305)</f>
        <v>0</v>
      </c>
      <c r="O301" s="242"/>
      <c r="P301" s="242"/>
      <c r="Q301" s="242"/>
      <c r="R301" s="242"/>
      <c r="S301" s="199"/>
      <c r="Z301" s="321"/>
      <c r="AA301" s="318"/>
      <c r="AB301" s="321"/>
      <c r="AC301" s="321"/>
      <c r="AD301" s="321"/>
      <c r="AE301" s="321"/>
      <c r="AF301" s="321"/>
      <c r="AG301" s="321"/>
      <c r="AH301" s="321"/>
      <c r="AI301" s="321"/>
      <c r="AJ301" s="321"/>
      <c r="AK301" s="321"/>
      <c r="AL301" s="300"/>
    </row>
    <row r="302" spans="1:38" s="234" customFormat="1" ht="10.199999999999999" hidden="1">
      <c r="A302" s="199"/>
      <c r="B302" s="647" t="s">
        <v>139</v>
      </c>
      <c r="C302" s="536"/>
      <c r="D302" s="130"/>
      <c r="E302" s="538"/>
      <c r="F302" s="283">
        <f>Bilanz!L54</f>
        <v>0</v>
      </c>
      <c r="G302" s="552"/>
      <c r="H302" s="544">
        <f>IF($E$292="",0,((Nutzung!$G$29+Regelung-1)+(($C$294-Nutzung!$G$29)/2)-F288)*D288*$D$292*$E$292*24/($B$284*1000))</f>
        <v>0</v>
      </c>
      <c r="I302" s="537">
        <f>Einträge!E51</f>
        <v>0</v>
      </c>
      <c r="J302" s="285">
        <f>H302-I302*$F$302</f>
        <v>0</v>
      </c>
      <c r="K302" s="553"/>
      <c r="L302" s="283">
        <f t="shared" si="2"/>
        <v>0</v>
      </c>
      <c r="M302" s="541"/>
      <c r="N302" s="217"/>
      <c r="O302" s="242"/>
      <c r="P302" s="242"/>
      <c r="Q302" s="242"/>
      <c r="R302" s="242"/>
      <c r="S302" s="199"/>
      <c r="Z302" s="321"/>
      <c r="AA302" s="318"/>
      <c r="AB302" s="321"/>
      <c r="AC302" s="321"/>
      <c r="AD302" s="321"/>
      <c r="AE302" s="321"/>
      <c r="AF302" s="321"/>
      <c r="AG302" s="321"/>
      <c r="AH302" s="321"/>
      <c r="AI302" s="321"/>
      <c r="AJ302" s="321"/>
      <c r="AK302" s="321"/>
      <c r="AL302" s="300"/>
    </row>
    <row r="303" spans="1:38" s="234" customFormat="1" ht="10.199999999999999" hidden="1">
      <c r="A303" s="199"/>
      <c r="B303" s="647" t="s">
        <v>269</v>
      </c>
      <c r="C303" s="536"/>
      <c r="D303" s="130"/>
      <c r="E303" s="538"/>
      <c r="F303" s="283">
        <f>Bilanz!M54</f>
        <v>0</v>
      </c>
      <c r="G303" s="552"/>
      <c r="H303" s="544">
        <f>IF($E$292="",0,((Nutzung!$G$29+Regelung-1)+(($C$294-Nutzung!$G$29)/2)-F289)*D289*$D$292*$E$292*24/($B$284*1000))</f>
        <v>0</v>
      </c>
      <c r="I303" s="537">
        <f>Einträge!E52</f>
        <v>0</v>
      </c>
      <c r="J303" s="285">
        <f>H303-I303*$F$303</f>
        <v>0</v>
      </c>
      <c r="K303" s="553"/>
      <c r="L303" s="283">
        <f t="shared" si="2"/>
        <v>0</v>
      </c>
      <c r="M303" s="541"/>
      <c r="N303" s="217"/>
      <c r="O303" s="242"/>
      <c r="P303" s="242"/>
      <c r="Q303" s="242"/>
      <c r="R303" s="242"/>
      <c r="S303" s="199"/>
      <c r="Z303" s="321"/>
      <c r="AA303" s="318"/>
      <c r="AB303" s="321"/>
      <c r="AC303" s="321"/>
      <c r="AD303" s="321"/>
      <c r="AE303" s="321"/>
      <c r="AF303" s="321"/>
      <c r="AG303" s="321"/>
      <c r="AH303" s="321"/>
      <c r="AI303" s="321"/>
      <c r="AJ303" s="321"/>
      <c r="AK303" s="321"/>
      <c r="AL303" s="300"/>
    </row>
    <row r="304" spans="1:38" s="234" customFormat="1" ht="10.199999999999999" hidden="1">
      <c r="A304" s="199"/>
      <c r="B304" s="647" t="s">
        <v>366</v>
      </c>
      <c r="C304" s="536"/>
      <c r="D304" s="130"/>
      <c r="E304" s="538"/>
      <c r="F304" s="283">
        <f>Bilanz!N54</f>
        <v>0</v>
      </c>
      <c r="G304" s="552"/>
      <c r="H304" s="544">
        <f>IF($E$292="",0,((Nutzung!$G$29+Regelung-1)+(($C$294-Nutzung!$G$29)/2)-F290)*D290*$D$292*$E$292*24/($B$284*1000))</f>
        <v>0</v>
      </c>
      <c r="I304" s="537">
        <f>Einträge!E53</f>
        <v>0</v>
      </c>
      <c r="J304" s="285">
        <f>H304-I304*$F$304</f>
        <v>0</v>
      </c>
      <c r="K304" s="553"/>
      <c r="L304" s="283">
        <f t="shared" si="2"/>
        <v>0</v>
      </c>
      <c r="M304" s="541"/>
      <c r="N304" s="217"/>
      <c r="O304" s="242"/>
      <c r="P304" s="242"/>
      <c r="Q304" s="242"/>
      <c r="R304" s="242"/>
      <c r="S304" s="199"/>
      <c r="Z304" s="321"/>
      <c r="AA304" s="318"/>
      <c r="AB304" s="321"/>
      <c r="AC304" s="321"/>
      <c r="AD304" s="321"/>
      <c r="AE304" s="321"/>
      <c r="AF304" s="321"/>
      <c r="AG304" s="321"/>
      <c r="AH304" s="321"/>
      <c r="AI304" s="321"/>
      <c r="AJ304" s="321"/>
      <c r="AK304" s="321"/>
      <c r="AL304" s="300"/>
    </row>
    <row r="305" spans="1:38" s="234" customFormat="1" ht="10.199999999999999" hidden="1">
      <c r="A305" s="199"/>
      <c r="B305" s="647" t="s">
        <v>465</v>
      </c>
      <c r="C305" s="536"/>
      <c r="D305" s="130"/>
      <c r="E305" s="538"/>
      <c r="F305" s="283">
        <f>Bilanz!O54</f>
        <v>0</v>
      </c>
      <c r="G305" s="552"/>
      <c r="H305" s="544">
        <f>IF($E$292="",0,((Nutzung!$G$29+Regelung-1)+(($C$294-Nutzung!$G$29)/2)-F291)*D291*$D$292*$E$292*24/($B$284*1000))</f>
        <v>0</v>
      </c>
      <c r="I305" s="537">
        <f>Einträge!E54</f>
        <v>0</v>
      </c>
      <c r="J305" s="285">
        <f>H305-I305*$F$305</f>
        <v>0</v>
      </c>
      <c r="K305" s="553"/>
      <c r="L305" s="283">
        <f t="shared" si="2"/>
        <v>0</v>
      </c>
      <c r="M305" s="541"/>
      <c r="N305" s="217"/>
      <c r="O305" s="242"/>
      <c r="P305" s="242"/>
      <c r="Q305" s="242"/>
      <c r="R305" s="242"/>
      <c r="S305" s="199"/>
      <c r="Z305" s="321"/>
      <c r="AA305" s="318"/>
      <c r="AB305" s="321"/>
      <c r="AC305" s="321"/>
      <c r="AD305" s="321"/>
      <c r="AE305" s="321"/>
      <c r="AF305" s="321"/>
      <c r="AG305" s="321"/>
      <c r="AH305" s="321"/>
      <c r="AI305" s="321"/>
      <c r="AJ305" s="321"/>
      <c r="AK305" s="321"/>
      <c r="AL305" s="300"/>
    </row>
    <row r="306" spans="1:38" ht="10.95" customHeight="1">
      <c r="A306" s="192"/>
      <c r="B306" s="648"/>
      <c r="C306" s="656"/>
      <c r="D306" s="657"/>
      <c r="E306" s="658"/>
      <c r="F306" s="664"/>
      <c r="G306" s="873"/>
      <c r="H306" s="658"/>
      <c r="I306" s="671"/>
      <c r="J306" s="668"/>
      <c r="K306" s="668"/>
      <c r="L306" s="781" t="str">
        <f>IF(E306="","",Nutzung!$G$29)</f>
        <v/>
      </c>
      <c r="M306" s="771" t="str">
        <f>IF(D306="","",AB306)</f>
        <v/>
      </c>
      <c r="N306" s="214">
        <f>IF(E306=0,0,M308)</f>
        <v>0</v>
      </c>
      <c r="O306" s="215" t="str">
        <f>IF(N306/$O$1370=0,"",N306/$O$1370)</f>
        <v/>
      </c>
      <c r="P306" s="192"/>
      <c r="Q306" s="241"/>
      <c r="R306" s="241"/>
      <c r="S306" s="192"/>
      <c r="T306" s="182">
        <f>D306*E306</f>
        <v>0</v>
      </c>
      <c r="AA306" s="318">
        <f>IF(D306="",0,1)</f>
        <v>0</v>
      </c>
      <c r="AB306" s="318">
        <f>AB292+AA306</f>
        <v>0</v>
      </c>
    </row>
    <row r="307" spans="1:38" ht="10.95" hidden="1" customHeight="1">
      <c r="A307" s="260"/>
      <c r="B307" s="793"/>
      <c r="C307" s="794"/>
      <c r="D307" s="44"/>
      <c r="E307" s="795"/>
      <c r="F307" s="796"/>
      <c r="G307" s="813"/>
      <c r="H307" s="816"/>
      <c r="I307" s="816"/>
      <c r="J307" s="797"/>
      <c r="K307" s="797"/>
      <c r="L307" s="798"/>
      <c r="M307" s="44"/>
      <c r="N307" s="214"/>
      <c r="O307" s="215"/>
      <c r="P307" s="192"/>
      <c r="Q307" s="241"/>
      <c r="R307" s="241"/>
      <c r="S307" s="192"/>
    </row>
    <row r="308" spans="1:38" s="234" customFormat="1" ht="10.199999999999999" hidden="1">
      <c r="A308" s="199"/>
      <c r="B308" s="647" t="s">
        <v>49</v>
      </c>
      <c r="C308" s="536" t="str">
        <f>IF($L$306&lt;Nutzung!$G$29,Nutzung!$G$29,$L$306)</f>
        <v/>
      </c>
      <c r="D308" s="130"/>
      <c r="E308" s="538"/>
      <c r="F308" s="225"/>
      <c r="G308" s="543">
        <f>IF(L306="",Nutzung!$G$29,Bauteile!L306)</f>
        <v>0</v>
      </c>
      <c r="H308" s="544">
        <f>IF($E$306="",0,((Nutzung!$G$29+Regelung-1)+(($C$308-Nutzung!$G$29)/2)-F280)*D280*$D$306*$E$306*24/($B$284*1000))</f>
        <v>0</v>
      </c>
      <c r="I308" s="537">
        <f>Einträge!E56</f>
        <v>0</v>
      </c>
      <c r="J308" s="285">
        <f>H308-I308*$F$294</f>
        <v>0</v>
      </c>
      <c r="K308" s="553"/>
      <c r="L308" s="283">
        <f t="shared" ref="L308:L319" si="3">IF($B$282=1,J308,H308)</f>
        <v>0</v>
      </c>
      <c r="M308" s="283" t="str">
        <f>IF(E306="","",SUM(L308:L319))</f>
        <v/>
      </c>
      <c r="N308" s="217"/>
      <c r="O308" s="242"/>
      <c r="P308" s="242"/>
      <c r="Q308" s="242"/>
      <c r="R308" s="242"/>
      <c r="S308" s="199"/>
      <c r="Z308" s="321"/>
      <c r="AA308" s="318"/>
      <c r="AB308" s="321"/>
      <c r="AC308" s="321"/>
      <c r="AD308" s="321"/>
      <c r="AE308" s="321"/>
      <c r="AF308" s="321"/>
      <c r="AG308" s="321"/>
      <c r="AH308" s="321"/>
      <c r="AI308" s="321"/>
      <c r="AJ308" s="321"/>
      <c r="AK308" s="321"/>
      <c r="AL308" s="300"/>
    </row>
    <row r="309" spans="1:38" s="234" customFormat="1" ht="10.199999999999999" hidden="1">
      <c r="A309" s="199"/>
      <c r="B309" s="647" t="s">
        <v>554</v>
      </c>
      <c r="C309" s="536"/>
      <c r="D309" s="130"/>
      <c r="E309" s="538"/>
      <c r="F309" s="225"/>
      <c r="G309" s="552"/>
      <c r="H309" s="544">
        <f>IF($E$306="",0,((Nutzung!$G$29+Regelung-1)+(($C$308-Nutzung!$G$29)/2)-F281)*D281*$D$306*$E$306*24/($B$284*1000))</f>
        <v>0</v>
      </c>
      <c r="I309" s="537">
        <f>Einträge!E57</f>
        <v>0</v>
      </c>
      <c r="J309" s="285">
        <f>H309-I309*$F$295</f>
        <v>0</v>
      </c>
      <c r="K309" s="553"/>
      <c r="L309" s="283">
        <f t="shared" si="3"/>
        <v>0</v>
      </c>
      <c r="M309" s="541"/>
      <c r="N309" s="217"/>
      <c r="O309" s="242"/>
      <c r="P309" s="242"/>
      <c r="Q309" s="242"/>
      <c r="R309" s="242"/>
      <c r="S309" s="199"/>
      <c r="Z309" s="321"/>
      <c r="AA309" s="318"/>
      <c r="AB309" s="321"/>
      <c r="AC309" s="321"/>
      <c r="AD309" s="321"/>
      <c r="AE309" s="321"/>
      <c r="AF309" s="321"/>
      <c r="AG309" s="321"/>
      <c r="AH309" s="321"/>
      <c r="AI309" s="321"/>
      <c r="AJ309" s="321"/>
      <c r="AK309" s="321"/>
      <c r="AL309" s="300"/>
    </row>
    <row r="310" spans="1:38" s="234" customFormat="1" ht="10.199999999999999" hidden="1">
      <c r="A310" s="199"/>
      <c r="B310" s="647" t="s">
        <v>306</v>
      </c>
      <c r="C310" s="536"/>
      <c r="D310" s="130"/>
      <c r="E310" s="538"/>
      <c r="F310" s="225"/>
      <c r="G310" s="552"/>
      <c r="H310" s="544">
        <f>IF($E$306="",0,((Nutzung!$G$29+Regelung-1)+(($C$308-Nutzung!$G$29)/2)-F282)*D282*$D$306*$E$306*24/($B$284*1000))</f>
        <v>0</v>
      </c>
      <c r="I310" s="537">
        <f>Einträge!E58</f>
        <v>0</v>
      </c>
      <c r="J310" s="285">
        <f>H310-I310*$F$296</f>
        <v>0</v>
      </c>
      <c r="K310" s="553"/>
      <c r="L310" s="283">
        <f t="shared" si="3"/>
        <v>0</v>
      </c>
      <c r="M310" s="541"/>
      <c r="N310" s="217"/>
      <c r="O310" s="242"/>
      <c r="P310" s="242"/>
      <c r="Q310" s="242"/>
      <c r="R310" s="242"/>
      <c r="S310" s="199"/>
      <c r="Z310" s="321"/>
      <c r="AA310" s="318"/>
      <c r="AB310" s="321"/>
      <c r="AC310" s="321"/>
      <c r="AD310" s="321"/>
      <c r="AE310" s="321"/>
      <c r="AF310" s="321"/>
      <c r="AG310" s="321"/>
      <c r="AH310" s="321"/>
      <c r="AI310" s="321"/>
      <c r="AJ310" s="321"/>
      <c r="AK310" s="321"/>
      <c r="AL310" s="300"/>
    </row>
    <row r="311" spans="1:38" s="234" customFormat="1" ht="10.199999999999999" hidden="1">
      <c r="A311" s="199"/>
      <c r="B311" s="647" t="s">
        <v>409</v>
      </c>
      <c r="C311" s="536"/>
      <c r="D311" s="130"/>
      <c r="E311" s="538"/>
      <c r="F311" s="225"/>
      <c r="G311" s="552"/>
      <c r="H311" s="544">
        <f>IF($E$306="",0,((Nutzung!$G$29+Regelung-1)+(($C$308-Nutzung!$G$29)/2)-F283)*D283*$D$306*$E$306*24/($B$284*1000))</f>
        <v>0</v>
      </c>
      <c r="I311" s="537">
        <f>Einträge!E59</f>
        <v>0</v>
      </c>
      <c r="J311" s="285">
        <f>H311-I311*$F$297</f>
        <v>0</v>
      </c>
      <c r="K311" s="553"/>
      <c r="L311" s="283">
        <f t="shared" si="3"/>
        <v>0</v>
      </c>
      <c r="M311" s="541"/>
      <c r="N311" s="217"/>
      <c r="O311" s="242"/>
      <c r="P311" s="242"/>
      <c r="Q311" s="242"/>
      <c r="R311" s="242"/>
      <c r="S311" s="199"/>
      <c r="Z311" s="321"/>
      <c r="AA311" s="318"/>
      <c r="AB311" s="321"/>
      <c r="AC311" s="321"/>
      <c r="AD311" s="321"/>
      <c r="AE311" s="321"/>
      <c r="AF311" s="321"/>
      <c r="AG311" s="321"/>
      <c r="AH311" s="321"/>
      <c r="AI311" s="321"/>
      <c r="AJ311" s="321"/>
      <c r="AK311" s="321"/>
      <c r="AL311" s="300"/>
    </row>
    <row r="312" spans="1:38" s="234" customFormat="1" ht="10.199999999999999" hidden="1">
      <c r="A312" s="199"/>
      <c r="B312" s="647" t="s">
        <v>410</v>
      </c>
      <c r="C312" s="536"/>
      <c r="D312" s="130"/>
      <c r="E312" s="538"/>
      <c r="F312" s="225"/>
      <c r="G312" s="552"/>
      <c r="H312" s="544">
        <f>IF($E$306="",0,((Nutzung!$G$29+Regelung-1)+(($C$308-Nutzung!$G$29)/2)-F284)*D284*$D$306*$E$306*24/($B$284*1000))</f>
        <v>0</v>
      </c>
      <c r="I312" s="537">
        <f>Einträge!E60</f>
        <v>0</v>
      </c>
      <c r="J312" s="285">
        <f>H312-I312*$F$298</f>
        <v>0</v>
      </c>
      <c r="K312" s="553"/>
      <c r="L312" s="283">
        <f t="shared" si="3"/>
        <v>0</v>
      </c>
      <c r="M312" s="541"/>
      <c r="N312" s="217"/>
      <c r="O312" s="242"/>
      <c r="P312" s="242"/>
      <c r="Q312" s="242"/>
      <c r="R312" s="242"/>
      <c r="S312" s="199"/>
      <c r="Z312" s="321"/>
      <c r="AA312" s="318"/>
      <c r="AB312" s="321"/>
      <c r="AC312" s="321"/>
      <c r="AD312" s="321"/>
      <c r="AE312" s="321"/>
      <c r="AF312" s="321"/>
      <c r="AG312" s="321"/>
      <c r="AH312" s="321"/>
      <c r="AI312" s="321"/>
      <c r="AJ312" s="321"/>
      <c r="AK312" s="321"/>
      <c r="AL312" s="300"/>
    </row>
    <row r="313" spans="1:38" s="234" customFormat="1" ht="10.199999999999999" hidden="1">
      <c r="A313" s="199"/>
      <c r="B313" s="647" t="s">
        <v>411</v>
      </c>
      <c r="C313" s="536"/>
      <c r="D313" s="130"/>
      <c r="E313" s="538"/>
      <c r="F313" s="225"/>
      <c r="G313" s="552"/>
      <c r="H313" s="544">
        <f>IF($E$306="",0,((Nutzung!$G$29+Regelung-1)+(($C$308-Nutzung!$G$29)/2)-F285)*D285*$D$306*$E$306*24/($B$284*1000))</f>
        <v>0</v>
      </c>
      <c r="I313" s="537">
        <f>Einträge!E61</f>
        <v>0</v>
      </c>
      <c r="J313" s="285">
        <f>H313-I313*$F$299</f>
        <v>0</v>
      </c>
      <c r="K313" s="553"/>
      <c r="L313" s="283">
        <f t="shared" si="3"/>
        <v>0</v>
      </c>
      <c r="M313" s="541"/>
      <c r="N313" s="217" t="s">
        <v>517</v>
      </c>
      <c r="O313" s="242"/>
      <c r="P313" s="242"/>
      <c r="Q313" s="242"/>
      <c r="R313" s="242"/>
      <c r="S313" s="199"/>
      <c r="Z313" s="321"/>
      <c r="AA313" s="318"/>
      <c r="AB313" s="321"/>
      <c r="AC313" s="321"/>
      <c r="AD313" s="321"/>
      <c r="AE313" s="321"/>
      <c r="AF313" s="321"/>
      <c r="AG313" s="321"/>
      <c r="AH313" s="321"/>
      <c r="AI313" s="321"/>
      <c r="AJ313" s="321"/>
      <c r="AK313" s="321"/>
      <c r="AL313" s="300"/>
    </row>
    <row r="314" spans="1:38" s="234" customFormat="1" ht="10.199999999999999" hidden="1">
      <c r="A314" s="199"/>
      <c r="B314" s="647" t="s">
        <v>221</v>
      </c>
      <c r="C314" s="536"/>
      <c r="D314" s="130"/>
      <c r="E314" s="538"/>
      <c r="F314" s="225"/>
      <c r="G314" s="552"/>
      <c r="H314" s="544">
        <f>IF($E$306="",0,((Nutzung!$G$29+Regelung-1)+(($C$308-Nutzung!$G$29)/2)-F286)*D286*$D$306*$E$306*24/($B$284*1000))</f>
        <v>0</v>
      </c>
      <c r="I314" s="537">
        <f>Einträge!E62</f>
        <v>0</v>
      </c>
      <c r="J314" s="285">
        <f>H314-I314*$F$300</f>
        <v>0</v>
      </c>
      <c r="K314" s="553"/>
      <c r="L314" s="283">
        <f t="shared" si="3"/>
        <v>0</v>
      </c>
      <c r="M314" s="541"/>
      <c r="N314" s="254">
        <f>SUM(H308:H319)</f>
        <v>0</v>
      </c>
      <c r="O314" s="242"/>
      <c r="P314" s="242"/>
      <c r="Q314" s="242"/>
      <c r="R314" s="242"/>
      <c r="S314" s="199"/>
      <c r="Z314" s="321"/>
      <c r="AA314" s="318"/>
      <c r="AB314" s="321"/>
      <c r="AC314" s="321"/>
      <c r="AD314" s="321"/>
      <c r="AE314" s="321"/>
      <c r="AF314" s="321"/>
      <c r="AG314" s="321"/>
      <c r="AH314" s="321"/>
      <c r="AI314" s="321"/>
      <c r="AJ314" s="321"/>
      <c r="AK314" s="321"/>
      <c r="AL314" s="300"/>
    </row>
    <row r="315" spans="1:38" s="234" customFormat="1" ht="10.199999999999999" hidden="1">
      <c r="A315" s="199"/>
      <c r="B315" s="647" t="s">
        <v>138</v>
      </c>
      <c r="C315" s="536"/>
      <c r="D315" s="130"/>
      <c r="E315" s="538"/>
      <c r="F315" s="225"/>
      <c r="G315" s="552"/>
      <c r="H315" s="544">
        <f>IF($E$306="",0,((Nutzung!$G$29+Regelung-1)+(($C$308-Nutzung!$G$29)/2)-F287)*D287*$D$306*$E$306*24/($B$284*1000))</f>
        <v>0</v>
      </c>
      <c r="I315" s="537">
        <f>Einträge!E63</f>
        <v>0</v>
      </c>
      <c r="J315" s="285">
        <f>H315-I315*$F$301</f>
        <v>0</v>
      </c>
      <c r="K315" s="553"/>
      <c r="L315" s="283">
        <f t="shared" si="3"/>
        <v>0</v>
      </c>
      <c r="M315" s="541"/>
      <c r="N315" s="217"/>
      <c r="O315" s="242"/>
      <c r="P315" s="242"/>
      <c r="Q315" s="242"/>
      <c r="R315" s="242"/>
      <c r="S315" s="199"/>
      <c r="Z315" s="321"/>
      <c r="AA315" s="318"/>
      <c r="AB315" s="321"/>
      <c r="AC315" s="321"/>
      <c r="AD315" s="321"/>
      <c r="AE315" s="321"/>
      <c r="AF315" s="321"/>
      <c r="AG315" s="321"/>
      <c r="AH315" s="321"/>
      <c r="AI315" s="321"/>
      <c r="AJ315" s="321"/>
      <c r="AK315" s="321"/>
      <c r="AL315" s="300"/>
    </row>
    <row r="316" spans="1:38" s="234" customFormat="1" ht="10.199999999999999" hidden="1">
      <c r="A316" s="199"/>
      <c r="B316" s="647" t="s">
        <v>139</v>
      </c>
      <c r="C316" s="536"/>
      <c r="D316" s="130"/>
      <c r="E316" s="538"/>
      <c r="F316" s="225"/>
      <c r="G316" s="552"/>
      <c r="H316" s="544">
        <f>IF($E$306="",0,((Nutzung!$G$29+Regelung-1)+(($C$308-Nutzung!$G$29)/2)-F288)*D288*$D$306*$E$306*24/($B$284*1000))</f>
        <v>0</v>
      </c>
      <c r="I316" s="537">
        <f>Einträge!E64</f>
        <v>0</v>
      </c>
      <c r="J316" s="285">
        <f>H316-I316*$F$302</f>
        <v>0</v>
      </c>
      <c r="K316" s="553"/>
      <c r="L316" s="283">
        <f t="shared" si="3"/>
        <v>0</v>
      </c>
      <c r="M316" s="541"/>
      <c r="N316" s="217"/>
      <c r="O316" s="242"/>
      <c r="P316" s="242"/>
      <c r="Q316" s="242"/>
      <c r="R316" s="242"/>
      <c r="S316" s="199"/>
      <c r="Z316" s="321"/>
      <c r="AA316" s="318"/>
      <c r="AB316" s="321"/>
      <c r="AC316" s="321"/>
      <c r="AD316" s="321"/>
      <c r="AE316" s="321"/>
      <c r="AF316" s="321"/>
      <c r="AG316" s="321"/>
      <c r="AH316" s="321"/>
      <c r="AI316" s="321"/>
      <c r="AJ316" s="321"/>
      <c r="AK316" s="321"/>
      <c r="AL316" s="300"/>
    </row>
    <row r="317" spans="1:38" s="234" customFormat="1" ht="10.199999999999999" hidden="1">
      <c r="A317" s="199"/>
      <c r="B317" s="647" t="s">
        <v>269</v>
      </c>
      <c r="C317" s="536"/>
      <c r="D317" s="130"/>
      <c r="E317" s="538"/>
      <c r="F317" s="225"/>
      <c r="G317" s="552"/>
      <c r="H317" s="544">
        <f>IF($E$306="",0,((Nutzung!$G$29+Regelung-1)+(($C$308-Nutzung!$G$29)/2)-F289)*D289*$D$306*$E$306*24/($B$284*1000))</f>
        <v>0</v>
      </c>
      <c r="I317" s="537">
        <f>Einträge!E65</f>
        <v>0</v>
      </c>
      <c r="J317" s="285">
        <f>H317-I317*$F$303</f>
        <v>0</v>
      </c>
      <c r="K317" s="553"/>
      <c r="L317" s="283">
        <f t="shared" si="3"/>
        <v>0</v>
      </c>
      <c r="M317" s="541"/>
      <c r="N317" s="217"/>
      <c r="O317" s="242"/>
      <c r="P317" s="242"/>
      <c r="Q317" s="242"/>
      <c r="R317" s="242"/>
      <c r="S317" s="199"/>
      <c r="Z317" s="321"/>
      <c r="AA317" s="318"/>
      <c r="AB317" s="321"/>
      <c r="AC317" s="321"/>
      <c r="AD317" s="321"/>
      <c r="AE317" s="321"/>
      <c r="AF317" s="321"/>
      <c r="AG317" s="321"/>
      <c r="AH317" s="321"/>
      <c r="AI317" s="321"/>
      <c r="AJ317" s="321"/>
      <c r="AK317" s="321"/>
      <c r="AL317" s="300"/>
    </row>
    <row r="318" spans="1:38" s="234" customFormat="1" ht="10.199999999999999" hidden="1">
      <c r="A318" s="199"/>
      <c r="B318" s="647" t="s">
        <v>366</v>
      </c>
      <c r="C318" s="536"/>
      <c r="D318" s="130"/>
      <c r="E318" s="538"/>
      <c r="F318" s="225"/>
      <c r="G318" s="552"/>
      <c r="H318" s="544">
        <f>IF($E$306="",0,((Nutzung!$G$29+Regelung-1)+(($C$308-Nutzung!$G$29)/2)-F290)*D290*$D$306*$E$306*24/($B$284*1000))</f>
        <v>0</v>
      </c>
      <c r="I318" s="537">
        <f>Einträge!E66</f>
        <v>0</v>
      </c>
      <c r="J318" s="285">
        <f>H318-I318*$F$304</f>
        <v>0</v>
      </c>
      <c r="K318" s="553"/>
      <c r="L318" s="283">
        <f t="shared" si="3"/>
        <v>0</v>
      </c>
      <c r="M318" s="541"/>
      <c r="N318" s="217"/>
      <c r="O318" s="242"/>
      <c r="P318" s="242"/>
      <c r="Q318" s="242"/>
      <c r="R318" s="242"/>
      <c r="S318" s="199"/>
      <c r="Z318" s="321"/>
      <c r="AA318" s="318"/>
      <c r="AB318" s="321"/>
      <c r="AC318" s="321"/>
      <c r="AD318" s="321"/>
      <c r="AE318" s="321"/>
      <c r="AF318" s="321"/>
      <c r="AG318" s="321"/>
      <c r="AH318" s="321"/>
      <c r="AI318" s="321"/>
      <c r="AJ318" s="321"/>
      <c r="AK318" s="321"/>
      <c r="AL318" s="300"/>
    </row>
    <row r="319" spans="1:38" s="234" customFormat="1" ht="10.199999999999999" hidden="1">
      <c r="A319" s="199"/>
      <c r="B319" s="647" t="s">
        <v>465</v>
      </c>
      <c r="C319" s="536"/>
      <c r="D319" s="130"/>
      <c r="E319" s="538"/>
      <c r="F319" s="225"/>
      <c r="G319" s="552"/>
      <c r="H319" s="544">
        <f>IF($E$306="",0,((Nutzung!$G$29+Regelung-1)+(($C$308-Nutzung!$G$29)/2)-F291)*D291*$D$306*$E$306*24/($B$284*1000))</f>
        <v>0</v>
      </c>
      <c r="I319" s="537">
        <f>Einträge!E67</f>
        <v>0</v>
      </c>
      <c r="J319" s="285">
        <f>H319-I319*$F$305</f>
        <v>0</v>
      </c>
      <c r="K319" s="553"/>
      <c r="L319" s="283">
        <f t="shared" si="3"/>
        <v>0</v>
      </c>
      <c r="M319" s="541"/>
      <c r="N319" s="217"/>
      <c r="O319" s="242"/>
      <c r="P319" s="242"/>
      <c r="Q319" s="242"/>
      <c r="R319" s="242"/>
      <c r="S319" s="199"/>
      <c r="Z319" s="321"/>
      <c r="AA319" s="318"/>
      <c r="AB319" s="321"/>
      <c r="AC319" s="321"/>
      <c r="AD319" s="321"/>
      <c r="AE319" s="321"/>
      <c r="AF319" s="321"/>
      <c r="AG319" s="321"/>
      <c r="AH319" s="321"/>
      <c r="AI319" s="321"/>
      <c r="AJ319" s="321"/>
      <c r="AK319" s="321"/>
      <c r="AL319" s="300"/>
    </row>
    <row r="320" spans="1:38" ht="10.95" customHeight="1">
      <c r="A320" s="203" t="str">
        <f>A196</f>
        <v>0</v>
      </c>
      <c r="B320" s="648"/>
      <c r="C320" s="656"/>
      <c r="D320" s="657"/>
      <c r="E320" s="658"/>
      <c r="F320" s="664"/>
      <c r="G320" s="873"/>
      <c r="H320" s="658"/>
      <c r="I320" s="671"/>
      <c r="J320" s="668"/>
      <c r="K320" s="668"/>
      <c r="L320" s="781" t="str">
        <f>IF(E320="","",Nutzung!$G$29)</f>
        <v/>
      </c>
      <c r="M320" s="771" t="str">
        <f>IF(D320="","",AB320)</f>
        <v/>
      </c>
      <c r="N320" s="214">
        <f>IF(E320=0,0,M322)</f>
        <v>0</v>
      </c>
      <c r="O320" s="215" t="str">
        <f>IF(N320/$O$1370=0,"",N320/$O$1370)</f>
        <v/>
      </c>
      <c r="P320" s="192"/>
      <c r="Q320" s="241"/>
      <c r="R320" s="241"/>
      <c r="S320" s="192"/>
      <c r="T320" s="182">
        <f>D320*E320</f>
        <v>0</v>
      </c>
      <c r="AA320" s="318">
        <f>IF(D320="",0,1)</f>
        <v>0</v>
      </c>
      <c r="AB320" s="318">
        <f>AB306+AA320</f>
        <v>0</v>
      </c>
    </row>
    <row r="321" spans="1:38" ht="10.95" hidden="1" customHeight="1">
      <c r="A321" s="203"/>
      <c r="B321" s="793"/>
      <c r="C321" s="794"/>
      <c r="D321" s="44"/>
      <c r="E321" s="795"/>
      <c r="F321" s="796"/>
      <c r="G321" s="813"/>
      <c r="H321" s="816"/>
      <c r="I321" s="816"/>
      <c r="J321" s="797"/>
      <c r="K321" s="797"/>
      <c r="L321" s="798"/>
      <c r="M321" s="44"/>
      <c r="N321" s="214"/>
      <c r="O321" s="215"/>
      <c r="P321" s="192"/>
      <c r="Q321" s="241"/>
      <c r="R321" s="241"/>
      <c r="S321" s="192"/>
    </row>
    <row r="322" spans="1:38" s="234" customFormat="1" ht="10.199999999999999" hidden="1">
      <c r="A322" s="199"/>
      <c r="B322" s="647" t="s">
        <v>49</v>
      </c>
      <c r="C322" s="536" t="str">
        <f>IF($L$320&lt;Nutzung!$G$29,Nutzung!$G$29,$L$320)</f>
        <v/>
      </c>
      <c r="D322" s="130"/>
      <c r="E322" s="538"/>
      <c r="F322" s="225"/>
      <c r="G322" s="543">
        <f>IF(L320="",Nutzung!$G$29,Bauteile!L320)</f>
        <v>0</v>
      </c>
      <c r="H322" s="544">
        <f>IF($E$320="",0,((Nutzung!$G$29+Regelung-1)+(($C$322-Nutzung!$G$29)/2)-F280)*D280*$D$320*$E$320*24/($B$284*1000))</f>
        <v>0</v>
      </c>
      <c r="I322" s="537">
        <f>Einträge!E69</f>
        <v>0</v>
      </c>
      <c r="J322" s="285">
        <f>H322-I322*$F$294</f>
        <v>0</v>
      </c>
      <c r="K322" s="797"/>
      <c r="L322" s="283">
        <f t="shared" ref="L322:L333" si="4">IF($B$282=1,J322,H322)</f>
        <v>0</v>
      </c>
      <c r="M322" s="283" t="str">
        <f>IF(E320="","",SUM(L322:L333))</f>
        <v/>
      </c>
      <c r="N322" s="217"/>
      <c r="O322" s="242"/>
      <c r="P322" s="242"/>
      <c r="Q322" s="242"/>
      <c r="R322" s="242"/>
      <c r="S322" s="199"/>
      <c r="Z322" s="321"/>
      <c r="AA322" s="318"/>
      <c r="AB322" s="321"/>
      <c r="AC322" s="321"/>
      <c r="AD322" s="321"/>
      <c r="AE322" s="321"/>
      <c r="AF322" s="321"/>
      <c r="AG322" s="321"/>
      <c r="AH322" s="321"/>
      <c r="AI322" s="321"/>
      <c r="AJ322" s="321"/>
      <c r="AK322" s="321"/>
      <c r="AL322" s="300"/>
    </row>
    <row r="323" spans="1:38" s="234" customFormat="1" ht="10.199999999999999" hidden="1">
      <c r="A323" s="199"/>
      <c r="B323" s="647" t="s">
        <v>554</v>
      </c>
      <c r="C323" s="536"/>
      <c r="D323" s="130"/>
      <c r="E323" s="538"/>
      <c r="F323" s="225"/>
      <c r="G323" s="552"/>
      <c r="H323" s="544">
        <f>IF($E$320="",0,((Nutzung!$G$29+Regelung-1)+(($C$322-Nutzung!$G$29)/2)-F281)*D281*$D$320*$E$320*24/($B$284*1000))</f>
        <v>0</v>
      </c>
      <c r="I323" s="537">
        <f>Einträge!E70</f>
        <v>0</v>
      </c>
      <c r="J323" s="285">
        <f>H323-I323*$F$295</f>
        <v>0</v>
      </c>
      <c r="K323" s="553"/>
      <c r="L323" s="283">
        <f t="shared" si="4"/>
        <v>0</v>
      </c>
      <c r="M323" s="541"/>
      <c r="N323" s="217"/>
      <c r="O323" s="242"/>
      <c r="P323" s="242"/>
      <c r="Q323" s="242"/>
      <c r="R323" s="242"/>
      <c r="S323" s="199"/>
      <c r="Z323" s="321"/>
      <c r="AA323" s="318"/>
      <c r="AB323" s="321"/>
      <c r="AC323" s="321"/>
      <c r="AD323" s="321"/>
      <c r="AE323" s="321"/>
      <c r="AF323" s="321"/>
      <c r="AG323" s="321"/>
      <c r="AH323" s="321"/>
      <c r="AI323" s="321"/>
      <c r="AJ323" s="321"/>
      <c r="AK323" s="321"/>
      <c r="AL323" s="300"/>
    </row>
    <row r="324" spans="1:38" s="234" customFormat="1" ht="10.199999999999999" hidden="1">
      <c r="A324" s="199"/>
      <c r="B324" s="647" t="s">
        <v>306</v>
      </c>
      <c r="C324" s="536"/>
      <c r="D324" s="130"/>
      <c r="E324" s="538"/>
      <c r="F324" s="225"/>
      <c r="G324" s="552"/>
      <c r="H324" s="544">
        <f>IF($E$320="",0,((Nutzung!$G$29+Regelung-1)+(($C$322-Nutzung!$G$29)/2)-F282)*D282*$D$320*$E$320*24/($B$284*1000))</f>
        <v>0</v>
      </c>
      <c r="I324" s="537">
        <f>Einträge!E71</f>
        <v>0</v>
      </c>
      <c r="J324" s="285">
        <f>H324-I324*$F$296</f>
        <v>0</v>
      </c>
      <c r="K324" s="553"/>
      <c r="L324" s="283">
        <f t="shared" si="4"/>
        <v>0</v>
      </c>
      <c r="M324" s="541"/>
      <c r="N324" s="217"/>
      <c r="O324" s="242"/>
      <c r="P324" s="242"/>
      <c r="Q324" s="242"/>
      <c r="R324" s="242"/>
      <c r="S324" s="199"/>
      <c r="Z324" s="321"/>
      <c r="AA324" s="318"/>
      <c r="AB324" s="321"/>
      <c r="AC324" s="321"/>
      <c r="AD324" s="321"/>
      <c r="AE324" s="321"/>
      <c r="AF324" s="321"/>
      <c r="AG324" s="321"/>
      <c r="AH324" s="321"/>
      <c r="AI324" s="321"/>
      <c r="AJ324" s="321"/>
      <c r="AK324" s="321"/>
      <c r="AL324" s="300"/>
    </row>
    <row r="325" spans="1:38" s="234" customFormat="1" ht="10.199999999999999" hidden="1">
      <c r="A325" s="199"/>
      <c r="B325" s="647" t="s">
        <v>409</v>
      </c>
      <c r="C325" s="536"/>
      <c r="D325" s="130"/>
      <c r="E325" s="538"/>
      <c r="F325" s="225"/>
      <c r="G325" s="552"/>
      <c r="H325" s="544">
        <f>IF($E$320="",0,((Nutzung!$G$29+Regelung-1)+(($C$322-Nutzung!$G$29)/2)-F283)*D283*$D$320*$E$320*24/($B$284*1000))</f>
        <v>0</v>
      </c>
      <c r="I325" s="537">
        <f>Einträge!E72</f>
        <v>0</v>
      </c>
      <c r="J325" s="285">
        <f>H325-I325*$F$297</f>
        <v>0</v>
      </c>
      <c r="K325" s="553"/>
      <c r="L325" s="283">
        <f t="shared" si="4"/>
        <v>0</v>
      </c>
      <c r="M325" s="541"/>
      <c r="N325" s="217"/>
      <c r="O325" s="242"/>
      <c r="P325" s="242"/>
      <c r="Q325" s="242"/>
      <c r="R325" s="242"/>
      <c r="S325" s="199"/>
      <c r="Z325" s="321"/>
      <c r="AA325" s="318"/>
      <c r="AB325" s="321"/>
      <c r="AC325" s="321"/>
      <c r="AD325" s="321"/>
      <c r="AE325" s="321"/>
      <c r="AF325" s="321"/>
      <c r="AG325" s="321"/>
      <c r="AH325" s="321"/>
      <c r="AI325" s="321"/>
      <c r="AJ325" s="321"/>
      <c r="AK325" s="321"/>
      <c r="AL325" s="300"/>
    </row>
    <row r="326" spans="1:38" s="234" customFormat="1" ht="10.199999999999999" hidden="1">
      <c r="A326" s="199"/>
      <c r="B326" s="647" t="s">
        <v>410</v>
      </c>
      <c r="C326" s="536"/>
      <c r="D326" s="130"/>
      <c r="E326" s="538"/>
      <c r="F326" s="225"/>
      <c r="G326" s="552"/>
      <c r="H326" s="544">
        <f>IF($E$320="",0,((Nutzung!$G$29+Regelung-1)+(($C$322-Nutzung!$G$29)/2)-F284)*D284*$D$320*$E$320*24/($B$284*1000))</f>
        <v>0</v>
      </c>
      <c r="I326" s="537">
        <f>Einträge!E73</f>
        <v>0</v>
      </c>
      <c r="J326" s="285">
        <f>H326-I326*$F$298</f>
        <v>0</v>
      </c>
      <c r="K326" s="553"/>
      <c r="L326" s="283">
        <f t="shared" si="4"/>
        <v>0</v>
      </c>
      <c r="M326" s="541"/>
      <c r="N326" s="217"/>
      <c r="O326" s="242"/>
      <c r="P326" s="242"/>
      <c r="Q326" s="242"/>
      <c r="R326" s="242"/>
      <c r="S326" s="199"/>
      <c r="Z326" s="321"/>
      <c r="AA326" s="318"/>
      <c r="AB326" s="321"/>
      <c r="AC326" s="321"/>
      <c r="AD326" s="321"/>
      <c r="AE326" s="321"/>
      <c r="AF326" s="321"/>
      <c r="AG326" s="321"/>
      <c r="AH326" s="321"/>
      <c r="AI326" s="321"/>
      <c r="AJ326" s="321"/>
      <c r="AK326" s="321"/>
      <c r="AL326" s="300"/>
    </row>
    <row r="327" spans="1:38" s="234" customFormat="1" ht="10.199999999999999" hidden="1">
      <c r="A327" s="199"/>
      <c r="B327" s="647" t="s">
        <v>411</v>
      </c>
      <c r="C327" s="536"/>
      <c r="D327" s="130"/>
      <c r="E327" s="538"/>
      <c r="F327" s="225"/>
      <c r="G327" s="552"/>
      <c r="H327" s="544">
        <f>IF($E$320="",0,((Nutzung!$G$29+Regelung-1)+(($C$322-Nutzung!$G$29)/2)-F285)*D285*$D$320*$E$320*24/($B$284*1000))</f>
        <v>0</v>
      </c>
      <c r="I327" s="537">
        <f>Einträge!E74</f>
        <v>0</v>
      </c>
      <c r="J327" s="285">
        <f>H327-I327*$F$299</f>
        <v>0</v>
      </c>
      <c r="K327" s="553"/>
      <c r="L327" s="283">
        <f t="shared" si="4"/>
        <v>0</v>
      </c>
      <c r="M327" s="541"/>
      <c r="N327" s="217" t="s">
        <v>517</v>
      </c>
      <c r="O327" s="242"/>
      <c r="P327" s="242"/>
      <c r="Q327" s="242"/>
      <c r="R327" s="242"/>
      <c r="S327" s="199"/>
      <c r="Z327" s="321"/>
      <c r="AA327" s="318"/>
      <c r="AB327" s="321"/>
      <c r="AC327" s="321"/>
      <c r="AD327" s="321"/>
      <c r="AE327" s="321"/>
      <c r="AF327" s="321"/>
      <c r="AG327" s="321"/>
      <c r="AH327" s="321"/>
      <c r="AI327" s="321"/>
      <c r="AJ327" s="321"/>
      <c r="AK327" s="321"/>
      <c r="AL327" s="300"/>
    </row>
    <row r="328" spans="1:38" s="234" customFormat="1" ht="10.199999999999999" hidden="1">
      <c r="A328" s="199"/>
      <c r="B328" s="647" t="s">
        <v>221</v>
      </c>
      <c r="C328" s="536"/>
      <c r="D328" s="130"/>
      <c r="E328" s="538"/>
      <c r="F328" s="225"/>
      <c r="G328" s="552"/>
      <c r="H328" s="544">
        <f>IF($E$320="",0,((Nutzung!$G$29+Regelung-1)+(($C$322-Nutzung!$G$29)/2)-F286)*D286*$D$320*$E$320*24/($B$284*1000))</f>
        <v>0</v>
      </c>
      <c r="I328" s="537">
        <f>Einträge!E75</f>
        <v>0</v>
      </c>
      <c r="J328" s="285">
        <f>H328-I328*$F$300</f>
        <v>0</v>
      </c>
      <c r="K328" s="553"/>
      <c r="L328" s="283">
        <f t="shared" si="4"/>
        <v>0</v>
      </c>
      <c r="M328" s="541"/>
      <c r="N328" s="254">
        <f>SUM(H322:H333)</f>
        <v>0</v>
      </c>
      <c r="O328" s="242"/>
      <c r="P328" s="242"/>
      <c r="Q328" s="242"/>
      <c r="R328" s="242"/>
      <c r="S328" s="199"/>
      <c r="Z328" s="321"/>
      <c r="AA328" s="318"/>
      <c r="AB328" s="321"/>
      <c r="AC328" s="321"/>
      <c r="AD328" s="321"/>
      <c r="AE328" s="321"/>
      <c r="AF328" s="321"/>
      <c r="AG328" s="321"/>
      <c r="AH328" s="321"/>
      <c r="AI328" s="321"/>
      <c r="AJ328" s="321"/>
      <c r="AK328" s="321"/>
      <c r="AL328" s="300"/>
    </row>
    <row r="329" spans="1:38" s="234" customFormat="1" ht="10.199999999999999" hidden="1">
      <c r="A329" s="199"/>
      <c r="B329" s="647" t="s">
        <v>138</v>
      </c>
      <c r="C329" s="536"/>
      <c r="D329" s="130"/>
      <c r="E329" s="538"/>
      <c r="F329" s="225"/>
      <c r="G329" s="552"/>
      <c r="H329" s="544">
        <f>IF($E$320="",0,((Nutzung!$G$29+Regelung-1)+(($C$322-Nutzung!$G$29)/2)-F287)*D287*$D$320*$E$320*24/($B$284*1000))</f>
        <v>0</v>
      </c>
      <c r="I329" s="537">
        <f>Einträge!E76</f>
        <v>0</v>
      </c>
      <c r="J329" s="285">
        <f>H329-I329*$F$301</f>
        <v>0</v>
      </c>
      <c r="K329" s="553"/>
      <c r="L329" s="283">
        <f t="shared" si="4"/>
        <v>0</v>
      </c>
      <c r="M329" s="541"/>
      <c r="N329" s="217"/>
      <c r="O329" s="242"/>
      <c r="P329" s="242"/>
      <c r="Q329" s="242"/>
      <c r="R329" s="242"/>
      <c r="S329" s="199"/>
      <c r="Z329" s="321"/>
      <c r="AA329" s="318"/>
      <c r="AB329" s="321"/>
      <c r="AC329" s="321"/>
      <c r="AD329" s="321"/>
      <c r="AE329" s="321"/>
      <c r="AF329" s="321"/>
      <c r="AG329" s="321"/>
      <c r="AH329" s="321"/>
      <c r="AI329" s="321"/>
      <c r="AJ329" s="321"/>
      <c r="AK329" s="321"/>
      <c r="AL329" s="300"/>
    </row>
    <row r="330" spans="1:38" s="234" customFormat="1" ht="10.199999999999999" hidden="1">
      <c r="A330" s="199"/>
      <c r="B330" s="647" t="s">
        <v>139</v>
      </c>
      <c r="C330" s="536"/>
      <c r="D330" s="130"/>
      <c r="E330" s="538"/>
      <c r="F330" s="225"/>
      <c r="G330" s="552"/>
      <c r="H330" s="544">
        <f>IF($E$320="",0,((Nutzung!$G$29+Regelung-1)+(($C$322-Nutzung!$G$29)/2)-F288)*D288*$D$320*$E$320*24/($B$284*1000))</f>
        <v>0</v>
      </c>
      <c r="I330" s="537">
        <f>Einträge!E77</f>
        <v>0</v>
      </c>
      <c r="J330" s="285">
        <f>H330-I330*$F$302</f>
        <v>0</v>
      </c>
      <c r="K330" s="553"/>
      <c r="L330" s="283">
        <f t="shared" si="4"/>
        <v>0</v>
      </c>
      <c r="M330" s="541"/>
      <c r="N330" s="217"/>
      <c r="O330" s="242"/>
      <c r="P330" s="242"/>
      <c r="Q330" s="242"/>
      <c r="R330" s="242"/>
      <c r="S330" s="199"/>
      <c r="Z330" s="321"/>
      <c r="AA330" s="318"/>
      <c r="AB330" s="321"/>
      <c r="AC330" s="321"/>
      <c r="AD330" s="321"/>
      <c r="AE330" s="321"/>
      <c r="AF330" s="321"/>
      <c r="AG330" s="321"/>
      <c r="AH330" s="321"/>
      <c r="AI330" s="321"/>
      <c r="AJ330" s="321"/>
      <c r="AK330" s="321"/>
      <c r="AL330" s="300"/>
    </row>
    <row r="331" spans="1:38" s="234" customFormat="1" ht="10.199999999999999" hidden="1">
      <c r="A331" s="199"/>
      <c r="B331" s="647" t="s">
        <v>269</v>
      </c>
      <c r="C331" s="536"/>
      <c r="D331" s="130"/>
      <c r="E331" s="538"/>
      <c r="F331" s="225"/>
      <c r="G331" s="552"/>
      <c r="H331" s="544">
        <f>IF($E$320="",0,((Nutzung!$G$29+Regelung-1)+(($C$322-Nutzung!$G$29)/2)-F289)*D289*$D$320*$E$320*24/($B$284*1000))</f>
        <v>0</v>
      </c>
      <c r="I331" s="537">
        <f>Einträge!E78</f>
        <v>0</v>
      </c>
      <c r="J331" s="285">
        <f>H331-I331*$F$303</f>
        <v>0</v>
      </c>
      <c r="K331" s="553"/>
      <c r="L331" s="283">
        <f t="shared" si="4"/>
        <v>0</v>
      </c>
      <c r="M331" s="541"/>
      <c r="N331" s="217"/>
      <c r="O331" s="242"/>
      <c r="P331" s="242"/>
      <c r="Q331" s="242"/>
      <c r="R331" s="242"/>
      <c r="S331" s="199"/>
      <c r="Z331" s="321"/>
      <c r="AA331" s="318"/>
      <c r="AB331" s="321"/>
      <c r="AC331" s="321"/>
      <c r="AD331" s="321"/>
      <c r="AE331" s="321"/>
      <c r="AF331" s="321"/>
      <c r="AG331" s="321"/>
      <c r="AH331" s="321"/>
      <c r="AI331" s="321"/>
      <c r="AJ331" s="321"/>
      <c r="AK331" s="321"/>
      <c r="AL331" s="300"/>
    </row>
    <row r="332" spans="1:38" s="234" customFormat="1" ht="10.199999999999999" hidden="1">
      <c r="A332" s="199"/>
      <c r="B332" s="647" t="s">
        <v>366</v>
      </c>
      <c r="C332" s="536"/>
      <c r="D332" s="130"/>
      <c r="E332" s="538"/>
      <c r="F332" s="225"/>
      <c r="G332" s="552"/>
      <c r="H332" s="544">
        <f>IF($E$320="",0,((Nutzung!$G$29+Regelung-1)+(($C$322-Nutzung!$G$29)/2)-F290)*D290*$D$320*$E$320*24/($B$284*1000))</f>
        <v>0</v>
      </c>
      <c r="I332" s="537">
        <f>Einträge!E79</f>
        <v>0</v>
      </c>
      <c r="J332" s="285">
        <f>H332-I332*$F$304</f>
        <v>0</v>
      </c>
      <c r="K332" s="553"/>
      <c r="L332" s="283">
        <f t="shared" si="4"/>
        <v>0</v>
      </c>
      <c r="M332" s="541"/>
      <c r="N332" s="217"/>
      <c r="O332" s="242"/>
      <c r="P332" s="242"/>
      <c r="Q332" s="242"/>
      <c r="R332" s="242"/>
      <c r="S332" s="199"/>
      <c r="Z332" s="321"/>
      <c r="AA332" s="318"/>
      <c r="AB332" s="321"/>
      <c r="AC332" s="321"/>
      <c r="AD332" s="321"/>
      <c r="AE332" s="321"/>
      <c r="AF332" s="321"/>
      <c r="AG332" s="321"/>
      <c r="AH332" s="321"/>
      <c r="AI332" s="321"/>
      <c r="AJ332" s="321"/>
      <c r="AK332" s="321"/>
      <c r="AL332" s="300"/>
    </row>
    <row r="333" spans="1:38" s="234" customFormat="1" ht="10.199999999999999" hidden="1">
      <c r="A333" s="199"/>
      <c r="B333" s="647" t="s">
        <v>465</v>
      </c>
      <c r="C333" s="536"/>
      <c r="D333" s="130"/>
      <c r="E333" s="538"/>
      <c r="F333" s="225"/>
      <c r="G333" s="552"/>
      <c r="H333" s="544">
        <f>IF($E$320="",0,((Nutzung!$G$29+Regelung-1)+(($C$322-Nutzung!$G$29)/2)-F291)*D291*$D$320*$E$320*24/($B$284*1000))</f>
        <v>0</v>
      </c>
      <c r="I333" s="537">
        <f>Einträge!E80</f>
        <v>0</v>
      </c>
      <c r="J333" s="285">
        <f>H333-I333*$F$305</f>
        <v>0</v>
      </c>
      <c r="K333" s="553"/>
      <c r="L333" s="283">
        <f t="shared" si="4"/>
        <v>0</v>
      </c>
      <c r="M333" s="541"/>
      <c r="N333" s="217"/>
      <c r="O333" s="242"/>
      <c r="P333" s="242"/>
      <c r="Q333" s="242"/>
      <c r="R333" s="242"/>
      <c r="S333" s="199"/>
      <c r="Z333" s="321"/>
      <c r="AA333" s="318"/>
      <c r="AB333" s="321"/>
      <c r="AC333" s="321"/>
      <c r="AD333" s="321"/>
      <c r="AE333" s="321"/>
      <c r="AF333" s="321"/>
      <c r="AG333" s="321"/>
      <c r="AH333" s="321"/>
      <c r="AI333" s="321"/>
      <c r="AJ333" s="321"/>
      <c r="AK333" s="321"/>
      <c r="AL333" s="300"/>
    </row>
    <row r="334" spans="1:38" ht="10.95" customHeight="1">
      <c r="A334" s="192"/>
      <c r="B334" s="648"/>
      <c r="C334" s="656"/>
      <c r="D334" s="657"/>
      <c r="E334" s="658"/>
      <c r="F334" s="664"/>
      <c r="G334" s="873"/>
      <c r="H334" s="658"/>
      <c r="I334" s="671"/>
      <c r="J334" s="668"/>
      <c r="K334" s="668"/>
      <c r="L334" s="781" t="str">
        <f>IF(E334="","",Nutzung!$G$29)</f>
        <v/>
      </c>
      <c r="M334" s="771" t="str">
        <f>IF(D334="","",AB334)</f>
        <v/>
      </c>
      <c r="N334" s="214">
        <f>IF(E334=0,0,M336)</f>
        <v>0</v>
      </c>
      <c r="O334" s="215" t="str">
        <f>IF(N334/$O$1370=0,"",N334/$O$1370)</f>
        <v/>
      </c>
      <c r="P334" s="192"/>
      <c r="Q334" s="241"/>
      <c r="R334" s="241"/>
      <c r="S334" s="192"/>
      <c r="T334" s="182">
        <f>D334*E334</f>
        <v>0</v>
      </c>
      <c r="AA334" s="318">
        <f>IF(D334="",0,1)</f>
        <v>0</v>
      </c>
      <c r="AB334" s="318">
        <f>AB320+AA334</f>
        <v>0</v>
      </c>
    </row>
    <row r="335" spans="1:38" ht="10.95" hidden="1" customHeight="1">
      <c r="A335" s="260"/>
      <c r="B335" s="793"/>
      <c r="C335" s="794"/>
      <c r="D335" s="44"/>
      <c r="E335" s="795"/>
      <c r="F335" s="796"/>
      <c r="G335" s="813"/>
      <c r="H335" s="816"/>
      <c r="I335" s="816"/>
      <c r="J335" s="816"/>
      <c r="K335" s="797"/>
      <c r="L335" s="798"/>
      <c r="M335" s="44"/>
      <c r="N335" s="214"/>
      <c r="O335" s="215"/>
      <c r="P335" s="192"/>
      <c r="Q335" s="241"/>
      <c r="R335" s="241"/>
      <c r="S335" s="192"/>
    </row>
    <row r="336" spans="1:38" s="234" customFormat="1" ht="10.199999999999999" hidden="1">
      <c r="A336" s="199"/>
      <c r="B336" s="647" t="s">
        <v>49</v>
      </c>
      <c r="C336" s="536" t="str">
        <f>IF($L$334&lt;Nutzung!$G$29,Nutzung!$G$29,$L$334)</f>
        <v/>
      </c>
      <c r="D336" s="130"/>
      <c r="E336" s="538"/>
      <c r="F336" s="225"/>
      <c r="G336" s="543">
        <f>IF(L334="",Nutzung!$G$29,Bauteile!L334)</f>
        <v>0</v>
      </c>
      <c r="H336" s="544">
        <f>IF($E$334="",0,((Nutzung!$G$29+Regelung-1)+(($C$336-Nutzung!$G$29)/2)-F280)*D280*$D$334*$E$334*24/($B$284*1000))</f>
        <v>0</v>
      </c>
      <c r="I336" s="537">
        <f>Einträge!E82</f>
        <v>0</v>
      </c>
      <c r="J336" s="285">
        <f>H336-I336*$F$294</f>
        <v>0</v>
      </c>
      <c r="K336" s="553"/>
      <c r="L336" s="283">
        <f t="shared" ref="L336:L347" si="5">IF($B$282=1,J336,H336)</f>
        <v>0</v>
      </c>
      <c r="M336" s="283" t="str">
        <f>IF(E334="","",SUM(L336:L347))</f>
        <v/>
      </c>
      <c r="N336" s="217"/>
      <c r="O336" s="242"/>
      <c r="P336" s="242"/>
      <c r="Q336" s="242"/>
      <c r="R336" s="242"/>
      <c r="S336" s="199"/>
      <c r="Z336" s="321"/>
      <c r="AA336" s="318"/>
      <c r="AB336" s="321"/>
      <c r="AC336" s="321"/>
      <c r="AD336" s="321"/>
      <c r="AE336" s="321"/>
      <c r="AF336" s="321"/>
      <c r="AG336" s="321"/>
      <c r="AH336" s="321"/>
      <c r="AI336" s="321"/>
      <c r="AJ336" s="321"/>
      <c r="AK336" s="321"/>
      <c r="AL336" s="300"/>
    </row>
    <row r="337" spans="1:38" s="234" customFormat="1" ht="10.199999999999999" hidden="1">
      <c r="A337" s="199"/>
      <c r="B337" s="647" t="s">
        <v>554</v>
      </c>
      <c r="C337" s="536"/>
      <c r="D337" s="130"/>
      <c r="E337" s="538"/>
      <c r="F337" s="225"/>
      <c r="G337" s="552"/>
      <c r="H337" s="544">
        <f>IF($E$334="",0,((Nutzung!$G$29+Regelung-1)+(($C$336-Nutzung!$G$29)/2)-F281)*D281*$D$334*$E$334*24/($B$284*1000))</f>
        <v>0</v>
      </c>
      <c r="I337" s="537">
        <f>Einträge!E83</f>
        <v>0</v>
      </c>
      <c r="J337" s="285">
        <f>H337-I337*$F$295</f>
        <v>0</v>
      </c>
      <c r="K337" s="553"/>
      <c r="L337" s="283">
        <f t="shared" si="5"/>
        <v>0</v>
      </c>
      <c r="M337" s="541"/>
      <c r="N337" s="217"/>
      <c r="O337" s="242"/>
      <c r="P337" s="242"/>
      <c r="Q337" s="242"/>
      <c r="R337" s="242"/>
      <c r="S337" s="199"/>
      <c r="Z337" s="321"/>
      <c r="AA337" s="318"/>
      <c r="AB337" s="321"/>
      <c r="AC337" s="321"/>
      <c r="AD337" s="321"/>
      <c r="AE337" s="321"/>
      <c r="AF337" s="321"/>
      <c r="AG337" s="321"/>
      <c r="AH337" s="321"/>
      <c r="AI337" s="321"/>
      <c r="AJ337" s="321"/>
      <c r="AK337" s="321"/>
      <c r="AL337" s="300"/>
    </row>
    <row r="338" spans="1:38" s="234" customFormat="1" ht="10.199999999999999" hidden="1">
      <c r="A338" s="199"/>
      <c r="B338" s="647" t="s">
        <v>306</v>
      </c>
      <c r="C338" s="536"/>
      <c r="D338" s="130"/>
      <c r="E338" s="538"/>
      <c r="F338" s="225"/>
      <c r="G338" s="552"/>
      <c r="H338" s="544">
        <f>IF($E$334="",0,((Nutzung!$G$29+Regelung-1)+(($C$336-Nutzung!$G$29)/2)-F282)*D282*$D$334*$E$334*24/($B$284*1000))</f>
        <v>0</v>
      </c>
      <c r="I338" s="537">
        <f>Einträge!E84</f>
        <v>0</v>
      </c>
      <c r="J338" s="285">
        <f>H338-I338*$F$296</f>
        <v>0</v>
      </c>
      <c r="K338" s="553"/>
      <c r="L338" s="283">
        <f t="shared" si="5"/>
        <v>0</v>
      </c>
      <c r="M338" s="541"/>
      <c r="N338" s="217"/>
      <c r="O338" s="242"/>
      <c r="P338" s="242"/>
      <c r="Q338" s="242"/>
      <c r="R338" s="242"/>
      <c r="S338" s="199"/>
      <c r="Z338" s="321"/>
      <c r="AA338" s="318"/>
      <c r="AB338" s="321"/>
      <c r="AC338" s="321"/>
      <c r="AD338" s="321"/>
      <c r="AE338" s="321"/>
      <c r="AF338" s="321"/>
      <c r="AG338" s="321"/>
      <c r="AH338" s="321"/>
      <c r="AI338" s="321"/>
      <c r="AJ338" s="321"/>
      <c r="AK338" s="321"/>
      <c r="AL338" s="300"/>
    </row>
    <row r="339" spans="1:38" s="234" customFormat="1" ht="10.199999999999999" hidden="1">
      <c r="A339" s="199"/>
      <c r="B339" s="647" t="s">
        <v>409</v>
      </c>
      <c r="C339" s="536"/>
      <c r="D339" s="130"/>
      <c r="E339" s="538"/>
      <c r="F339" s="225"/>
      <c r="G339" s="552"/>
      <c r="H339" s="544">
        <f>IF($E$334="",0,((Nutzung!$G$29+Regelung-1)+(($C$336-Nutzung!$G$29)/2)-F283)*D283*$D$334*$E$334*24/($B$284*1000))</f>
        <v>0</v>
      </c>
      <c r="I339" s="537">
        <f>Einträge!E85</f>
        <v>0</v>
      </c>
      <c r="J339" s="285">
        <f>H339-I339*$F$297</f>
        <v>0</v>
      </c>
      <c r="K339" s="553"/>
      <c r="L339" s="283">
        <f t="shared" si="5"/>
        <v>0</v>
      </c>
      <c r="M339" s="541"/>
      <c r="N339" s="217"/>
      <c r="O339" s="242"/>
      <c r="P339" s="242"/>
      <c r="Q339" s="242"/>
      <c r="R339" s="242"/>
      <c r="S339" s="199"/>
      <c r="Z339" s="321"/>
      <c r="AA339" s="318"/>
      <c r="AB339" s="321"/>
      <c r="AC339" s="321"/>
      <c r="AD339" s="321"/>
      <c r="AE339" s="321"/>
      <c r="AF339" s="321"/>
      <c r="AG339" s="321"/>
      <c r="AH339" s="321"/>
      <c r="AI339" s="321"/>
      <c r="AJ339" s="321"/>
      <c r="AK339" s="321"/>
      <c r="AL339" s="300"/>
    </row>
    <row r="340" spans="1:38" s="234" customFormat="1" ht="10.199999999999999" hidden="1">
      <c r="A340" s="199"/>
      <c r="B340" s="647" t="s">
        <v>410</v>
      </c>
      <c r="C340" s="536"/>
      <c r="D340" s="130"/>
      <c r="E340" s="538"/>
      <c r="F340" s="225"/>
      <c r="G340" s="552"/>
      <c r="H340" s="544">
        <f>IF($E$334="",0,((Nutzung!$G$29+Regelung-1)+(($C$336-Nutzung!$G$29)/2)-F284)*D284*$D$334*$E$334*24/($B$284*1000))</f>
        <v>0</v>
      </c>
      <c r="I340" s="537">
        <f>Einträge!E86</f>
        <v>0</v>
      </c>
      <c r="J340" s="285">
        <f>H340-I340*$F$298</f>
        <v>0</v>
      </c>
      <c r="K340" s="553"/>
      <c r="L340" s="283">
        <f t="shared" si="5"/>
        <v>0</v>
      </c>
      <c r="M340" s="541"/>
      <c r="N340" s="217"/>
      <c r="O340" s="242"/>
      <c r="P340" s="242"/>
      <c r="Q340" s="242"/>
      <c r="R340" s="242"/>
      <c r="S340" s="199"/>
      <c r="Z340" s="321"/>
      <c r="AA340" s="318"/>
      <c r="AB340" s="321"/>
      <c r="AC340" s="321"/>
      <c r="AD340" s="321"/>
      <c r="AE340" s="321"/>
      <c r="AF340" s="321"/>
      <c r="AG340" s="321"/>
      <c r="AH340" s="321"/>
      <c r="AI340" s="321"/>
      <c r="AJ340" s="321"/>
      <c r="AK340" s="321"/>
      <c r="AL340" s="300"/>
    </row>
    <row r="341" spans="1:38" s="234" customFormat="1" ht="10.199999999999999" hidden="1">
      <c r="A341" s="199"/>
      <c r="B341" s="647" t="s">
        <v>411</v>
      </c>
      <c r="C341" s="536"/>
      <c r="D341" s="130"/>
      <c r="E341" s="538"/>
      <c r="F341" s="225"/>
      <c r="G341" s="552"/>
      <c r="H341" s="544">
        <f>IF($E$334="",0,((Nutzung!$G$29+Regelung-1)+(($C$336-Nutzung!$G$29)/2)-F285)*D285*$D$334*$E$334*24/($B$284*1000))</f>
        <v>0</v>
      </c>
      <c r="I341" s="537">
        <f>Einträge!E87</f>
        <v>0</v>
      </c>
      <c r="J341" s="285">
        <f>H341-I341*$F$299</f>
        <v>0</v>
      </c>
      <c r="K341" s="553"/>
      <c r="L341" s="283">
        <f t="shared" si="5"/>
        <v>0</v>
      </c>
      <c r="M341" s="541"/>
      <c r="N341" s="217" t="s">
        <v>517</v>
      </c>
      <c r="O341" s="242"/>
      <c r="P341" s="242"/>
      <c r="Q341" s="242"/>
      <c r="R341" s="242"/>
      <c r="S341" s="199"/>
      <c r="Z341" s="321"/>
      <c r="AA341" s="318"/>
      <c r="AB341" s="321"/>
      <c r="AC341" s="321"/>
      <c r="AD341" s="321"/>
      <c r="AE341" s="321"/>
      <c r="AF341" s="321"/>
      <c r="AG341" s="321"/>
      <c r="AH341" s="321"/>
      <c r="AI341" s="321"/>
      <c r="AJ341" s="321"/>
      <c r="AK341" s="321"/>
      <c r="AL341" s="300"/>
    </row>
    <row r="342" spans="1:38" s="234" customFormat="1" ht="10.199999999999999" hidden="1">
      <c r="A342" s="199"/>
      <c r="B342" s="647" t="s">
        <v>221</v>
      </c>
      <c r="C342" s="536"/>
      <c r="D342" s="130"/>
      <c r="E342" s="538"/>
      <c r="F342" s="225"/>
      <c r="G342" s="552"/>
      <c r="H342" s="544">
        <f>IF($E$334="",0,((Nutzung!$G$29+Regelung-1)+(($C$336-Nutzung!$G$29)/2)-F286)*D286*$D$334*$E$334*24/($B$284*1000))</f>
        <v>0</v>
      </c>
      <c r="I342" s="537">
        <f>Einträge!E88</f>
        <v>0</v>
      </c>
      <c r="J342" s="285">
        <f>H342-I342*$F$300</f>
        <v>0</v>
      </c>
      <c r="K342" s="553"/>
      <c r="L342" s="283">
        <f t="shared" si="5"/>
        <v>0</v>
      </c>
      <c r="M342" s="541"/>
      <c r="N342" s="254">
        <f>SUM(H336:H347)</f>
        <v>0</v>
      </c>
      <c r="O342" s="242"/>
      <c r="P342" s="242"/>
      <c r="Q342" s="242"/>
      <c r="R342" s="242"/>
      <c r="S342" s="199"/>
      <c r="Z342" s="321"/>
      <c r="AA342" s="318"/>
      <c r="AB342" s="321"/>
      <c r="AC342" s="321"/>
      <c r="AD342" s="321"/>
      <c r="AE342" s="321"/>
      <c r="AF342" s="321"/>
      <c r="AG342" s="321"/>
      <c r="AH342" s="321"/>
      <c r="AI342" s="321"/>
      <c r="AJ342" s="321"/>
      <c r="AK342" s="321"/>
      <c r="AL342" s="300"/>
    </row>
    <row r="343" spans="1:38" s="234" customFormat="1" ht="10.199999999999999" hidden="1">
      <c r="A343" s="199"/>
      <c r="B343" s="647" t="s">
        <v>138</v>
      </c>
      <c r="C343" s="536"/>
      <c r="D343" s="130"/>
      <c r="E343" s="538"/>
      <c r="F343" s="225"/>
      <c r="G343" s="552"/>
      <c r="H343" s="544">
        <f>IF($E$334="",0,((Nutzung!$G$29+Regelung-1)+(($C$336-Nutzung!$G$29)/2)-F287)*D287*$D$334*$E$334*24/($B$284*1000))</f>
        <v>0</v>
      </c>
      <c r="I343" s="537">
        <f>Einträge!E89</f>
        <v>0</v>
      </c>
      <c r="J343" s="285">
        <f>H343-I343*$F$301</f>
        <v>0</v>
      </c>
      <c r="K343" s="553"/>
      <c r="L343" s="283">
        <f t="shared" si="5"/>
        <v>0</v>
      </c>
      <c r="M343" s="541"/>
      <c r="N343" s="217"/>
      <c r="O343" s="242"/>
      <c r="P343" s="242"/>
      <c r="Q343" s="242"/>
      <c r="R343" s="242"/>
      <c r="S343" s="199"/>
      <c r="Z343" s="321"/>
      <c r="AA343" s="318"/>
      <c r="AB343" s="321"/>
      <c r="AC343" s="321"/>
      <c r="AD343" s="321"/>
      <c r="AE343" s="321"/>
      <c r="AF343" s="321"/>
      <c r="AG343" s="321"/>
      <c r="AH343" s="321"/>
      <c r="AI343" s="321"/>
      <c r="AJ343" s="321"/>
      <c r="AK343" s="321"/>
      <c r="AL343" s="300"/>
    </row>
    <row r="344" spans="1:38" s="234" customFormat="1" ht="10.199999999999999" hidden="1">
      <c r="A344" s="199"/>
      <c r="B344" s="647" t="s">
        <v>139</v>
      </c>
      <c r="C344" s="536"/>
      <c r="D344" s="130"/>
      <c r="E344" s="538"/>
      <c r="F344" s="225"/>
      <c r="G344" s="552"/>
      <c r="H344" s="544">
        <f>IF($E$334="",0,((Nutzung!$G$29+Regelung-1)+(($C$336-Nutzung!$G$29)/2)-F288)*D288*$D$334*$E$334*24/($B$284*1000))</f>
        <v>0</v>
      </c>
      <c r="I344" s="537">
        <f>Einträge!E90</f>
        <v>0</v>
      </c>
      <c r="J344" s="285">
        <f>H344-I344*$F$302</f>
        <v>0</v>
      </c>
      <c r="K344" s="553"/>
      <c r="L344" s="283">
        <f t="shared" si="5"/>
        <v>0</v>
      </c>
      <c r="M344" s="541"/>
      <c r="N344" s="217"/>
      <c r="O344" s="242"/>
      <c r="P344" s="242"/>
      <c r="Q344" s="242"/>
      <c r="R344" s="242"/>
      <c r="S344" s="199"/>
      <c r="Z344" s="321"/>
      <c r="AA344" s="318"/>
      <c r="AB344" s="321"/>
      <c r="AC344" s="321"/>
      <c r="AD344" s="321"/>
      <c r="AE344" s="321"/>
      <c r="AF344" s="321"/>
      <c r="AG344" s="321"/>
      <c r="AH344" s="321"/>
      <c r="AI344" s="321"/>
      <c r="AJ344" s="321"/>
      <c r="AK344" s="321"/>
      <c r="AL344" s="300"/>
    </row>
    <row r="345" spans="1:38" s="234" customFormat="1" ht="10.199999999999999" hidden="1">
      <c r="A345" s="199"/>
      <c r="B345" s="647" t="s">
        <v>269</v>
      </c>
      <c r="C345" s="536"/>
      <c r="D345" s="130"/>
      <c r="E345" s="538"/>
      <c r="F345" s="225"/>
      <c r="G345" s="552"/>
      <c r="H345" s="544">
        <f>IF($E$334="",0,((Nutzung!$G$29+Regelung-1)+(($C$336-Nutzung!$G$29)/2)-F289)*D289*$D$334*$E$334*24/($B$284*1000))</f>
        <v>0</v>
      </c>
      <c r="I345" s="537">
        <f>Einträge!E91</f>
        <v>0</v>
      </c>
      <c r="J345" s="285">
        <f>H345-I345*$F$303</f>
        <v>0</v>
      </c>
      <c r="K345" s="553"/>
      <c r="L345" s="283">
        <f t="shared" si="5"/>
        <v>0</v>
      </c>
      <c r="M345" s="541"/>
      <c r="N345" s="217"/>
      <c r="O345" s="242"/>
      <c r="P345" s="242"/>
      <c r="Q345" s="242"/>
      <c r="R345" s="242"/>
      <c r="S345" s="199"/>
      <c r="Z345" s="321"/>
      <c r="AA345" s="318"/>
      <c r="AB345" s="321"/>
      <c r="AC345" s="321"/>
      <c r="AD345" s="321"/>
      <c r="AE345" s="321"/>
      <c r="AF345" s="321"/>
      <c r="AG345" s="321"/>
      <c r="AH345" s="321"/>
      <c r="AI345" s="321"/>
      <c r="AJ345" s="321"/>
      <c r="AK345" s="321"/>
      <c r="AL345" s="300"/>
    </row>
    <row r="346" spans="1:38" s="234" customFormat="1" ht="10.199999999999999" hidden="1">
      <c r="A346" s="199"/>
      <c r="B346" s="647" t="s">
        <v>366</v>
      </c>
      <c r="C346" s="536"/>
      <c r="D346" s="130"/>
      <c r="E346" s="538"/>
      <c r="F346" s="225"/>
      <c r="G346" s="552"/>
      <c r="H346" s="544">
        <f>IF($E$334="",0,((Nutzung!$G$29+Regelung-1)+(($C$336-Nutzung!$G$29)/2)-F290)*D290*$D$334*$E$334*24/($B$284*1000))</f>
        <v>0</v>
      </c>
      <c r="I346" s="537">
        <f>Einträge!E92</f>
        <v>0</v>
      </c>
      <c r="J346" s="285">
        <f>H346-I346*$F$304</f>
        <v>0</v>
      </c>
      <c r="K346" s="553"/>
      <c r="L346" s="283">
        <f t="shared" si="5"/>
        <v>0</v>
      </c>
      <c r="M346" s="541"/>
      <c r="N346" s="217"/>
      <c r="O346" s="242"/>
      <c r="P346" s="242"/>
      <c r="Q346" s="242"/>
      <c r="R346" s="242"/>
      <c r="S346" s="199"/>
      <c r="Z346" s="321"/>
      <c r="AA346" s="318"/>
      <c r="AB346" s="321"/>
      <c r="AC346" s="321"/>
      <c r="AD346" s="321"/>
      <c r="AE346" s="321"/>
      <c r="AF346" s="321"/>
      <c r="AG346" s="321"/>
      <c r="AH346" s="321"/>
      <c r="AI346" s="321"/>
      <c r="AJ346" s="321"/>
      <c r="AK346" s="321"/>
      <c r="AL346" s="300"/>
    </row>
    <row r="347" spans="1:38" s="234" customFormat="1" ht="10.199999999999999" hidden="1">
      <c r="A347" s="199"/>
      <c r="B347" s="647" t="s">
        <v>465</v>
      </c>
      <c r="C347" s="536"/>
      <c r="D347" s="130"/>
      <c r="E347" s="538"/>
      <c r="F347" s="225"/>
      <c r="G347" s="552"/>
      <c r="H347" s="544">
        <f>IF($E$334="",0,((Nutzung!$G$29+Regelung-1)+(($C$336-Nutzung!$G$29)/2)-F291)*D291*$D$334*$E$334*24/($B$284*1000))</f>
        <v>0</v>
      </c>
      <c r="I347" s="537">
        <f>Einträge!E93</f>
        <v>0</v>
      </c>
      <c r="J347" s="285">
        <f>H347-I347*$F$305</f>
        <v>0</v>
      </c>
      <c r="K347" s="553"/>
      <c r="L347" s="283">
        <f t="shared" si="5"/>
        <v>0</v>
      </c>
      <c r="M347" s="541"/>
      <c r="N347" s="217"/>
      <c r="O347" s="242"/>
      <c r="P347" s="242"/>
      <c r="Q347" s="242"/>
      <c r="R347" s="242"/>
      <c r="S347" s="199"/>
      <c r="Z347" s="321"/>
      <c r="AA347" s="318"/>
      <c r="AB347" s="321"/>
      <c r="AC347" s="321"/>
      <c r="AD347" s="321"/>
      <c r="AE347" s="321"/>
      <c r="AF347" s="321"/>
      <c r="AG347" s="321"/>
      <c r="AH347" s="321"/>
      <c r="AI347" s="321"/>
      <c r="AJ347" s="321"/>
      <c r="AK347" s="321"/>
      <c r="AL347" s="300"/>
    </row>
    <row r="348" spans="1:38" ht="10.95" customHeight="1">
      <c r="A348" s="192"/>
      <c r="B348" s="648"/>
      <c r="C348" s="656"/>
      <c r="D348" s="657"/>
      <c r="E348" s="658"/>
      <c r="F348" s="664"/>
      <c r="G348" s="873"/>
      <c r="H348" s="658"/>
      <c r="I348" s="671"/>
      <c r="J348" s="668"/>
      <c r="K348" s="668"/>
      <c r="L348" s="781" t="str">
        <f>IF(E348="","",Nutzung!$G$29)</f>
        <v/>
      </c>
      <c r="M348" s="771" t="str">
        <f>IF(D348="","",AB348)</f>
        <v/>
      </c>
      <c r="N348" s="214">
        <f>IF(E348=0,0,M350)</f>
        <v>0</v>
      </c>
      <c r="O348" s="215" t="str">
        <f>IF(N348/$O$1370=0,"",N348/$O$1370)</f>
        <v/>
      </c>
      <c r="P348" s="192"/>
      <c r="Q348" s="241"/>
      <c r="R348" s="241"/>
      <c r="S348" s="192"/>
      <c r="T348" s="182">
        <f>D348*E348</f>
        <v>0</v>
      </c>
      <c r="AA348" s="318">
        <f>IF(D348="",0,1)</f>
        <v>0</v>
      </c>
      <c r="AB348" s="318">
        <f>AB334+AA348</f>
        <v>0</v>
      </c>
    </row>
    <row r="349" spans="1:38" ht="10.95" hidden="1" customHeight="1">
      <c r="A349" s="260"/>
      <c r="B349" s="793"/>
      <c r="C349" s="794"/>
      <c r="D349" s="44"/>
      <c r="E349" s="795"/>
      <c r="F349" s="796"/>
      <c r="G349" s="813"/>
      <c r="H349" s="816"/>
      <c r="I349" s="816"/>
      <c r="J349" s="797"/>
      <c r="K349" s="797"/>
      <c r="L349" s="798"/>
      <c r="M349" s="44"/>
      <c r="N349" s="214"/>
      <c r="O349" s="215"/>
      <c r="P349" s="192"/>
      <c r="Q349" s="241"/>
      <c r="R349" s="241"/>
      <c r="S349" s="192"/>
    </row>
    <row r="350" spans="1:38" s="234" customFormat="1" ht="10.199999999999999" hidden="1">
      <c r="A350" s="199"/>
      <c r="B350" s="647" t="s">
        <v>49</v>
      </c>
      <c r="C350" s="536" t="str">
        <f>IF($L$348&lt;Nutzung!$G$29,Nutzung!$G$29,$L$348)</f>
        <v/>
      </c>
      <c r="D350" s="130"/>
      <c r="E350" s="538"/>
      <c r="F350" s="225"/>
      <c r="G350" s="543">
        <f>IF(L348="",Nutzung!$G$29,Bauteile!L348)</f>
        <v>0</v>
      </c>
      <c r="H350" s="544">
        <f>IF($E$348="",0,((Nutzung!$G$29+Regelung-1)+(($C$350-Nutzung!$G$29)/2)-F280)*D280*$D$348*$E$348*24/($B$284*1000))</f>
        <v>0</v>
      </c>
      <c r="I350" s="537">
        <f>Einträge!E95</f>
        <v>0</v>
      </c>
      <c r="J350" s="285">
        <f>H350-I350*$F$294</f>
        <v>0</v>
      </c>
      <c r="K350" s="553"/>
      <c r="L350" s="283">
        <f t="shared" ref="L350:L361" si="6">IF($B$282=1,J350,H350)</f>
        <v>0</v>
      </c>
      <c r="M350" s="283" t="str">
        <f>IF(E348="","",SUM(L350:L361))</f>
        <v/>
      </c>
      <c r="N350" s="217"/>
      <c r="O350" s="242"/>
      <c r="P350" s="242"/>
      <c r="Q350" s="242"/>
      <c r="R350" s="242"/>
      <c r="S350" s="199"/>
      <c r="Z350" s="321"/>
      <c r="AA350" s="318"/>
      <c r="AB350" s="321"/>
      <c r="AC350" s="321"/>
      <c r="AD350" s="321"/>
      <c r="AE350" s="321"/>
      <c r="AF350" s="321"/>
      <c r="AG350" s="321"/>
      <c r="AH350" s="321"/>
      <c r="AI350" s="321"/>
      <c r="AJ350" s="321"/>
      <c r="AK350" s="321"/>
      <c r="AL350" s="300"/>
    </row>
    <row r="351" spans="1:38" s="234" customFormat="1" ht="10.199999999999999" hidden="1">
      <c r="A351" s="199"/>
      <c r="B351" s="647" t="s">
        <v>554</v>
      </c>
      <c r="C351" s="536"/>
      <c r="D351" s="130"/>
      <c r="E351" s="538"/>
      <c r="F351" s="225"/>
      <c r="G351" s="552"/>
      <c r="H351" s="544">
        <f>IF($E$348="",0,((Nutzung!$G$29+Regelung-1)+(($C$350-Nutzung!$G$29)/2)-F281)*D281*$D$348*$E$348*24/($B$284*1000))</f>
        <v>0</v>
      </c>
      <c r="I351" s="537">
        <f>Einträge!E96</f>
        <v>0</v>
      </c>
      <c r="J351" s="285">
        <f>H351-I351*$F$295</f>
        <v>0</v>
      </c>
      <c r="K351" s="553"/>
      <c r="L351" s="283">
        <f t="shared" si="6"/>
        <v>0</v>
      </c>
      <c r="M351" s="541"/>
      <c r="N351" s="217"/>
      <c r="O351" s="242"/>
      <c r="P351" s="242"/>
      <c r="Q351" s="242"/>
      <c r="R351" s="242"/>
      <c r="S351" s="199"/>
      <c r="Z351" s="321"/>
      <c r="AA351" s="318"/>
      <c r="AB351" s="321"/>
      <c r="AC351" s="321"/>
      <c r="AD351" s="321"/>
      <c r="AE351" s="321"/>
      <c r="AF351" s="321"/>
      <c r="AG351" s="321"/>
      <c r="AH351" s="321"/>
      <c r="AI351" s="321"/>
      <c r="AJ351" s="321"/>
      <c r="AK351" s="321"/>
      <c r="AL351" s="300"/>
    </row>
    <row r="352" spans="1:38" s="234" customFormat="1" ht="10.199999999999999" hidden="1">
      <c r="A352" s="199"/>
      <c r="B352" s="647" t="s">
        <v>306</v>
      </c>
      <c r="C352" s="536"/>
      <c r="D352" s="130"/>
      <c r="E352" s="538"/>
      <c r="F352" s="225"/>
      <c r="G352" s="552"/>
      <c r="H352" s="544">
        <f>IF($E$348="",0,((Nutzung!$G$29+Regelung-1)+(($C$350-Nutzung!$G$29)/2)-F282)*D282*$D$348*$E$348*24/($B$284*1000))</f>
        <v>0</v>
      </c>
      <c r="I352" s="537">
        <f>Einträge!E97</f>
        <v>0</v>
      </c>
      <c r="J352" s="285">
        <f>H352-I352*$F$296</f>
        <v>0</v>
      </c>
      <c r="K352" s="553"/>
      <c r="L352" s="283">
        <f t="shared" si="6"/>
        <v>0</v>
      </c>
      <c r="M352" s="541"/>
      <c r="N352" s="217"/>
      <c r="O352" s="242"/>
      <c r="P352" s="242"/>
      <c r="Q352" s="242"/>
      <c r="R352" s="242"/>
      <c r="S352" s="199"/>
      <c r="Z352" s="321"/>
      <c r="AA352" s="318"/>
      <c r="AB352" s="321"/>
      <c r="AC352" s="321"/>
      <c r="AD352" s="321"/>
      <c r="AE352" s="321"/>
      <c r="AF352" s="321"/>
      <c r="AG352" s="321"/>
      <c r="AH352" s="321"/>
      <c r="AI352" s="321"/>
      <c r="AJ352" s="321"/>
      <c r="AK352" s="321"/>
      <c r="AL352" s="300"/>
    </row>
    <row r="353" spans="1:38" s="234" customFormat="1" ht="10.199999999999999" hidden="1">
      <c r="A353" s="199"/>
      <c r="B353" s="647" t="s">
        <v>409</v>
      </c>
      <c r="C353" s="536"/>
      <c r="D353" s="130"/>
      <c r="E353" s="538"/>
      <c r="F353" s="225"/>
      <c r="G353" s="552"/>
      <c r="H353" s="544">
        <f>IF($E$348="",0,((Nutzung!$G$29+Regelung-1)+(($C$350-Nutzung!$G$29)/2)-F283)*D283*$D$348*$E$348*24/($B$284*1000))</f>
        <v>0</v>
      </c>
      <c r="I353" s="537">
        <f>Einträge!E98</f>
        <v>0</v>
      </c>
      <c r="J353" s="285">
        <f>H353-I353*$F$297</f>
        <v>0</v>
      </c>
      <c r="K353" s="553"/>
      <c r="L353" s="283">
        <f t="shared" si="6"/>
        <v>0</v>
      </c>
      <c r="M353" s="541"/>
      <c r="N353" s="217"/>
      <c r="O353" s="242"/>
      <c r="P353" s="242"/>
      <c r="Q353" s="242"/>
      <c r="R353" s="242"/>
      <c r="S353" s="199"/>
      <c r="Z353" s="321"/>
      <c r="AA353" s="318"/>
      <c r="AB353" s="321"/>
      <c r="AC353" s="321"/>
      <c r="AD353" s="321"/>
      <c r="AE353" s="321"/>
      <c r="AF353" s="321"/>
      <c r="AG353" s="321"/>
      <c r="AH353" s="321"/>
      <c r="AI353" s="321"/>
      <c r="AJ353" s="321"/>
      <c r="AK353" s="321"/>
      <c r="AL353" s="300"/>
    </row>
    <row r="354" spans="1:38" s="234" customFormat="1" ht="10.199999999999999" hidden="1">
      <c r="A354" s="199"/>
      <c r="B354" s="647" t="s">
        <v>410</v>
      </c>
      <c r="C354" s="536"/>
      <c r="D354" s="130"/>
      <c r="E354" s="538"/>
      <c r="F354" s="225"/>
      <c r="G354" s="552"/>
      <c r="H354" s="544">
        <f>IF($E$348="",0,((Nutzung!$G$29+Regelung-1)+(($C$350-Nutzung!$G$29)/2)-F284)*D284*$D$348*$E$348*24/($B$284*1000))</f>
        <v>0</v>
      </c>
      <c r="I354" s="537">
        <f>Einträge!E99</f>
        <v>0</v>
      </c>
      <c r="J354" s="285">
        <f>H354-I354*$F$298</f>
        <v>0</v>
      </c>
      <c r="K354" s="553"/>
      <c r="L354" s="283">
        <f t="shared" si="6"/>
        <v>0</v>
      </c>
      <c r="M354" s="541"/>
      <c r="N354" s="217"/>
      <c r="O354" s="242"/>
      <c r="P354" s="242"/>
      <c r="Q354" s="242"/>
      <c r="R354" s="242"/>
      <c r="S354" s="199"/>
      <c r="Z354" s="321"/>
      <c r="AA354" s="318"/>
      <c r="AB354" s="321"/>
      <c r="AC354" s="321"/>
      <c r="AD354" s="321"/>
      <c r="AE354" s="321"/>
      <c r="AF354" s="321"/>
      <c r="AG354" s="321"/>
      <c r="AH354" s="321"/>
      <c r="AI354" s="321"/>
      <c r="AJ354" s="321"/>
      <c r="AK354" s="321"/>
      <c r="AL354" s="300"/>
    </row>
    <row r="355" spans="1:38" s="234" customFormat="1" ht="10.199999999999999" hidden="1">
      <c r="A355" s="199"/>
      <c r="B355" s="647" t="s">
        <v>411</v>
      </c>
      <c r="C355" s="536"/>
      <c r="D355" s="130"/>
      <c r="E355" s="538"/>
      <c r="F355" s="225"/>
      <c r="G355" s="552"/>
      <c r="H355" s="544">
        <f>IF($E$348="",0,((Nutzung!$G$29+Regelung-1)+(($C$350-Nutzung!$G$29)/2)-F285)*D285*$D$348*$E$348*24/($B$284*1000))</f>
        <v>0</v>
      </c>
      <c r="I355" s="537">
        <f>Einträge!E100</f>
        <v>0</v>
      </c>
      <c r="J355" s="285">
        <f>H355-I355*$F$299</f>
        <v>0</v>
      </c>
      <c r="K355" s="553"/>
      <c r="L355" s="283">
        <f t="shared" si="6"/>
        <v>0</v>
      </c>
      <c r="M355" s="541"/>
      <c r="N355" s="217" t="s">
        <v>517</v>
      </c>
      <c r="O355" s="242"/>
      <c r="P355" s="242"/>
      <c r="Q355" s="242"/>
      <c r="R355" s="242"/>
      <c r="S355" s="199"/>
      <c r="Z355" s="321"/>
      <c r="AA355" s="318"/>
      <c r="AB355" s="321"/>
      <c r="AC355" s="321"/>
      <c r="AD355" s="321"/>
      <c r="AE355" s="321"/>
      <c r="AF355" s="321"/>
      <c r="AG355" s="321"/>
      <c r="AH355" s="321"/>
      <c r="AI355" s="321"/>
      <c r="AJ355" s="321"/>
      <c r="AK355" s="321"/>
      <c r="AL355" s="300"/>
    </row>
    <row r="356" spans="1:38" s="234" customFormat="1" ht="10.199999999999999" hidden="1">
      <c r="A356" s="199"/>
      <c r="B356" s="647" t="s">
        <v>221</v>
      </c>
      <c r="C356" s="536"/>
      <c r="D356" s="130"/>
      <c r="E356" s="538"/>
      <c r="F356" s="225"/>
      <c r="G356" s="552"/>
      <c r="H356" s="544">
        <f>IF($E$348="",0,((Nutzung!$G$29+Regelung-1)+(($C$350-Nutzung!$G$29)/2)-F286)*D286*$D$348*$E$348*24/($B$284*1000))</f>
        <v>0</v>
      </c>
      <c r="I356" s="537">
        <f>Einträge!E101</f>
        <v>0</v>
      </c>
      <c r="J356" s="285">
        <f>H356-I356*$F$300</f>
        <v>0</v>
      </c>
      <c r="K356" s="553"/>
      <c r="L356" s="283">
        <f t="shared" si="6"/>
        <v>0</v>
      </c>
      <c r="M356" s="541"/>
      <c r="N356" s="254">
        <f>SUM(H350:H361)</f>
        <v>0</v>
      </c>
      <c r="O356" s="242"/>
      <c r="P356" s="242"/>
      <c r="Q356" s="242"/>
      <c r="R356" s="242"/>
      <c r="S356" s="199"/>
      <c r="Z356" s="321"/>
      <c r="AA356" s="318"/>
      <c r="AB356" s="321"/>
      <c r="AC356" s="321"/>
      <c r="AD356" s="321"/>
      <c r="AE356" s="321"/>
      <c r="AF356" s="321"/>
      <c r="AG356" s="321"/>
      <c r="AH356" s="321"/>
      <c r="AI356" s="321"/>
      <c r="AJ356" s="321"/>
      <c r="AK356" s="321"/>
      <c r="AL356" s="300"/>
    </row>
    <row r="357" spans="1:38" s="234" customFormat="1" ht="10.199999999999999" hidden="1">
      <c r="A357" s="199"/>
      <c r="B357" s="647" t="s">
        <v>138</v>
      </c>
      <c r="C357" s="536"/>
      <c r="D357" s="130"/>
      <c r="E357" s="538"/>
      <c r="F357" s="225"/>
      <c r="G357" s="552"/>
      <c r="H357" s="544">
        <f>IF($E$348="",0,((Nutzung!$G$29+Regelung-1)+(($C$350-Nutzung!$G$29)/2)-F287)*D287*$D$348*$E$348*24/($B$284*1000))</f>
        <v>0</v>
      </c>
      <c r="I357" s="537">
        <f>Einträge!E102</f>
        <v>0</v>
      </c>
      <c r="J357" s="285">
        <f>H357-I357*$F$301</f>
        <v>0</v>
      </c>
      <c r="K357" s="553"/>
      <c r="L357" s="283">
        <f t="shared" si="6"/>
        <v>0</v>
      </c>
      <c r="M357" s="541"/>
      <c r="N357" s="217"/>
      <c r="O357" s="242"/>
      <c r="P357" s="242"/>
      <c r="Q357" s="242"/>
      <c r="R357" s="242"/>
      <c r="S357" s="199"/>
      <c r="Z357" s="321"/>
      <c r="AA357" s="318"/>
      <c r="AB357" s="321"/>
      <c r="AC357" s="321"/>
      <c r="AD357" s="321"/>
      <c r="AE357" s="321"/>
      <c r="AF357" s="321"/>
      <c r="AG357" s="321"/>
      <c r="AH357" s="321"/>
      <c r="AI357" s="321"/>
      <c r="AJ357" s="321"/>
      <c r="AK357" s="321"/>
      <c r="AL357" s="300"/>
    </row>
    <row r="358" spans="1:38" s="234" customFormat="1" ht="10.199999999999999" hidden="1">
      <c r="A358" s="199"/>
      <c r="B358" s="647" t="s">
        <v>139</v>
      </c>
      <c r="C358" s="536"/>
      <c r="D358" s="130"/>
      <c r="E358" s="538"/>
      <c r="F358" s="225"/>
      <c r="G358" s="552"/>
      <c r="H358" s="544">
        <f>IF($E$348="",0,((Nutzung!$G$29+Regelung-1)+(($C$350-Nutzung!$G$29)/2)-F288)*D288*$D$348*$E$348*24/($B$284*1000))</f>
        <v>0</v>
      </c>
      <c r="I358" s="537">
        <f>Einträge!E103</f>
        <v>0</v>
      </c>
      <c r="J358" s="285">
        <f>H358-I358*$F$302</f>
        <v>0</v>
      </c>
      <c r="K358" s="553"/>
      <c r="L358" s="283">
        <f t="shared" si="6"/>
        <v>0</v>
      </c>
      <c r="M358" s="541"/>
      <c r="N358" s="217"/>
      <c r="O358" s="242"/>
      <c r="P358" s="242"/>
      <c r="Q358" s="242"/>
      <c r="R358" s="242"/>
      <c r="S358" s="199"/>
      <c r="Z358" s="321"/>
      <c r="AA358" s="318"/>
      <c r="AB358" s="321"/>
      <c r="AC358" s="321"/>
      <c r="AD358" s="321"/>
      <c r="AE358" s="321"/>
      <c r="AF358" s="321"/>
      <c r="AG358" s="321"/>
      <c r="AH358" s="321"/>
      <c r="AI358" s="321"/>
      <c r="AJ358" s="321"/>
      <c r="AK358" s="321"/>
      <c r="AL358" s="300"/>
    </row>
    <row r="359" spans="1:38" s="234" customFormat="1" ht="10.199999999999999" hidden="1">
      <c r="A359" s="199"/>
      <c r="B359" s="647" t="s">
        <v>269</v>
      </c>
      <c r="C359" s="536"/>
      <c r="D359" s="130"/>
      <c r="E359" s="538"/>
      <c r="F359" s="225"/>
      <c r="G359" s="552"/>
      <c r="H359" s="544">
        <f>IF($E$348="",0,((Nutzung!$G$29+Regelung-1)+(($C$350-Nutzung!$G$29)/2)-F289)*D289*$D$348*$E$348*24/($B$284*1000))</f>
        <v>0</v>
      </c>
      <c r="I359" s="537">
        <f>Einträge!E104</f>
        <v>0</v>
      </c>
      <c r="J359" s="285">
        <f>H359-I359*$F$303</f>
        <v>0</v>
      </c>
      <c r="K359" s="553"/>
      <c r="L359" s="283">
        <f t="shared" si="6"/>
        <v>0</v>
      </c>
      <c r="M359" s="541"/>
      <c r="N359" s="217"/>
      <c r="O359" s="242"/>
      <c r="P359" s="242"/>
      <c r="Q359" s="242"/>
      <c r="R359" s="242"/>
      <c r="S359" s="199"/>
      <c r="Z359" s="321"/>
      <c r="AA359" s="318"/>
      <c r="AB359" s="321"/>
      <c r="AC359" s="321"/>
      <c r="AD359" s="321"/>
      <c r="AE359" s="321"/>
      <c r="AF359" s="321"/>
      <c r="AG359" s="321"/>
      <c r="AH359" s="321"/>
      <c r="AI359" s="321"/>
      <c r="AJ359" s="321"/>
      <c r="AK359" s="321"/>
      <c r="AL359" s="300"/>
    </row>
    <row r="360" spans="1:38" s="234" customFormat="1" ht="10.199999999999999" hidden="1">
      <c r="A360" s="199"/>
      <c r="B360" s="647" t="s">
        <v>366</v>
      </c>
      <c r="C360" s="536"/>
      <c r="D360" s="130"/>
      <c r="E360" s="538"/>
      <c r="F360" s="225"/>
      <c r="G360" s="552"/>
      <c r="H360" s="544">
        <f>IF($E$348="",0,((Nutzung!$G$29+Regelung-1)+(($C$350-Nutzung!$G$29)/2)-F290)*D290*$D$348*$E$348*24/($B$284*1000))</f>
        <v>0</v>
      </c>
      <c r="I360" s="537">
        <f>Einträge!E105</f>
        <v>0</v>
      </c>
      <c r="J360" s="285">
        <f>H360-I360*$F$304</f>
        <v>0</v>
      </c>
      <c r="K360" s="553"/>
      <c r="L360" s="283">
        <f t="shared" si="6"/>
        <v>0</v>
      </c>
      <c r="M360" s="541"/>
      <c r="N360" s="217"/>
      <c r="O360" s="242"/>
      <c r="P360" s="242"/>
      <c r="Q360" s="242"/>
      <c r="R360" s="242"/>
      <c r="S360" s="199"/>
      <c r="Z360" s="321"/>
      <c r="AA360" s="318"/>
      <c r="AB360" s="321"/>
      <c r="AC360" s="321"/>
      <c r="AD360" s="321"/>
      <c r="AE360" s="321"/>
      <c r="AF360" s="321"/>
      <c r="AG360" s="321"/>
      <c r="AH360" s="321"/>
      <c r="AI360" s="321"/>
      <c r="AJ360" s="321"/>
      <c r="AK360" s="321"/>
      <c r="AL360" s="300"/>
    </row>
    <row r="361" spans="1:38" s="234" customFormat="1" ht="10.199999999999999" hidden="1">
      <c r="A361" s="199"/>
      <c r="B361" s="647" t="s">
        <v>465</v>
      </c>
      <c r="C361" s="536"/>
      <c r="D361" s="130"/>
      <c r="E361" s="538"/>
      <c r="F361" s="225"/>
      <c r="G361" s="552"/>
      <c r="H361" s="544">
        <f>IF($E$348="",0,((Nutzung!$G$29+Regelung-1)+(($C$350-Nutzung!$G$29)/2)-F291)*D291*$D$348*$E$348*24/($B$284*1000))</f>
        <v>0</v>
      </c>
      <c r="I361" s="537">
        <f>Einträge!E106</f>
        <v>0</v>
      </c>
      <c r="J361" s="285">
        <f>H361-I361*$F$305</f>
        <v>0</v>
      </c>
      <c r="K361" s="553"/>
      <c r="L361" s="283">
        <f t="shared" si="6"/>
        <v>0</v>
      </c>
      <c r="M361" s="541"/>
      <c r="N361" s="217"/>
      <c r="O361" s="242"/>
      <c r="P361" s="242"/>
      <c r="Q361" s="242"/>
      <c r="R361" s="242"/>
      <c r="S361" s="199"/>
      <c r="Z361" s="321"/>
      <c r="AA361" s="318"/>
      <c r="AB361" s="321"/>
      <c r="AC361" s="321"/>
      <c r="AD361" s="321"/>
      <c r="AE361" s="321"/>
      <c r="AF361" s="321"/>
      <c r="AG361" s="321"/>
      <c r="AH361" s="321"/>
      <c r="AI361" s="321"/>
      <c r="AJ361" s="321"/>
      <c r="AK361" s="321"/>
      <c r="AL361" s="300"/>
    </row>
    <row r="362" spans="1:38" ht="10.95" customHeight="1">
      <c r="A362" s="192"/>
      <c r="B362" s="648"/>
      <c r="C362" s="656"/>
      <c r="D362" s="657"/>
      <c r="E362" s="658"/>
      <c r="F362" s="664"/>
      <c r="G362" s="873"/>
      <c r="H362" s="658"/>
      <c r="I362" s="671"/>
      <c r="J362" s="668"/>
      <c r="K362" s="668"/>
      <c r="L362" s="781" t="str">
        <f>IF(E362="","",Nutzung!$G$29)</f>
        <v/>
      </c>
      <c r="M362" s="771" t="str">
        <f>IF(D362="","",AB362)</f>
        <v/>
      </c>
      <c r="N362" s="214">
        <f>IF(E362=0,0,M364)</f>
        <v>0</v>
      </c>
      <c r="O362" s="215" t="str">
        <f>IF(N362/$O$1370=0,"",N362/$O$1370)</f>
        <v/>
      </c>
      <c r="P362" s="192"/>
      <c r="Q362" s="241"/>
      <c r="R362" s="241"/>
      <c r="S362" s="192"/>
      <c r="T362" s="182">
        <f>D362*E362</f>
        <v>0</v>
      </c>
      <c r="AA362" s="318">
        <f>IF(D362="",0,1)</f>
        <v>0</v>
      </c>
      <c r="AB362" s="318">
        <f>AB348+AA362</f>
        <v>0</v>
      </c>
    </row>
    <row r="363" spans="1:38" ht="10.95" hidden="1" customHeight="1">
      <c r="A363" s="260"/>
      <c r="B363" s="793"/>
      <c r="C363" s="794"/>
      <c r="D363" s="44"/>
      <c r="E363" s="795"/>
      <c r="F363" s="796"/>
      <c r="G363" s="813"/>
      <c r="H363" s="816"/>
      <c r="I363" s="816"/>
      <c r="J363" s="797"/>
      <c r="K363" s="797"/>
      <c r="L363" s="798"/>
      <c r="M363" s="44"/>
      <c r="N363" s="214"/>
      <c r="O363" s="215"/>
      <c r="P363" s="192"/>
      <c r="Q363" s="241"/>
      <c r="R363" s="241"/>
      <c r="S363" s="192"/>
    </row>
    <row r="364" spans="1:38" s="234" customFormat="1" ht="10.199999999999999" hidden="1">
      <c r="A364" s="199"/>
      <c r="B364" s="647" t="s">
        <v>49</v>
      </c>
      <c r="C364" s="536" t="str">
        <f>IF($L$362&lt;Nutzung!$G$29,Nutzung!$G$29,$L$362)</f>
        <v/>
      </c>
      <c r="D364" s="130"/>
      <c r="E364" s="538"/>
      <c r="F364" s="225"/>
      <c r="G364" s="543">
        <f>IF(L362="",Nutzung!$G$29,Bauteile!L362)</f>
        <v>0</v>
      </c>
      <c r="H364" s="544">
        <f>IF($E$362="",0,((Nutzung!$G$29+Regelung-1)+(($C$364-Nutzung!$G$29)/2)-F280)*D280*$D$362*$E$362*24/($B$284*1000))</f>
        <v>0</v>
      </c>
      <c r="I364" s="537">
        <f>Einträge!E108</f>
        <v>0</v>
      </c>
      <c r="J364" s="285">
        <f>H364-I364*$F$294</f>
        <v>0</v>
      </c>
      <c r="K364" s="553"/>
      <c r="L364" s="283">
        <f t="shared" ref="L364:L375" si="7">IF($B$282=1,J364,H364)</f>
        <v>0</v>
      </c>
      <c r="M364" s="283" t="str">
        <f>IF(E362="","",SUM(L364:L375))</f>
        <v/>
      </c>
      <c r="N364" s="217"/>
      <c r="O364" s="242"/>
      <c r="P364" s="242"/>
      <c r="Q364" s="242"/>
      <c r="R364" s="242"/>
      <c r="S364" s="199"/>
      <c r="Z364" s="321"/>
      <c r="AA364" s="318"/>
      <c r="AB364" s="321"/>
      <c r="AC364" s="321"/>
      <c r="AD364" s="321"/>
      <c r="AE364" s="321"/>
      <c r="AF364" s="321"/>
      <c r="AG364" s="321"/>
      <c r="AH364" s="321"/>
      <c r="AI364" s="321"/>
      <c r="AJ364" s="321"/>
      <c r="AK364" s="321"/>
      <c r="AL364" s="300"/>
    </row>
    <row r="365" spans="1:38" s="234" customFormat="1" ht="10.199999999999999" hidden="1">
      <c r="A365" s="199"/>
      <c r="B365" s="647" t="s">
        <v>554</v>
      </c>
      <c r="C365" s="536"/>
      <c r="D365" s="130"/>
      <c r="E365" s="538"/>
      <c r="F365" s="225"/>
      <c r="G365" s="552"/>
      <c r="H365" s="544">
        <f>IF($E$362="",0,((Nutzung!$G$29+Regelung-1)+(($C$364-Nutzung!$G$29)/2)-F281)*D281*$D$362*$E$362*24/($B$284*1000))</f>
        <v>0</v>
      </c>
      <c r="I365" s="537">
        <f>Einträge!E109</f>
        <v>0</v>
      </c>
      <c r="J365" s="285">
        <f>H365-I365*$F$295</f>
        <v>0</v>
      </c>
      <c r="K365" s="553"/>
      <c r="L365" s="283">
        <f t="shared" si="7"/>
        <v>0</v>
      </c>
      <c r="M365" s="541"/>
      <c r="N365" s="217"/>
      <c r="O365" s="242"/>
      <c r="P365" s="242"/>
      <c r="Q365" s="242"/>
      <c r="R365" s="242"/>
      <c r="S365" s="199"/>
      <c r="Z365" s="321"/>
      <c r="AA365" s="318"/>
      <c r="AB365" s="321"/>
      <c r="AC365" s="321"/>
      <c r="AD365" s="321"/>
      <c r="AE365" s="321"/>
      <c r="AF365" s="321"/>
      <c r="AG365" s="321"/>
      <c r="AH365" s="321"/>
      <c r="AI365" s="321"/>
      <c r="AJ365" s="321"/>
      <c r="AK365" s="321"/>
      <c r="AL365" s="300"/>
    </row>
    <row r="366" spans="1:38" s="234" customFormat="1" ht="10.199999999999999" hidden="1">
      <c r="A366" s="199"/>
      <c r="B366" s="647" t="s">
        <v>306</v>
      </c>
      <c r="C366" s="536"/>
      <c r="D366" s="130"/>
      <c r="E366" s="538"/>
      <c r="F366" s="225"/>
      <c r="G366" s="552"/>
      <c r="H366" s="544">
        <f>IF($E$362="",0,((Nutzung!$G$29+Regelung-1)+(($C$364-Nutzung!$G$29)/2)-F282)*D282*$D$362*$E$362*24/($B$284*1000))</f>
        <v>0</v>
      </c>
      <c r="I366" s="537">
        <f>Einträge!E110</f>
        <v>0</v>
      </c>
      <c r="J366" s="285">
        <f>H366-I366*$F$296</f>
        <v>0</v>
      </c>
      <c r="K366" s="553"/>
      <c r="L366" s="283">
        <f t="shared" si="7"/>
        <v>0</v>
      </c>
      <c r="M366" s="541"/>
      <c r="N366" s="217"/>
      <c r="O366" s="242"/>
      <c r="P366" s="242"/>
      <c r="Q366" s="242"/>
      <c r="R366" s="242"/>
      <c r="S366" s="199"/>
      <c r="Z366" s="321"/>
      <c r="AA366" s="318"/>
      <c r="AB366" s="321"/>
      <c r="AC366" s="321"/>
      <c r="AD366" s="321"/>
      <c r="AE366" s="321"/>
      <c r="AF366" s="321"/>
      <c r="AG366" s="321"/>
      <c r="AH366" s="321"/>
      <c r="AI366" s="321"/>
      <c r="AJ366" s="321"/>
      <c r="AK366" s="321"/>
      <c r="AL366" s="300"/>
    </row>
    <row r="367" spans="1:38" s="234" customFormat="1" ht="10.199999999999999" hidden="1">
      <c r="A367" s="199"/>
      <c r="B367" s="647" t="s">
        <v>409</v>
      </c>
      <c r="C367" s="536"/>
      <c r="D367" s="130"/>
      <c r="E367" s="538"/>
      <c r="F367" s="225"/>
      <c r="G367" s="552"/>
      <c r="H367" s="544">
        <f>IF($E$362="",0,((Nutzung!$G$29+Regelung-1)+(($C$364-Nutzung!$G$29)/2)-F283)*D283*$D$362*$E$362*24/($B$284*1000))</f>
        <v>0</v>
      </c>
      <c r="I367" s="537">
        <f>Einträge!E111</f>
        <v>0</v>
      </c>
      <c r="J367" s="285">
        <f>H367-I367*$F$297</f>
        <v>0</v>
      </c>
      <c r="K367" s="553"/>
      <c r="L367" s="283">
        <f t="shared" si="7"/>
        <v>0</v>
      </c>
      <c r="M367" s="541"/>
      <c r="N367" s="217"/>
      <c r="O367" s="242"/>
      <c r="P367" s="242"/>
      <c r="Q367" s="242"/>
      <c r="R367" s="242"/>
      <c r="S367" s="199"/>
      <c r="Z367" s="321"/>
      <c r="AA367" s="318"/>
      <c r="AB367" s="321"/>
      <c r="AC367" s="321"/>
      <c r="AD367" s="321"/>
      <c r="AE367" s="321"/>
      <c r="AF367" s="321"/>
      <c r="AG367" s="321"/>
      <c r="AH367" s="321"/>
      <c r="AI367" s="321"/>
      <c r="AJ367" s="321"/>
      <c r="AK367" s="321"/>
      <c r="AL367" s="300"/>
    </row>
    <row r="368" spans="1:38" s="234" customFormat="1" ht="10.199999999999999" hidden="1">
      <c r="A368" s="199"/>
      <c r="B368" s="647" t="s">
        <v>410</v>
      </c>
      <c r="C368" s="536"/>
      <c r="D368" s="130"/>
      <c r="E368" s="538"/>
      <c r="F368" s="225"/>
      <c r="G368" s="552"/>
      <c r="H368" s="544">
        <f>IF($E$362="",0,((Nutzung!$G$29+Regelung-1)+(($C$364-Nutzung!$G$29)/2)-F284)*D284*$D$362*$E$362*24/($B$284*1000))</f>
        <v>0</v>
      </c>
      <c r="I368" s="537">
        <f>Einträge!E112</f>
        <v>0</v>
      </c>
      <c r="J368" s="285">
        <f>H368-I368*$F$298</f>
        <v>0</v>
      </c>
      <c r="K368" s="553"/>
      <c r="L368" s="283">
        <f t="shared" si="7"/>
        <v>0</v>
      </c>
      <c r="M368" s="541"/>
      <c r="N368" s="217"/>
      <c r="O368" s="242"/>
      <c r="P368" s="242"/>
      <c r="Q368" s="242"/>
      <c r="R368" s="242"/>
      <c r="S368" s="199"/>
      <c r="Z368" s="321"/>
      <c r="AA368" s="318"/>
      <c r="AB368" s="321"/>
      <c r="AC368" s="321"/>
      <c r="AD368" s="321"/>
      <c r="AE368" s="321"/>
      <c r="AF368" s="321"/>
      <c r="AG368" s="321"/>
      <c r="AH368" s="321"/>
      <c r="AI368" s="321"/>
      <c r="AJ368" s="321"/>
      <c r="AK368" s="321"/>
      <c r="AL368" s="300"/>
    </row>
    <row r="369" spans="1:38" s="234" customFormat="1" ht="10.199999999999999" hidden="1">
      <c r="A369" s="199"/>
      <c r="B369" s="647" t="s">
        <v>411</v>
      </c>
      <c r="C369" s="536"/>
      <c r="D369" s="130"/>
      <c r="E369" s="538"/>
      <c r="F369" s="225"/>
      <c r="G369" s="552"/>
      <c r="H369" s="544">
        <f>IF($E$362="",0,((Nutzung!$G$29+Regelung-1)+(($C$364-Nutzung!$G$29)/2)-F285)*D285*$D$362*$E$362*24/($B$284*1000))</f>
        <v>0</v>
      </c>
      <c r="I369" s="537">
        <f>Einträge!E113</f>
        <v>0</v>
      </c>
      <c r="J369" s="285">
        <f>H369-I369*$F$299</f>
        <v>0</v>
      </c>
      <c r="K369" s="553"/>
      <c r="L369" s="283">
        <f t="shared" si="7"/>
        <v>0</v>
      </c>
      <c r="M369" s="541"/>
      <c r="N369" s="217" t="s">
        <v>517</v>
      </c>
      <c r="O369" s="242"/>
      <c r="P369" s="242"/>
      <c r="Q369" s="242"/>
      <c r="R369" s="242"/>
      <c r="S369" s="199"/>
      <c r="Z369" s="321"/>
      <c r="AA369" s="318"/>
      <c r="AB369" s="321"/>
      <c r="AC369" s="321"/>
      <c r="AD369" s="321"/>
      <c r="AE369" s="321"/>
      <c r="AF369" s="321"/>
      <c r="AG369" s="321"/>
      <c r="AH369" s="321"/>
      <c r="AI369" s="321"/>
      <c r="AJ369" s="321"/>
      <c r="AK369" s="321"/>
      <c r="AL369" s="300"/>
    </row>
    <row r="370" spans="1:38" s="234" customFormat="1" ht="10.199999999999999" hidden="1">
      <c r="A370" s="199"/>
      <c r="B370" s="647" t="s">
        <v>221</v>
      </c>
      <c r="C370" s="536"/>
      <c r="D370" s="130"/>
      <c r="E370" s="538"/>
      <c r="F370" s="225"/>
      <c r="G370" s="552"/>
      <c r="H370" s="544">
        <f>IF($E$362="",0,((Nutzung!$G$29+Regelung-1)+(($C$364-Nutzung!$G$29)/2)-F286)*D286*$D$362*$E$362*24/($B$284*1000))</f>
        <v>0</v>
      </c>
      <c r="I370" s="537">
        <f>Einträge!E114</f>
        <v>0</v>
      </c>
      <c r="J370" s="285">
        <f>H370-I370*$F$300</f>
        <v>0</v>
      </c>
      <c r="K370" s="553"/>
      <c r="L370" s="283">
        <f t="shared" si="7"/>
        <v>0</v>
      </c>
      <c r="M370" s="541"/>
      <c r="N370" s="254">
        <f>SUM(H364:H375)</f>
        <v>0</v>
      </c>
      <c r="O370" s="242"/>
      <c r="P370" s="242"/>
      <c r="Q370" s="242"/>
      <c r="R370" s="242"/>
      <c r="S370" s="199"/>
      <c r="Z370" s="321"/>
      <c r="AA370" s="318"/>
      <c r="AB370" s="321"/>
      <c r="AC370" s="321"/>
      <c r="AD370" s="321"/>
      <c r="AE370" s="321"/>
      <c r="AF370" s="321"/>
      <c r="AG370" s="321"/>
      <c r="AH370" s="321"/>
      <c r="AI370" s="321"/>
      <c r="AJ370" s="321"/>
      <c r="AK370" s="321"/>
      <c r="AL370" s="300"/>
    </row>
    <row r="371" spans="1:38" s="234" customFormat="1" ht="10.199999999999999" hidden="1">
      <c r="A371" s="199"/>
      <c r="B371" s="647" t="s">
        <v>138</v>
      </c>
      <c r="C371" s="536"/>
      <c r="D371" s="130"/>
      <c r="E371" s="538"/>
      <c r="F371" s="225"/>
      <c r="G371" s="552"/>
      <c r="H371" s="544">
        <f>IF($E$362="",0,((Nutzung!$G$29+Regelung-1)+(($C$364-Nutzung!$G$29)/2)-F287)*D287*$D$362*$E$362*24/($B$284*1000))</f>
        <v>0</v>
      </c>
      <c r="I371" s="537">
        <f>Einträge!E115</f>
        <v>0</v>
      </c>
      <c r="J371" s="285">
        <f>H371-I371*$F$301</f>
        <v>0</v>
      </c>
      <c r="K371" s="553"/>
      <c r="L371" s="283">
        <f t="shared" si="7"/>
        <v>0</v>
      </c>
      <c r="M371" s="541"/>
      <c r="N371" s="217"/>
      <c r="O371" s="242"/>
      <c r="P371" s="242"/>
      <c r="Q371" s="242"/>
      <c r="R371" s="242"/>
      <c r="S371" s="199"/>
      <c r="Z371" s="321"/>
      <c r="AA371" s="318"/>
      <c r="AB371" s="321"/>
      <c r="AC371" s="321"/>
      <c r="AD371" s="321"/>
      <c r="AE371" s="321"/>
      <c r="AF371" s="321"/>
      <c r="AG371" s="321"/>
      <c r="AH371" s="321"/>
      <c r="AI371" s="321"/>
      <c r="AJ371" s="321"/>
      <c r="AK371" s="321"/>
      <c r="AL371" s="300"/>
    </row>
    <row r="372" spans="1:38" s="234" customFormat="1" ht="10.199999999999999" hidden="1">
      <c r="A372" s="199"/>
      <c r="B372" s="647" t="s">
        <v>139</v>
      </c>
      <c r="C372" s="536"/>
      <c r="D372" s="130"/>
      <c r="E372" s="538"/>
      <c r="F372" s="225"/>
      <c r="G372" s="552"/>
      <c r="H372" s="544">
        <f>IF($E$362="",0,((Nutzung!$G$29+Regelung-1)+(($C$364-Nutzung!$G$29)/2)-F288)*D288*$D$362*$E$362*24/($B$284*1000))</f>
        <v>0</v>
      </c>
      <c r="I372" s="537">
        <f>Einträge!E116</f>
        <v>0</v>
      </c>
      <c r="J372" s="285">
        <f>H372-I372*$F$302</f>
        <v>0</v>
      </c>
      <c r="K372" s="553"/>
      <c r="L372" s="283">
        <f t="shared" si="7"/>
        <v>0</v>
      </c>
      <c r="M372" s="541"/>
      <c r="N372" s="217"/>
      <c r="O372" s="242"/>
      <c r="P372" s="242"/>
      <c r="Q372" s="242"/>
      <c r="R372" s="242"/>
      <c r="S372" s="199"/>
      <c r="Z372" s="321"/>
      <c r="AA372" s="318"/>
      <c r="AB372" s="321"/>
      <c r="AC372" s="321"/>
      <c r="AD372" s="321"/>
      <c r="AE372" s="321"/>
      <c r="AF372" s="321"/>
      <c r="AG372" s="321"/>
      <c r="AH372" s="321"/>
      <c r="AI372" s="321"/>
      <c r="AJ372" s="321"/>
      <c r="AK372" s="321"/>
      <c r="AL372" s="300"/>
    </row>
    <row r="373" spans="1:38" s="234" customFormat="1" ht="10.199999999999999" hidden="1">
      <c r="A373" s="199"/>
      <c r="B373" s="647" t="s">
        <v>269</v>
      </c>
      <c r="C373" s="536"/>
      <c r="D373" s="130"/>
      <c r="E373" s="538"/>
      <c r="F373" s="225"/>
      <c r="G373" s="552"/>
      <c r="H373" s="544">
        <f>IF($E$362="",0,((Nutzung!$G$29+Regelung-1)+(($C$364-Nutzung!$G$29)/2)-F289)*D289*$D$362*$E$362*24/($B$284*1000))</f>
        <v>0</v>
      </c>
      <c r="I373" s="537">
        <f>Einträge!E117</f>
        <v>0</v>
      </c>
      <c r="J373" s="285">
        <f>H373-I373*$F$303</f>
        <v>0</v>
      </c>
      <c r="K373" s="553"/>
      <c r="L373" s="283">
        <f t="shared" si="7"/>
        <v>0</v>
      </c>
      <c r="M373" s="541"/>
      <c r="N373" s="217"/>
      <c r="O373" s="242"/>
      <c r="P373" s="242"/>
      <c r="Q373" s="242"/>
      <c r="R373" s="242"/>
      <c r="S373" s="199"/>
      <c r="Z373" s="321"/>
      <c r="AA373" s="318"/>
      <c r="AB373" s="321"/>
      <c r="AC373" s="321"/>
      <c r="AD373" s="321"/>
      <c r="AE373" s="321"/>
      <c r="AF373" s="321"/>
      <c r="AG373" s="321"/>
      <c r="AH373" s="321"/>
      <c r="AI373" s="321"/>
      <c r="AJ373" s="321"/>
      <c r="AK373" s="321"/>
      <c r="AL373" s="300"/>
    </row>
    <row r="374" spans="1:38" s="234" customFormat="1" ht="10.199999999999999" hidden="1">
      <c r="A374" s="199"/>
      <c r="B374" s="647" t="s">
        <v>366</v>
      </c>
      <c r="C374" s="536"/>
      <c r="D374" s="130"/>
      <c r="E374" s="538"/>
      <c r="F374" s="225"/>
      <c r="G374" s="552"/>
      <c r="H374" s="544">
        <f>IF($E$362="",0,((Nutzung!$G$29+Regelung-1)+(($C$364-Nutzung!$G$29)/2)-F290)*D290*$D$362*$E$362*24/($B$284*1000))</f>
        <v>0</v>
      </c>
      <c r="I374" s="537">
        <f>Einträge!E118</f>
        <v>0</v>
      </c>
      <c r="J374" s="285">
        <f>H374-I374*$F$304</f>
        <v>0</v>
      </c>
      <c r="K374" s="553"/>
      <c r="L374" s="283">
        <f t="shared" si="7"/>
        <v>0</v>
      </c>
      <c r="M374" s="541"/>
      <c r="N374" s="217"/>
      <c r="O374" s="242"/>
      <c r="P374" s="242"/>
      <c r="Q374" s="242"/>
      <c r="R374" s="242"/>
      <c r="S374" s="199"/>
      <c r="Z374" s="321"/>
      <c r="AA374" s="318"/>
      <c r="AB374" s="321"/>
      <c r="AC374" s="321"/>
      <c r="AD374" s="321"/>
      <c r="AE374" s="321"/>
      <c r="AF374" s="321"/>
      <c r="AG374" s="321"/>
      <c r="AH374" s="321"/>
      <c r="AI374" s="321"/>
      <c r="AJ374" s="321"/>
      <c r="AK374" s="321"/>
      <c r="AL374" s="300"/>
    </row>
    <row r="375" spans="1:38" s="234" customFormat="1" ht="10.199999999999999" hidden="1">
      <c r="A375" s="199"/>
      <c r="B375" s="647" t="s">
        <v>465</v>
      </c>
      <c r="C375" s="536"/>
      <c r="D375" s="130"/>
      <c r="E375" s="538"/>
      <c r="F375" s="225"/>
      <c r="G375" s="552"/>
      <c r="H375" s="544">
        <f>IF($E$362="",0,((Nutzung!$G$29+Regelung-1)+(($C$364-Nutzung!$G$29)/2)-F291)*D291*$D$362*$E$362*24/($B$284*1000))</f>
        <v>0</v>
      </c>
      <c r="I375" s="537">
        <f>Einträge!E119</f>
        <v>0</v>
      </c>
      <c r="J375" s="285">
        <f>H375-I375*$F$305</f>
        <v>0</v>
      </c>
      <c r="K375" s="553"/>
      <c r="L375" s="283">
        <f t="shared" si="7"/>
        <v>0</v>
      </c>
      <c r="M375" s="541"/>
      <c r="N375" s="217"/>
      <c r="O375" s="242"/>
      <c r="P375" s="242"/>
      <c r="Q375" s="242"/>
      <c r="R375" s="242"/>
      <c r="S375" s="199"/>
      <c r="Z375" s="321"/>
      <c r="AA375" s="318"/>
      <c r="AB375" s="321"/>
      <c r="AC375" s="321"/>
      <c r="AD375" s="321"/>
      <c r="AE375" s="321"/>
      <c r="AF375" s="321"/>
      <c r="AG375" s="321"/>
      <c r="AH375" s="321"/>
      <c r="AI375" s="321"/>
      <c r="AJ375" s="321"/>
      <c r="AK375" s="321"/>
      <c r="AL375" s="300"/>
    </row>
    <row r="376" spans="1:38" ht="10.95" customHeight="1">
      <c r="A376" s="192"/>
      <c r="B376" s="648"/>
      <c r="C376" s="656"/>
      <c r="D376" s="657"/>
      <c r="E376" s="658"/>
      <c r="F376" s="664"/>
      <c r="G376" s="873"/>
      <c r="H376" s="658"/>
      <c r="I376" s="671"/>
      <c r="J376" s="668"/>
      <c r="K376" s="668"/>
      <c r="L376" s="781" t="str">
        <f>IF(E376="","",Nutzung!$G$29)</f>
        <v/>
      </c>
      <c r="M376" s="771" t="str">
        <f>IF(D376="","",AB376)</f>
        <v/>
      </c>
      <c r="N376" s="214">
        <f>IF(E376=0,0,M378)</f>
        <v>0</v>
      </c>
      <c r="O376" s="215" t="str">
        <f>IF(N376/$O$1370=0,"",N376/$O$1370)</f>
        <v/>
      </c>
      <c r="P376" s="192"/>
      <c r="Q376" s="241"/>
      <c r="R376" s="241"/>
      <c r="S376" s="192"/>
      <c r="T376" s="182">
        <f>D376*E376</f>
        <v>0</v>
      </c>
      <c r="AA376" s="318">
        <f>IF(D376="",0,1)</f>
        <v>0</v>
      </c>
      <c r="AB376" s="318">
        <f>AB362+AA376</f>
        <v>0</v>
      </c>
    </row>
    <row r="377" spans="1:38" ht="10.95" hidden="1" customHeight="1">
      <c r="A377" s="260"/>
      <c r="B377" s="793"/>
      <c r="C377" s="794"/>
      <c r="D377" s="44"/>
      <c r="E377" s="795"/>
      <c r="F377" s="796"/>
      <c r="G377" s="813"/>
      <c r="H377" s="816"/>
      <c r="I377" s="816"/>
      <c r="J377" s="797"/>
      <c r="K377" s="797"/>
      <c r="L377" s="798"/>
      <c r="M377" s="44"/>
      <c r="N377" s="214"/>
      <c r="O377" s="215"/>
      <c r="P377" s="192"/>
      <c r="Q377" s="241"/>
      <c r="R377" s="241"/>
      <c r="S377" s="192"/>
    </row>
    <row r="378" spans="1:38" s="234" customFormat="1" ht="10.199999999999999" hidden="1">
      <c r="A378" s="199"/>
      <c r="B378" s="647" t="s">
        <v>49</v>
      </c>
      <c r="C378" s="536" t="str">
        <f>IF($L$376&lt;Nutzung!$G$29,Nutzung!$G$29,$L$376)</f>
        <v/>
      </c>
      <c r="D378" s="130"/>
      <c r="E378" s="538"/>
      <c r="F378" s="225"/>
      <c r="G378" s="543">
        <f>IF(L376="",Nutzung!$G$29,Bauteile!L376)</f>
        <v>0</v>
      </c>
      <c r="H378" s="544">
        <f>IF($E$376="",0,((Nutzung!$G$29+Regelung-1)+(($C$378-Nutzung!$G$29)/2)-F280)*D280*$D$376*$E$376*24/($B$284*1000))</f>
        <v>0</v>
      </c>
      <c r="I378" s="537">
        <f>Einträge!E121</f>
        <v>0</v>
      </c>
      <c r="J378" s="285">
        <f>H378-I378*$F$294</f>
        <v>0</v>
      </c>
      <c r="K378" s="553"/>
      <c r="L378" s="283">
        <f t="shared" ref="L378:L389" si="8">IF($B$282=1,J378,H378)</f>
        <v>0</v>
      </c>
      <c r="M378" s="283" t="str">
        <f>IF(E376="","",SUM(L378:L389))</f>
        <v/>
      </c>
      <c r="N378" s="217"/>
      <c r="O378" s="242"/>
      <c r="P378" s="242"/>
      <c r="Q378" s="242"/>
      <c r="R378" s="242"/>
      <c r="S378" s="199"/>
      <c r="Z378" s="321"/>
      <c r="AA378" s="318"/>
      <c r="AB378" s="321"/>
      <c r="AC378" s="321"/>
      <c r="AD378" s="321"/>
      <c r="AE378" s="321"/>
      <c r="AF378" s="321"/>
      <c r="AG378" s="321"/>
      <c r="AH378" s="321"/>
      <c r="AI378" s="321"/>
      <c r="AJ378" s="321"/>
      <c r="AK378" s="321"/>
      <c r="AL378" s="300"/>
    </row>
    <row r="379" spans="1:38" s="234" customFormat="1" ht="10.199999999999999" hidden="1">
      <c r="A379" s="199"/>
      <c r="B379" s="647" t="s">
        <v>554</v>
      </c>
      <c r="C379" s="536"/>
      <c r="D379" s="130"/>
      <c r="E379" s="538"/>
      <c r="F379" s="225"/>
      <c r="G379" s="552"/>
      <c r="H379" s="544">
        <f>IF($E$376="",0,((Nutzung!$G$29+Regelung-1)+(($C$378-Nutzung!$G$29)/2)-F281)*D281*$D$376*$E$376*24/($B$284*1000))</f>
        <v>0</v>
      </c>
      <c r="I379" s="537">
        <f>Einträge!E122</f>
        <v>0</v>
      </c>
      <c r="J379" s="285">
        <f>H379-I379*$F$295</f>
        <v>0</v>
      </c>
      <c r="K379" s="553"/>
      <c r="L379" s="283">
        <f t="shared" si="8"/>
        <v>0</v>
      </c>
      <c r="M379" s="541"/>
      <c r="N379" s="217"/>
      <c r="O379" s="242"/>
      <c r="P379" s="242"/>
      <c r="Q379" s="242"/>
      <c r="R379" s="242"/>
      <c r="S379" s="199"/>
      <c r="Z379" s="321"/>
      <c r="AA379" s="318"/>
      <c r="AB379" s="321"/>
      <c r="AC379" s="321"/>
      <c r="AD379" s="321"/>
      <c r="AE379" s="321"/>
      <c r="AF379" s="321"/>
      <c r="AG379" s="321"/>
      <c r="AH379" s="321"/>
      <c r="AI379" s="321"/>
      <c r="AJ379" s="321"/>
      <c r="AK379" s="321"/>
      <c r="AL379" s="300"/>
    </row>
    <row r="380" spans="1:38" s="234" customFormat="1" ht="10.199999999999999" hidden="1">
      <c r="A380" s="199"/>
      <c r="B380" s="647" t="s">
        <v>306</v>
      </c>
      <c r="C380" s="536"/>
      <c r="D380" s="130"/>
      <c r="E380" s="538"/>
      <c r="F380" s="225"/>
      <c r="G380" s="552"/>
      <c r="H380" s="544">
        <f>IF($E$376="",0,((Nutzung!$G$29+Regelung-1)+(($C$378-Nutzung!$G$29)/2)-F282)*D282*$D$376*$E$376*24/($B$284*1000))</f>
        <v>0</v>
      </c>
      <c r="I380" s="537">
        <f>Einträge!E123</f>
        <v>0</v>
      </c>
      <c r="J380" s="285">
        <f>H380-I380*$F$296</f>
        <v>0</v>
      </c>
      <c r="K380" s="553"/>
      <c r="L380" s="283">
        <f t="shared" si="8"/>
        <v>0</v>
      </c>
      <c r="M380" s="541"/>
      <c r="N380" s="217"/>
      <c r="O380" s="242"/>
      <c r="P380" s="242"/>
      <c r="Q380" s="242"/>
      <c r="R380" s="242"/>
      <c r="S380" s="199"/>
      <c r="Z380" s="321"/>
      <c r="AA380" s="318"/>
      <c r="AB380" s="321"/>
      <c r="AC380" s="321"/>
      <c r="AD380" s="321"/>
      <c r="AE380" s="321"/>
      <c r="AF380" s="321"/>
      <c r="AG380" s="321"/>
      <c r="AH380" s="321"/>
      <c r="AI380" s="321"/>
      <c r="AJ380" s="321"/>
      <c r="AK380" s="321"/>
      <c r="AL380" s="300"/>
    </row>
    <row r="381" spans="1:38" s="234" customFormat="1" ht="10.199999999999999" hidden="1">
      <c r="A381" s="199"/>
      <c r="B381" s="647" t="s">
        <v>409</v>
      </c>
      <c r="C381" s="536"/>
      <c r="D381" s="130"/>
      <c r="E381" s="538"/>
      <c r="F381" s="225"/>
      <c r="G381" s="552"/>
      <c r="H381" s="544">
        <f>IF($E$376="",0,((Nutzung!$G$29+Regelung-1)+(($C$378-Nutzung!$G$29)/2)-F283)*D283*$D$376*$E$376*24/($B$284*1000))</f>
        <v>0</v>
      </c>
      <c r="I381" s="537">
        <f>Einträge!E124</f>
        <v>0</v>
      </c>
      <c r="J381" s="285">
        <f>H381-I381*$F$297</f>
        <v>0</v>
      </c>
      <c r="K381" s="553"/>
      <c r="L381" s="283">
        <f t="shared" si="8"/>
        <v>0</v>
      </c>
      <c r="M381" s="541"/>
      <c r="N381" s="217"/>
      <c r="O381" s="242"/>
      <c r="P381" s="242"/>
      <c r="Q381" s="242"/>
      <c r="R381" s="242"/>
      <c r="S381" s="199"/>
      <c r="Z381" s="321"/>
      <c r="AA381" s="318"/>
      <c r="AB381" s="321"/>
      <c r="AC381" s="321"/>
      <c r="AD381" s="321"/>
      <c r="AE381" s="321"/>
      <c r="AF381" s="321"/>
      <c r="AG381" s="321"/>
      <c r="AH381" s="321"/>
      <c r="AI381" s="321"/>
      <c r="AJ381" s="321"/>
      <c r="AK381" s="321"/>
      <c r="AL381" s="300"/>
    </row>
    <row r="382" spans="1:38" s="234" customFormat="1" ht="10.199999999999999" hidden="1">
      <c r="A382" s="199"/>
      <c r="B382" s="647" t="s">
        <v>410</v>
      </c>
      <c r="C382" s="536"/>
      <c r="D382" s="130"/>
      <c r="E382" s="538"/>
      <c r="F382" s="225"/>
      <c r="G382" s="552"/>
      <c r="H382" s="544">
        <f>IF($E$376="",0,((Nutzung!$G$29+Regelung-1)+(($C$378-Nutzung!$G$29)/2)-F284)*D284*$D$376*$E$376*24/($B$284*1000))</f>
        <v>0</v>
      </c>
      <c r="I382" s="537">
        <f>Einträge!E125</f>
        <v>0</v>
      </c>
      <c r="J382" s="285">
        <f>H382-I382*$F$298</f>
        <v>0</v>
      </c>
      <c r="K382" s="553"/>
      <c r="L382" s="283">
        <f t="shared" si="8"/>
        <v>0</v>
      </c>
      <c r="M382" s="541"/>
      <c r="N382" s="217"/>
      <c r="O382" s="242"/>
      <c r="P382" s="242"/>
      <c r="Q382" s="242"/>
      <c r="R382" s="242"/>
      <c r="S382" s="199"/>
      <c r="Z382" s="321"/>
      <c r="AA382" s="318"/>
      <c r="AB382" s="321"/>
      <c r="AC382" s="321"/>
      <c r="AD382" s="321"/>
      <c r="AE382" s="321"/>
      <c r="AF382" s="321"/>
      <c r="AG382" s="321"/>
      <c r="AH382" s="321"/>
      <c r="AI382" s="321"/>
      <c r="AJ382" s="321"/>
      <c r="AK382" s="321"/>
      <c r="AL382" s="300"/>
    </row>
    <row r="383" spans="1:38" s="234" customFormat="1" ht="10.199999999999999" hidden="1">
      <c r="A383" s="199"/>
      <c r="B383" s="647" t="s">
        <v>411</v>
      </c>
      <c r="C383" s="536"/>
      <c r="D383" s="130"/>
      <c r="E383" s="538"/>
      <c r="F383" s="225"/>
      <c r="G383" s="552"/>
      <c r="H383" s="544">
        <f>IF($E$376="",0,((Nutzung!$G$29+Regelung-1)+(($C$378-Nutzung!$G$29)/2)-F285)*D285*$D$376*$E$376*24/($B$284*1000))</f>
        <v>0</v>
      </c>
      <c r="I383" s="537">
        <f>Einträge!E126</f>
        <v>0</v>
      </c>
      <c r="J383" s="285">
        <f>H383-I383*$F$299</f>
        <v>0</v>
      </c>
      <c r="K383" s="553"/>
      <c r="L383" s="283">
        <f t="shared" si="8"/>
        <v>0</v>
      </c>
      <c r="M383" s="541"/>
      <c r="N383" s="217" t="s">
        <v>517</v>
      </c>
      <c r="O383" s="242"/>
      <c r="P383" s="242"/>
      <c r="Q383" s="242"/>
      <c r="R383" s="242"/>
      <c r="S383" s="199"/>
      <c r="Z383" s="321"/>
      <c r="AA383" s="318"/>
      <c r="AB383" s="321"/>
      <c r="AC383" s="321"/>
      <c r="AD383" s="321"/>
      <c r="AE383" s="321"/>
      <c r="AF383" s="321"/>
      <c r="AG383" s="321"/>
      <c r="AH383" s="321"/>
      <c r="AI383" s="321"/>
      <c r="AJ383" s="321"/>
      <c r="AK383" s="321"/>
      <c r="AL383" s="300"/>
    </row>
    <row r="384" spans="1:38" s="234" customFormat="1" ht="10.199999999999999" hidden="1">
      <c r="A384" s="199"/>
      <c r="B384" s="647" t="s">
        <v>221</v>
      </c>
      <c r="C384" s="536"/>
      <c r="D384" s="130"/>
      <c r="E384" s="538"/>
      <c r="F384" s="225"/>
      <c r="G384" s="552"/>
      <c r="H384" s="544">
        <f>IF($E$376="",0,((Nutzung!$G$29+Regelung-1)+(($C$378-Nutzung!$G$29)/2)-F286)*D286*$D$376*$E$376*24/($B$284*1000))</f>
        <v>0</v>
      </c>
      <c r="I384" s="537">
        <f>Einträge!E127</f>
        <v>0</v>
      </c>
      <c r="J384" s="285">
        <f>H384-I384*$F$300</f>
        <v>0</v>
      </c>
      <c r="K384" s="553"/>
      <c r="L384" s="283">
        <f t="shared" si="8"/>
        <v>0</v>
      </c>
      <c r="M384" s="541"/>
      <c r="N384" s="254">
        <f>SUM(H378:H389)</f>
        <v>0</v>
      </c>
      <c r="O384" s="242"/>
      <c r="P384" s="242"/>
      <c r="Q384" s="242"/>
      <c r="R384" s="242"/>
      <c r="S384" s="199"/>
      <c r="Z384" s="321"/>
      <c r="AA384" s="318"/>
      <c r="AB384" s="321"/>
      <c r="AC384" s="321"/>
      <c r="AD384" s="321"/>
      <c r="AE384" s="321"/>
      <c r="AF384" s="321"/>
      <c r="AG384" s="321"/>
      <c r="AH384" s="321"/>
      <c r="AI384" s="321"/>
      <c r="AJ384" s="321"/>
      <c r="AK384" s="321"/>
      <c r="AL384" s="300"/>
    </row>
    <row r="385" spans="1:38" s="234" customFormat="1" ht="10.199999999999999" hidden="1">
      <c r="A385" s="199"/>
      <c r="B385" s="647" t="s">
        <v>138</v>
      </c>
      <c r="C385" s="536"/>
      <c r="D385" s="130"/>
      <c r="E385" s="538"/>
      <c r="F385" s="225"/>
      <c r="G385" s="552"/>
      <c r="H385" s="544">
        <f>IF($E$376="",0,((Nutzung!$G$29+Regelung-1)+(($C$378-Nutzung!$G$29)/2)-F287)*D287*$D$376*$E$376*24/($B$284*1000))</f>
        <v>0</v>
      </c>
      <c r="I385" s="537">
        <f>Einträge!E128</f>
        <v>0</v>
      </c>
      <c r="J385" s="285">
        <f>H385-I385*$F$301</f>
        <v>0</v>
      </c>
      <c r="K385" s="553"/>
      <c r="L385" s="283">
        <f t="shared" si="8"/>
        <v>0</v>
      </c>
      <c r="M385" s="541"/>
      <c r="N385" s="217"/>
      <c r="O385" s="242"/>
      <c r="P385" s="242"/>
      <c r="Q385" s="242"/>
      <c r="R385" s="242"/>
      <c r="S385" s="199"/>
      <c r="Z385" s="321"/>
      <c r="AA385" s="318"/>
      <c r="AB385" s="321"/>
      <c r="AC385" s="321"/>
      <c r="AD385" s="321"/>
      <c r="AE385" s="321"/>
      <c r="AF385" s="321"/>
      <c r="AG385" s="321"/>
      <c r="AH385" s="321"/>
      <c r="AI385" s="321"/>
      <c r="AJ385" s="321"/>
      <c r="AK385" s="321"/>
      <c r="AL385" s="300"/>
    </row>
    <row r="386" spans="1:38" s="234" customFormat="1" ht="10.199999999999999" hidden="1">
      <c r="A386" s="199"/>
      <c r="B386" s="647" t="s">
        <v>139</v>
      </c>
      <c r="C386" s="536"/>
      <c r="D386" s="130"/>
      <c r="E386" s="538"/>
      <c r="F386" s="225"/>
      <c r="G386" s="552"/>
      <c r="H386" s="544">
        <f>IF($E$376="",0,((Nutzung!$G$29+Regelung-1)+(($C$378-Nutzung!$G$29)/2)-F288)*D288*$D$376*$E$376*24/($B$284*1000))</f>
        <v>0</v>
      </c>
      <c r="I386" s="537">
        <f>Einträge!E129</f>
        <v>0</v>
      </c>
      <c r="J386" s="285">
        <f>H386-I386*$F$302</f>
        <v>0</v>
      </c>
      <c r="K386" s="553"/>
      <c r="L386" s="283">
        <f t="shared" si="8"/>
        <v>0</v>
      </c>
      <c r="M386" s="541"/>
      <c r="N386" s="217"/>
      <c r="O386" s="242"/>
      <c r="P386" s="242"/>
      <c r="Q386" s="242"/>
      <c r="R386" s="242"/>
      <c r="S386" s="199"/>
      <c r="Z386" s="321"/>
      <c r="AA386" s="318"/>
      <c r="AB386" s="321"/>
      <c r="AC386" s="321"/>
      <c r="AD386" s="321"/>
      <c r="AE386" s="321"/>
      <c r="AF386" s="321"/>
      <c r="AG386" s="321"/>
      <c r="AH386" s="321"/>
      <c r="AI386" s="321"/>
      <c r="AJ386" s="321"/>
      <c r="AK386" s="321"/>
      <c r="AL386" s="300"/>
    </row>
    <row r="387" spans="1:38" s="234" customFormat="1" ht="10.199999999999999" hidden="1">
      <c r="A387" s="199"/>
      <c r="B387" s="647" t="s">
        <v>269</v>
      </c>
      <c r="C387" s="536"/>
      <c r="D387" s="130"/>
      <c r="E387" s="538"/>
      <c r="F387" s="225"/>
      <c r="G387" s="552"/>
      <c r="H387" s="544">
        <f>IF($E$376="",0,((Nutzung!$G$29+Regelung-1)+(($C$378-Nutzung!$G$29)/2)-F289)*D289*$D$376*$E$376*24/($B$284*1000))</f>
        <v>0</v>
      </c>
      <c r="I387" s="537">
        <f>Einträge!E130</f>
        <v>0</v>
      </c>
      <c r="J387" s="285">
        <f>H387-I387*$F$303</f>
        <v>0</v>
      </c>
      <c r="K387" s="553"/>
      <c r="L387" s="283">
        <f t="shared" si="8"/>
        <v>0</v>
      </c>
      <c r="M387" s="541"/>
      <c r="N387" s="217"/>
      <c r="O387" s="242"/>
      <c r="P387" s="242"/>
      <c r="Q387" s="242"/>
      <c r="R387" s="242"/>
      <c r="S387" s="199"/>
      <c r="Z387" s="321"/>
      <c r="AA387" s="318"/>
      <c r="AB387" s="321"/>
      <c r="AC387" s="321"/>
      <c r="AD387" s="321"/>
      <c r="AE387" s="321"/>
      <c r="AF387" s="321"/>
      <c r="AG387" s="321"/>
      <c r="AH387" s="321"/>
      <c r="AI387" s="321"/>
      <c r="AJ387" s="321"/>
      <c r="AK387" s="321"/>
      <c r="AL387" s="300"/>
    </row>
    <row r="388" spans="1:38" s="234" customFormat="1" ht="10.199999999999999" hidden="1">
      <c r="A388" s="199"/>
      <c r="B388" s="647" t="s">
        <v>366</v>
      </c>
      <c r="C388" s="536"/>
      <c r="D388" s="130"/>
      <c r="E388" s="538"/>
      <c r="F388" s="225"/>
      <c r="G388" s="552"/>
      <c r="H388" s="544">
        <f>IF($E$376="",0,((Nutzung!$G$29+Regelung-1)+(($C$378-Nutzung!$G$29)/2)-F290)*D290*$D$376*$E$376*24/($B$284*1000))</f>
        <v>0</v>
      </c>
      <c r="I388" s="537">
        <f>Einträge!E131</f>
        <v>0</v>
      </c>
      <c r="J388" s="285">
        <f>H388-I388*$F$304</f>
        <v>0</v>
      </c>
      <c r="K388" s="553"/>
      <c r="L388" s="283">
        <f t="shared" si="8"/>
        <v>0</v>
      </c>
      <c r="M388" s="541"/>
      <c r="N388" s="217"/>
      <c r="O388" s="242"/>
      <c r="P388" s="242"/>
      <c r="Q388" s="242"/>
      <c r="R388" s="242"/>
      <c r="S388" s="199"/>
      <c r="Z388" s="321"/>
      <c r="AA388" s="318"/>
      <c r="AB388" s="321"/>
      <c r="AC388" s="321"/>
      <c r="AD388" s="321"/>
      <c r="AE388" s="321"/>
      <c r="AF388" s="321"/>
      <c r="AG388" s="321"/>
      <c r="AH388" s="321"/>
      <c r="AI388" s="321"/>
      <c r="AJ388" s="321"/>
      <c r="AK388" s="321"/>
      <c r="AL388" s="300"/>
    </row>
    <row r="389" spans="1:38" s="234" customFormat="1" ht="10.199999999999999" hidden="1">
      <c r="A389" s="199"/>
      <c r="B389" s="647" t="s">
        <v>465</v>
      </c>
      <c r="C389" s="536"/>
      <c r="D389" s="130"/>
      <c r="E389" s="538"/>
      <c r="F389" s="225"/>
      <c r="G389" s="552"/>
      <c r="H389" s="544">
        <f>IF($E$376="",0,((Nutzung!$G$29+Regelung-1)+(($C$378-Nutzung!$G$29)/2)-F291)*D291*$D$376*$E$376*24/($B$284*1000))</f>
        <v>0</v>
      </c>
      <c r="I389" s="537">
        <f>Einträge!E132</f>
        <v>0</v>
      </c>
      <c r="J389" s="285">
        <f>H389-I389*$F$305</f>
        <v>0</v>
      </c>
      <c r="K389" s="553"/>
      <c r="L389" s="283">
        <f t="shared" si="8"/>
        <v>0</v>
      </c>
      <c r="M389" s="541"/>
      <c r="N389" s="217"/>
      <c r="O389" s="242"/>
      <c r="P389" s="242"/>
      <c r="Q389" s="242"/>
      <c r="R389" s="242"/>
      <c r="S389" s="199"/>
      <c r="Z389" s="321"/>
      <c r="AA389" s="318"/>
      <c r="AB389" s="321"/>
      <c r="AC389" s="321"/>
      <c r="AD389" s="321"/>
      <c r="AE389" s="321"/>
      <c r="AF389" s="321"/>
      <c r="AG389" s="321"/>
      <c r="AH389" s="321"/>
      <c r="AI389" s="321"/>
      <c r="AJ389" s="321"/>
      <c r="AK389" s="321"/>
      <c r="AL389" s="300"/>
    </row>
    <row r="390" spans="1:38" ht="10.95" customHeight="1">
      <c r="A390" s="192"/>
      <c r="B390" s="648"/>
      <c r="C390" s="656"/>
      <c r="D390" s="657"/>
      <c r="E390" s="658"/>
      <c r="F390" s="664"/>
      <c r="G390" s="873"/>
      <c r="H390" s="658"/>
      <c r="I390" s="671"/>
      <c r="J390" s="668"/>
      <c r="K390" s="668"/>
      <c r="L390" s="220" t="str">
        <f>IF(E390="","",Nutzung!$G$29)</f>
        <v/>
      </c>
      <c r="M390" s="771" t="str">
        <f>IF(D390="","",AB390)</f>
        <v/>
      </c>
      <c r="N390" s="214">
        <f>IF(E390=0,0,M392)</f>
        <v>0</v>
      </c>
      <c r="O390" s="215" t="str">
        <f>IF(N390/$O$1370=0,"",N390/$O$1370)</f>
        <v/>
      </c>
      <c r="P390" s="192"/>
      <c r="Q390" s="241"/>
      <c r="R390" s="241"/>
      <c r="S390" s="192"/>
      <c r="T390" s="182">
        <f>D390*E390</f>
        <v>0</v>
      </c>
      <c r="AA390" s="318">
        <f>IF(D390="",0,1)</f>
        <v>0</v>
      </c>
      <c r="AB390" s="318">
        <f>AB376+AA390</f>
        <v>0</v>
      </c>
    </row>
    <row r="391" spans="1:38" ht="10.95" hidden="1" customHeight="1">
      <c r="A391" s="260"/>
      <c r="B391" s="793"/>
      <c r="C391" s="794"/>
      <c r="D391" s="44"/>
      <c r="E391" s="795"/>
      <c r="F391" s="796"/>
      <c r="G391" s="813"/>
      <c r="H391" s="816"/>
      <c r="I391" s="816"/>
      <c r="J391" s="797"/>
      <c r="K391" s="797"/>
      <c r="L391" s="798"/>
      <c r="M391" s="44"/>
      <c r="N391" s="214"/>
      <c r="O391" s="215"/>
      <c r="P391" s="192"/>
      <c r="Q391" s="241"/>
      <c r="R391" s="241"/>
      <c r="S391" s="192"/>
    </row>
    <row r="392" spans="1:38" s="234" customFormat="1" ht="10.199999999999999" hidden="1">
      <c r="A392" s="199"/>
      <c r="B392" s="647" t="s">
        <v>49</v>
      </c>
      <c r="C392" s="536" t="str">
        <f>IF($L$390&lt;Nutzung!$G$29,Nutzung!$G$29,$L$390)</f>
        <v/>
      </c>
      <c r="D392" s="130"/>
      <c r="E392" s="538"/>
      <c r="F392" s="225"/>
      <c r="G392" s="543">
        <f>IF(L390="",Nutzung!$G$29,Bauteile!L390)</f>
        <v>0</v>
      </c>
      <c r="H392" s="544">
        <f>IF($E$390="",0,((Nutzung!$G$29+Regelung-1)+(($C$392-Nutzung!$G$29)/2)-F280)*D280*$D$390*$E$390*24/($B$284*1000))</f>
        <v>0</v>
      </c>
      <c r="I392" s="537">
        <f>Einträge!E134</f>
        <v>0</v>
      </c>
      <c r="J392" s="285">
        <f>H392-I392*$F$294</f>
        <v>0</v>
      </c>
      <c r="K392" s="553"/>
      <c r="L392" s="283">
        <f t="shared" ref="L392:L403" si="9">IF($B$282=1,J392,H392)</f>
        <v>0</v>
      </c>
      <c r="M392" s="283" t="str">
        <f>IF(E390="","",SUM(L392:L403))</f>
        <v/>
      </c>
      <c r="N392" s="217"/>
      <c r="O392" s="242"/>
      <c r="P392" s="242"/>
      <c r="Q392" s="242"/>
      <c r="R392" s="242"/>
      <c r="S392" s="199"/>
      <c r="Z392" s="321"/>
      <c r="AA392" s="318"/>
      <c r="AB392" s="321"/>
      <c r="AC392" s="321"/>
      <c r="AD392" s="321"/>
      <c r="AE392" s="321"/>
      <c r="AF392" s="321"/>
      <c r="AG392" s="321"/>
      <c r="AH392" s="321"/>
      <c r="AI392" s="321"/>
      <c r="AJ392" s="321"/>
      <c r="AK392" s="321"/>
      <c r="AL392" s="300"/>
    </row>
    <row r="393" spans="1:38" s="234" customFormat="1" ht="10.199999999999999" hidden="1">
      <c r="A393" s="199"/>
      <c r="B393" s="647" t="s">
        <v>554</v>
      </c>
      <c r="C393" s="536"/>
      <c r="D393" s="130"/>
      <c r="E393" s="538"/>
      <c r="F393" s="225"/>
      <c r="G393" s="552"/>
      <c r="H393" s="544">
        <f>IF($E$390="",0,((Nutzung!$G$29+Regelung-1)+(($C$392-Nutzung!$G$29)/2)-F281)*D281*$D$390*$E$390*24/($B$284*1000))</f>
        <v>0</v>
      </c>
      <c r="I393" s="537">
        <f>Einträge!E135</f>
        <v>0</v>
      </c>
      <c r="J393" s="285">
        <f>H393-I393*$F$295</f>
        <v>0</v>
      </c>
      <c r="K393" s="553"/>
      <c r="L393" s="283">
        <f t="shared" si="9"/>
        <v>0</v>
      </c>
      <c r="M393" s="541"/>
      <c r="N393" s="217"/>
      <c r="O393" s="242"/>
      <c r="P393" s="242"/>
      <c r="Q393" s="242"/>
      <c r="R393" s="242"/>
      <c r="S393" s="199"/>
      <c r="Z393" s="321"/>
      <c r="AA393" s="318"/>
      <c r="AB393" s="321"/>
      <c r="AC393" s="321"/>
      <c r="AD393" s="321"/>
      <c r="AE393" s="321"/>
      <c r="AF393" s="321"/>
      <c r="AG393" s="321"/>
      <c r="AH393" s="321"/>
      <c r="AI393" s="321"/>
      <c r="AJ393" s="321"/>
      <c r="AK393" s="321"/>
      <c r="AL393" s="300"/>
    </row>
    <row r="394" spans="1:38" s="234" customFormat="1" ht="10.199999999999999" hidden="1">
      <c r="A394" s="199"/>
      <c r="B394" s="647" t="s">
        <v>306</v>
      </c>
      <c r="C394" s="536"/>
      <c r="D394" s="130"/>
      <c r="E394" s="538"/>
      <c r="F394" s="225"/>
      <c r="G394" s="552"/>
      <c r="H394" s="544">
        <f>IF($E$390="",0,((Nutzung!$G$29+Regelung-1)+(($C$392-Nutzung!$G$29)/2)-F282)*D282*$D$390*$E$390*24/($B$284*1000))</f>
        <v>0</v>
      </c>
      <c r="I394" s="537">
        <f>Einträge!E136</f>
        <v>0</v>
      </c>
      <c r="J394" s="285">
        <f>H394-I394*$F$296</f>
        <v>0</v>
      </c>
      <c r="K394" s="553"/>
      <c r="L394" s="283">
        <f t="shared" si="9"/>
        <v>0</v>
      </c>
      <c r="M394" s="541"/>
      <c r="N394" s="217"/>
      <c r="O394" s="242"/>
      <c r="P394" s="242"/>
      <c r="Q394" s="242"/>
      <c r="R394" s="242"/>
      <c r="S394" s="199"/>
      <c r="Z394" s="321"/>
      <c r="AA394" s="318"/>
      <c r="AB394" s="321"/>
      <c r="AC394" s="321"/>
      <c r="AD394" s="321"/>
      <c r="AE394" s="321"/>
      <c r="AF394" s="321"/>
      <c r="AG394" s="321"/>
      <c r="AH394" s="321"/>
      <c r="AI394" s="321"/>
      <c r="AJ394" s="321"/>
      <c r="AK394" s="321"/>
      <c r="AL394" s="300"/>
    </row>
    <row r="395" spans="1:38" s="234" customFormat="1" ht="10.199999999999999" hidden="1">
      <c r="A395" s="199"/>
      <c r="B395" s="647" t="s">
        <v>409</v>
      </c>
      <c r="C395" s="536"/>
      <c r="D395" s="130"/>
      <c r="E395" s="538"/>
      <c r="F395" s="225"/>
      <c r="G395" s="552"/>
      <c r="H395" s="544">
        <f>IF($E$390="",0,((Nutzung!$G$29+Regelung-1)+(($C$392-Nutzung!$G$29)/2)-F283)*D283*$D$390*$E$390*24/($B$284*1000))</f>
        <v>0</v>
      </c>
      <c r="I395" s="537">
        <f>Einträge!E137</f>
        <v>0</v>
      </c>
      <c r="J395" s="285">
        <f>H395-I395*$F$297</f>
        <v>0</v>
      </c>
      <c r="K395" s="553"/>
      <c r="L395" s="283">
        <f t="shared" si="9"/>
        <v>0</v>
      </c>
      <c r="M395" s="541"/>
      <c r="N395" s="217"/>
      <c r="O395" s="242"/>
      <c r="P395" s="242"/>
      <c r="Q395" s="242"/>
      <c r="R395" s="242"/>
      <c r="S395" s="199"/>
      <c r="Z395" s="321"/>
      <c r="AA395" s="318"/>
      <c r="AB395" s="321"/>
      <c r="AC395" s="321"/>
      <c r="AD395" s="321"/>
      <c r="AE395" s="321"/>
      <c r="AF395" s="321"/>
      <c r="AG395" s="321"/>
      <c r="AH395" s="321"/>
      <c r="AI395" s="321"/>
      <c r="AJ395" s="321"/>
      <c r="AK395" s="321"/>
      <c r="AL395" s="300"/>
    </row>
    <row r="396" spans="1:38" s="234" customFormat="1" ht="10.199999999999999" hidden="1">
      <c r="A396" s="199"/>
      <c r="B396" s="647" t="s">
        <v>410</v>
      </c>
      <c r="C396" s="536"/>
      <c r="D396" s="130"/>
      <c r="E396" s="538"/>
      <c r="F396" s="225"/>
      <c r="G396" s="552"/>
      <c r="H396" s="544">
        <f>IF($E$390="",0,((Nutzung!$G$29+Regelung-1)+(($C$392-Nutzung!$G$29)/2)-F284)*D284*$D$390*$E$390*24/($B$284*1000))</f>
        <v>0</v>
      </c>
      <c r="I396" s="537">
        <f>Einträge!E138</f>
        <v>0</v>
      </c>
      <c r="J396" s="285">
        <f>H396-I396*$F$298</f>
        <v>0</v>
      </c>
      <c r="K396" s="553"/>
      <c r="L396" s="283">
        <f t="shared" si="9"/>
        <v>0</v>
      </c>
      <c r="M396" s="541"/>
      <c r="N396" s="217"/>
      <c r="O396" s="242"/>
      <c r="P396" s="242"/>
      <c r="Q396" s="242"/>
      <c r="R396" s="242"/>
      <c r="S396" s="199"/>
      <c r="Z396" s="321"/>
      <c r="AA396" s="318"/>
      <c r="AB396" s="321"/>
      <c r="AC396" s="321"/>
      <c r="AD396" s="321"/>
      <c r="AE396" s="321"/>
      <c r="AF396" s="321"/>
      <c r="AG396" s="321"/>
      <c r="AH396" s="321"/>
      <c r="AI396" s="321"/>
      <c r="AJ396" s="321"/>
      <c r="AK396" s="321"/>
      <c r="AL396" s="300"/>
    </row>
    <row r="397" spans="1:38" s="234" customFormat="1" ht="10.199999999999999" hidden="1">
      <c r="A397" s="199"/>
      <c r="B397" s="647" t="s">
        <v>411</v>
      </c>
      <c r="C397" s="536"/>
      <c r="D397" s="130"/>
      <c r="E397" s="538"/>
      <c r="F397" s="225"/>
      <c r="G397" s="552"/>
      <c r="H397" s="544">
        <f>IF($E$390="",0,((Nutzung!$G$29+Regelung-1)+(($C$392-Nutzung!$G$29)/2)-F285)*D285*$D$390*$E$390*24/($B$284*1000))</f>
        <v>0</v>
      </c>
      <c r="I397" s="537">
        <f>Einträge!E139</f>
        <v>0</v>
      </c>
      <c r="J397" s="285">
        <f>H397-I397*$F$299</f>
        <v>0</v>
      </c>
      <c r="K397" s="553"/>
      <c r="L397" s="283">
        <f t="shared" si="9"/>
        <v>0</v>
      </c>
      <c r="M397" s="541"/>
      <c r="N397" s="217" t="s">
        <v>517</v>
      </c>
      <c r="O397" s="242"/>
      <c r="P397" s="242"/>
      <c r="Q397" s="242"/>
      <c r="R397" s="242"/>
      <c r="S397" s="199"/>
      <c r="Z397" s="321"/>
      <c r="AA397" s="318"/>
      <c r="AB397" s="321"/>
      <c r="AC397" s="321"/>
      <c r="AD397" s="321"/>
      <c r="AE397" s="321"/>
      <c r="AF397" s="321"/>
      <c r="AG397" s="321"/>
      <c r="AH397" s="321"/>
      <c r="AI397" s="321"/>
      <c r="AJ397" s="321"/>
      <c r="AK397" s="321"/>
      <c r="AL397" s="300"/>
    </row>
    <row r="398" spans="1:38" s="234" customFormat="1" ht="10.199999999999999" hidden="1">
      <c r="A398" s="199"/>
      <c r="B398" s="647" t="s">
        <v>221</v>
      </c>
      <c r="C398" s="536"/>
      <c r="D398" s="130"/>
      <c r="E398" s="538"/>
      <c r="F398" s="225"/>
      <c r="G398" s="552"/>
      <c r="H398" s="544">
        <f>IF($E$390="",0,((Nutzung!$G$29+Regelung-1)+(($C$392-Nutzung!$G$29)/2)-F286)*D286*$D$390*$E$390*24/($B$284*1000))</f>
        <v>0</v>
      </c>
      <c r="I398" s="537">
        <f>Einträge!E140</f>
        <v>0</v>
      </c>
      <c r="J398" s="285">
        <f>H398-I398*$F$300</f>
        <v>0</v>
      </c>
      <c r="K398" s="553"/>
      <c r="L398" s="283">
        <f t="shared" si="9"/>
        <v>0</v>
      </c>
      <c r="M398" s="541"/>
      <c r="N398" s="254">
        <f>SUM(H392:H403)</f>
        <v>0</v>
      </c>
      <c r="O398" s="242"/>
      <c r="P398" s="242"/>
      <c r="Q398" s="242"/>
      <c r="R398" s="242"/>
      <c r="S398" s="199"/>
      <c r="Z398" s="321"/>
      <c r="AA398" s="318"/>
      <c r="AB398" s="321"/>
      <c r="AC398" s="321"/>
      <c r="AD398" s="321"/>
      <c r="AE398" s="321"/>
      <c r="AF398" s="321"/>
      <c r="AG398" s="321"/>
      <c r="AH398" s="321"/>
      <c r="AI398" s="321"/>
      <c r="AJ398" s="321"/>
      <c r="AK398" s="321"/>
      <c r="AL398" s="300"/>
    </row>
    <row r="399" spans="1:38" s="234" customFormat="1" ht="10.199999999999999" hidden="1">
      <c r="A399" s="199"/>
      <c r="B399" s="647" t="s">
        <v>138</v>
      </c>
      <c r="C399" s="536"/>
      <c r="D399" s="130"/>
      <c r="E399" s="538"/>
      <c r="F399" s="225"/>
      <c r="G399" s="552"/>
      <c r="H399" s="544">
        <f>IF($E$390="",0,((Nutzung!$G$29+Regelung-1)+(($C$392-Nutzung!$G$29)/2)-F287)*D287*$D$390*$E$390*24/($B$284*1000))</f>
        <v>0</v>
      </c>
      <c r="I399" s="537">
        <f>Einträge!E141</f>
        <v>0</v>
      </c>
      <c r="J399" s="285">
        <f>H399-I399*$F$301</f>
        <v>0</v>
      </c>
      <c r="K399" s="553"/>
      <c r="L399" s="283">
        <f t="shared" si="9"/>
        <v>0</v>
      </c>
      <c r="M399" s="541"/>
      <c r="N399" s="217"/>
      <c r="O399" s="242"/>
      <c r="P399" s="242"/>
      <c r="Q399" s="242"/>
      <c r="R399" s="242"/>
      <c r="S399" s="199"/>
      <c r="Z399" s="321"/>
      <c r="AA399" s="318"/>
      <c r="AB399" s="321"/>
      <c r="AC399" s="321"/>
      <c r="AD399" s="321"/>
      <c r="AE399" s="321"/>
      <c r="AF399" s="321"/>
      <c r="AG399" s="321"/>
      <c r="AH399" s="321"/>
      <c r="AI399" s="321"/>
      <c r="AJ399" s="321"/>
      <c r="AK399" s="321"/>
      <c r="AL399" s="300"/>
    </row>
    <row r="400" spans="1:38" s="234" customFormat="1" ht="10.199999999999999" hidden="1">
      <c r="A400" s="199"/>
      <c r="B400" s="647" t="s">
        <v>139</v>
      </c>
      <c r="C400" s="536"/>
      <c r="D400" s="130"/>
      <c r="E400" s="538"/>
      <c r="F400" s="225"/>
      <c r="G400" s="552"/>
      <c r="H400" s="544">
        <f>IF($E$390="",0,((Nutzung!$G$29+Regelung-1)+(($C$392-Nutzung!$G$29)/2)-F288)*D288*$D$390*$E$390*24/($B$284*1000))</f>
        <v>0</v>
      </c>
      <c r="I400" s="537">
        <f>Einträge!E142</f>
        <v>0</v>
      </c>
      <c r="J400" s="285">
        <f>H400-I400*$F$302</f>
        <v>0</v>
      </c>
      <c r="K400" s="553"/>
      <c r="L400" s="283">
        <f t="shared" si="9"/>
        <v>0</v>
      </c>
      <c r="M400" s="541"/>
      <c r="N400" s="217"/>
      <c r="O400" s="242"/>
      <c r="P400" s="242"/>
      <c r="Q400" s="242"/>
      <c r="R400" s="242"/>
      <c r="S400" s="199"/>
      <c r="Z400" s="321"/>
      <c r="AA400" s="318"/>
      <c r="AB400" s="321"/>
      <c r="AC400" s="321"/>
      <c r="AD400" s="321"/>
      <c r="AE400" s="321"/>
      <c r="AF400" s="321"/>
      <c r="AG400" s="321"/>
      <c r="AH400" s="321"/>
      <c r="AI400" s="321"/>
      <c r="AJ400" s="321"/>
      <c r="AK400" s="321"/>
      <c r="AL400" s="300"/>
    </row>
    <row r="401" spans="1:38" s="234" customFormat="1" ht="10.199999999999999" hidden="1">
      <c r="A401" s="199"/>
      <c r="B401" s="647" t="s">
        <v>269</v>
      </c>
      <c r="C401" s="536"/>
      <c r="D401" s="130"/>
      <c r="E401" s="538"/>
      <c r="F401" s="225"/>
      <c r="G401" s="552"/>
      <c r="H401" s="544">
        <f>IF($E$390="",0,((Nutzung!$G$29+Regelung-1)+(($C$392-Nutzung!$G$29)/2)-F289)*D289*$D$390*$E$390*24/($B$284*1000))</f>
        <v>0</v>
      </c>
      <c r="I401" s="537">
        <f>Einträge!E143</f>
        <v>0</v>
      </c>
      <c r="J401" s="285">
        <f>H401-I401*$F$303</f>
        <v>0</v>
      </c>
      <c r="K401" s="553"/>
      <c r="L401" s="283">
        <f t="shared" si="9"/>
        <v>0</v>
      </c>
      <c r="M401" s="541"/>
      <c r="N401" s="217"/>
      <c r="O401" s="242"/>
      <c r="P401" s="242"/>
      <c r="Q401" s="242"/>
      <c r="R401" s="242"/>
      <c r="S401" s="199"/>
      <c r="Z401" s="321"/>
      <c r="AA401" s="318"/>
      <c r="AB401" s="321"/>
      <c r="AC401" s="321"/>
      <c r="AD401" s="321"/>
      <c r="AE401" s="321"/>
      <c r="AF401" s="321"/>
      <c r="AG401" s="321"/>
      <c r="AH401" s="321"/>
      <c r="AI401" s="321"/>
      <c r="AJ401" s="321"/>
      <c r="AK401" s="321"/>
      <c r="AL401" s="300"/>
    </row>
    <row r="402" spans="1:38" s="234" customFormat="1" ht="10.199999999999999" hidden="1">
      <c r="A402" s="199"/>
      <c r="B402" s="647" t="s">
        <v>366</v>
      </c>
      <c r="C402" s="536"/>
      <c r="D402" s="130"/>
      <c r="E402" s="538"/>
      <c r="F402" s="225"/>
      <c r="G402" s="552"/>
      <c r="H402" s="544">
        <f>IF($E$390="",0,((Nutzung!$G$29+Regelung-1)+(($C$392-Nutzung!$G$29)/2)-F290)*D290*$D$390*$E$390*24/($B$284*1000))</f>
        <v>0</v>
      </c>
      <c r="I402" s="537">
        <f>Einträge!E144</f>
        <v>0</v>
      </c>
      <c r="J402" s="285">
        <f>H402-I402*$F$304</f>
        <v>0</v>
      </c>
      <c r="K402" s="553"/>
      <c r="L402" s="283">
        <f t="shared" si="9"/>
        <v>0</v>
      </c>
      <c r="M402" s="541"/>
      <c r="N402" s="217"/>
      <c r="O402" s="242"/>
      <c r="P402" s="242"/>
      <c r="Q402" s="242"/>
      <c r="R402" s="242"/>
      <c r="S402" s="199"/>
      <c r="Z402" s="321"/>
      <c r="AA402" s="318"/>
      <c r="AB402" s="321"/>
      <c r="AC402" s="321"/>
      <c r="AD402" s="321"/>
      <c r="AE402" s="321"/>
      <c r="AF402" s="321"/>
      <c r="AG402" s="321"/>
      <c r="AH402" s="321"/>
      <c r="AI402" s="321"/>
      <c r="AJ402" s="321"/>
      <c r="AK402" s="321"/>
      <c r="AL402" s="300"/>
    </row>
    <row r="403" spans="1:38" s="234" customFormat="1" ht="10.199999999999999" hidden="1">
      <c r="A403" s="199"/>
      <c r="B403" s="647" t="s">
        <v>465</v>
      </c>
      <c r="C403" s="536"/>
      <c r="D403" s="130"/>
      <c r="E403" s="538"/>
      <c r="F403" s="225"/>
      <c r="G403" s="552"/>
      <c r="H403" s="544">
        <f>IF($E$390="",0,((Nutzung!$G$29+Regelung-1)+(($C$392-Nutzung!$G$29)/2)-F291)*D291*$D$390*$E$390*24/($B$284*1000))</f>
        <v>0</v>
      </c>
      <c r="I403" s="537">
        <f>Einträge!E145</f>
        <v>0</v>
      </c>
      <c r="J403" s="285">
        <f>H403-I403*$F$305</f>
        <v>0</v>
      </c>
      <c r="K403" s="553"/>
      <c r="L403" s="283">
        <f t="shared" si="9"/>
        <v>0</v>
      </c>
      <c r="M403" s="541"/>
      <c r="N403" s="217"/>
      <c r="O403" s="242"/>
      <c r="P403" s="242"/>
      <c r="Q403" s="242"/>
      <c r="R403" s="242"/>
      <c r="S403" s="199"/>
      <c r="Z403" s="321"/>
      <c r="AA403" s="318"/>
      <c r="AB403" s="321"/>
      <c r="AC403" s="321"/>
      <c r="AD403" s="321"/>
      <c r="AE403" s="321"/>
      <c r="AF403" s="321"/>
      <c r="AG403" s="321"/>
      <c r="AH403" s="321"/>
      <c r="AI403" s="321"/>
      <c r="AJ403" s="321"/>
      <c r="AK403" s="321"/>
      <c r="AL403" s="300"/>
    </row>
    <row r="404" spans="1:38" ht="10.95" customHeight="1">
      <c r="A404" s="192"/>
      <c r="B404" s="648"/>
      <c r="C404" s="656"/>
      <c r="D404" s="657"/>
      <c r="E404" s="658"/>
      <c r="F404" s="664"/>
      <c r="G404" s="873"/>
      <c r="H404" s="658"/>
      <c r="I404" s="671"/>
      <c r="J404" s="668"/>
      <c r="K404" s="668"/>
      <c r="L404" s="220" t="str">
        <f>IF(E404="","",Nutzung!$G$29)</f>
        <v/>
      </c>
      <c r="M404" s="771" t="str">
        <f>IF(D404="","",AB404)</f>
        <v/>
      </c>
      <c r="N404" s="214">
        <f>IF(E404=0,0,M406)</f>
        <v>0</v>
      </c>
      <c r="O404" s="215" t="str">
        <f>IF(N404/$O$1370=0,"",N404/$O$1370)</f>
        <v/>
      </c>
      <c r="P404" s="192"/>
      <c r="Q404" s="241"/>
      <c r="R404" s="241"/>
      <c r="S404" s="192"/>
      <c r="T404" s="182">
        <f>D404*E404</f>
        <v>0</v>
      </c>
      <c r="AA404" s="318">
        <f>IF(D404="",0,1)</f>
        <v>0</v>
      </c>
      <c r="AB404" s="318">
        <f>AB390+AA404</f>
        <v>0</v>
      </c>
    </row>
    <row r="405" spans="1:38" ht="10.95" hidden="1" customHeight="1">
      <c r="A405" s="260"/>
      <c r="B405" s="793"/>
      <c r="C405" s="794"/>
      <c r="D405" s="44"/>
      <c r="E405" s="795"/>
      <c r="F405" s="796"/>
      <c r="G405" s="813"/>
      <c r="H405" s="816"/>
      <c r="I405" s="816"/>
      <c r="J405" s="797"/>
      <c r="K405" s="797"/>
      <c r="L405" s="798"/>
      <c r="M405" s="44"/>
      <c r="N405" s="214"/>
      <c r="O405" s="215"/>
      <c r="P405" s="192"/>
      <c r="Q405" s="241"/>
      <c r="R405" s="241"/>
      <c r="S405" s="192"/>
    </row>
    <row r="406" spans="1:38" s="234" customFormat="1" ht="10.199999999999999" hidden="1">
      <c r="A406" s="199"/>
      <c r="B406" s="647" t="s">
        <v>49</v>
      </c>
      <c r="C406" s="536" t="str">
        <f>IF($L$404&lt;Nutzung!$G$29,Nutzung!$G$29,$L$404)</f>
        <v/>
      </c>
      <c r="D406" s="130"/>
      <c r="E406" s="538"/>
      <c r="F406" s="225"/>
      <c r="G406" s="543">
        <f>IF(L404="",Nutzung!$G$29,Bauteile!L404)</f>
        <v>0</v>
      </c>
      <c r="H406" s="544">
        <f>IF($E$404="",0,((Nutzung!$G$29+Regelung-1)+(($C$406-Nutzung!$G$29)/2)-F280)*D280*$D$404*$E$404*24/($B$284*1000))</f>
        <v>0</v>
      </c>
      <c r="I406" s="537">
        <f>Einträge!E147</f>
        <v>0</v>
      </c>
      <c r="J406" s="285">
        <f>H406-I406*$F$294</f>
        <v>0</v>
      </c>
      <c r="K406" s="553"/>
      <c r="L406" s="283">
        <f t="shared" ref="L406:L417" si="10">IF($B$282=1,J406,H406)</f>
        <v>0</v>
      </c>
      <c r="M406" s="283" t="str">
        <f>IF(E404="","",SUM(L406:L417))</f>
        <v/>
      </c>
      <c r="N406" s="217"/>
      <c r="O406" s="242"/>
      <c r="P406" s="242"/>
      <c r="Q406" s="242"/>
      <c r="R406" s="242"/>
      <c r="S406" s="199"/>
      <c r="Z406" s="321"/>
      <c r="AA406" s="318"/>
      <c r="AB406" s="321"/>
      <c r="AC406" s="321"/>
      <c r="AD406" s="321"/>
      <c r="AE406" s="321"/>
      <c r="AF406" s="321"/>
      <c r="AG406" s="321"/>
      <c r="AH406" s="321"/>
      <c r="AI406" s="321"/>
      <c r="AJ406" s="321"/>
      <c r="AK406" s="321"/>
      <c r="AL406" s="300"/>
    </row>
    <row r="407" spans="1:38" s="234" customFormat="1" ht="10.199999999999999" hidden="1">
      <c r="A407" s="199"/>
      <c r="B407" s="647" t="s">
        <v>554</v>
      </c>
      <c r="C407" s="536"/>
      <c r="D407" s="130"/>
      <c r="E407" s="538"/>
      <c r="F407" s="225"/>
      <c r="G407" s="552"/>
      <c r="H407" s="544">
        <f>IF($E$404="",0,((Nutzung!$G$29+Regelung-1)+(($C$406-Nutzung!$G$29)/2)-F281)*D281*$D$404*$E$404*24/($B$284*1000))</f>
        <v>0</v>
      </c>
      <c r="I407" s="537">
        <f>Einträge!E148</f>
        <v>0</v>
      </c>
      <c r="J407" s="285">
        <f>H407-I407*$F$295</f>
        <v>0</v>
      </c>
      <c r="K407" s="553"/>
      <c r="L407" s="283">
        <f t="shared" si="10"/>
        <v>0</v>
      </c>
      <c r="M407" s="541"/>
      <c r="N407" s="217"/>
      <c r="O407" s="242"/>
      <c r="P407" s="242"/>
      <c r="Q407" s="242"/>
      <c r="R407" s="242"/>
      <c r="S407" s="199"/>
      <c r="Z407" s="321"/>
      <c r="AA407" s="318"/>
      <c r="AB407" s="321"/>
      <c r="AC407" s="321"/>
      <c r="AD407" s="321"/>
      <c r="AE407" s="321"/>
      <c r="AF407" s="321"/>
      <c r="AG407" s="321"/>
      <c r="AH407" s="321"/>
      <c r="AI407" s="321"/>
      <c r="AJ407" s="321"/>
      <c r="AK407" s="321"/>
      <c r="AL407" s="300"/>
    </row>
    <row r="408" spans="1:38" s="234" customFormat="1" ht="10.199999999999999" hidden="1">
      <c r="A408" s="199"/>
      <c r="B408" s="647" t="s">
        <v>306</v>
      </c>
      <c r="C408" s="536"/>
      <c r="D408" s="130"/>
      <c r="E408" s="538"/>
      <c r="F408" s="225"/>
      <c r="G408" s="552"/>
      <c r="H408" s="544">
        <f>IF($E$404="",0,((Nutzung!$G$29+Regelung-1)+(($C$406-Nutzung!$G$29)/2)-F282)*D282*$D$404*$E$404*24/($B$284*1000))</f>
        <v>0</v>
      </c>
      <c r="I408" s="537">
        <f>Einträge!E149</f>
        <v>0</v>
      </c>
      <c r="J408" s="285">
        <f>H408-I408*$F$296</f>
        <v>0</v>
      </c>
      <c r="K408" s="553"/>
      <c r="L408" s="283">
        <f t="shared" si="10"/>
        <v>0</v>
      </c>
      <c r="M408" s="541"/>
      <c r="N408" s="217"/>
      <c r="O408" s="242"/>
      <c r="P408" s="242"/>
      <c r="Q408" s="242"/>
      <c r="R408" s="242"/>
      <c r="S408" s="199"/>
      <c r="Z408" s="321"/>
      <c r="AA408" s="318"/>
      <c r="AB408" s="321"/>
      <c r="AC408" s="321"/>
      <c r="AD408" s="321"/>
      <c r="AE408" s="321"/>
      <c r="AF408" s="321"/>
      <c r="AG408" s="321"/>
      <c r="AH408" s="321"/>
      <c r="AI408" s="321"/>
      <c r="AJ408" s="321"/>
      <c r="AK408" s="321"/>
      <c r="AL408" s="300"/>
    </row>
    <row r="409" spans="1:38" s="234" customFormat="1" ht="10.199999999999999" hidden="1">
      <c r="A409" s="199"/>
      <c r="B409" s="647" t="s">
        <v>409</v>
      </c>
      <c r="C409" s="536"/>
      <c r="D409" s="130"/>
      <c r="E409" s="538"/>
      <c r="F409" s="225"/>
      <c r="G409" s="552"/>
      <c r="H409" s="544">
        <f>IF($E$404="",0,((Nutzung!$G$29+Regelung-1)+(($C$406-Nutzung!$G$29)/2)-F283)*D283*$D$404*$E$404*24/($B$284*1000))</f>
        <v>0</v>
      </c>
      <c r="I409" s="537">
        <f>Einträge!E150</f>
        <v>0</v>
      </c>
      <c r="J409" s="285">
        <f>H409-I409*$F$297</f>
        <v>0</v>
      </c>
      <c r="K409" s="553"/>
      <c r="L409" s="283">
        <f t="shared" si="10"/>
        <v>0</v>
      </c>
      <c r="M409" s="541"/>
      <c r="N409" s="217"/>
      <c r="O409" s="242"/>
      <c r="P409" s="242"/>
      <c r="Q409" s="242"/>
      <c r="R409" s="242"/>
      <c r="S409" s="199"/>
      <c r="Z409" s="321"/>
      <c r="AA409" s="318"/>
      <c r="AB409" s="321"/>
      <c r="AC409" s="321"/>
      <c r="AD409" s="321"/>
      <c r="AE409" s="321"/>
      <c r="AF409" s="321"/>
      <c r="AG409" s="321"/>
      <c r="AH409" s="321"/>
      <c r="AI409" s="321"/>
      <c r="AJ409" s="321"/>
      <c r="AK409" s="321"/>
      <c r="AL409" s="300"/>
    </row>
    <row r="410" spans="1:38" s="234" customFormat="1" ht="10.199999999999999" hidden="1">
      <c r="A410" s="199"/>
      <c r="B410" s="647" t="s">
        <v>410</v>
      </c>
      <c r="C410" s="536"/>
      <c r="D410" s="130"/>
      <c r="E410" s="538"/>
      <c r="F410" s="225"/>
      <c r="G410" s="552"/>
      <c r="H410" s="544">
        <f>IF($E$404="",0,((Nutzung!$G$29+Regelung-1)+(($C$406-Nutzung!$G$29)/2)-F284)*D284*$D$404*$E$404*24/($B$284*1000))</f>
        <v>0</v>
      </c>
      <c r="I410" s="537">
        <f>Einträge!E151</f>
        <v>0</v>
      </c>
      <c r="J410" s="285">
        <f>H410-I410*$F$298</f>
        <v>0</v>
      </c>
      <c r="K410" s="553"/>
      <c r="L410" s="283">
        <f t="shared" si="10"/>
        <v>0</v>
      </c>
      <c r="M410" s="541"/>
      <c r="N410" s="217"/>
      <c r="O410" s="242"/>
      <c r="P410" s="242"/>
      <c r="Q410" s="242"/>
      <c r="R410" s="242"/>
      <c r="S410" s="199"/>
      <c r="Z410" s="321"/>
      <c r="AA410" s="318"/>
      <c r="AB410" s="321"/>
      <c r="AC410" s="321"/>
      <c r="AD410" s="321"/>
      <c r="AE410" s="321"/>
      <c r="AF410" s="321"/>
      <c r="AG410" s="321"/>
      <c r="AH410" s="321"/>
      <c r="AI410" s="321"/>
      <c r="AJ410" s="321"/>
      <c r="AK410" s="321"/>
      <c r="AL410" s="300"/>
    </row>
    <row r="411" spans="1:38" s="234" customFormat="1" ht="10.199999999999999" hidden="1">
      <c r="A411" s="199"/>
      <c r="B411" s="647" t="s">
        <v>411</v>
      </c>
      <c r="C411" s="536"/>
      <c r="D411" s="130"/>
      <c r="E411" s="538"/>
      <c r="F411" s="225"/>
      <c r="G411" s="552"/>
      <c r="H411" s="544">
        <f>IF($E$404="",0,((Nutzung!$G$29+Regelung-1)+(($C$406-Nutzung!$G$29)/2)-F285)*D285*$D$404*$E$404*24/($B$284*1000))</f>
        <v>0</v>
      </c>
      <c r="I411" s="537">
        <f>Einträge!E152</f>
        <v>0</v>
      </c>
      <c r="J411" s="285">
        <f>H411-I411*$F$299</f>
        <v>0</v>
      </c>
      <c r="K411" s="553"/>
      <c r="L411" s="283">
        <f t="shared" si="10"/>
        <v>0</v>
      </c>
      <c r="M411" s="541"/>
      <c r="N411" s="217" t="s">
        <v>517</v>
      </c>
      <c r="O411" s="242"/>
      <c r="P411" s="242"/>
      <c r="Q411" s="242"/>
      <c r="R411" s="242"/>
      <c r="S411" s="199"/>
      <c r="Z411" s="321"/>
      <c r="AA411" s="318"/>
      <c r="AB411" s="321"/>
      <c r="AC411" s="321"/>
      <c r="AD411" s="321"/>
      <c r="AE411" s="321"/>
      <c r="AF411" s="321"/>
      <c r="AG411" s="321"/>
      <c r="AH411" s="321"/>
      <c r="AI411" s="321"/>
      <c r="AJ411" s="321"/>
      <c r="AK411" s="321"/>
      <c r="AL411" s="300"/>
    </row>
    <row r="412" spans="1:38" s="234" customFormat="1" ht="10.199999999999999" hidden="1">
      <c r="A412" s="199"/>
      <c r="B412" s="647" t="s">
        <v>221</v>
      </c>
      <c r="C412" s="536"/>
      <c r="D412" s="130"/>
      <c r="E412" s="538"/>
      <c r="F412" s="225"/>
      <c r="G412" s="552"/>
      <c r="H412" s="544">
        <f>IF($E$404="",0,((Nutzung!$G$29+Regelung-1)+(($C$406-Nutzung!$G$29)/2)-F286)*D286*$D$404*$E$404*24/($B$284*1000))</f>
        <v>0</v>
      </c>
      <c r="I412" s="537">
        <f>Einträge!E153</f>
        <v>0</v>
      </c>
      <c r="J412" s="285">
        <f>H412-I412*$F$300</f>
        <v>0</v>
      </c>
      <c r="K412" s="553"/>
      <c r="L412" s="283">
        <f t="shared" si="10"/>
        <v>0</v>
      </c>
      <c r="M412" s="541"/>
      <c r="N412" s="254">
        <f>SUM(H406:H417)</f>
        <v>0</v>
      </c>
      <c r="O412" s="242"/>
      <c r="P412" s="242"/>
      <c r="Q412" s="242"/>
      <c r="R412" s="242"/>
      <c r="S412" s="199"/>
      <c r="Z412" s="321"/>
      <c r="AA412" s="318"/>
      <c r="AB412" s="321"/>
      <c r="AC412" s="321"/>
      <c r="AD412" s="321"/>
      <c r="AE412" s="321"/>
      <c r="AF412" s="321"/>
      <c r="AG412" s="321"/>
      <c r="AH412" s="321"/>
      <c r="AI412" s="321"/>
      <c r="AJ412" s="321"/>
      <c r="AK412" s="321"/>
      <c r="AL412" s="300"/>
    </row>
    <row r="413" spans="1:38" s="234" customFormat="1" ht="10.199999999999999" hidden="1">
      <c r="A413" s="199"/>
      <c r="B413" s="647" t="s">
        <v>138</v>
      </c>
      <c r="C413" s="536"/>
      <c r="D413" s="130"/>
      <c r="E413" s="538"/>
      <c r="F413" s="225"/>
      <c r="G413" s="552"/>
      <c r="H413" s="544">
        <f>IF($E$404="",0,((Nutzung!$G$29+Regelung-1)+(($C$406-Nutzung!$G$29)/2)-F287)*D287*$D$404*$E$404*24/($B$284*1000))</f>
        <v>0</v>
      </c>
      <c r="I413" s="537">
        <f>Einträge!E154</f>
        <v>0</v>
      </c>
      <c r="J413" s="285">
        <f>H413-I413*$F$301</f>
        <v>0</v>
      </c>
      <c r="K413" s="553"/>
      <c r="L413" s="283">
        <f t="shared" si="10"/>
        <v>0</v>
      </c>
      <c r="M413" s="541"/>
      <c r="N413" s="217"/>
      <c r="O413" s="242"/>
      <c r="P413" s="242"/>
      <c r="Q413" s="242"/>
      <c r="R413" s="242"/>
      <c r="S413" s="199"/>
      <c r="Z413" s="321"/>
      <c r="AA413" s="318"/>
      <c r="AB413" s="321"/>
      <c r="AC413" s="321"/>
      <c r="AD413" s="321"/>
      <c r="AE413" s="321"/>
      <c r="AF413" s="321"/>
      <c r="AG413" s="321"/>
      <c r="AH413" s="321"/>
      <c r="AI413" s="321"/>
      <c r="AJ413" s="321"/>
      <c r="AK413" s="321"/>
      <c r="AL413" s="300"/>
    </row>
    <row r="414" spans="1:38" s="234" customFormat="1" ht="10.199999999999999" hidden="1">
      <c r="A414" s="199"/>
      <c r="B414" s="647" t="s">
        <v>139</v>
      </c>
      <c r="C414" s="536"/>
      <c r="D414" s="130"/>
      <c r="E414" s="538"/>
      <c r="F414" s="225"/>
      <c r="G414" s="552"/>
      <c r="H414" s="544">
        <f>IF($E$404="",0,((Nutzung!$G$29+Regelung-1)+(($C$406-Nutzung!$G$29)/2)-F288)*D288*$D$404*$E$404*24/($B$284*1000))</f>
        <v>0</v>
      </c>
      <c r="I414" s="537">
        <f>Einträge!E155</f>
        <v>0</v>
      </c>
      <c r="J414" s="285">
        <f>H414-I414*$F$302</f>
        <v>0</v>
      </c>
      <c r="K414" s="553"/>
      <c r="L414" s="283">
        <f t="shared" si="10"/>
        <v>0</v>
      </c>
      <c r="M414" s="541"/>
      <c r="N414" s="217"/>
      <c r="O414" s="242"/>
      <c r="P414" s="242"/>
      <c r="Q414" s="242"/>
      <c r="R414" s="242"/>
      <c r="S414" s="199"/>
      <c r="Z414" s="321"/>
      <c r="AA414" s="318"/>
      <c r="AB414" s="321"/>
      <c r="AC414" s="321"/>
      <c r="AD414" s="321"/>
      <c r="AE414" s="321"/>
      <c r="AF414" s="321"/>
      <c r="AG414" s="321"/>
      <c r="AH414" s="321"/>
      <c r="AI414" s="321"/>
      <c r="AJ414" s="321"/>
      <c r="AK414" s="321"/>
      <c r="AL414" s="300"/>
    </row>
    <row r="415" spans="1:38" s="234" customFormat="1" ht="10.199999999999999" hidden="1">
      <c r="A415" s="199"/>
      <c r="B415" s="647" t="s">
        <v>269</v>
      </c>
      <c r="C415" s="536"/>
      <c r="D415" s="130"/>
      <c r="E415" s="538"/>
      <c r="F415" s="225"/>
      <c r="G415" s="552"/>
      <c r="H415" s="544">
        <f>IF($E$404="",0,((Nutzung!$G$29+Regelung-1)+(($C$406-Nutzung!$G$29)/2)-F289)*D289*$D$404*$E$404*24/($B$284*1000))</f>
        <v>0</v>
      </c>
      <c r="I415" s="537">
        <f>Einträge!E156</f>
        <v>0</v>
      </c>
      <c r="J415" s="285">
        <f>H415-I415*$F$303</f>
        <v>0</v>
      </c>
      <c r="K415" s="553"/>
      <c r="L415" s="283">
        <f t="shared" si="10"/>
        <v>0</v>
      </c>
      <c r="M415" s="541"/>
      <c r="N415" s="217"/>
      <c r="O415" s="242"/>
      <c r="P415" s="242"/>
      <c r="Q415" s="242"/>
      <c r="R415" s="242"/>
      <c r="S415" s="199"/>
      <c r="Z415" s="321"/>
      <c r="AA415" s="318"/>
      <c r="AB415" s="321"/>
      <c r="AC415" s="321"/>
      <c r="AD415" s="321"/>
      <c r="AE415" s="321"/>
      <c r="AF415" s="321"/>
      <c r="AG415" s="321"/>
      <c r="AH415" s="321"/>
      <c r="AI415" s="321"/>
      <c r="AJ415" s="321"/>
      <c r="AK415" s="321"/>
      <c r="AL415" s="300"/>
    </row>
    <row r="416" spans="1:38" s="234" customFormat="1" ht="10.199999999999999" hidden="1">
      <c r="A416" s="199"/>
      <c r="B416" s="647" t="s">
        <v>366</v>
      </c>
      <c r="C416" s="536"/>
      <c r="D416" s="130"/>
      <c r="E416" s="538"/>
      <c r="F416" s="225"/>
      <c r="G416" s="552"/>
      <c r="H416" s="544">
        <f>IF($E$404="",0,((Nutzung!$G$29+Regelung-1)+(($C$406-Nutzung!$G$29)/2)-F290)*D290*$D$404*$E$404*24/($B$284*1000))</f>
        <v>0</v>
      </c>
      <c r="I416" s="537">
        <f>Einträge!E157</f>
        <v>0</v>
      </c>
      <c r="J416" s="285">
        <f>H416-I416*$F$304</f>
        <v>0</v>
      </c>
      <c r="K416" s="553"/>
      <c r="L416" s="283">
        <f t="shared" si="10"/>
        <v>0</v>
      </c>
      <c r="M416" s="541"/>
      <c r="N416" s="217"/>
      <c r="O416" s="242"/>
      <c r="P416" s="242"/>
      <c r="Q416" s="242"/>
      <c r="R416" s="242"/>
      <c r="S416" s="199"/>
      <c r="Z416" s="321"/>
      <c r="AA416" s="318"/>
      <c r="AB416" s="321"/>
      <c r="AC416" s="321"/>
      <c r="AD416" s="321"/>
      <c r="AE416" s="321"/>
      <c r="AF416" s="321"/>
      <c r="AG416" s="321"/>
      <c r="AH416" s="321"/>
      <c r="AI416" s="321"/>
      <c r="AJ416" s="321"/>
      <c r="AK416" s="321"/>
      <c r="AL416" s="300"/>
    </row>
    <row r="417" spans="1:38" s="234" customFormat="1" ht="10.199999999999999" hidden="1">
      <c r="A417" s="199"/>
      <c r="B417" s="647" t="s">
        <v>465</v>
      </c>
      <c r="C417" s="536"/>
      <c r="D417" s="130"/>
      <c r="E417" s="538"/>
      <c r="F417" s="225"/>
      <c r="G417" s="552"/>
      <c r="H417" s="544">
        <f>IF($E$404="",0,((Nutzung!$G$29+Regelung-1)+(($C$406-Nutzung!$G$29)/2)-F291)*D291*$D$404*$E$404*24/($B$284*1000))</f>
        <v>0</v>
      </c>
      <c r="I417" s="537">
        <f>Einträge!E158</f>
        <v>0</v>
      </c>
      <c r="J417" s="285">
        <f>H417-I417*$F$305</f>
        <v>0</v>
      </c>
      <c r="K417" s="553"/>
      <c r="L417" s="283">
        <f t="shared" si="10"/>
        <v>0</v>
      </c>
      <c r="M417" s="541"/>
      <c r="N417" s="217"/>
      <c r="O417" s="242"/>
      <c r="P417" s="242"/>
      <c r="Q417" s="242"/>
      <c r="R417" s="242"/>
      <c r="S417" s="199"/>
      <c r="Z417" s="321"/>
      <c r="AA417" s="318"/>
      <c r="AB417" s="321"/>
      <c r="AC417" s="321"/>
      <c r="AD417" s="321"/>
      <c r="AE417" s="321"/>
      <c r="AF417" s="321"/>
      <c r="AG417" s="321"/>
      <c r="AH417" s="321"/>
      <c r="AI417" s="321"/>
      <c r="AJ417" s="321"/>
      <c r="AK417" s="321"/>
      <c r="AL417" s="300"/>
    </row>
    <row r="418" spans="1:38" ht="10.95" customHeight="1">
      <c r="A418" s="192"/>
      <c r="B418" s="648"/>
      <c r="C418" s="656"/>
      <c r="D418" s="657"/>
      <c r="E418" s="658"/>
      <c r="F418" s="664"/>
      <c r="G418" s="873"/>
      <c r="H418" s="658"/>
      <c r="I418" s="671"/>
      <c r="J418" s="668"/>
      <c r="K418" s="668"/>
      <c r="L418" s="220" t="str">
        <f>IF(E418="","",Nutzung!$G$29)</f>
        <v/>
      </c>
      <c r="M418" s="771" t="str">
        <f>IF(D418="","",AB418)</f>
        <v/>
      </c>
      <c r="N418" s="214">
        <f>IF(E418=0,0,M420)</f>
        <v>0</v>
      </c>
      <c r="O418" s="215" t="str">
        <f>IF(N418/$O$1370=0,"",N418/$O$1370)</f>
        <v/>
      </c>
      <c r="P418" s="192"/>
      <c r="Q418" s="241"/>
      <c r="R418" s="241"/>
      <c r="S418" s="192"/>
      <c r="T418" s="182">
        <f>D418*E418</f>
        <v>0</v>
      </c>
      <c r="AA418" s="318">
        <f>IF(D418="",0,1)</f>
        <v>0</v>
      </c>
      <c r="AB418" s="318">
        <f>AB404+AA418</f>
        <v>0</v>
      </c>
    </row>
    <row r="419" spans="1:38" ht="10.95" hidden="1" customHeight="1">
      <c r="A419" s="260"/>
      <c r="B419" s="793"/>
      <c r="C419" s="794"/>
      <c r="D419" s="44"/>
      <c r="E419" s="795"/>
      <c r="F419" s="796"/>
      <c r="G419" s="813"/>
      <c r="H419" s="816"/>
      <c r="I419" s="816"/>
      <c r="J419" s="797"/>
      <c r="K419" s="797"/>
      <c r="L419" s="798"/>
      <c r="M419" s="44"/>
      <c r="N419" s="214"/>
      <c r="O419" s="215"/>
      <c r="P419" s="192"/>
      <c r="Q419" s="241"/>
      <c r="R419" s="241"/>
      <c r="S419" s="192"/>
    </row>
    <row r="420" spans="1:38" s="234" customFormat="1" ht="10.199999999999999" hidden="1">
      <c r="A420" s="199"/>
      <c r="B420" s="647" t="s">
        <v>49</v>
      </c>
      <c r="C420" s="536" t="str">
        <f>IF($L$418&lt;Nutzung!$G$29,Nutzung!$G$29,$L$418)</f>
        <v/>
      </c>
      <c r="D420" s="130"/>
      <c r="E420" s="538"/>
      <c r="F420" s="225"/>
      <c r="G420" s="543">
        <f>IF(L418="",Nutzung!$G$29,Bauteile!L418)</f>
        <v>0</v>
      </c>
      <c r="H420" s="544">
        <f>IF($E$418="",0,((Nutzung!$G$29+Regelung-1)+(($C$420-Nutzung!$G$29)/2)-F280)*D280*$D$418*$E$418*24/($B$284*1000))</f>
        <v>0</v>
      </c>
      <c r="I420" s="537">
        <f>Einträge!E160</f>
        <v>0</v>
      </c>
      <c r="J420" s="285">
        <f>H420-I420*$F$294</f>
        <v>0</v>
      </c>
      <c r="K420" s="553"/>
      <c r="L420" s="283">
        <f t="shared" ref="L420:L431" si="11">IF($B$282=1,J420,H420)</f>
        <v>0</v>
      </c>
      <c r="M420" s="283" t="str">
        <f>IF(E418="","",SUM(L420:L431))</f>
        <v/>
      </c>
      <c r="N420" s="217"/>
      <c r="O420" s="242"/>
      <c r="P420" s="242"/>
      <c r="Q420" s="242"/>
      <c r="R420" s="242"/>
      <c r="S420" s="199"/>
      <c r="Z420" s="321"/>
      <c r="AA420" s="318"/>
      <c r="AB420" s="321"/>
      <c r="AC420" s="321"/>
      <c r="AD420" s="321"/>
      <c r="AE420" s="321"/>
      <c r="AF420" s="321"/>
      <c r="AG420" s="321"/>
      <c r="AH420" s="321"/>
      <c r="AI420" s="321"/>
      <c r="AJ420" s="321"/>
      <c r="AK420" s="321"/>
      <c r="AL420" s="300"/>
    </row>
    <row r="421" spans="1:38" s="234" customFormat="1" ht="10.199999999999999" hidden="1">
      <c r="A421" s="199"/>
      <c r="B421" s="647" t="s">
        <v>554</v>
      </c>
      <c r="C421" s="536"/>
      <c r="D421" s="130"/>
      <c r="E421" s="538"/>
      <c r="F421" s="225"/>
      <c r="G421" s="552"/>
      <c r="H421" s="544">
        <f>IF($E$418="",0,((Nutzung!$G$29+Regelung-1)+(($C$420-Nutzung!$G$29)/2)-F281)*D281*$D$418*$E$418*24/($B$284*1000))</f>
        <v>0</v>
      </c>
      <c r="I421" s="537">
        <f>Einträge!E161</f>
        <v>0</v>
      </c>
      <c r="J421" s="285">
        <f>H421-I421*$F$295</f>
        <v>0</v>
      </c>
      <c r="K421" s="553"/>
      <c r="L421" s="283">
        <f t="shared" si="11"/>
        <v>0</v>
      </c>
      <c r="M421" s="541"/>
      <c r="N421" s="217"/>
      <c r="O421" s="242"/>
      <c r="P421" s="242"/>
      <c r="Q421" s="242"/>
      <c r="R421" s="242"/>
      <c r="S421" s="199"/>
      <c r="Z421" s="321"/>
      <c r="AA421" s="318"/>
      <c r="AB421" s="321"/>
      <c r="AC421" s="321"/>
      <c r="AD421" s="321"/>
      <c r="AE421" s="321"/>
      <c r="AF421" s="321"/>
      <c r="AG421" s="321"/>
      <c r="AH421" s="321"/>
      <c r="AI421" s="321"/>
      <c r="AJ421" s="321"/>
      <c r="AK421" s="321"/>
      <c r="AL421" s="300"/>
    </row>
    <row r="422" spans="1:38" s="234" customFormat="1" ht="10.199999999999999" hidden="1">
      <c r="A422" s="199"/>
      <c r="B422" s="647" t="s">
        <v>306</v>
      </c>
      <c r="C422" s="536"/>
      <c r="D422" s="130"/>
      <c r="E422" s="538"/>
      <c r="F422" s="225"/>
      <c r="G422" s="552"/>
      <c r="H422" s="544">
        <f>IF($E$418="",0,((Nutzung!$G$29+Regelung-1)+(($C$420-Nutzung!$G$29)/2)-F282)*D282*$D$418*$E$418*24/($B$284*1000))</f>
        <v>0</v>
      </c>
      <c r="I422" s="537">
        <f>Einträge!E162</f>
        <v>0</v>
      </c>
      <c r="J422" s="285">
        <f>H422-I422*$F$296</f>
        <v>0</v>
      </c>
      <c r="K422" s="553"/>
      <c r="L422" s="283">
        <f t="shared" si="11"/>
        <v>0</v>
      </c>
      <c r="M422" s="541"/>
      <c r="N422" s="217"/>
      <c r="O422" s="242"/>
      <c r="P422" s="242"/>
      <c r="Q422" s="242"/>
      <c r="R422" s="242"/>
      <c r="S422" s="199"/>
      <c r="Z422" s="321"/>
      <c r="AA422" s="318"/>
      <c r="AB422" s="321"/>
      <c r="AC422" s="321"/>
      <c r="AD422" s="321"/>
      <c r="AE422" s="321"/>
      <c r="AF422" s="321"/>
      <c r="AG422" s="321"/>
      <c r="AH422" s="321"/>
      <c r="AI422" s="321"/>
      <c r="AJ422" s="321"/>
      <c r="AK422" s="321"/>
      <c r="AL422" s="300"/>
    </row>
    <row r="423" spans="1:38" s="234" customFormat="1" ht="10.199999999999999" hidden="1">
      <c r="A423" s="199"/>
      <c r="B423" s="647" t="s">
        <v>409</v>
      </c>
      <c r="C423" s="536"/>
      <c r="D423" s="130"/>
      <c r="E423" s="538"/>
      <c r="F423" s="225"/>
      <c r="G423" s="552"/>
      <c r="H423" s="544">
        <f>IF($E$418="",0,((Nutzung!$G$29+Regelung-1)+(($C$420-Nutzung!$G$29)/2)-F283)*D283*$D$418*$E$418*24/($B$284*1000))</f>
        <v>0</v>
      </c>
      <c r="I423" s="537">
        <f>Einträge!E163</f>
        <v>0</v>
      </c>
      <c r="J423" s="285">
        <f>H423-I423*$F$297</f>
        <v>0</v>
      </c>
      <c r="K423" s="553"/>
      <c r="L423" s="283">
        <f t="shared" si="11"/>
        <v>0</v>
      </c>
      <c r="M423" s="541"/>
      <c r="N423" s="217"/>
      <c r="O423" s="242"/>
      <c r="P423" s="242"/>
      <c r="Q423" s="242"/>
      <c r="R423" s="242"/>
      <c r="S423" s="199"/>
      <c r="Z423" s="321"/>
      <c r="AA423" s="318"/>
      <c r="AB423" s="321"/>
      <c r="AC423" s="321"/>
      <c r="AD423" s="321"/>
      <c r="AE423" s="321"/>
      <c r="AF423" s="321"/>
      <c r="AG423" s="321"/>
      <c r="AH423" s="321"/>
      <c r="AI423" s="321"/>
      <c r="AJ423" s="321"/>
      <c r="AK423" s="321"/>
      <c r="AL423" s="300"/>
    </row>
    <row r="424" spans="1:38" s="234" customFormat="1" ht="10.199999999999999" hidden="1">
      <c r="A424" s="199"/>
      <c r="B424" s="647" t="s">
        <v>410</v>
      </c>
      <c r="C424" s="536"/>
      <c r="D424" s="130"/>
      <c r="E424" s="538"/>
      <c r="F424" s="225"/>
      <c r="G424" s="552"/>
      <c r="H424" s="544">
        <f>IF($E$418="",0,((Nutzung!$G$29+Regelung-1)+(($C$420-Nutzung!$G$29)/2)-F284)*D284*$D$418*$E$418*24/($B$284*1000))</f>
        <v>0</v>
      </c>
      <c r="I424" s="537">
        <f>Einträge!E164</f>
        <v>0</v>
      </c>
      <c r="J424" s="285">
        <f>H424-I424*$F$298</f>
        <v>0</v>
      </c>
      <c r="K424" s="553"/>
      <c r="L424" s="283">
        <f t="shared" si="11"/>
        <v>0</v>
      </c>
      <c r="M424" s="541"/>
      <c r="N424" s="217"/>
      <c r="O424" s="242"/>
      <c r="P424" s="242"/>
      <c r="Q424" s="242"/>
      <c r="R424" s="242"/>
      <c r="S424" s="199"/>
      <c r="Z424" s="321"/>
      <c r="AA424" s="318"/>
      <c r="AB424" s="321"/>
      <c r="AC424" s="321"/>
      <c r="AD424" s="321"/>
      <c r="AE424" s="321"/>
      <c r="AF424" s="321"/>
      <c r="AG424" s="321"/>
      <c r="AH424" s="321"/>
      <c r="AI424" s="321"/>
      <c r="AJ424" s="321"/>
      <c r="AK424" s="321"/>
      <c r="AL424" s="300"/>
    </row>
    <row r="425" spans="1:38" s="234" customFormat="1" ht="10.199999999999999" hidden="1">
      <c r="A425" s="199"/>
      <c r="B425" s="647" t="s">
        <v>411</v>
      </c>
      <c r="C425" s="536"/>
      <c r="D425" s="130"/>
      <c r="E425" s="538"/>
      <c r="F425" s="225"/>
      <c r="G425" s="552"/>
      <c r="H425" s="544">
        <f>IF($E$418="",0,((Nutzung!$G$29+Regelung-1)+(($C$420-Nutzung!$G$29)/2)-F285)*D285*$D$418*$E$418*24/($B$284*1000))</f>
        <v>0</v>
      </c>
      <c r="I425" s="537">
        <f>Einträge!E165</f>
        <v>0</v>
      </c>
      <c r="J425" s="285">
        <f>H425-I425*$F$299</f>
        <v>0</v>
      </c>
      <c r="K425" s="553"/>
      <c r="L425" s="283">
        <f t="shared" si="11"/>
        <v>0</v>
      </c>
      <c r="M425" s="541"/>
      <c r="N425" s="217" t="s">
        <v>517</v>
      </c>
      <c r="O425" s="242"/>
      <c r="P425" s="242"/>
      <c r="Q425" s="242"/>
      <c r="R425" s="242"/>
      <c r="S425" s="199"/>
      <c r="Z425" s="321"/>
      <c r="AA425" s="318"/>
      <c r="AB425" s="321"/>
      <c r="AC425" s="321"/>
      <c r="AD425" s="321"/>
      <c r="AE425" s="321"/>
      <c r="AF425" s="321"/>
      <c r="AG425" s="321"/>
      <c r="AH425" s="321"/>
      <c r="AI425" s="321"/>
      <c r="AJ425" s="321"/>
      <c r="AK425" s="321"/>
      <c r="AL425" s="300"/>
    </row>
    <row r="426" spans="1:38" s="234" customFormat="1" ht="10.199999999999999" hidden="1">
      <c r="A426" s="199"/>
      <c r="B426" s="647" t="s">
        <v>221</v>
      </c>
      <c r="C426" s="536"/>
      <c r="D426" s="130"/>
      <c r="E426" s="538"/>
      <c r="F426" s="225"/>
      <c r="G426" s="552"/>
      <c r="H426" s="544">
        <f>IF($E$418="",0,((Nutzung!$G$29+Regelung-1)+(($C$420-Nutzung!$G$29)/2)-F286)*D286*$D$418*$E$418*24/($B$284*1000))</f>
        <v>0</v>
      </c>
      <c r="I426" s="537">
        <f>Einträge!E166</f>
        <v>0</v>
      </c>
      <c r="J426" s="285">
        <f>H426-I426*$F$300</f>
        <v>0</v>
      </c>
      <c r="K426" s="553"/>
      <c r="L426" s="283">
        <f t="shared" si="11"/>
        <v>0</v>
      </c>
      <c r="M426" s="541"/>
      <c r="N426" s="254">
        <f>SUM(H420:H431)</f>
        <v>0</v>
      </c>
      <c r="O426" s="242"/>
      <c r="P426" s="242"/>
      <c r="Q426" s="242"/>
      <c r="R426" s="242"/>
      <c r="S426" s="199"/>
      <c r="Z426" s="321"/>
      <c r="AA426" s="318"/>
      <c r="AB426" s="321"/>
      <c r="AC426" s="321"/>
      <c r="AD426" s="321"/>
      <c r="AE426" s="321"/>
      <c r="AF426" s="321"/>
      <c r="AG426" s="321"/>
      <c r="AH426" s="321"/>
      <c r="AI426" s="321"/>
      <c r="AJ426" s="321"/>
      <c r="AK426" s="321"/>
      <c r="AL426" s="300"/>
    </row>
    <row r="427" spans="1:38" s="234" customFormat="1" ht="10.199999999999999" hidden="1">
      <c r="A427" s="199"/>
      <c r="B427" s="647" t="s">
        <v>138</v>
      </c>
      <c r="C427" s="536"/>
      <c r="D427" s="130"/>
      <c r="E427" s="538"/>
      <c r="F427" s="225"/>
      <c r="G427" s="552"/>
      <c r="H427" s="544">
        <f>IF($E$418="",0,((Nutzung!$G$29+Regelung-1)+(($C$420-Nutzung!$G$29)/2)-F287)*D287*$D$418*$E$418*24/($B$284*1000))</f>
        <v>0</v>
      </c>
      <c r="I427" s="537">
        <f>Einträge!E167</f>
        <v>0</v>
      </c>
      <c r="J427" s="285">
        <f>H427-I427*$F$301</f>
        <v>0</v>
      </c>
      <c r="K427" s="553"/>
      <c r="L427" s="283">
        <f t="shared" si="11"/>
        <v>0</v>
      </c>
      <c r="M427" s="541"/>
      <c r="N427" s="217"/>
      <c r="O427" s="242"/>
      <c r="P427" s="242"/>
      <c r="Q427" s="242"/>
      <c r="R427" s="242"/>
      <c r="S427" s="199"/>
      <c r="Z427" s="321"/>
      <c r="AA427" s="318"/>
      <c r="AB427" s="321"/>
      <c r="AC427" s="321"/>
      <c r="AD427" s="321"/>
      <c r="AE427" s="321"/>
      <c r="AF427" s="321"/>
      <c r="AG427" s="321"/>
      <c r="AH427" s="321"/>
      <c r="AI427" s="321"/>
      <c r="AJ427" s="321"/>
      <c r="AK427" s="321"/>
      <c r="AL427" s="300"/>
    </row>
    <row r="428" spans="1:38" s="234" customFormat="1" ht="10.199999999999999" hidden="1">
      <c r="A428" s="199"/>
      <c r="B428" s="647" t="s">
        <v>139</v>
      </c>
      <c r="C428" s="536"/>
      <c r="D428" s="130"/>
      <c r="E428" s="538"/>
      <c r="F428" s="225"/>
      <c r="G428" s="552"/>
      <c r="H428" s="544">
        <f>IF($E$418="",0,((Nutzung!$G$29+Regelung-1)+(($C$420-Nutzung!$G$29)/2)-F288)*D288*$D$418*$E$418*24/($B$284*1000))</f>
        <v>0</v>
      </c>
      <c r="I428" s="537">
        <f>Einträge!E168</f>
        <v>0</v>
      </c>
      <c r="J428" s="285">
        <f>H428-I428*$F$302</f>
        <v>0</v>
      </c>
      <c r="K428" s="553"/>
      <c r="L428" s="283">
        <f t="shared" si="11"/>
        <v>0</v>
      </c>
      <c r="M428" s="541"/>
      <c r="N428" s="217"/>
      <c r="O428" s="242"/>
      <c r="P428" s="242"/>
      <c r="Q428" s="242"/>
      <c r="R428" s="242"/>
      <c r="S428" s="199"/>
      <c r="Z428" s="321"/>
      <c r="AA428" s="318"/>
      <c r="AB428" s="321"/>
      <c r="AC428" s="321"/>
      <c r="AD428" s="321"/>
      <c r="AE428" s="321"/>
      <c r="AF428" s="321"/>
      <c r="AG428" s="321"/>
      <c r="AH428" s="321"/>
      <c r="AI428" s="321"/>
      <c r="AJ428" s="321"/>
      <c r="AK428" s="321"/>
      <c r="AL428" s="300"/>
    </row>
    <row r="429" spans="1:38" s="234" customFormat="1" ht="10.199999999999999" hidden="1">
      <c r="A429" s="199"/>
      <c r="B429" s="647" t="s">
        <v>269</v>
      </c>
      <c r="C429" s="536"/>
      <c r="D429" s="130"/>
      <c r="E429" s="538"/>
      <c r="F429" s="225"/>
      <c r="G429" s="552"/>
      <c r="H429" s="544">
        <f>IF($E$418="",0,((Nutzung!$G$29+Regelung-1)+(($C$420-Nutzung!$G$29)/2)-F289)*D289*$D$418*$E$418*24/($B$284*1000))</f>
        <v>0</v>
      </c>
      <c r="I429" s="537">
        <f>Einträge!E169</f>
        <v>0</v>
      </c>
      <c r="J429" s="285">
        <f>H429-I429*$F$303</f>
        <v>0</v>
      </c>
      <c r="K429" s="553"/>
      <c r="L429" s="283">
        <f t="shared" si="11"/>
        <v>0</v>
      </c>
      <c r="M429" s="541"/>
      <c r="N429" s="217"/>
      <c r="O429" s="242"/>
      <c r="P429" s="242"/>
      <c r="Q429" s="242"/>
      <c r="R429" s="242"/>
      <c r="S429" s="199"/>
      <c r="Z429" s="321"/>
      <c r="AA429" s="318"/>
      <c r="AB429" s="321"/>
      <c r="AC429" s="321"/>
      <c r="AD429" s="321"/>
      <c r="AE429" s="321"/>
      <c r="AF429" s="321"/>
      <c r="AG429" s="321"/>
      <c r="AH429" s="321"/>
      <c r="AI429" s="321"/>
      <c r="AJ429" s="321"/>
      <c r="AK429" s="321"/>
      <c r="AL429" s="300"/>
    </row>
    <row r="430" spans="1:38" s="234" customFormat="1" ht="10.199999999999999" hidden="1">
      <c r="A430" s="199"/>
      <c r="B430" s="647" t="s">
        <v>366</v>
      </c>
      <c r="C430" s="536"/>
      <c r="D430" s="130"/>
      <c r="E430" s="538"/>
      <c r="F430" s="225"/>
      <c r="G430" s="552"/>
      <c r="H430" s="544">
        <f>IF($E$418="",0,((Nutzung!$G$29+Regelung-1)+(($C$420-Nutzung!$G$29)/2)-F290)*D290*$D$418*$E$418*24/($B$284*1000))</f>
        <v>0</v>
      </c>
      <c r="I430" s="537">
        <f>Einträge!E170</f>
        <v>0</v>
      </c>
      <c r="J430" s="285">
        <f>H430-I430*$F$304</f>
        <v>0</v>
      </c>
      <c r="K430" s="553"/>
      <c r="L430" s="283">
        <f t="shared" si="11"/>
        <v>0</v>
      </c>
      <c r="M430" s="541"/>
      <c r="N430" s="217"/>
      <c r="O430" s="242"/>
      <c r="P430" s="242"/>
      <c r="Q430" s="242"/>
      <c r="R430" s="242"/>
      <c r="S430" s="199"/>
      <c r="Z430" s="321"/>
      <c r="AA430" s="318"/>
      <c r="AB430" s="321"/>
      <c r="AC430" s="321"/>
      <c r="AD430" s="321"/>
      <c r="AE430" s="321"/>
      <c r="AF430" s="321"/>
      <c r="AG430" s="321"/>
      <c r="AH430" s="321"/>
      <c r="AI430" s="321"/>
      <c r="AJ430" s="321"/>
      <c r="AK430" s="321"/>
      <c r="AL430" s="300"/>
    </row>
    <row r="431" spans="1:38" s="234" customFormat="1" ht="10.199999999999999" hidden="1">
      <c r="A431" s="199"/>
      <c r="B431" s="647" t="s">
        <v>465</v>
      </c>
      <c r="C431" s="536"/>
      <c r="D431" s="130"/>
      <c r="E431" s="538"/>
      <c r="F431" s="225"/>
      <c r="G431" s="552"/>
      <c r="H431" s="544">
        <f>IF($E$418="",0,((Nutzung!$G$29+Regelung-1)+(($C$420-Nutzung!$G$29)/2)-F291)*D291*$D$418*$E$418*24/($B$284*1000))</f>
        <v>0</v>
      </c>
      <c r="I431" s="537">
        <f>Einträge!E171</f>
        <v>0</v>
      </c>
      <c r="J431" s="285">
        <f>H431-I431*$F$305</f>
        <v>0</v>
      </c>
      <c r="K431" s="553"/>
      <c r="L431" s="283">
        <f t="shared" si="11"/>
        <v>0</v>
      </c>
      <c r="M431" s="541"/>
      <c r="N431" s="217"/>
      <c r="O431" s="242"/>
      <c r="P431" s="242"/>
      <c r="Q431" s="242"/>
      <c r="R431" s="242"/>
      <c r="S431" s="199"/>
      <c r="Z431" s="321"/>
      <c r="AA431" s="318"/>
      <c r="AB431" s="321"/>
      <c r="AC431" s="321"/>
      <c r="AD431" s="321"/>
      <c r="AE431" s="321"/>
      <c r="AF431" s="321"/>
      <c r="AG431" s="321"/>
      <c r="AH431" s="321"/>
      <c r="AI431" s="321"/>
      <c r="AJ431" s="321"/>
      <c r="AK431" s="321"/>
      <c r="AL431" s="300"/>
    </row>
    <row r="432" spans="1:38" ht="10.95" customHeight="1">
      <c r="A432" s="192"/>
      <c r="B432" s="648"/>
      <c r="C432" s="656"/>
      <c r="D432" s="657"/>
      <c r="E432" s="658"/>
      <c r="F432" s="664"/>
      <c r="G432" s="873"/>
      <c r="H432" s="658"/>
      <c r="I432" s="671"/>
      <c r="J432" s="668"/>
      <c r="K432" s="668"/>
      <c r="L432" s="220" t="str">
        <f>IF(E432="","",Nutzung!$G$29)</f>
        <v/>
      </c>
      <c r="M432" s="771" t="str">
        <f>IF(D432="","",AB432)</f>
        <v/>
      </c>
      <c r="N432" s="214">
        <f>IF(E432=0,0,M434)</f>
        <v>0</v>
      </c>
      <c r="O432" s="215" t="str">
        <f>IF(N432/$O$1370=0,"",N432/$O$1370)</f>
        <v/>
      </c>
      <c r="P432" s="192"/>
      <c r="Q432" s="241"/>
      <c r="R432" s="241"/>
      <c r="S432" s="192"/>
      <c r="T432" s="182">
        <f>D432*E432</f>
        <v>0</v>
      </c>
      <c r="AA432" s="318">
        <f>IF(D432="",0,1)</f>
        <v>0</v>
      </c>
      <c r="AB432" s="318">
        <f>AB418+AA432</f>
        <v>0</v>
      </c>
    </row>
    <row r="433" spans="1:28" ht="10.95" hidden="1" customHeight="1">
      <c r="A433" s="260"/>
      <c r="B433" s="793"/>
      <c r="C433" s="794"/>
      <c r="D433" s="44"/>
      <c r="E433" s="795"/>
      <c r="F433" s="796"/>
      <c r="G433" s="813"/>
      <c r="H433" s="816"/>
      <c r="I433" s="816"/>
      <c r="J433" s="797"/>
      <c r="K433" s="797"/>
      <c r="L433" s="798"/>
      <c r="M433" s="44"/>
      <c r="N433" s="214"/>
      <c r="O433" s="215"/>
      <c r="P433" s="192"/>
      <c r="Q433" s="241"/>
      <c r="R433" s="241"/>
      <c r="S433" s="192"/>
    </row>
    <row r="434" spans="1:28" ht="9.75" hidden="1" customHeight="1">
      <c r="A434" s="192"/>
      <c r="B434" s="650" t="s">
        <v>49</v>
      </c>
      <c r="C434" s="536" t="str">
        <f>IF($L$432&lt;Nutzung!$G$29,Nutzung!$G$29,$L$432)</f>
        <v/>
      </c>
      <c r="D434" s="181"/>
      <c r="E434" s="538"/>
      <c r="F434" s="225"/>
      <c r="G434" s="543">
        <f>IF(L432="",Nutzung!$G$29,Bauteile!L432)</f>
        <v>0</v>
      </c>
      <c r="H434" s="544">
        <f>IF($E$432="",0,((Nutzung!$G$29+Regelung-1)+(($C$434-Nutzung!$G$29)/2)-F280)*D280*$D$432*$E$432*24/($B$284*1000))</f>
        <v>0</v>
      </c>
      <c r="I434" s="537">
        <f>Einträge!E173</f>
        <v>0</v>
      </c>
      <c r="J434" s="285">
        <f>H434-I434*$F$294</f>
        <v>0</v>
      </c>
      <c r="K434" s="554"/>
      <c r="L434" s="283">
        <f t="shared" ref="L434:L445" si="12">IF($B$282=1,J434,H434)</f>
        <v>0</v>
      </c>
      <c r="M434" s="283" t="str">
        <f>IF(E432="","",SUM(L434:L445))</f>
        <v/>
      </c>
      <c r="N434" s="217"/>
      <c r="O434" s="242"/>
      <c r="P434" s="208"/>
      <c r="Q434" s="208"/>
      <c r="R434" s="208"/>
      <c r="S434" s="192"/>
    </row>
    <row r="435" spans="1:28" ht="9.75" hidden="1" customHeight="1">
      <c r="A435" s="192"/>
      <c r="B435" s="650" t="s">
        <v>554</v>
      </c>
      <c r="C435" s="536"/>
      <c r="D435" s="181"/>
      <c r="E435" s="538"/>
      <c r="F435" s="225"/>
      <c r="G435" s="552"/>
      <c r="H435" s="544">
        <f>IF($E$432="",0,((Nutzung!$G$29+Regelung-1)+(($C$434-Nutzung!$G$29)/2)-F281)*D281*$D$432*$E$432*24/($B$284*1000))</f>
        <v>0</v>
      </c>
      <c r="I435" s="537">
        <f>Einträge!E174</f>
        <v>0</v>
      </c>
      <c r="J435" s="285">
        <f>H435-I435*$F$295</f>
        <v>0</v>
      </c>
      <c r="K435" s="554"/>
      <c r="L435" s="283">
        <f t="shared" si="12"/>
        <v>0</v>
      </c>
      <c r="M435" s="181"/>
      <c r="N435" s="217"/>
      <c r="O435" s="242"/>
      <c r="P435" s="208"/>
      <c r="Q435" s="208"/>
      <c r="R435" s="208"/>
      <c r="S435" s="192"/>
    </row>
    <row r="436" spans="1:28" ht="9.75" hidden="1" customHeight="1">
      <c r="A436" s="192"/>
      <c r="B436" s="650" t="s">
        <v>306</v>
      </c>
      <c r="C436" s="536"/>
      <c r="D436" s="181"/>
      <c r="E436" s="538"/>
      <c r="F436" s="225"/>
      <c r="G436" s="552"/>
      <c r="H436" s="544">
        <f>IF($E$432="",0,((Nutzung!$G$29+Regelung-1)+(($C$434-Nutzung!$G$29)/2)-F282)*D282*$D$432*$E$432*24/($B$284*1000))</f>
        <v>0</v>
      </c>
      <c r="I436" s="537">
        <f>Einträge!E175</f>
        <v>0</v>
      </c>
      <c r="J436" s="285">
        <f>H436-I436*$F$296</f>
        <v>0</v>
      </c>
      <c r="K436" s="554"/>
      <c r="L436" s="283">
        <f t="shared" si="12"/>
        <v>0</v>
      </c>
      <c r="M436" s="181"/>
      <c r="N436" s="217"/>
      <c r="O436" s="242"/>
      <c r="P436" s="208"/>
      <c r="Q436" s="208"/>
      <c r="R436" s="208"/>
      <c r="S436" s="192"/>
    </row>
    <row r="437" spans="1:28" ht="9.75" hidden="1" customHeight="1">
      <c r="A437" s="192"/>
      <c r="B437" s="650" t="s">
        <v>409</v>
      </c>
      <c r="C437" s="536"/>
      <c r="D437" s="181"/>
      <c r="E437" s="538"/>
      <c r="F437" s="225"/>
      <c r="G437" s="552"/>
      <c r="H437" s="544">
        <f>IF($E$432="",0,((Nutzung!$G$29+Regelung-1)+(($C$434-Nutzung!$G$29)/2)-F283)*D283*$D$432*$E$432*24/($B$284*1000))</f>
        <v>0</v>
      </c>
      <c r="I437" s="537">
        <f>Einträge!E176</f>
        <v>0</v>
      </c>
      <c r="J437" s="285">
        <f>H437-I437*$F$297</f>
        <v>0</v>
      </c>
      <c r="K437" s="554"/>
      <c r="L437" s="283">
        <f t="shared" si="12"/>
        <v>0</v>
      </c>
      <c r="M437" s="181"/>
      <c r="N437" s="217"/>
      <c r="O437" s="242"/>
      <c r="P437" s="208"/>
      <c r="Q437" s="208"/>
      <c r="R437" s="208"/>
      <c r="S437" s="192"/>
    </row>
    <row r="438" spans="1:28" ht="9.75" hidden="1" customHeight="1">
      <c r="A438" s="192"/>
      <c r="B438" s="650" t="s">
        <v>410</v>
      </c>
      <c r="C438" s="536"/>
      <c r="D438" s="181"/>
      <c r="E438" s="538"/>
      <c r="F438" s="225"/>
      <c r="G438" s="552"/>
      <c r="H438" s="544">
        <f>IF($E$432="",0,((Nutzung!$G$29+Regelung-1)+(($C$434-Nutzung!$G$29)/2)-F284)*D284*$D$432*$E$432*24/($B$284*1000))</f>
        <v>0</v>
      </c>
      <c r="I438" s="537">
        <f>Einträge!E177</f>
        <v>0</v>
      </c>
      <c r="J438" s="285">
        <f>H438-I438*$F$298</f>
        <v>0</v>
      </c>
      <c r="K438" s="554"/>
      <c r="L438" s="283">
        <f t="shared" si="12"/>
        <v>0</v>
      </c>
      <c r="M438" s="181"/>
      <c r="N438" s="217"/>
      <c r="O438" s="242"/>
      <c r="P438" s="208"/>
      <c r="Q438" s="208"/>
      <c r="R438" s="208"/>
      <c r="S438" s="192"/>
    </row>
    <row r="439" spans="1:28" ht="9.75" hidden="1" customHeight="1">
      <c r="A439" s="192"/>
      <c r="B439" s="650" t="s">
        <v>411</v>
      </c>
      <c r="C439" s="536"/>
      <c r="D439" s="181"/>
      <c r="E439" s="538"/>
      <c r="F439" s="225"/>
      <c r="G439" s="552"/>
      <c r="H439" s="544">
        <f>IF($E$432="",0,((Nutzung!$G$29+Regelung-1)+(($C$434-Nutzung!$G$29)/2)-F285)*D285*$D$432*$E$432*24/($B$284*1000))</f>
        <v>0</v>
      </c>
      <c r="I439" s="537">
        <f>Einträge!E178</f>
        <v>0</v>
      </c>
      <c r="J439" s="285">
        <f>H439-I439*$F$299</f>
        <v>0</v>
      </c>
      <c r="K439" s="554"/>
      <c r="L439" s="283">
        <f t="shared" si="12"/>
        <v>0</v>
      </c>
      <c r="M439" s="181"/>
      <c r="N439" s="217" t="s">
        <v>517</v>
      </c>
      <c r="O439" s="242"/>
      <c r="P439" s="208"/>
      <c r="Q439" s="208"/>
      <c r="R439" s="208"/>
      <c r="S439" s="192"/>
    </row>
    <row r="440" spans="1:28" ht="9.75" hidden="1" customHeight="1">
      <c r="A440" s="192"/>
      <c r="B440" s="650" t="s">
        <v>221</v>
      </c>
      <c r="C440" s="536"/>
      <c r="D440" s="181"/>
      <c r="E440" s="538"/>
      <c r="F440" s="225"/>
      <c r="G440" s="552"/>
      <c r="H440" s="544">
        <f>IF($E$432="",0,((Nutzung!$G$29+Regelung-1)+(($C$434-Nutzung!$G$29)/2)-F286)*D286*$D$432*$E$432*24/($B$284*1000))</f>
        <v>0</v>
      </c>
      <c r="I440" s="537">
        <f>Einträge!E179</f>
        <v>0</v>
      </c>
      <c r="J440" s="285">
        <f>H440-I440*$F$300</f>
        <v>0</v>
      </c>
      <c r="K440" s="554"/>
      <c r="L440" s="283">
        <f t="shared" si="12"/>
        <v>0</v>
      </c>
      <c r="M440" s="181"/>
      <c r="N440" s="254">
        <f>SUM(H434:H445)</f>
        <v>0</v>
      </c>
      <c r="O440" s="242"/>
      <c r="P440" s="208"/>
      <c r="Q440" s="208"/>
      <c r="R440" s="208"/>
      <c r="S440" s="192"/>
    </row>
    <row r="441" spans="1:28" ht="9.75" hidden="1" customHeight="1">
      <c r="A441" s="192"/>
      <c r="B441" s="650" t="s">
        <v>138</v>
      </c>
      <c r="C441" s="536"/>
      <c r="D441" s="181"/>
      <c r="E441" s="538"/>
      <c r="F441" s="225"/>
      <c r="G441" s="552"/>
      <c r="H441" s="544">
        <f>IF($E$432="",0,((Nutzung!$G$29+Regelung-1)+(($C$434-Nutzung!$G$29)/2)-F287)*D287*$D$432*$E$432*24/($B$284*1000))</f>
        <v>0</v>
      </c>
      <c r="I441" s="537">
        <f>Einträge!E180</f>
        <v>0</v>
      </c>
      <c r="J441" s="285">
        <f>H441-I441*$F$301</f>
        <v>0</v>
      </c>
      <c r="K441" s="554"/>
      <c r="L441" s="283">
        <f t="shared" si="12"/>
        <v>0</v>
      </c>
      <c r="M441" s="181"/>
      <c r="N441" s="217"/>
      <c r="O441" s="242"/>
      <c r="P441" s="208"/>
      <c r="Q441" s="208"/>
      <c r="R441" s="208"/>
      <c r="S441" s="192"/>
    </row>
    <row r="442" spans="1:28" ht="9.75" hidden="1" customHeight="1">
      <c r="A442" s="192"/>
      <c r="B442" s="650" t="s">
        <v>139</v>
      </c>
      <c r="C442" s="536"/>
      <c r="D442" s="181"/>
      <c r="E442" s="538"/>
      <c r="F442" s="225"/>
      <c r="G442" s="552"/>
      <c r="H442" s="544">
        <f>IF($E$432="",0,((Nutzung!$G$29+Regelung-1)+(($C$434-Nutzung!$G$29)/2)-F288)*D288*$D$432*$E$432*24/($B$284*1000))</f>
        <v>0</v>
      </c>
      <c r="I442" s="537">
        <f>Einträge!E181</f>
        <v>0</v>
      </c>
      <c r="J442" s="285">
        <f>H442-I442*$F$302</f>
        <v>0</v>
      </c>
      <c r="K442" s="554"/>
      <c r="L442" s="283">
        <f t="shared" si="12"/>
        <v>0</v>
      </c>
      <c r="M442" s="181"/>
      <c r="N442" s="217"/>
      <c r="O442" s="242"/>
      <c r="P442" s="208"/>
      <c r="Q442" s="208"/>
      <c r="R442" s="208"/>
      <c r="S442" s="192"/>
    </row>
    <row r="443" spans="1:28" ht="9.75" hidden="1" customHeight="1">
      <c r="A443" s="192"/>
      <c r="B443" s="650" t="s">
        <v>269</v>
      </c>
      <c r="C443" s="536"/>
      <c r="D443" s="181"/>
      <c r="E443" s="538"/>
      <c r="F443" s="225"/>
      <c r="G443" s="552"/>
      <c r="H443" s="544">
        <f>IF($E$432="",0,((Nutzung!$G$29+Regelung-1)+(($C$434-Nutzung!$G$29)/2)-F289)*D289*$D$432*$E$432*24/($B$284*1000))</f>
        <v>0</v>
      </c>
      <c r="I443" s="537">
        <f>Einträge!E182</f>
        <v>0</v>
      </c>
      <c r="J443" s="285">
        <f>H443-I443*$F$303</f>
        <v>0</v>
      </c>
      <c r="K443" s="554"/>
      <c r="L443" s="283">
        <f t="shared" si="12"/>
        <v>0</v>
      </c>
      <c r="M443" s="181"/>
      <c r="N443" s="217"/>
      <c r="O443" s="242"/>
      <c r="P443" s="208"/>
      <c r="Q443" s="208"/>
      <c r="R443" s="208"/>
      <c r="S443" s="192"/>
    </row>
    <row r="444" spans="1:28" ht="9.75" hidden="1" customHeight="1">
      <c r="A444" s="192"/>
      <c r="B444" s="650" t="s">
        <v>366</v>
      </c>
      <c r="C444" s="536"/>
      <c r="D444" s="181"/>
      <c r="E444" s="538"/>
      <c r="F444" s="225"/>
      <c r="G444" s="552"/>
      <c r="H444" s="544">
        <f>IF($E$432="",0,((Nutzung!$G$29+Regelung-1)+(($C$434-Nutzung!$G$29)/2)-F290)*D290*$D$432*$E$432*24/($B$284*1000))</f>
        <v>0</v>
      </c>
      <c r="I444" s="537">
        <f>Einträge!E183</f>
        <v>0</v>
      </c>
      <c r="J444" s="285">
        <f>H444-I444*$F$304</f>
        <v>0</v>
      </c>
      <c r="K444" s="554"/>
      <c r="L444" s="283">
        <f t="shared" si="12"/>
        <v>0</v>
      </c>
      <c r="M444" s="181"/>
      <c r="N444" s="217"/>
      <c r="O444" s="242"/>
      <c r="P444" s="208"/>
      <c r="Q444" s="208"/>
      <c r="R444" s="208"/>
      <c r="S444" s="192"/>
    </row>
    <row r="445" spans="1:28" ht="9.75" hidden="1" customHeight="1">
      <c r="A445" s="192"/>
      <c r="B445" s="650" t="s">
        <v>465</v>
      </c>
      <c r="C445" s="536"/>
      <c r="D445" s="181"/>
      <c r="E445" s="538"/>
      <c r="F445" s="225"/>
      <c r="G445" s="552"/>
      <c r="H445" s="544">
        <f>IF($E$432="",0,((Nutzung!$G$29+Regelung-1)+(($C$434-Nutzung!$G$29)/2)-F291)*D291*$D$432*$E$432*24/($B$284*1000))</f>
        <v>0</v>
      </c>
      <c r="I445" s="537">
        <f>Einträge!E184</f>
        <v>0</v>
      </c>
      <c r="J445" s="285">
        <f>H445-I445*$F$305</f>
        <v>0</v>
      </c>
      <c r="K445" s="554"/>
      <c r="L445" s="283">
        <f t="shared" si="12"/>
        <v>0</v>
      </c>
      <c r="M445" s="181"/>
      <c r="N445" s="217"/>
      <c r="O445" s="242"/>
      <c r="P445" s="208"/>
      <c r="Q445" s="208"/>
      <c r="R445" s="208"/>
      <c r="S445" s="192"/>
    </row>
    <row r="446" spans="1:28" ht="10.95" customHeight="1">
      <c r="A446" s="192"/>
      <c r="B446" s="648"/>
      <c r="C446" s="656"/>
      <c r="D446" s="657"/>
      <c r="E446" s="658"/>
      <c r="F446" s="664"/>
      <c r="G446" s="873"/>
      <c r="H446" s="658"/>
      <c r="I446" s="671"/>
      <c r="J446" s="668"/>
      <c r="K446" s="668"/>
      <c r="L446" s="220" t="str">
        <f>IF(E446="","",Nutzung!$G$29)</f>
        <v/>
      </c>
      <c r="M446" s="771" t="str">
        <f>IF(D446="","",AB446)</f>
        <v/>
      </c>
      <c r="N446" s="214">
        <f>IF(E446=0,0,M448)</f>
        <v>0</v>
      </c>
      <c r="O446" s="215" t="str">
        <f>IF(N446/$O$1370=0,"",N446/$O$1370)</f>
        <v/>
      </c>
      <c r="P446" s="192"/>
      <c r="Q446" s="208"/>
      <c r="R446" s="208"/>
      <c r="S446" s="192"/>
      <c r="T446" s="182">
        <f>D446*E446</f>
        <v>0</v>
      </c>
      <c r="AA446" s="318">
        <f>IF(D446="",0,1)</f>
        <v>0</v>
      </c>
      <c r="AB446" s="318">
        <f>AB432+AA446</f>
        <v>0</v>
      </c>
    </row>
    <row r="447" spans="1:28" ht="10.95" hidden="1" customHeight="1">
      <c r="A447" s="260"/>
      <c r="B447" s="793"/>
      <c r="C447" s="794"/>
      <c r="D447" s="44"/>
      <c r="E447" s="795"/>
      <c r="F447" s="796"/>
      <c r="G447" s="813"/>
      <c r="H447" s="816"/>
      <c r="I447" s="816"/>
      <c r="J447" s="797"/>
      <c r="K447" s="797"/>
      <c r="L447" s="798"/>
      <c r="M447" s="44"/>
      <c r="N447" s="214"/>
      <c r="O447" s="215"/>
      <c r="P447" s="192"/>
      <c r="Q447" s="208"/>
      <c r="R447" s="208"/>
      <c r="S447" s="192"/>
    </row>
    <row r="448" spans="1:28" ht="9.75" hidden="1" customHeight="1">
      <c r="A448" s="192"/>
      <c r="B448" s="647" t="s">
        <v>49</v>
      </c>
      <c r="C448" s="536" t="str">
        <f>IF($L$446&lt;Nutzung!$G$29,Nutzung!$G$29,$L$446)</f>
        <v/>
      </c>
      <c r="D448" s="181"/>
      <c r="E448" s="538"/>
      <c r="F448" s="225"/>
      <c r="G448" s="543">
        <f>IF(L446="",Nutzung!$G$29,Bauteile!L446)</f>
        <v>0</v>
      </c>
      <c r="H448" s="544">
        <f>IF($E$446="",0,((Nutzung!$G$29+Regelung-1)+(($C$448-Nutzung!$G$29)/2)-F280)*D280*$D$446*$E$446*24/($B$284*1000))</f>
        <v>0</v>
      </c>
      <c r="I448" s="537">
        <f>Einträge!E186</f>
        <v>0</v>
      </c>
      <c r="J448" s="285">
        <f>H448-I448*$F$294</f>
        <v>0</v>
      </c>
      <c r="K448" s="554"/>
      <c r="L448" s="283">
        <f t="shared" ref="L448:L459" si="13">IF($B$282=1,J448,H448)</f>
        <v>0</v>
      </c>
      <c r="M448" s="283" t="str">
        <f>IF(E446="","",SUM(L448:L459))</f>
        <v/>
      </c>
      <c r="N448" s="217"/>
      <c r="O448" s="242"/>
      <c r="P448" s="208"/>
      <c r="Q448" s="208"/>
      <c r="R448" s="208"/>
      <c r="S448" s="192"/>
    </row>
    <row r="449" spans="1:28" ht="9.75" hidden="1" customHeight="1">
      <c r="A449" s="192"/>
      <c r="B449" s="647" t="s">
        <v>554</v>
      </c>
      <c r="C449" s="536"/>
      <c r="D449" s="181"/>
      <c r="E449" s="538"/>
      <c r="F449" s="225"/>
      <c r="G449" s="552"/>
      <c r="H449" s="544">
        <f>IF($E$446="",0,((Nutzung!$G$29+Regelung-1)+(($C$448-Nutzung!$G$29)/2)-F281)*D281*$D$446*$E$446*24/($B$284*1000))</f>
        <v>0</v>
      </c>
      <c r="I449" s="537">
        <f>Einträge!E187</f>
        <v>0</v>
      </c>
      <c r="J449" s="285">
        <f>H449-I449*$F$295</f>
        <v>0</v>
      </c>
      <c r="K449" s="554"/>
      <c r="L449" s="283">
        <f t="shared" si="13"/>
        <v>0</v>
      </c>
      <c r="M449" s="181"/>
      <c r="N449" s="217"/>
      <c r="O449" s="242"/>
      <c r="P449" s="208"/>
      <c r="Q449" s="208"/>
      <c r="R449" s="208"/>
      <c r="S449" s="192"/>
    </row>
    <row r="450" spans="1:28" ht="9.75" hidden="1" customHeight="1">
      <c r="A450" s="192"/>
      <c r="B450" s="647" t="s">
        <v>306</v>
      </c>
      <c r="C450" s="536"/>
      <c r="D450" s="181"/>
      <c r="E450" s="538"/>
      <c r="F450" s="225"/>
      <c r="G450" s="552"/>
      <c r="H450" s="544">
        <f>IF($E$446="",0,((Nutzung!$G$29+Regelung-1)+(($C$448-Nutzung!$G$29)/2)-F282)*D282*$D$446*$E$446*24/($B$284*1000))</f>
        <v>0</v>
      </c>
      <c r="I450" s="537">
        <f>Einträge!E188</f>
        <v>0</v>
      </c>
      <c r="J450" s="285">
        <f>H450-I450*$F$296</f>
        <v>0</v>
      </c>
      <c r="K450" s="554"/>
      <c r="L450" s="283">
        <f t="shared" si="13"/>
        <v>0</v>
      </c>
      <c r="M450" s="181"/>
      <c r="N450" s="217"/>
      <c r="O450" s="242"/>
      <c r="P450" s="208"/>
      <c r="Q450" s="208"/>
      <c r="R450" s="208"/>
      <c r="S450" s="192"/>
    </row>
    <row r="451" spans="1:28" ht="9.75" hidden="1" customHeight="1">
      <c r="A451" s="192"/>
      <c r="B451" s="647" t="s">
        <v>409</v>
      </c>
      <c r="C451" s="536"/>
      <c r="D451" s="181"/>
      <c r="E451" s="538"/>
      <c r="F451" s="225"/>
      <c r="G451" s="552"/>
      <c r="H451" s="544">
        <f>IF($E$446="",0,((Nutzung!$G$29+Regelung-1)+(($C$448-Nutzung!$G$29)/2)-F283)*D283*$D$446*$E$446*24/($B$284*1000))</f>
        <v>0</v>
      </c>
      <c r="I451" s="537">
        <f>Einträge!E189</f>
        <v>0</v>
      </c>
      <c r="J451" s="285">
        <f>H451-I451*$F$297</f>
        <v>0</v>
      </c>
      <c r="K451" s="554"/>
      <c r="L451" s="283">
        <f t="shared" si="13"/>
        <v>0</v>
      </c>
      <c r="M451" s="181"/>
      <c r="N451" s="217"/>
      <c r="O451" s="242"/>
      <c r="P451" s="208"/>
      <c r="Q451" s="208"/>
      <c r="R451" s="208"/>
      <c r="S451" s="192"/>
    </row>
    <row r="452" spans="1:28" ht="9.75" hidden="1" customHeight="1">
      <c r="A452" s="192"/>
      <c r="B452" s="647" t="s">
        <v>410</v>
      </c>
      <c r="C452" s="536"/>
      <c r="D452" s="181"/>
      <c r="E452" s="538"/>
      <c r="F452" s="225"/>
      <c r="G452" s="552"/>
      <c r="H452" s="544">
        <f>IF($E$446="",0,((Nutzung!$G$29+Regelung-1)+(($C$448-Nutzung!$G$29)/2)-F284)*D284*$D$446*$E$446*24/($B$284*1000))</f>
        <v>0</v>
      </c>
      <c r="I452" s="537">
        <f>Einträge!E190</f>
        <v>0</v>
      </c>
      <c r="J452" s="285">
        <f>H452-I452*$F$298</f>
        <v>0</v>
      </c>
      <c r="K452" s="554"/>
      <c r="L452" s="283">
        <f t="shared" si="13"/>
        <v>0</v>
      </c>
      <c r="M452" s="181"/>
      <c r="N452" s="217"/>
      <c r="O452" s="242"/>
      <c r="P452" s="208"/>
      <c r="Q452" s="208"/>
      <c r="R452" s="208"/>
      <c r="S452" s="192"/>
    </row>
    <row r="453" spans="1:28" ht="9.75" hidden="1" customHeight="1">
      <c r="A453" s="192"/>
      <c r="B453" s="647" t="s">
        <v>411</v>
      </c>
      <c r="C453" s="536"/>
      <c r="D453" s="181"/>
      <c r="E453" s="538"/>
      <c r="F453" s="225"/>
      <c r="G453" s="552"/>
      <c r="H453" s="544">
        <f>IF($E$446="",0,((Nutzung!$G$29+Regelung-1)+(($C$448-Nutzung!$G$29)/2)-F285)*D285*$D$446*$E$446*24/($B$284*1000))</f>
        <v>0</v>
      </c>
      <c r="I453" s="537">
        <f>Einträge!E191</f>
        <v>0</v>
      </c>
      <c r="J453" s="285">
        <f>H453-I453*$F$299</f>
        <v>0</v>
      </c>
      <c r="K453" s="554"/>
      <c r="L453" s="283">
        <f t="shared" si="13"/>
        <v>0</v>
      </c>
      <c r="M453" s="181"/>
      <c r="N453" s="217" t="s">
        <v>517</v>
      </c>
      <c r="O453" s="242"/>
      <c r="P453" s="208"/>
      <c r="Q453" s="208"/>
      <c r="R453" s="208"/>
      <c r="S453" s="192"/>
    </row>
    <row r="454" spans="1:28" ht="9.75" hidden="1" customHeight="1">
      <c r="A454" s="192"/>
      <c r="B454" s="647" t="s">
        <v>221</v>
      </c>
      <c r="C454" s="536"/>
      <c r="D454" s="181"/>
      <c r="E454" s="538"/>
      <c r="F454" s="225"/>
      <c r="G454" s="552"/>
      <c r="H454" s="544">
        <f>IF($E$446="",0,((Nutzung!$G$29+Regelung-1)+(($C$448-Nutzung!$G$29)/2)-F286)*D286*$D$446*$E$446*24/($B$284*1000))</f>
        <v>0</v>
      </c>
      <c r="I454" s="537">
        <f>Einträge!E192</f>
        <v>0</v>
      </c>
      <c r="J454" s="285">
        <f>H454-I454*$F$300</f>
        <v>0</v>
      </c>
      <c r="K454" s="554"/>
      <c r="L454" s="283">
        <f t="shared" si="13"/>
        <v>0</v>
      </c>
      <c r="M454" s="181"/>
      <c r="N454" s="254">
        <f>SUM(H448:H459)</f>
        <v>0</v>
      </c>
      <c r="O454" s="242"/>
      <c r="P454" s="208"/>
      <c r="Q454" s="208"/>
      <c r="R454" s="208"/>
      <c r="S454" s="192"/>
    </row>
    <row r="455" spans="1:28" ht="9.75" hidden="1" customHeight="1">
      <c r="A455" s="192"/>
      <c r="B455" s="647" t="s">
        <v>138</v>
      </c>
      <c r="C455" s="536"/>
      <c r="D455" s="181"/>
      <c r="E455" s="538"/>
      <c r="F455" s="225"/>
      <c r="G455" s="552"/>
      <c r="H455" s="544">
        <f>IF($E$446="",0,((Nutzung!$G$29+Regelung-1)+(($C$448-Nutzung!$G$29)/2)-F287)*D287*$D$446*$E$446*24/($B$284*1000))</f>
        <v>0</v>
      </c>
      <c r="I455" s="537">
        <f>Einträge!E193</f>
        <v>0</v>
      </c>
      <c r="J455" s="285">
        <f>H455-I455*$F$301</f>
        <v>0</v>
      </c>
      <c r="K455" s="554"/>
      <c r="L455" s="283">
        <f t="shared" si="13"/>
        <v>0</v>
      </c>
      <c r="M455" s="181"/>
      <c r="N455" s="217"/>
      <c r="O455" s="242"/>
      <c r="P455" s="208"/>
      <c r="Q455" s="208"/>
      <c r="R455" s="208"/>
      <c r="S455" s="192"/>
    </row>
    <row r="456" spans="1:28" ht="9.75" hidden="1" customHeight="1">
      <c r="A456" s="192"/>
      <c r="B456" s="647" t="s">
        <v>139</v>
      </c>
      <c r="C456" s="536"/>
      <c r="D456" s="181"/>
      <c r="E456" s="538"/>
      <c r="F456" s="225"/>
      <c r="G456" s="552"/>
      <c r="H456" s="544">
        <f>IF($E$446="",0,((Nutzung!$G$29+Regelung-1)+(($C$448-Nutzung!$G$29)/2)-F288)*D288*$D$446*$E$446*24/($B$284*1000))</f>
        <v>0</v>
      </c>
      <c r="I456" s="537">
        <f>Einträge!E194</f>
        <v>0</v>
      </c>
      <c r="J456" s="285">
        <f>H456-I456*$F$302</f>
        <v>0</v>
      </c>
      <c r="K456" s="554"/>
      <c r="L456" s="283">
        <f t="shared" si="13"/>
        <v>0</v>
      </c>
      <c r="M456" s="181"/>
      <c r="N456" s="217"/>
      <c r="O456" s="242"/>
      <c r="P456" s="208"/>
      <c r="Q456" s="208"/>
      <c r="R456" s="208"/>
      <c r="S456" s="192"/>
    </row>
    <row r="457" spans="1:28" ht="9.75" hidden="1" customHeight="1">
      <c r="A457" s="192"/>
      <c r="B457" s="647" t="s">
        <v>269</v>
      </c>
      <c r="C457" s="536"/>
      <c r="D457" s="181"/>
      <c r="E457" s="538"/>
      <c r="F457" s="225"/>
      <c r="G457" s="552"/>
      <c r="H457" s="544">
        <f>IF($E$446="",0,((Nutzung!$G$29+Regelung-1)+(($C$448-Nutzung!$G$29)/2)-F289)*D289*$D$446*$E$446*24/($B$284*1000))</f>
        <v>0</v>
      </c>
      <c r="I457" s="537">
        <f>Einträge!E195</f>
        <v>0</v>
      </c>
      <c r="J457" s="285">
        <f>H457-I457*$F$303</f>
        <v>0</v>
      </c>
      <c r="K457" s="554"/>
      <c r="L457" s="283">
        <f t="shared" si="13"/>
        <v>0</v>
      </c>
      <c r="M457" s="181"/>
      <c r="N457" s="217"/>
      <c r="O457" s="242"/>
      <c r="P457" s="208"/>
      <c r="Q457" s="208"/>
      <c r="R457" s="208"/>
      <c r="S457" s="192"/>
    </row>
    <row r="458" spans="1:28" ht="9.75" hidden="1" customHeight="1">
      <c r="A458" s="192"/>
      <c r="B458" s="647" t="s">
        <v>366</v>
      </c>
      <c r="C458" s="536"/>
      <c r="D458" s="181"/>
      <c r="E458" s="538"/>
      <c r="F458" s="225"/>
      <c r="G458" s="552"/>
      <c r="H458" s="544">
        <f>IF($E$446="",0,((Nutzung!$G$29+Regelung-1)+(($C$448-Nutzung!$G$29)/2)-F290)*D290*$D$446*$E$446*24/($B$284*1000))</f>
        <v>0</v>
      </c>
      <c r="I458" s="537">
        <f>Einträge!E196</f>
        <v>0</v>
      </c>
      <c r="J458" s="285">
        <f>H458-I458*$F$304</f>
        <v>0</v>
      </c>
      <c r="K458" s="554"/>
      <c r="L458" s="283">
        <f t="shared" si="13"/>
        <v>0</v>
      </c>
      <c r="M458" s="181"/>
      <c r="N458" s="217"/>
      <c r="O458" s="242"/>
      <c r="P458" s="208"/>
      <c r="Q458" s="208"/>
      <c r="R458" s="208"/>
      <c r="S458" s="192"/>
    </row>
    <row r="459" spans="1:28" ht="9.75" hidden="1" customHeight="1">
      <c r="A459" s="192"/>
      <c r="B459" s="647" t="s">
        <v>465</v>
      </c>
      <c r="C459" s="536"/>
      <c r="D459" s="181"/>
      <c r="E459" s="538"/>
      <c r="F459" s="225"/>
      <c r="G459" s="552"/>
      <c r="H459" s="544">
        <f>IF($E$446="",0,((Nutzung!$G$29+Regelung-1)+(($C$448-Nutzung!$G$29)/2)-F291)*D291*$D$446*$E$446*24/($B$284*1000))</f>
        <v>0</v>
      </c>
      <c r="I459" s="537">
        <f>Einträge!E197</f>
        <v>0</v>
      </c>
      <c r="J459" s="285">
        <f>H459-I459*$F$305</f>
        <v>0</v>
      </c>
      <c r="K459" s="554"/>
      <c r="L459" s="283">
        <f t="shared" si="13"/>
        <v>0</v>
      </c>
      <c r="M459" s="181"/>
      <c r="N459" s="217"/>
      <c r="O459" s="242"/>
      <c r="P459" s="208"/>
      <c r="Q459" s="208"/>
      <c r="R459" s="208"/>
      <c r="S459" s="192"/>
    </row>
    <row r="460" spans="1:28" ht="10.95" customHeight="1">
      <c r="A460" s="192"/>
      <c r="B460" s="648"/>
      <c r="C460" s="656"/>
      <c r="D460" s="657"/>
      <c r="E460" s="658"/>
      <c r="F460" s="664"/>
      <c r="G460" s="873"/>
      <c r="H460" s="658"/>
      <c r="I460" s="671"/>
      <c r="J460" s="668"/>
      <c r="K460" s="668"/>
      <c r="L460" s="220" t="str">
        <f>IF(E460="","",Nutzung!$G$29)</f>
        <v/>
      </c>
      <c r="M460" s="771" t="str">
        <f>IF(D460="","",AB460)</f>
        <v/>
      </c>
      <c r="N460" s="214">
        <f>IF(E460=0,0,M462)</f>
        <v>0</v>
      </c>
      <c r="O460" s="215" t="str">
        <f>IF(N460/$O$1370=0,"",N460/$O$1370)</f>
        <v/>
      </c>
      <c r="P460" s="192"/>
      <c r="Q460" s="208"/>
      <c r="R460" s="208"/>
      <c r="S460" s="192"/>
      <c r="T460" s="182">
        <f>D460*E460</f>
        <v>0</v>
      </c>
      <c r="AA460" s="318">
        <f>IF(D460="",0,1)</f>
        <v>0</v>
      </c>
      <c r="AB460" s="318">
        <f>AB446+AA460</f>
        <v>0</v>
      </c>
    </row>
    <row r="461" spans="1:28" ht="10.95" hidden="1" customHeight="1">
      <c r="A461" s="260"/>
      <c r="B461" s="793"/>
      <c r="C461" s="794"/>
      <c r="D461" s="44"/>
      <c r="E461" s="795"/>
      <c r="F461" s="796"/>
      <c r="G461" s="813"/>
      <c r="H461" s="816"/>
      <c r="I461" s="816"/>
      <c r="J461" s="797"/>
      <c r="K461" s="797"/>
      <c r="L461" s="798"/>
      <c r="M461" s="44"/>
      <c r="N461" s="214"/>
      <c r="O461" s="215"/>
      <c r="P461" s="192"/>
      <c r="Q461" s="208"/>
      <c r="R461" s="208"/>
      <c r="S461" s="192"/>
    </row>
    <row r="462" spans="1:28" ht="9.75" hidden="1" customHeight="1">
      <c r="A462" s="192"/>
      <c r="B462" s="647" t="s">
        <v>49</v>
      </c>
      <c r="C462" s="536" t="str">
        <f>IF($L$460&lt;Nutzung!$G$29,Nutzung!$G$29,$L$460)</f>
        <v/>
      </c>
      <c r="D462" s="181"/>
      <c r="E462" s="538"/>
      <c r="F462" s="225"/>
      <c r="G462" s="543">
        <f>IF(L460="",Nutzung!$G$29,Bauteile!L460)</f>
        <v>0</v>
      </c>
      <c r="H462" s="544">
        <f>IF($E$460="",0,((Nutzung!$G$29+Regelung-1)+(($C$462-Nutzung!$G$29)/2)-F280)*D280*$D$460*$E$460*24/($B$284*1000))</f>
        <v>0</v>
      </c>
      <c r="I462" s="537">
        <f>Einträge!E199</f>
        <v>0</v>
      </c>
      <c r="J462" s="285">
        <f>H462-I462*$F$294</f>
        <v>0</v>
      </c>
      <c r="K462" s="554"/>
      <c r="L462" s="283">
        <f t="shared" ref="L462:L473" si="14">IF($B$282=1,J462,H462)</f>
        <v>0</v>
      </c>
      <c r="M462" s="283" t="str">
        <f>IF(E460="","",SUM(L462:L473))</f>
        <v/>
      </c>
      <c r="N462" s="217"/>
      <c r="O462" s="242"/>
      <c r="P462" s="208"/>
      <c r="Q462" s="208"/>
      <c r="R462" s="208"/>
      <c r="S462" s="192"/>
    </row>
    <row r="463" spans="1:28" ht="9.75" hidden="1" customHeight="1">
      <c r="A463" s="192"/>
      <c r="B463" s="647" t="s">
        <v>554</v>
      </c>
      <c r="C463" s="536"/>
      <c r="D463" s="181"/>
      <c r="E463" s="538"/>
      <c r="F463" s="225"/>
      <c r="G463" s="552"/>
      <c r="H463" s="544">
        <f>IF($E$460="",0,((Nutzung!$G$29+Regelung-1)+(($C$462-Nutzung!$G$29)/2)-F281)*D281*$D$460*$E$460*24/($B$284*1000))</f>
        <v>0</v>
      </c>
      <c r="I463" s="537">
        <f>Einträge!E200</f>
        <v>0</v>
      </c>
      <c r="J463" s="285">
        <f>H463-I463*$F$295</f>
        <v>0</v>
      </c>
      <c r="K463" s="554"/>
      <c r="L463" s="283">
        <f t="shared" si="14"/>
        <v>0</v>
      </c>
      <c r="M463" s="181"/>
      <c r="N463" s="217"/>
      <c r="O463" s="242"/>
      <c r="P463" s="208"/>
      <c r="Q463" s="208"/>
      <c r="R463" s="208"/>
      <c r="S463" s="192"/>
    </row>
    <row r="464" spans="1:28" ht="9.75" hidden="1" customHeight="1">
      <c r="A464" s="192"/>
      <c r="B464" s="647" t="s">
        <v>306</v>
      </c>
      <c r="C464" s="536"/>
      <c r="D464" s="181"/>
      <c r="E464" s="538"/>
      <c r="F464" s="225"/>
      <c r="G464" s="552"/>
      <c r="H464" s="544">
        <f>IF($E$460="",0,((Nutzung!$G$29+Regelung-1)+(($C$462-Nutzung!$G$29)/2)-F282)*D282*$D$460*$E$460*24/($B$284*1000))</f>
        <v>0</v>
      </c>
      <c r="I464" s="537">
        <f>Einträge!E201</f>
        <v>0</v>
      </c>
      <c r="J464" s="285">
        <f>H464-I464*$F$296</f>
        <v>0</v>
      </c>
      <c r="K464" s="554"/>
      <c r="L464" s="283">
        <f t="shared" si="14"/>
        <v>0</v>
      </c>
      <c r="M464" s="181"/>
      <c r="N464" s="217"/>
      <c r="O464" s="242"/>
      <c r="P464" s="208"/>
      <c r="Q464" s="208"/>
      <c r="R464" s="208"/>
      <c r="S464" s="192"/>
    </row>
    <row r="465" spans="1:28" ht="9.75" hidden="1" customHeight="1">
      <c r="A465" s="192"/>
      <c r="B465" s="647" t="s">
        <v>409</v>
      </c>
      <c r="C465" s="536"/>
      <c r="D465" s="181"/>
      <c r="E465" s="538"/>
      <c r="F465" s="225"/>
      <c r="G465" s="552"/>
      <c r="H465" s="544">
        <f>IF($E$460="",0,((Nutzung!$G$29+Regelung-1)+(($C$462-Nutzung!$G$29)/2)-F283)*D283*$D$460*$E$460*24/($B$284*1000))</f>
        <v>0</v>
      </c>
      <c r="I465" s="537">
        <f>Einträge!E202</f>
        <v>0</v>
      </c>
      <c r="J465" s="285">
        <f>H465-I465*$F$297</f>
        <v>0</v>
      </c>
      <c r="K465" s="554"/>
      <c r="L465" s="283">
        <f t="shared" si="14"/>
        <v>0</v>
      </c>
      <c r="M465" s="181"/>
      <c r="N465" s="217"/>
      <c r="O465" s="242"/>
      <c r="P465" s="208"/>
      <c r="Q465" s="208"/>
      <c r="R465" s="208"/>
      <c r="S465" s="192"/>
    </row>
    <row r="466" spans="1:28" ht="9.75" hidden="1" customHeight="1">
      <c r="A466" s="192"/>
      <c r="B466" s="647" t="s">
        <v>410</v>
      </c>
      <c r="C466" s="536"/>
      <c r="D466" s="181"/>
      <c r="E466" s="538"/>
      <c r="F466" s="225"/>
      <c r="G466" s="552"/>
      <c r="H466" s="544">
        <f>IF($E$460="",0,((Nutzung!$G$29+Regelung-1)+(($C$462-Nutzung!$G$29)/2)-F284)*D284*$D$460*$E$460*24/($B$284*1000))</f>
        <v>0</v>
      </c>
      <c r="I466" s="537">
        <f>Einträge!E203</f>
        <v>0</v>
      </c>
      <c r="J466" s="285">
        <f>H466-I466*$F$298</f>
        <v>0</v>
      </c>
      <c r="K466" s="554"/>
      <c r="L466" s="283">
        <f t="shared" si="14"/>
        <v>0</v>
      </c>
      <c r="M466" s="181"/>
      <c r="N466" s="217"/>
      <c r="O466" s="242"/>
      <c r="P466" s="208"/>
      <c r="Q466" s="208"/>
      <c r="R466" s="208"/>
      <c r="S466" s="192"/>
    </row>
    <row r="467" spans="1:28" ht="9.75" hidden="1" customHeight="1">
      <c r="A467" s="192"/>
      <c r="B467" s="647" t="s">
        <v>411</v>
      </c>
      <c r="C467" s="536"/>
      <c r="D467" s="181"/>
      <c r="E467" s="538"/>
      <c r="F467" s="225"/>
      <c r="G467" s="552"/>
      <c r="H467" s="544">
        <f>IF($E$460="",0,((Nutzung!$G$29+Regelung-1)+(($C$462-Nutzung!$G$29)/2)-F285)*D285*$D$460*$E$460*24/($B$284*1000))</f>
        <v>0</v>
      </c>
      <c r="I467" s="537">
        <f>Einträge!E204</f>
        <v>0</v>
      </c>
      <c r="J467" s="285">
        <f>H467-I467*$F$299</f>
        <v>0</v>
      </c>
      <c r="K467" s="554"/>
      <c r="L467" s="283">
        <f t="shared" si="14"/>
        <v>0</v>
      </c>
      <c r="M467" s="181"/>
      <c r="N467" s="217" t="s">
        <v>517</v>
      </c>
      <c r="O467" s="242"/>
      <c r="P467" s="208"/>
      <c r="Q467" s="208"/>
      <c r="R467" s="208"/>
      <c r="S467" s="192"/>
    </row>
    <row r="468" spans="1:28" ht="9.75" hidden="1" customHeight="1">
      <c r="A468" s="192"/>
      <c r="B468" s="647" t="s">
        <v>221</v>
      </c>
      <c r="C468" s="536"/>
      <c r="D468" s="181"/>
      <c r="E468" s="538"/>
      <c r="F468" s="225"/>
      <c r="G468" s="552"/>
      <c r="H468" s="544">
        <f>IF($E$460="",0,((Nutzung!$G$29+Regelung-1)+(($C$462-Nutzung!$G$29)/2)-F286)*D286*$D$460*$E$460*24/($B$284*1000))</f>
        <v>0</v>
      </c>
      <c r="I468" s="537">
        <f>Einträge!E205</f>
        <v>0</v>
      </c>
      <c r="J468" s="285">
        <f>H468-I468*$F$300</f>
        <v>0</v>
      </c>
      <c r="K468" s="554"/>
      <c r="L468" s="283">
        <f t="shared" si="14"/>
        <v>0</v>
      </c>
      <c r="M468" s="181"/>
      <c r="N468" s="254">
        <f>SUM(H462:H473)</f>
        <v>0</v>
      </c>
      <c r="O468" s="242"/>
      <c r="P468" s="208"/>
      <c r="Q468" s="208"/>
      <c r="R468" s="208"/>
      <c r="S468" s="192"/>
    </row>
    <row r="469" spans="1:28" ht="9.75" hidden="1" customHeight="1">
      <c r="A469" s="192"/>
      <c r="B469" s="647" t="s">
        <v>138</v>
      </c>
      <c r="C469" s="536"/>
      <c r="D469" s="181"/>
      <c r="E469" s="538"/>
      <c r="F469" s="225"/>
      <c r="G469" s="552"/>
      <c r="H469" s="544">
        <f>IF($E$460="",0,((Nutzung!$G$29+Regelung-1)+(($C$462-Nutzung!$G$29)/2)-F287)*D287*$D$460*$E$460*24/($B$284*1000))</f>
        <v>0</v>
      </c>
      <c r="I469" s="537">
        <f>Einträge!E206</f>
        <v>0</v>
      </c>
      <c r="J469" s="285">
        <f>H469-I469*$F$301</f>
        <v>0</v>
      </c>
      <c r="K469" s="554"/>
      <c r="L469" s="283">
        <f t="shared" si="14"/>
        <v>0</v>
      </c>
      <c r="M469" s="181"/>
      <c r="N469" s="217"/>
      <c r="O469" s="242"/>
      <c r="P469" s="208"/>
      <c r="Q469" s="208"/>
      <c r="R469" s="208"/>
      <c r="S469" s="192"/>
    </row>
    <row r="470" spans="1:28" ht="9.75" hidden="1" customHeight="1">
      <c r="A470" s="192"/>
      <c r="B470" s="647" t="s">
        <v>139</v>
      </c>
      <c r="C470" s="536"/>
      <c r="D470" s="181"/>
      <c r="E470" s="538"/>
      <c r="F470" s="225"/>
      <c r="G470" s="552"/>
      <c r="H470" s="544">
        <f>IF($E$460="",0,((Nutzung!$G$29+Regelung-1)+(($C$462-Nutzung!$G$29)/2)-F288)*D288*$D$460*$E$460*24/($B$284*1000))</f>
        <v>0</v>
      </c>
      <c r="I470" s="537">
        <f>Einträge!E207</f>
        <v>0</v>
      </c>
      <c r="J470" s="285">
        <f>H470-I470*$F$302</f>
        <v>0</v>
      </c>
      <c r="K470" s="554"/>
      <c r="L470" s="283">
        <f t="shared" si="14"/>
        <v>0</v>
      </c>
      <c r="M470" s="181"/>
      <c r="N470" s="217"/>
      <c r="O470" s="242"/>
      <c r="P470" s="208"/>
      <c r="Q470" s="208"/>
      <c r="R470" s="208"/>
      <c r="S470" s="192"/>
    </row>
    <row r="471" spans="1:28" ht="9.75" hidden="1" customHeight="1">
      <c r="A471" s="192"/>
      <c r="B471" s="647" t="s">
        <v>269</v>
      </c>
      <c r="C471" s="536"/>
      <c r="D471" s="181"/>
      <c r="E471" s="538"/>
      <c r="F471" s="225"/>
      <c r="G471" s="552"/>
      <c r="H471" s="544">
        <f>IF($E$460="",0,((Nutzung!$G$29+Regelung-1)+(($C$462-Nutzung!$G$29)/2)-F289)*D289*$D$460*$E$460*24/($B$284*1000))</f>
        <v>0</v>
      </c>
      <c r="I471" s="537">
        <f>Einträge!E208</f>
        <v>0</v>
      </c>
      <c r="J471" s="285">
        <f>H471-I471*$F$303</f>
        <v>0</v>
      </c>
      <c r="K471" s="554"/>
      <c r="L471" s="283">
        <f t="shared" si="14"/>
        <v>0</v>
      </c>
      <c r="M471" s="181"/>
      <c r="N471" s="217"/>
      <c r="O471" s="242"/>
      <c r="P471" s="208"/>
      <c r="Q471" s="208"/>
      <c r="R471" s="208"/>
      <c r="S471" s="192"/>
    </row>
    <row r="472" spans="1:28" ht="9.75" hidden="1" customHeight="1">
      <c r="A472" s="192"/>
      <c r="B472" s="647" t="s">
        <v>366</v>
      </c>
      <c r="C472" s="536"/>
      <c r="D472" s="181"/>
      <c r="E472" s="538"/>
      <c r="F472" s="225"/>
      <c r="G472" s="552"/>
      <c r="H472" s="544">
        <f>IF($E$460="",0,((Nutzung!$G$29+Regelung-1)+(($C$462-Nutzung!$G$29)/2)-F290)*D290*$D$460*$E$460*24/($B$284*1000))</f>
        <v>0</v>
      </c>
      <c r="I472" s="537">
        <f>Einträge!E209</f>
        <v>0</v>
      </c>
      <c r="J472" s="285">
        <f>H472-I472*$F$304</f>
        <v>0</v>
      </c>
      <c r="K472" s="554"/>
      <c r="L472" s="283">
        <f t="shared" si="14"/>
        <v>0</v>
      </c>
      <c r="M472" s="181"/>
      <c r="N472" s="217"/>
      <c r="O472" s="242"/>
      <c r="P472" s="208"/>
      <c r="Q472" s="208"/>
      <c r="R472" s="208"/>
      <c r="S472" s="192"/>
    </row>
    <row r="473" spans="1:28" ht="9.75" hidden="1" customHeight="1">
      <c r="A473" s="192"/>
      <c r="B473" s="647" t="s">
        <v>465</v>
      </c>
      <c r="C473" s="536"/>
      <c r="D473" s="181"/>
      <c r="E473" s="538"/>
      <c r="F473" s="225"/>
      <c r="G473" s="552"/>
      <c r="H473" s="544">
        <f>IF($E$460="",0,((Nutzung!$G$29+Regelung-1)+(($C$462-Nutzung!$G$29)/2)-F291)*D291*$D$460*$E$460*24/($B$284*1000))</f>
        <v>0</v>
      </c>
      <c r="I473" s="537">
        <f>Einträge!E210</f>
        <v>0</v>
      </c>
      <c r="J473" s="285">
        <f>H473-I473*$F$305</f>
        <v>0</v>
      </c>
      <c r="K473" s="554"/>
      <c r="L473" s="283">
        <f t="shared" si="14"/>
        <v>0</v>
      </c>
      <c r="M473" s="181"/>
      <c r="N473" s="217"/>
      <c r="O473" s="242"/>
      <c r="P473" s="208"/>
      <c r="Q473" s="208"/>
      <c r="R473" s="208"/>
      <c r="S473" s="192"/>
    </row>
    <row r="474" spans="1:28" ht="10.95" customHeight="1">
      <c r="A474" s="192"/>
      <c r="B474" s="648"/>
      <c r="C474" s="656"/>
      <c r="D474" s="657"/>
      <c r="E474" s="658"/>
      <c r="F474" s="664"/>
      <c r="G474" s="873"/>
      <c r="H474" s="658"/>
      <c r="I474" s="671"/>
      <c r="J474" s="668"/>
      <c r="K474" s="668"/>
      <c r="L474" s="220" t="str">
        <f>IF(E474="","",Nutzung!$G$29)</f>
        <v/>
      </c>
      <c r="M474" s="771" t="str">
        <f>IF(D474="","",AB474)</f>
        <v/>
      </c>
      <c r="N474" s="214">
        <f>IF(E474=0,0,M476)</f>
        <v>0</v>
      </c>
      <c r="O474" s="215" t="str">
        <f>IF(N474/$O$1370=0,"",N474/$O$1370)</f>
        <v/>
      </c>
      <c r="P474" s="192"/>
      <c r="Q474" s="208"/>
      <c r="R474" s="208"/>
      <c r="S474" s="192"/>
      <c r="T474" s="182">
        <f>D474*E474</f>
        <v>0</v>
      </c>
      <c r="AA474" s="318">
        <f>IF(D474="",0,1)</f>
        <v>0</v>
      </c>
      <c r="AB474" s="318">
        <f>AB460+AA474</f>
        <v>0</v>
      </c>
    </row>
    <row r="475" spans="1:28" ht="10.95" hidden="1" customHeight="1">
      <c r="A475" s="260"/>
      <c r="B475" s="793"/>
      <c r="C475" s="794"/>
      <c r="D475" s="44"/>
      <c r="E475" s="795"/>
      <c r="F475" s="796"/>
      <c r="G475" s="813"/>
      <c r="H475" s="816"/>
      <c r="I475" s="816"/>
      <c r="J475" s="797"/>
      <c r="K475" s="797"/>
      <c r="L475" s="798"/>
      <c r="M475" s="44"/>
      <c r="N475" s="214"/>
      <c r="O475" s="215"/>
      <c r="P475" s="192"/>
      <c r="Q475" s="208"/>
      <c r="R475" s="208"/>
      <c r="S475" s="192"/>
    </row>
    <row r="476" spans="1:28" ht="9.75" hidden="1" customHeight="1">
      <c r="A476" s="192"/>
      <c r="B476" s="647" t="s">
        <v>49</v>
      </c>
      <c r="C476" s="536" t="str">
        <f>IF($L$474&lt;Nutzung!$G$29,Nutzung!$G$29,$L$474)</f>
        <v/>
      </c>
      <c r="D476" s="181"/>
      <c r="E476" s="538"/>
      <c r="F476" s="225"/>
      <c r="G476" s="543">
        <f>IF(L474="",Nutzung!$G$29,Bauteile!L474)</f>
        <v>0</v>
      </c>
      <c r="H476" s="544">
        <f>IF($E$474="",0,((Nutzung!$G$29+Regelung-1)+(($C$476-Nutzung!$G$29)/2)-F280)*D280*$D$474*$E$474*24/($B$284*1000))</f>
        <v>0</v>
      </c>
      <c r="I476" s="537">
        <f>Einträge!E212</f>
        <v>0</v>
      </c>
      <c r="J476" s="285">
        <f>H476-I476*$F$294</f>
        <v>0</v>
      </c>
      <c r="K476" s="554"/>
      <c r="L476" s="283">
        <f t="shared" ref="L476:L487" si="15">IF($B$282=1,J476,H476)</f>
        <v>0</v>
      </c>
      <c r="M476" s="283" t="str">
        <f>IF(E474="","",SUM(L476:L487))</f>
        <v/>
      </c>
      <c r="N476" s="217"/>
      <c r="O476" s="242"/>
      <c r="P476" s="208"/>
      <c r="Q476" s="208"/>
      <c r="R476" s="208"/>
      <c r="S476" s="192"/>
    </row>
    <row r="477" spans="1:28" ht="9.75" hidden="1" customHeight="1">
      <c r="A477" s="192"/>
      <c r="B477" s="647" t="s">
        <v>554</v>
      </c>
      <c r="C477" s="536"/>
      <c r="D477" s="181"/>
      <c r="E477" s="538"/>
      <c r="F477" s="225"/>
      <c r="G477" s="552"/>
      <c r="H477" s="544">
        <f>IF($E$474="",0,((Nutzung!$G$29+Regelung-1)+(($C$476-Nutzung!$G$29)/2)-F281)*D281*$D$474*$E$474*24/($B$284*1000))</f>
        <v>0</v>
      </c>
      <c r="I477" s="537">
        <f>Einträge!E213</f>
        <v>0</v>
      </c>
      <c r="J477" s="285">
        <f>H477-I477*$F$295</f>
        <v>0</v>
      </c>
      <c r="K477" s="554"/>
      <c r="L477" s="283">
        <f t="shared" si="15"/>
        <v>0</v>
      </c>
      <c r="M477" s="181"/>
      <c r="N477" s="217"/>
      <c r="O477" s="242"/>
      <c r="P477" s="208"/>
      <c r="Q477" s="208"/>
      <c r="R477" s="208"/>
      <c r="S477" s="192"/>
    </row>
    <row r="478" spans="1:28" ht="9.75" hidden="1" customHeight="1">
      <c r="A478" s="192"/>
      <c r="B478" s="647" t="s">
        <v>306</v>
      </c>
      <c r="C478" s="536"/>
      <c r="D478" s="181"/>
      <c r="E478" s="538"/>
      <c r="F478" s="225"/>
      <c r="G478" s="552"/>
      <c r="H478" s="544">
        <f>IF($E$474="",0,((Nutzung!$G$29+Regelung-1)+(($C$476-Nutzung!$G$29)/2)-F282)*D282*$D$474*$E$474*24/($B$284*1000))</f>
        <v>0</v>
      </c>
      <c r="I478" s="537">
        <f>Einträge!E214</f>
        <v>0</v>
      </c>
      <c r="J478" s="285">
        <f>H478-I478*$F$296</f>
        <v>0</v>
      </c>
      <c r="K478" s="554"/>
      <c r="L478" s="283">
        <f t="shared" si="15"/>
        <v>0</v>
      </c>
      <c r="M478" s="181"/>
      <c r="N478" s="217"/>
      <c r="O478" s="242"/>
      <c r="P478" s="208"/>
      <c r="Q478" s="208"/>
      <c r="R478" s="208"/>
      <c r="S478" s="192"/>
    </row>
    <row r="479" spans="1:28" ht="9.75" hidden="1" customHeight="1">
      <c r="A479" s="192"/>
      <c r="B479" s="647" t="s">
        <v>409</v>
      </c>
      <c r="C479" s="536"/>
      <c r="D479" s="181"/>
      <c r="E479" s="538"/>
      <c r="F479" s="225"/>
      <c r="G479" s="552"/>
      <c r="H479" s="544">
        <f>IF($E$474="",0,((Nutzung!$G$29+Regelung-1)+(($C$476-Nutzung!$G$29)/2)-F283)*D283*$D$474*$E$474*24/($B$284*1000))</f>
        <v>0</v>
      </c>
      <c r="I479" s="537">
        <f>Einträge!E215</f>
        <v>0</v>
      </c>
      <c r="J479" s="285">
        <f>H479-I479*$F$297</f>
        <v>0</v>
      </c>
      <c r="K479" s="554"/>
      <c r="L479" s="283">
        <f t="shared" si="15"/>
        <v>0</v>
      </c>
      <c r="M479" s="181"/>
      <c r="N479" s="217"/>
      <c r="O479" s="242"/>
      <c r="P479" s="208"/>
      <c r="Q479" s="208"/>
      <c r="R479" s="208"/>
      <c r="S479" s="192"/>
    </row>
    <row r="480" spans="1:28" ht="9.75" hidden="1" customHeight="1">
      <c r="A480" s="192"/>
      <c r="B480" s="647" t="s">
        <v>410</v>
      </c>
      <c r="C480" s="536"/>
      <c r="D480" s="181"/>
      <c r="E480" s="538"/>
      <c r="F480" s="225"/>
      <c r="G480" s="552"/>
      <c r="H480" s="544">
        <f>IF($E$474="",0,((Nutzung!$G$29+Regelung-1)+(($C$476-Nutzung!$G$29)/2)-F284)*D284*$D$474*$E$474*24/($B$284*1000))</f>
        <v>0</v>
      </c>
      <c r="I480" s="537">
        <f>Einträge!E216</f>
        <v>0</v>
      </c>
      <c r="J480" s="285">
        <f>H480-I480*$F$298</f>
        <v>0</v>
      </c>
      <c r="K480" s="554"/>
      <c r="L480" s="283">
        <f t="shared" si="15"/>
        <v>0</v>
      </c>
      <c r="M480" s="181"/>
      <c r="N480" s="217"/>
      <c r="O480" s="242"/>
      <c r="P480" s="208"/>
      <c r="Q480" s="208"/>
      <c r="R480" s="208"/>
      <c r="S480" s="192"/>
    </row>
    <row r="481" spans="1:28" ht="9.75" hidden="1" customHeight="1">
      <c r="A481" s="192"/>
      <c r="B481" s="647" t="s">
        <v>411</v>
      </c>
      <c r="C481" s="536"/>
      <c r="D481" s="181"/>
      <c r="E481" s="538"/>
      <c r="F481" s="225"/>
      <c r="G481" s="552"/>
      <c r="H481" s="544">
        <f>IF($E$474="",0,((Nutzung!$G$29+Regelung-1)+(($C$476-Nutzung!$G$29)/2)-F285)*D285*$D$474*$E$474*24/($B$284*1000))</f>
        <v>0</v>
      </c>
      <c r="I481" s="537">
        <f>Einträge!E217</f>
        <v>0</v>
      </c>
      <c r="J481" s="285">
        <f>H481-I481*$F$299</f>
        <v>0</v>
      </c>
      <c r="K481" s="554"/>
      <c r="L481" s="283">
        <f t="shared" si="15"/>
        <v>0</v>
      </c>
      <c r="M481" s="181"/>
      <c r="N481" s="217" t="s">
        <v>517</v>
      </c>
      <c r="O481" s="242"/>
      <c r="P481" s="208"/>
      <c r="Q481" s="208"/>
      <c r="R481" s="208"/>
      <c r="S481" s="192"/>
    </row>
    <row r="482" spans="1:28" ht="9.75" hidden="1" customHeight="1">
      <c r="A482" s="192"/>
      <c r="B482" s="647" t="s">
        <v>221</v>
      </c>
      <c r="C482" s="536"/>
      <c r="D482" s="181"/>
      <c r="E482" s="538"/>
      <c r="F482" s="225"/>
      <c r="G482" s="552"/>
      <c r="H482" s="544">
        <f>IF($E$474="",0,((Nutzung!$G$29+Regelung-1)+(($C$476-Nutzung!$G$29)/2)-F286)*D286*$D$474*$E$474*24/($B$284*1000))</f>
        <v>0</v>
      </c>
      <c r="I482" s="537">
        <f>Einträge!E218</f>
        <v>0</v>
      </c>
      <c r="J482" s="285">
        <f>H482-I482*$F$300</f>
        <v>0</v>
      </c>
      <c r="K482" s="554"/>
      <c r="L482" s="283">
        <f t="shared" si="15"/>
        <v>0</v>
      </c>
      <c r="M482" s="181"/>
      <c r="N482" s="254">
        <f>SUM(H476:H487)</f>
        <v>0</v>
      </c>
      <c r="O482" s="242"/>
      <c r="P482" s="208"/>
      <c r="Q482" s="208"/>
      <c r="R482" s="208"/>
      <c r="S482" s="192"/>
    </row>
    <row r="483" spans="1:28" ht="9.75" hidden="1" customHeight="1">
      <c r="A483" s="192"/>
      <c r="B483" s="647" t="s">
        <v>138</v>
      </c>
      <c r="C483" s="536"/>
      <c r="D483" s="181"/>
      <c r="E483" s="538"/>
      <c r="F483" s="225"/>
      <c r="G483" s="552"/>
      <c r="H483" s="544">
        <f>IF($E$474="",0,((Nutzung!$G$29+Regelung-1)+(($C$476-Nutzung!$G$29)/2)-F287)*D287*$D$474*$E$474*24/($B$284*1000))</f>
        <v>0</v>
      </c>
      <c r="I483" s="537">
        <f>Einträge!E219</f>
        <v>0</v>
      </c>
      <c r="J483" s="285">
        <f>H483-I483*$F$301</f>
        <v>0</v>
      </c>
      <c r="K483" s="554"/>
      <c r="L483" s="283">
        <f t="shared" si="15"/>
        <v>0</v>
      </c>
      <c r="M483" s="181"/>
      <c r="N483" s="217"/>
      <c r="O483" s="242"/>
      <c r="P483" s="208"/>
      <c r="Q483" s="208"/>
      <c r="R483" s="208"/>
      <c r="S483" s="192"/>
    </row>
    <row r="484" spans="1:28" ht="9.75" hidden="1" customHeight="1">
      <c r="A484" s="192"/>
      <c r="B484" s="647" t="s">
        <v>139</v>
      </c>
      <c r="C484" s="536"/>
      <c r="D484" s="181"/>
      <c r="E484" s="538"/>
      <c r="F484" s="225"/>
      <c r="G484" s="552"/>
      <c r="H484" s="544">
        <f>IF($E$474="",0,((Nutzung!$G$29+Regelung-1)+(($C$476-Nutzung!$G$29)/2)-F288)*D288*$D$474*$E$474*24/($B$284*1000))</f>
        <v>0</v>
      </c>
      <c r="I484" s="537">
        <f>Einträge!E220</f>
        <v>0</v>
      </c>
      <c r="J484" s="285">
        <f>H484-I484*$F$302</f>
        <v>0</v>
      </c>
      <c r="K484" s="554"/>
      <c r="L484" s="283">
        <f t="shared" si="15"/>
        <v>0</v>
      </c>
      <c r="M484" s="181"/>
      <c r="N484" s="217"/>
      <c r="O484" s="242"/>
      <c r="P484" s="208"/>
      <c r="Q484" s="208"/>
      <c r="R484" s="208"/>
      <c r="S484" s="192"/>
    </row>
    <row r="485" spans="1:28" ht="9.75" hidden="1" customHeight="1">
      <c r="A485" s="192"/>
      <c r="B485" s="647" t="s">
        <v>269</v>
      </c>
      <c r="C485" s="536"/>
      <c r="D485" s="181"/>
      <c r="E485" s="538"/>
      <c r="F485" s="225"/>
      <c r="G485" s="552"/>
      <c r="H485" s="544">
        <f>IF($E$474="",0,((Nutzung!$G$29+Regelung-1)+(($C$476-Nutzung!$G$29)/2)-F289)*D289*$D$474*$E$474*24/($B$284*1000))</f>
        <v>0</v>
      </c>
      <c r="I485" s="537">
        <f>Einträge!E221</f>
        <v>0</v>
      </c>
      <c r="J485" s="285">
        <f>H485-I485*$F$303</f>
        <v>0</v>
      </c>
      <c r="K485" s="554"/>
      <c r="L485" s="283">
        <f t="shared" si="15"/>
        <v>0</v>
      </c>
      <c r="M485" s="181"/>
      <c r="N485" s="217"/>
      <c r="O485" s="242"/>
      <c r="P485" s="208"/>
      <c r="Q485" s="208"/>
      <c r="R485" s="208"/>
      <c r="S485" s="192"/>
    </row>
    <row r="486" spans="1:28" ht="9.75" hidden="1" customHeight="1">
      <c r="A486" s="192"/>
      <c r="B486" s="647" t="s">
        <v>366</v>
      </c>
      <c r="C486" s="536"/>
      <c r="D486" s="181"/>
      <c r="E486" s="538"/>
      <c r="F486" s="225"/>
      <c r="G486" s="552"/>
      <c r="H486" s="544">
        <f>IF($E$474="",0,((Nutzung!$G$29+Regelung-1)+(($C$476-Nutzung!$G$29)/2)-F290)*D290*$D$474*$E$474*24/($B$284*1000))</f>
        <v>0</v>
      </c>
      <c r="I486" s="537">
        <f>Einträge!E222</f>
        <v>0</v>
      </c>
      <c r="J486" s="285">
        <f>H486-I486*$F$304</f>
        <v>0</v>
      </c>
      <c r="K486" s="554"/>
      <c r="L486" s="283">
        <f t="shared" si="15"/>
        <v>0</v>
      </c>
      <c r="M486" s="181"/>
      <c r="N486" s="217"/>
      <c r="O486" s="242"/>
      <c r="P486" s="208"/>
      <c r="Q486" s="208"/>
      <c r="R486" s="208"/>
      <c r="S486" s="192"/>
    </row>
    <row r="487" spans="1:28" ht="9.75" hidden="1" customHeight="1">
      <c r="A487" s="192"/>
      <c r="B487" s="647" t="s">
        <v>465</v>
      </c>
      <c r="C487" s="536"/>
      <c r="D487" s="181"/>
      <c r="E487" s="538"/>
      <c r="F487" s="225"/>
      <c r="G487" s="552"/>
      <c r="H487" s="544">
        <f>IF($E$474="",0,((Nutzung!$G$29+Regelung-1)+(($C$476-Nutzung!$G$29)/2)-F291)*D291*$D$474*$E$474*24/($B$284*1000))</f>
        <v>0</v>
      </c>
      <c r="I487" s="537">
        <f>Einträge!E223</f>
        <v>0</v>
      </c>
      <c r="J487" s="285">
        <f>H487-I487*$F$305</f>
        <v>0</v>
      </c>
      <c r="K487" s="554"/>
      <c r="L487" s="283">
        <f t="shared" si="15"/>
        <v>0</v>
      </c>
      <c r="M487" s="181"/>
      <c r="N487" s="217"/>
      <c r="O487" s="242"/>
      <c r="P487" s="208"/>
      <c r="Q487" s="208"/>
      <c r="R487" s="208"/>
      <c r="S487" s="192"/>
    </row>
    <row r="488" spans="1:28" ht="10.95" customHeight="1">
      <c r="A488" s="192"/>
      <c r="B488" s="648"/>
      <c r="C488" s="656"/>
      <c r="D488" s="657"/>
      <c r="E488" s="658"/>
      <c r="F488" s="664"/>
      <c r="G488" s="873"/>
      <c r="H488" s="658"/>
      <c r="I488" s="671"/>
      <c r="J488" s="668"/>
      <c r="K488" s="668"/>
      <c r="L488" s="220" t="str">
        <f>IF(E488="","",Nutzung!$G$29)</f>
        <v/>
      </c>
      <c r="M488" s="771" t="str">
        <f>IF(D488="","",AB488)</f>
        <v/>
      </c>
      <c r="N488" s="214">
        <f>IF(E488=0,0,M490)</f>
        <v>0</v>
      </c>
      <c r="O488" s="215" t="str">
        <f>IF(N488/$O$1370=0,"",N488/$O$1370)</f>
        <v/>
      </c>
      <c r="P488" s="192"/>
      <c r="Q488" s="208"/>
      <c r="R488" s="208"/>
      <c r="S488" s="192"/>
      <c r="T488" s="182">
        <f>D488*E488</f>
        <v>0</v>
      </c>
      <c r="AA488" s="318">
        <f>IF(D488="",0,1)</f>
        <v>0</v>
      </c>
      <c r="AB488" s="318">
        <f>AB474+AA488</f>
        <v>0</v>
      </c>
    </row>
    <row r="489" spans="1:28" ht="10.95" hidden="1" customHeight="1">
      <c r="A489" s="260"/>
      <c r="B489" s="807"/>
      <c r="C489" s="812"/>
      <c r="D489" s="812"/>
      <c r="E489" s="813"/>
      <c r="F489" s="796"/>
      <c r="G489" s="813"/>
      <c r="H489" s="816"/>
      <c r="I489" s="816"/>
      <c r="J489" s="816"/>
      <c r="K489" s="797"/>
      <c r="L489" s="819"/>
      <c r="M489" s="823"/>
      <c r="N489" s="251"/>
      <c r="O489" s="215"/>
      <c r="P489" s="192"/>
      <c r="Q489" s="208"/>
      <c r="R489" s="208"/>
      <c r="S489" s="192"/>
    </row>
    <row r="490" spans="1:28" ht="9.75" hidden="1" customHeight="1">
      <c r="A490" s="192"/>
      <c r="B490" s="808" t="s">
        <v>49</v>
      </c>
      <c r="C490" s="536" t="str">
        <f>IF($L$488&lt;Nutzung!$G$29,Nutzung!$G$29,$L$488)</f>
        <v/>
      </c>
      <c r="D490" s="536"/>
      <c r="E490" s="538"/>
      <c r="F490" s="225"/>
      <c r="G490" s="817">
        <f>IF(L488="",Nutzung!$G$29,Bauteile!L488)</f>
        <v>0</v>
      </c>
      <c r="H490" s="818">
        <f>IF($E$488="",0,((Nutzung!$G$29+Regelung-1)+(($C$490-Nutzung!$G$29)/2)-F280)*D280*$D$488*$E$488*24/($B$284*1000))</f>
        <v>0</v>
      </c>
      <c r="I490" s="537">
        <f>Einträge!E225</f>
        <v>0</v>
      </c>
      <c r="J490" s="537">
        <f>H490-I490*$F$294</f>
        <v>0</v>
      </c>
      <c r="K490" s="554"/>
      <c r="L490" s="537">
        <f t="shared" ref="L490:L501" si="16">IF($B$282=1,J490,H490)</f>
        <v>0</v>
      </c>
      <c r="M490" s="821" t="str">
        <f>IF(E488="","",SUM(L490:L501))</f>
        <v/>
      </c>
      <c r="N490" s="207"/>
      <c r="O490" s="192"/>
      <c r="P490" s="208"/>
      <c r="Q490" s="208"/>
      <c r="R490" s="208"/>
      <c r="S490" s="192"/>
    </row>
    <row r="491" spans="1:28" ht="9.75" hidden="1" customHeight="1">
      <c r="A491" s="192"/>
      <c r="B491" s="808" t="s">
        <v>554</v>
      </c>
      <c r="C491" s="536"/>
      <c r="D491" s="536"/>
      <c r="E491" s="538"/>
      <c r="F491" s="225"/>
      <c r="G491" s="538"/>
      <c r="H491" s="818">
        <f>IF($E$488="",0,((Nutzung!$G$29+Regelung-1)+(($C$490-Nutzung!$G$29)/2)-F281)*D281*$D$488*$E$488*24/($B$284*1000))</f>
        <v>0</v>
      </c>
      <c r="I491" s="537">
        <f>Einträge!E226</f>
        <v>0</v>
      </c>
      <c r="J491" s="537">
        <f>H491-I491*$F$295</f>
        <v>0</v>
      </c>
      <c r="K491" s="554"/>
      <c r="L491" s="537">
        <f t="shared" si="16"/>
        <v>0</v>
      </c>
      <c r="M491" s="824"/>
      <c r="N491" s="207"/>
      <c r="O491" s="192"/>
      <c r="P491" s="208"/>
      <c r="Q491" s="208"/>
      <c r="R491" s="208"/>
      <c r="S491" s="192"/>
    </row>
    <row r="492" spans="1:28" ht="9.75" hidden="1" customHeight="1">
      <c r="A492" s="192"/>
      <c r="B492" s="808" t="s">
        <v>306</v>
      </c>
      <c r="C492" s="536"/>
      <c r="D492" s="536"/>
      <c r="E492" s="538"/>
      <c r="F492" s="225"/>
      <c r="G492" s="538"/>
      <c r="H492" s="818">
        <f>IF($E$488="",0,((Nutzung!$G$29+Regelung-1)+(($C$490-Nutzung!$G$29)/2)-F282)*D282*$D$488*$E$488*24/($B$284*1000))</f>
        <v>0</v>
      </c>
      <c r="I492" s="537">
        <f>Einträge!E227</f>
        <v>0</v>
      </c>
      <c r="J492" s="537">
        <f>H492-I492*$F$296</f>
        <v>0</v>
      </c>
      <c r="K492" s="554"/>
      <c r="L492" s="537">
        <f t="shared" si="16"/>
        <v>0</v>
      </c>
      <c r="M492" s="824"/>
      <c r="N492" s="207"/>
      <c r="O492" s="192"/>
      <c r="P492" s="208"/>
      <c r="Q492" s="208"/>
      <c r="R492" s="208"/>
      <c r="S492" s="192"/>
    </row>
    <row r="493" spans="1:28" ht="9.75" hidden="1" customHeight="1">
      <c r="A493" s="192"/>
      <c r="B493" s="808" t="s">
        <v>409</v>
      </c>
      <c r="C493" s="536"/>
      <c r="D493" s="536"/>
      <c r="E493" s="538"/>
      <c r="F493" s="225"/>
      <c r="G493" s="538"/>
      <c r="H493" s="818">
        <f>IF($E$488="",0,((Nutzung!$G$29+Regelung-1)+(($C$490-Nutzung!$G$29)/2)-F283)*D283*$D$488*$E$488*24/($B$284*1000))</f>
        <v>0</v>
      </c>
      <c r="I493" s="537">
        <f>Einträge!E228</f>
        <v>0</v>
      </c>
      <c r="J493" s="537">
        <f>H493-I493*$F$297</f>
        <v>0</v>
      </c>
      <c r="K493" s="554"/>
      <c r="L493" s="537">
        <f t="shared" si="16"/>
        <v>0</v>
      </c>
      <c r="M493" s="824"/>
      <c r="N493" s="207"/>
      <c r="O493" s="192"/>
      <c r="P493" s="208"/>
      <c r="Q493" s="208"/>
      <c r="R493" s="208"/>
      <c r="S493" s="192"/>
    </row>
    <row r="494" spans="1:28" ht="9.75" hidden="1" customHeight="1">
      <c r="A494" s="192"/>
      <c r="B494" s="808" t="s">
        <v>410</v>
      </c>
      <c r="C494" s="536"/>
      <c r="D494" s="536"/>
      <c r="E494" s="538"/>
      <c r="F494" s="225"/>
      <c r="G494" s="538"/>
      <c r="H494" s="818">
        <f>IF($E$488="",0,((Nutzung!$G$29+Regelung-1)+(($C$490-Nutzung!$G$29)/2)-F284)*D284*$D$488*$E$488*24/($B$284*1000))</f>
        <v>0</v>
      </c>
      <c r="I494" s="537">
        <f>Einträge!E229</f>
        <v>0</v>
      </c>
      <c r="J494" s="537">
        <f>H494-I494*$F$298</f>
        <v>0</v>
      </c>
      <c r="K494" s="554"/>
      <c r="L494" s="537">
        <f t="shared" si="16"/>
        <v>0</v>
      </c>
      <c r="M494" s="824"/>
      <c r="N494" s="207"/>
      <c r="O494" s="192"/>
      <c r="P494" s="208"/>
      <c r="Q494" s="208"/>
      <c r="R494" s="208"/>
      <c r="S494" s="192"/>
    </row>
    <row r="495" spans="1:28" ht="9.75" hidden="1" customHeight="1">
      <c r="A495" s="192"/>
      <c r="B495" s="808" t="s">
        <v>411</v>
      </c>
      <c r="C495" s="536"/>
      <c r="D495" s="536"/>
      <c r="E495" s="538"/>
      <c r="F495" s="225"/>
      <c r="G495" s="538"/>
      <c r="H495" s="818">
        <f>IF($E$488="",0,((Nutzung!$G$29+Regelung-1)+(($C$490-Nutzung!$G$29)/2)-F285)*D285*$D$488*$E$488*24/($B$284*1000))</f>
        <v>0</v>
      </c>
      <c r="I495" s="537">
        <f>Einträge!E230</f>
        <v>0</v>
      </c>
      <c r="J495" s="537">
        <f>H495-I495*$F$299</f>
        <v>0</v>
      </c>
      <c r="K495" s="554"/>
      <c r="L495" s="537">
        <f t="shared" si="16"/>
        <v>0</v>
      </c>
      <c r="M495" s="824"/>
      <c r="N495" s="268" t="s">
        <v>517</v>
      </c>
      <c r="O495" s="192"/>
      <c r="P495" s="208"/>
      <c r="Q495" s="208"/>
      <c r="R495" s="208"/>
      <c r="S495" s="192"/>
    </row>
    <row r="496" spans="1:28" ht="9.75" hidden="1" customHeight="1">
      <c r="A496" s="192"/>
      <c r="B496" s="808" t="s">
        <v>221</v>
      </c>
      <c r="C496" s="536"/>
      <c r="D496" s="536"/>
      <c r="E496" s="538"/>
      <c r="F496" s="225"/>
      <c r="G496" s="538"/>
      <c r="H496" s="818">
        <f>IF($E$488="",0,((Nutzung!$G$29+Regelung-1)+(($C$490-Nutzung!$G$29)/2)-F286)*D286*$D$488*$E$488*24/($B$284*1000))</f>
        <v>0</v>
      </c>
      <c r="I496" s="537">
        <f>Einträge!E231</f>
        <v>0</v>
      </c>
      <c r="J496" s="537">
        <f>H496-I496*$F$300</f>
        <v>0</v>
      </c>
      <c r="K496" s="554"/>
      <c r="L496" s="537">
        <f t="shared" si="16"/>
        <v>0</v>
      </c>
      <c r="M496" s="824"/>
      <c r="N496" s="709">
        <f>SUM(H490:H501)</f>
        <v>0</v>
      </c>
      <c r="O496" s="192"/>
      <c r="P496" s="208"/>
      <c r="Q496" s="208"/>
      <c r="R496" s="208"/>
      <c r="S496" s="192"/>
    </row>
    <row r="497" spans="1:28" ht="9.75" hidden="1" customHeight="1">
      <c r="A497" s="192"/>
      <c r="B497" s="808" t="s">
        <v>138</v>
      </c>
      <c r="C497" s="536"/>
      <c r="D497" s="536"/>
      <c r="E497" s="538"/>
      <c r="F497" s="225"/>
      <c r="G497" s="538"/>
      <c r="H497" s="818">
        <f>IF($E$488="",0,((Nutzung!$G$29+Regelung-1)+(($C$490-Nutzung!$G$29)/2)-F287)*D287*$D$488*$E$488*24/($B$284*1000))</f>
        <v>0</v>
      </c>
      <c r="I497" s="537">
        <f>Einträge!E232</f>
        <v>0</v>
      </c>
      <c r="J497" s="537">
        <f>H497-I497*$F$301</f>
        <v>0</v>
      </c>
      <c r="K497" s="554"/>
      <c r="L497" s="537">
        <f t="shared" si="16"/>
        <v>0</v>
      </c>
      <c r="M497" s="824"/>
      <c r="N497" s="207"/>
      <c r="O497" s="192"/>
      <c r="P497" s="208"/>
      <c r="Q497" s="208"/>
      <c r="R497" s="208"/>
      <c r="S497" s="192"/>
    </row>
    <row r="498" spans="1:28" ht="9.75" hidden="1" customHeight="1">
      <c r="A498" s="192"/>
      <c r="B498" s="808" t="s">
        <v>139</v>
      </c>
      <c r="C498" s="536"/>
      <c r="D498" s="536"/>
      <c r="E498" s="538"/>
      <c r="F498" s="225"/>
      <c r="G498" s="538"/>
      <c r="H498" s="818">
        <f>IF($E$488="",0,((Nutzung!$G$29+Regelung-1)+(($C$490-Nutzung!$G$29)/2)-F288)*D288*$D$488*$E$488*24/($B$284*1000))</f>
        <v>0</v>
      </c>
      <c r="I498" s="537">
        <f>Einträge!E233</f>
        <v>0</v>
      </c>
      <c r="J498" s="537">
        <f>H498-I498*$F$302</f>
        <v>0</v>
      </c>
      <c r="K498" s="554"/>
      <c r="L498" s="537">
        <f t="shared" si="16"/>
        <v>0</v>
      </c>
      <c r="M498" s="824"/>
      <c r="N498" s="207"/>
      <c r="O498" s="192"/>
      <c r="P498" s="208"/>
      <c r="Q498" s="208"/>
      <c r="R498" s="208"/>
      <c r="S498" s="192"/>
    </row>
    <row r="499" spans="1:28" ht="9.75" hidden="1" customHeight="1">
      <c r="A499" s="192"/>
      <c r="B499" s="808" t="s">
        <v>269</v>
      </c>
      <c r="C499" s="536"/>
      <c r="D499" s="536"/>
      <c r="E499" s="538"/>
      <c r="F499" s="225"/>
      <c r="G499" s="538"/>
      <c r="H499" s="818">
        <f>IF($E$488="",0,((Nutzung!$G$29+Regelung-1)+(($C$490-Nutzung!$G$29)/2)-F289)*D289*$D$488*$E$488*24/($B$284*1000))</f>
        <v>0</v>
      </c>
      <c r="I499" s="537">
        <f>Einträge!E234</f>
        <v>0</v>
      </c>
      <c r="J499" s="537">
        <f>H499-I499*$F$303</f>
        <v>0</v>
      </c>
      <c r="K499" s="554"/>
      <c r="L499" s="537">
        <f t="shared" si="16"/>
        <v>0</v>
      </c>
      <c r="M499" s="824"/>
      <c r="N499" s="207"/>
      <c r="O499" s="192"/>
      <c r="P499" s="208"/>
      <c r="Q499" s="208"/>
      <c r="R499" s="208"/>
      <c r="S499" s="192"/>
    </row>
    <row r="500" spans="1:28" ht="9.75" hidden="1" customHeight="1">
      <c r="A500" s="192"/>
      <c r="B500" s="808" t="s">
        <v>366</v>
      </c>
      <c r="C500" s="536"/>
      <c r="D500" s="536"/>
      <c r="E500" s="538"/>
      <c r="F500" s="225"/>
      <c r="G500" s="538"/>
      <c r="H500" s="818">
        <f>IF($E$488="",0,((Nutzung!$G$29+Regelung-1)+(($C$490-Nutzung!$G$29)/2)-F290)*D290*$D$488*$E$488*24/($B$284*1000))</f>
        <v>0</v>
      </c>
      <c r="I500" s="537">
        <f>Einträge!E235</f>
        <v>0</v>
      </c>
      <c r="J500" s="537">
        <f>H500-I500*$F$304</f>
        <v>0</v>
      </c>
      <c r="K500" s="554"/>
      <c r="L500" s="537">
        <f t="shared" si="16"/>
        <v>0</v>
      </c>
      <c r="M500" s="824"/>
      <c r="N500" s="207"/>
      <c r="O500" s="192"/>
      <c r="P500" s="208"/>
      <c r="Q500" s="208"/>
      <c r="R500" s="208"/>
      <c r="S500" s="192"/>
    </row>
    <row r="501" spans="1:28" ht="9.75" hidden="1" customHeight="1">
      <c r="A501" s="192"/>
      <c r="B501" s="808" t="s">
        <v>465</v>
      </c>
      <c r="C501" s="536"/>
      <c r="D501" s="536"/>
      <c r="E501" s="538"/>
      <c r="F501" s="225"/>
      <c r="G501" s="538"/>
      <c r="H501" s="818">
        <f>IF($E$488="",0,((Nutzung!$G$29+Regelung-1)+(($C$490-Nutzung!$G$29)/2)-F291)*D291*$D$488*$E$488*24/($B$284*1000))</f>
        <v>0</v>
      </c>
      <c r="I501" s="537">
        <f>Einträge!E236</f>
        <v>0</v>
      </c>
      <c r="J501" s="537">
        <f>H501-I501*$F$305</f>
        <v>0</v>
      </c>
      <c r="K501" s="554"/>
      <c r="L501" s="537">
        <f t="shared" si="16"/>
        <v>0</v>
      </c>
      <c r="M501" s="824"/>
      <c r="N501" s="207"/>
      <c r="O501" s="192"/>
      <c r="P501" s="208"/>
      <c r="Q501" s="208"/>
      <c r="R501" s="208"/>
      <c r="S501" s="192"/>
    </row>
    <row r="502" spans="1:28" ht="10.95" customHeight="1">
      <c r="A502" s="192"/>
      <c r="B502" s="648"/>
      <c r="C502" s="656"/>
      <c r="D502" s="657"/>
      <c r="E502" s="658"/>
      <c r="F502" s="664"/>
      <c r="G502" s="873"/>
      <c r="H502" s="658"/>
      <c r="I502" s="671"/>
      <c r="J502" s="668"/>
      <c r="K502" s="668"/>
      <c r="L502" s="220" t="str">
        <f>IF(E502="","",Nutzung!$G$29)</f>
        <v/>
      </c>
      <c r="M502" s="780" t="str">
        <f>IF(D502="","",AB502)</f>
        <v/>
      </c>
      <c r="N502" s="214">
        <f>IF(E502=0,0,M504)</f>
        <v>0</v>
      </c>
      <c r="O502" s="215" t="str">
        <f>IF(N502/$O$1370=0,"",N502/$O$1370)</f>
        <v/>
      </c>
      <c r="P502" s="208"/>
      <c r="Q502" s="208"/>
      <c r="R502" s="208"/>
      <c r="S502" s="192"/>
      <c r="T502" s="182">
        <f>D502*E502</f>
        <v>0</v>
      </c>
      <c r="AA502" s="318">
        <f>IF(D502="",0,1)</f>
        <v>0</v>
      </c>
      <c r="AB502" s="318">
        <f>AB488+AA502</f>
        <v>0</v>
      </c>
    </row>
    <row r="503" spans="1:28" ht="10.95" hidden="1" customHeight="1">
      <c r="A503" s="260"/>
      <c r="B503" s="807"/>
      <c r="C503" s="812"/>
      <c r="D503" s="812"/>
      <c r="E503" s="813"/>
      <c r="F503" s="796"/>
      <c r="G503" s="813"/>
      <c r="H503" s="816"/>
      <c r="I503" s="816"/>
      <c r="J503" s="816"/>
      <c r="K503" s="797"/>
      <c r="L503" s="819"/>
      <c r="M503" s="823"/>
      <c r="N503" s="251"/>
      <c r="O503" s="215"/>
      <c r="P503" s="208"/>
      <c r="Q503" s="208"/>
      <c r="R503" s="208"/>
      <c r="S503" s="192"/>
    </row>
    <row r="504" spans="1:28" ht="9.75" hidden="1" customHeight="1">
      <c r="A504" s="192"/>
      <c r="B504" s="808" t="s">
        <v>49</v>
      </c>
      <c r="C504" s="536" t="str">
        <f>IF($L$502&lt;Nutzung!$G$29,Nutzung!$G$29,$L$502)</f>
        <v/>
      </c>
      <c r="D504" s="536"/>
      <c r="E504" s="538"/>
      <c r="F504" s="225"/>
      <c r="G504" s="817">
        <f>IF(L502="",Nutzung!$G$29,Bauteile!L502)</f>
        <v>0</v>
      </c>
      <c r="H504" s="818">
        <f>IF($E$502="",0,((Nutzung!$G$29+Regelung-1)+(($C$504-Nutzung!$G$29)/2)-F280)*D280*$D$502*$E$502*24/($B$284*1000))</f>
        <v>0</v>
      </c>
      <c r="I504" s="537">
        <f>Einträge!E238</f>
        <v>0</v>
      </c>
      <c r="J504" s="537">
        <f>H504-I504*$F$294</f>
        <v>0</v>
      </c>
      <c r="K504" s="554"/>
      <c r="L504" s="537">
        <f t="shared" ref="L504:L515" si="17">IF($B$282=1,J504,H504)</f>
        <v>0</v>
      </c>
      <c r="M504" s="821" t="str">
        <f>IF(E502="","",SUM(L504:L515))</f>
        <v/>
      </c>
      <c r="N504" s="207"/>
      <c r="O504" s="192"/>
      <c r="P504" s="208"/>
      <c r="Q504" s="208"/>
      <c r="R504" s="208"/>
      <c r="S504" s="192"/>
    </row>
    <row r="505" spans="1:28" ht="9.75" hidden="1" customHeight="1">
      <c r="A505" s="192"/>
      <c r="B505" s="808" t="s">
        <v>554</v>
      </c>
      <c r="C505" s="536"/>
      <c r="D505" s="536"/>
      <c r="E505" s="538"/>
      <c r="F505" s="225"/>
      <c r="G505" s="538"/>
      <c r="H505" s="818">
        <f>IF($E$502="",0,((Nutzung!$G$29+Regelung-1)+(($C$504-Nutzung!$G$29)/2)-F281)*D281*$D$502*$E$502*24/($B$284*1000))</f>
        <v>0</v>
      </c>
      <c r="I505" s="537">
        <f>Einträge!E239</f>
        <v>0</v>
      </c>
      <c r="J505" s="537">
        <f>H505-I505*$F$295</f>
        <v>0</v>
      </c>
      <c r="K505" s="554"/>
      <c r="L505" s="537">
        <f t="shared" si="17"/>
        <v>0</v>
      </c>
      <c r="M505" s="824"/>
      <c r="N505" s="207"/>
      <c r="O505" s="192"/>
      <c r="P505" s="208"/>
      <c r="Q505" s="208"/>
      <c r="R505" s="208"/>
      <c r="S505" s="192"/>
    </row>
    <row r="506" spans="1:28" ht="9.75" hidden="1" customHeight="1">
      <c r="A506" s="192"/>
      <c r="B506" s="808" t="s">
        <v>306</v>
      </c>
      <c r="C506" s="536"/>
      <c r="D506" s="536"/>
      <c r="E506" s="538"/>
      <c r="F506" s="225"/>
      <c r="G506" s="538"/>
      <c r="H506" s="818">
        <f>IF($E$502="",0,((Nutzung!$G$29+Regelung-1)+(($C$504-Nutzung!$G$29)/2)-F282)*D282*$D$502*$E$502*24/($B$284*1000))</f>
        <v>0</v>
      </c>
      <c r="I506" s="537">
        <f>Einträge!E240</f>
        <v>0</v>
      </c>
      <c r="J506" s="537">
        <f>H506-I506*$F$296</f>
        <v>0</v>
      </c>
      <c r="K506" s="554"/>
      <c r="L506" s="537">
        <f t="shared" si="17"/>
        <v>0</v>
      </c>
      <c r="M506" s="824"/>
      <c r="N506" s="207"/>
      <c r="O506" s="192"/>
      <c r="P506" s="208"/>
      <c r="Q506" s="208"/>
      <c r="R506" s="208"/>
      <c r="S506" s="192"/>
    </row>
    <row r="507" spans="1:28" ht="9.75" hidden="1" customHeight="1">
      <c r="A507" s="192"/>
      <c r="B507" s="808" t="s">
        <v>409</v>
      </c>
      <c r="C507" s="536"/>
      <c r="D507" s="536"/>
      <c r="E507" s="538"/>
      <c r="F507" s="225"/>
      <c r="G507" s="538"/>
      <c r="H507" s="818">
        <f>IF($E$502="",0,((Nutzung!$G$29+Regelung-1)+(($C$504-Nutzung!$G$29)/2)-F283)*D283*$D$502*$E$502*24/($B$284*1000))</f>
        <v>0</v>
      </c>
      <c r="I507" s="537">
        <f>Einträge!E241</f>
        <v>0</v>
      </c>
      <c r="J507" s="537">
        <f>H507-I507*$F$297</f>
        <v>0</v>
      </c>
      <c r="K507" s="554"/>
      <c r="L507" s="537">
        <f t="shared" si="17"/>
        <v>0</v>
      </c>
      <c r="M507" s="824"/>
      <c r="N507" s="207"/>
      <c r="O507" s="192"/>
      <c r="P507" s="208"/>
      <c r="Q507" s="208"/>
      <c r="R507" s="208"/>
      <c r="S507" s="192"/>
    </row>
    <row r="508" spans="1:28" ht="9.75" hidden="1" customHeight="1">
      <c r="A508" s="192"/>
      <c r="B508" s="808" t="s">
        <v>410</v>
      </c>
      <c r="C508" s="536"/>
      <c r="D508" s="536"/>
      <c r="E508" s="538"/>
      <c r="F508" s="225"/>
      <c r="G508" s="538"/>
      <c r="H508" s="818">
        <f>IF($E$502="",0,((Nutzung!$G$29+Regelung-1)+(($C$504-Nutzung!$G$29)/2)-F284)*D284*$D$502*$E$502*24/($B$284*1000))</f>
        <v>0</v>
      </c>
      <c r="I508" s="537">
        <f>Einträge!E242</f>
        <v>0</v>
      </c>
      <c r="J508" s="537">
        <f>H508-I508*$F$298</f>
        <v>0</v>
      </c>
      <c r="K508" s="554"/>
      <c r="L508" s="537">
        <f t="shared" si="17"/>
        <v>0</v>
      </c>
      <c r="M508" s="824"/>
      <c r="N508" s="207"/>
      <c r="O508" s="192"/>
      <c r="P508" s="208"/>
      <c r="Q508" s="208"/>
      <c r="R508" s="208"/>
      <c r="S508" s="192"/>
    </row>
    <row r="509" spans="1:28" ht="9.75" hidden="1" customHeight="1">
      <c r="A509" s="192"/>
      <c r="B509" s="808" t="s">
        <v>411</v>
      </c>
      <c r="C509" s="536"/>
      <c r="D509" s="536"/>
      <c r="E509" s="538"/>
      <c r="F509" s="225"/>
      <c r="G509" s="538"/>
      <c r="H509" s="818">
        <f>IF($E$502="",0,((Nutzung!$G$29+Regelung-1)+(($C$504-Nutzung!$G$29)/2)-F285)*D285*$D$502*$E$502*24/($B$284*1000))</f>
        <v>0</v>
      </c>
      <c r="I509" s="537">
        <f>Einträge!E243</f>
        <v>0</v>
      </c>
      <c r="J509" s="537">
        <f>H509-I509*$F$299</f>
        <v>0</v>
      </c>
      <c r="K509" s="554"/>
      <c r="L509" s="537">
        <f t="shared" si="17"/>
        <v>0</v>
      </c>
      <c r="M509" s="824"/>
      <c r="N509" s="268" t="s">
        <v>517</v>
      </c>
      <c r="O509" s="192"/>
      <c r="P509" s="208"/>
      <c r="Q509" s="208"/>
      <c r="R509" s="208"/>
      <c r="S509" s="192"/>
    </row>
    <row r="510" spans="1:28" ht="9.75" hidden="1" customHeight="1">
      <c r="A510" s="192"/>
      <c r="B510" s="808" t="s">
        <v>221</v>
      </c>
      <c r="C510" s="536"/>
      <c r="D510" s="536"/>
      <c r="E510" s="538"/>
      <c r="F510" s="225"/>
      <c r="G510" s="538"/>
      <c r="H510" s="818">
        <f>IF($E$502="",0,((Nutzung!$G$29+Regelung-1)+(($C$504-Nutzung!$G$29)/2)-F286)*D286*$D$502*$E$502*24/($B$284*1000))</f>
        <v>0</v>
      </c>
      <c r="I510" s="537">
        <f>Einträge!E244</f>
        <v>0</v>
      </c>
      <c r="J510" s="537">
        <f>H510-I510*$F$300</f>
        <v>0</v>
      </c>
      <c r="K510" s="554"/>
      <c r="L510" s="537">
        <f t="shared" si="17"/>
        <v>0</v>
      </c>
      <c r="M510" s="824"/>
      <c r="N510" s="709">
        <f>SUM(H504:H515)</f>
        <v>0</v>
      </c>
      <c r="O510" s="192"/>
      <c r="P510" s="208"/>
      <c r="Q510" s="208"/>
      <c r="R510" s="208"/>
      <c r="S510" s="192"/>
    </row>
    <row r="511" spans="1:28" ht="9.75" hidden="1" customHeight="1">
      <c r="A511" s="192"/>
      <c r="B511" s="808" t="s">
        <v>138</v>
      </c>
      <c r="C511" s="536"/>
      <c r="D511" s="536"/>
      <c r="E511" s="538"/>
      <c r="F511" s="225"/>
      <c r="G511" s="538"/>
      <c r="H511" s="818">
        <f>IF($E$502="",0,((Nutzung!$G$29+Regelung-1)+(($C$504-Nutzung!$G$29)/2)-F287)*D287*$D$502*$E$502*24/($B$284*1000))</f>
        <v>0</v>
      </c>
      <c r="I511" s="537">
        <f>Einträge!E245</f>
        <v>0</v>
      </c>
      <c r="J511" s="537">
        <f>H511-I511*$F$301</f>
        <v>0</v>
      </c>
      <c r="K511" s="554"/>
      <c r="L511" s="537">
        <f t="shared" si="17"/>
        <v>0</v>
      </c>
      <c r="M511" s="824"/>
      <c r="N511" s="207"/>
      <c r="O511" s="192"/>
      <c r="P511" s="208"/>
      <c r="Q511" s="208"/>
      <c r="R511" s="208"/>
      <c r="S511" s="192"/>
    </row>
    <row r="512" spans="1:28" ht="9.75" hidden="1" customHeight="1">
      <c r="A512" s="192"/>
      <c r="B512" s="808" t="s">
        <v>139</v>
      </c>
      <c r="C512" s="536"/>
      <c r="D512" s="536"/>
      <c r="E512" s="538"/>
      <c r="F512" s="225"/>
      <c r="G512" s="538"/>
      <c r="H512" s="818">
        <f>IF($E$502="",0,((Nutzung!$G$29+Regelung-1)+(($C$504-Nutzung!$G$29)/2)-F288)*D288*$D$502*$E$502*24/($B$284*1000))</f>
        <v>0</v>
      </c>
      <c r="I512" s="537">
        <f>Einträge!E246</f>
        <v>0</v>
      </c>
      <c r="J512" s="537">
        <f>H512-I512*$F$302</f>
        <v>0</v>
      </c>
      <c r="K512" s="554"/>
      <c r="L512" s="537">
        <f t="shared" si="17"/>
        <v>0</v>
      </c>
      <c r="M512" s="824"/>
      <c r="N512" s="207"/>
      <c r="O512" s="192"/>
      <c r="P512" s="208"/>
      <c r="Q512" s="208"/>
      <c r="R512" s="208"/>
      <c r="S512" s="192"/>
    </row>
    <row r="513" spans="1:28" ht="9.75" hidden="1" customHeight="1">
      <c r="A513" s="192"/>
      <c r="B513" s="808" t="s">
        <v>269</v>
      </c>
      <c r="C513" s="536"/>
      <c r="D513" s="536"/>
      <c r="E513" s="538"/>
      <c r="F513" s="225"/>
      <c r="G513" s="538"/>
      <c r="H513" s="818">
        <f>IF($E$502="",0,((Nutzung!$G$29+Regelung-1)+(($C$504-Nutzung!$G$29)/2)-F289)*D289*$D$502*$E$502*24/($B$284*1000))</f>
        <v>0</v>
      </c>
      <c r="I513" s="537">
        <f>Einträge!E247</f>
        <v>0</v>
      </c>
      <c r="J513" s="537">
        <f>H513-I513*$F$303</f>
        <v>0</v>
      </c>
      <c r="K513" s="554"/>
      <c r="L513" s="537">
        <f t="shared" si="17"/>
        <v>0</v>
      </c>
      <c r="M513" s="824"/>
      <c r="N513" s="207"/>
      <c r="O513" s="192"/>
      <c r="P513" s="208"/>
      <c r="Q513" s="208"/>
      <c r="R513" s="208"/>
      <c r="S513" s="192"/>
    </row>
    <row r="514" spans="1:28" ht="9.75" hidden="1" customHeight="1">
      <c r="A514" s="192"/>
      <c r="B514" s="808" t="s">
        <v>366</v>
      </c>
      <c r="C514" s="536"/>
      <c r="D514" s="536"/>
      <c r="E514" s="538"/>
      <c r="F514" s="225"/>
      <c r="G514" s="538"/>
      <c r="H514" s="818">
        <f>IF($E$502="",0,((Nutzung!$G$29+Regelung-1)+(($C$504-Nutzung!$G$29)/2)-F290)*D290*$D$502*$E$502*24/($B$284*1000))</f>
        <v>0</v>
      </c>
      <c r="I514" s="537">
        <f>Einträge!E248</f>
        <v>0</v>
      </c>
      <c r="J514" s="537">
        <f>H514-I514*$F$304</f>
        <v>0</v>
      </c>
      <c r="K514" s="554"/>
      <c r="L514" s="537">
        <f t="shared" si="17"/>
        <v>0</v>
      </c>
      <c r="M514" s="824"/>
      <c r="N514" s="207"/>
      <c r="O514" s="192"/>
      <c r="P514" s="208"/>
      <c r="Q514" s="208"/>
      <c r="R514" s="208"/>
      <c r="S514" s="192"/>
    </row>
    <row r="515" spans="1:28" ht="9.75" hidden="1" customHeight="1">
      <c r="A515" s="192"/>
      <c r="B515" s="808" t="s">
        <v>465</v>
      </c>
      <c r="C515" s="536"/>
      <c r="D515" s="536"/>
      <c r="E515" s="538"/>
      <c r="F515" s="225"/>
      <c r="G515" s="538"/>
      <c r="H515" s="818">
        <f>IF($E$502="",0,((Nutzung!$G$29+Regelung-1)+(($C$504-Nutzung!$G$29)/2)-F291)*D291*$D$502*$E$502*24/($B$284*1000))</f>
        <v>0</v>
      </c>
      <c r="I515" s="537">
        <f>Einträge!E249</f>
        <v>0</v>
      </c>
      <c r="J515" s="537">
        <f>H515-I515*$F$305</f>
        <v>0</v>
      </c>
      <c r="K515" s="554"/>
      <c r="L515" s="537">
        <f t="shared" si="17"/>
        <v>0</v>
      </c>
      <c r="M515" s="824"/>
      <c r="N515" s="207"/>
      <c r="O515" s="192"/>
      <c r="P515" s="208"/>
      <c r="Q515" s="208"/>
      <c r="R515" s="208"/>
      <c r="S515" s="192"/>
    </row>
    <row r="516" spans="1:28" ht="10.95" customHeight="1">
      <c r="A516" s="192"/>
      <c r="B516" s="648"/>
      <c r="C516" s="656"/>
      <c r="D516" s="657"/>
      <c r="E516" s="658"/>
      <c r="F516" s="664"/>
      <c r="G516" s="873"/>
      <c r="H516" s="658"/>
      <c r="I516" s="671"/>
      <c r="J516" s="668"/>
      <c r="K516" s="668"/>
      <c r="L516" s="220" t="str">
        <f>IF(E516="","",Nutzung!$G$29)</f>
        <v/>
      </c>
      <c r="M516" s="780" t="str">
        <f>IF(D516="","",AB516)</f>
        <v/>
      </c>
      <c r="N516" s="214">
        <f>IF(E516=0,0,M518)</f>
        <v>0</v>
      </c>
      <c r="O516" s="215" t="str">
        <f>IF(N516/$O$1370=0,"",N516/$O$1370)</f>
        <v/>
      </c>
      <c r="P516" s="208"/>
      <c r="Q516" s="208"/>
      <c r="R516" s="208"/>
      <c r="S516" s="192"/>
      <c r="T516" s="182">
        <f>D516*E516</f>
        <v>0</v>
      </c>
      <c r="AA516" s="318">
        <f>IF(D516="",0,1)</f>
        <v>0</v>
      </c>
      <c r="AB516" s="318">
        <f>AB502+AA516</f>
        <v>0</v>
      </c>
    </row>
    <row r="517" spans="1:28" ht="10.95" hidden="1" customHeight="1">
      <c r="A517" s="260"/>
      <c r="B517" s="807"/>
      <c r="C517" s="812"/>
      <c r="D517" s="812"/>
      <c r="E517" s="813"/>
      <c r="F517" s="796"/>
      <c r="G517" s="813"/>
      <c r="H517" s="816"/>
      <c r="I517" s="816"/>
      <c r="J517" s="816"/>
      <c r="K517" s="797"/>
      <c r="L517" s="819"/>
      <c r="M517" s="823"/>
      <c r="N517" s="251"/>
      <c r="O517" s="215"/>
      <c r="P517" s="208"/>
      <c r="Q517" s="208"/>
      <c r="R517" s="208"/>
      <c r="S517" s="192"/>
    </row>
    <row r="518" spans="1:28" ht="9.75" hidden="1" customHeight="1">
      <c r="A518" s="192"/>
      <c r="B518" s="808" t="s">
        <v>49</v>
      </c>
      <c r="C518" s="536" t="str">
        <f>IF($L$516&lt;Nutzung!$G$29,Nutzung!$G$29,$L$516)</f>
        <v/>
      </c>
      <c r="D518" s="536"/>
      <c r="E518" s="538"/>
      <c r="F518" s="225"/>
      <c r="G518" s="817">
        <f>IF(L516="",Nutzung!$G$29,Bauteile!L516)</f>
        <v>0</v>
      </c>
      <c r="H518" s="818">
        <f>IF($E$516="",0,((Nutzung!$G$29+Regelung-1)+(($C$518-Nutzung!$G$29)/2)-F280)*D280*$D$516*$E$516*24/($B$284*1000))</f>
        <v>0</v>
      </c>
      <c r="I518" s="537">
        <f>Einträge!E251</f>
        <v>0</v>
      </c>
      <c r="J518" s="537">
        <f>H518-I518*$F$294</f>
        <v>0</v>
      </c>
      <c r="K518" s="554"/>
      <c r="L518" s="537">
        <f t="shared" ref="L518:L529" si="18">IF($B$282=1,J518,H518)</f>
        <v>0</v>
      </c>
      <c r="M518" s="821" t="str">
        <f>IF(E516="","",SUM(L518:L529))</f>
        <v/>
      </c>
      <c r="N518" s="207"/>
      <c r="O518" s="192"/>
      <c r="P518" s="208"/>
      <c r="Q518" s="208"/>
      <c r="R518" s="208"/>
      <c r="S518" s="192"/>
    </row>
    <row r="519" spans="1:28" ht="9.75" hidden="1" customHeight="1">
      <c r="A519" s="192"/>
      <c r="B519" s="808" t="s">
        <v>554</v>
      </c>
      <c r="C519" s="536"/>
      <c r="D519" s="536"/>
      <c r="E519" s="538"/>
      <c r="F519" s="225"/>
      <c r="G519" s="538"/>
      <c r="H519" s="818">
        <f>IF($E$516="",0,((Nutzung!$G$29+Regelung-1)+(($C$518-Nutzung!$G$29)/2)-F281)*D281*$D$516*$E$516*24/($B$284*1000))</f>
        <v>0</v>
      </c>
      <c r="I519" s="537">
        <f>Einträge!E252</f>
        <v>0</v>
      </c>
      <c r="J519" s="537">
        <f>H519-I519*$F$295</f>
        <v>0</v>
      </c>
      <c r="K519" s="554"/>
      <c r="L519" s="537">
        <f t="shared" si="18"/>
        <v>0</v>
      </c>
      <c r="M519" s="824"/>
      <c r="N519" s="207"/>
      <c r="O519" s="192"/>
      <c r="P519" s="208"/>
      <c r="Q519" s="208"/>
      <c r="R519" s="208"/>
      <c r="S519" s="192"/>
    </row>
    <row r="520" spans="1:28" ht="9.75" hidden="1" customHeight="1">
      <c r="A520" s="192"/>
      <c r="B520" s="808" t="s">
        <v>306</v>
      </c>
      <c r="C520" s="536"/>
      <c r="D520" s="536"/>
      <c r="E520" s="538"/>
      <c r="F520" s="225"/>
      <c r="G520" s="538"/>
      <c r="H520" s="818">
        <f>IF($E$516="",0,((Nutzung!$G$29+Regelung-1)+(($C$518-Nutzung!$G$29)/2)-F282)*D282*$D$516*$E$516*24/($B$284*1000))</f>
        <v>0</v>
      </c>
      <c r="I520" s="537">
        <f>Einträge!E253</f>
        <v>0</v>
      </c>
      <c r="J520" s="537">
        <f>H520-I520*$F$296</f>
        <v>0</v>
      </c>
      <c r="K520" s="554"/>
      <c r="L520" s="537">
        <f t="shared" si="18"/>
        <v>0</v>
      </c>
      <c r="M520" s="824"/>
      <c r="N520" s="207"/>
      <c r="O520" s="192"/>
      <c r="P520" s="208"/>
      <c r="Q520" s="208"/>
      <c r="R520" s="208"/>
      <c r="S520" s="192"/>
    </row>
    <row r="521" spans="1:28" ht="9.75" hidden="1" customHeight="1">
      <c r="A521" s="192"/>
      <c r="B521" s="808" t="s">
        <v>409</v>
      </c>
      <c r="C521" s="536"/>
      <c r="D521" s="536"/>
      <c r="E521" s="538"/>
      <c r="F521" s="225"/>
      <c r="G521" s="538"/>
      <c r="H521" s="818">
        <f>IF($E$516="",0,((Nutzung!$G$29+Regelung-1)+(($C$518-Nutzung!$G$29)/2)-F283)*D283*$D$516*$E$516*24/($B$284*1000))</f>
        <v>0</v>
      </c>
      <c r="I521" s="537">
        <f>Einträge!E254</f>
        <v>0</v>
      </c>
      <c r="J521" s="537">
        <f>H521-I521*$F$297</f>
        <v>0</v>
      </c>
      <c r="K521" s="554"/>
      <c r="L521" s="537">
        <f t="shared" si="18"/>
        <v>0</v>
      </c>
      <c r="M521" s="824"/>
      <c r="N521" s="207"/>
      <c r="O521" s="192"/>
      <c r="P521" s="208"/>
      <c r="Q521" s="208"/>
      <c r="R521" s="208"/>
      <c r="S521" s="192"/>
    </row>
    <row r="522" spans="1:28" ht="9.75" hidden="1" customHeight="1">
      <c r="A522" s="192"/>
      <c r="B522" s="808" t="s">
        <v>410</v>
      </c>
      <c r="C522" s="536"/>
      <c r="D522" s="536"/>
      <c r="E522" s="538"/>
      <c r="F522" s="225"/>
      <c r="G522" s="538"/>
      <c r="H522" s="818">
        <f>IF($E$516="",0,((Nutzung!$G$29+Regelung-1)+(($C$518-Nutzung!$G$29)/2)-F284)*D284*$D$516*$E$516*24/($B$284*1000))</f>
        <v>0</v>
      </c>
      <c r="I522" s="537">
        <f>Einträge!E255</f>
        <v>0</v>
      </c>
      <c r="J522" s="537">
        <f>H522-I522*$F$298</f>
        <v>0</v>
      </c>
      <c r="K522" s="554"/>
      <c r="L522" s="537">
        <f t="shared" si="18"/>
        <v>0</v>
      </c>
      <c r="M522" s="824"/>
      <c r="N522" s="207"/>
      <c r="O522" s="192"/>
      <c r="P522" s="208"/>
      <c r="Q522" s="208"/>
      <c r="R522" s="208"/>
      <c r="S522" s="192"/>
    </row>
    <row r="523" spans="1:28" ht="9.75" hidden="1" customHeight="1">
      <c r="A523" s="192"/>
      <c r="B523" s="808" t="s">
        <v>411</v>
      </c>
      <c r="C523" s="536"/>
      <c r="D523" s="536"/>
      <c r="E523" s="538"/>
      <c r="F523" s="225"/>
      <c r="G523" s="538"/>
      <c r="H523" s="818">
        <f>IF($E$516="",0,((Nutzung!$G$29+Regelung-1)+(($C$518-Nutzung!$G$29)/2)-F285)*D285*$D$516*$E$516*24/($B$284*1000))</f>
        <v>0</v>
      </c>
      <c r="I523" s="537">
        <f>Einträge!E256</f>
        <v>0</v>
      </c>
      <c r="J523" s="537">
        <f>H523-I523*$F$299</f>
        <v>0</v>
      </c>
      <c r="K523" s="554"/>
      <c r="L523" s="537">
        <f t="shared" si="18"/>
        <v>0</v>
      </c>
      <c r="M523" s="824"/>
      <c r="N523" s="268" t="s">
        <v>517</v>
      </c>
      <c r="O523" s="192"/>
      <c r="P523" s="208"/>
      <c r="Q523" s="208"/>
      <c r="R523" s="208"/>
      <c r="S523" s="192"/>
    </row>
    <row r="524" spans="1:28" ht="9.75" hidden="1" customHeight="1">
      <c r="A524" s="192"/>
      <c r="B524" s="808" t="s">
        <v>221</v>
      </c>
      <c r="C524" s="536"/>
      <c r="D524" s="536"/>
      <c r="E524" s="538"/>
      <c r="F524" s="225"/>
      <c r="G524" s="538"/>
      <c r="H524" s="818">
        <f>IF($E$516="",0,((Nutzung!$G$29+Regelung-1)+(($C$518-Nutzung!$G$29)/2)-F286)*D286*$D$516*$E$516*24/($B$284*1000))</f>
        <v>0</v>
      </c>
      <c r="I524" s="537">
        <f>Einträge!E257</f>
        <v>0</v>
      </c>
      <c r="J524" s="537">
        <f>H524-I524*$F$300</f>
        <v>0</v>
      </c>
      <c r="K524" s="554"/>
      <c r="L524" s="537">
        <f t="shared" si="18"/>
        <v>0</v>
      </c>
      <c r="M524" s="824"/>
      <c r="N524" s="709">
        <f>SUM(H518:H529)</f>
        <v>0</v>
      </c>
      <c r="O524" s="192"/>
      <c r="P524" s="208"/>
      <c r="Q524" s="208"/>
      <c r="R524" s="208"/>
      <c r="S524" s="192"/>
    </row>
    <row r="525" spans="1:28" ht="9.75" hidden="1" customHeight="1">
      <c r="A525" s="192"/>
      <c r="B525" s="808" t="s">
        <v>138</v>
      </c>
      <c r="C525" s="536"/>
      <c r="D525" s="536"/>
      <c r="E525" s="538"/>
      <c r="F525" s="225"/>
      <c r="G525" s="538"/>
      <c r="H525" s="818">
        <f>IF($E$516="",0,((Nutzung!$G$29+Regelung-1)+(($C$518-Nutzung!$G$29)/2)-F287)*D287*$D$516*$E$516*24/($B$284*1000))</f>
        <v>0</v>
      </c>
      <c r="I525" s="537">
        <f>Einträge!E258</f>
        <v>0</v>
      </c>
      <c r="J525" s="537">
        <f>H525-I525*$F$301</f>
        <v>0</v>
      </c>
      <c r="K525" s="554"/>
      <c r="L525" s="537">
        <f t="shared" si="18"/>
        <v>0</v>
      </c>
      <c r="M525" s="824"/>
      <c r="N525" s="207"/>
      <c r="O525" s="192"/>
      <c r="P525" s="208"/>
      <c r="Q525" s="208"/>
      <c r="R525" s="208"/>
      <c r="S525" s="192"/>
    </row>
    <row r="526" spans="1:28" ht="9.75" hidden="1" customHeight="1">
      <c r="A526" s="192"/>
      <c r="B526" s="808" t="s">
        <v>139</v>
      </c>
      <c r="C526" s="536"/>
      <c r="D526" s="536"/>
      <c r="E526" s="538"/>
      <c r="F526" s="225"/>
      <c r="G526" s="538"/>
      <c r="H526" s="818">
        <f>IF($E$516="",0,((Nutzung!$G$29+Regelung-1)+(($C$518-Nutzung!$G$29)/2)-F288)*D288*$D$516*$E$516*24/($B$284*1000))</f>
        <v>0</v>
      </c>
      <c r="I526" s="537">
        <f>Einträge!E259</f>
        <v>0</v>
      </c>
      <c r="J526" s="537">
        <f>H526-I526*$F$302</f>
        <v>0</v>
      </c>
      <c r="K526" s="554"/>
      <c r="L526" s="537">
        <f t="shared" si="18"/>
        <v>0</v>
      </c>
      <c r="M526" s="824"/>
      <c r="N526" s="207"/>
      <c r="O526" s="192"/>
      <c r="P526" s="208"/>
      <c r="Q526" s="208"/>
      <c r="R526" s="208"/>
      <c r="S526" s="192"/>
    </row>
    <row r="527" spans="1:28" ht="9.75" hidden="1" customHeight="1">
      <c r="A527" s="192"/>
      <c r="B527" s="808" t="s">
        <v>269</v>
      </c>
      <c r="C527" s="536"/>
      <c r="D527" s="536"/>
      <c r="E527" s="538"/>
      <c r="F527" s="225"/>
      <c r="G527" s="538"/>
      <c r="H527" s="818">
        <f>IF($E$516="",0,((Nutzung!$G$29+Regelung-1)+(($C$518-Nutzung!$G$29)/2)-F289)*D289*$D$516*$E$516*24/($B$284*1000))</f>
        <v>0</v>
      </c>
      <c r="I527" s="537">
        <f>Einträge!E260</f>
        <v>0</v>
      </c>
      <c r="J527" s="537">
        <f>H527-I527*$F$303</f>
        <v>0</v>
      </c>
      <c r="K527" s="554"/>
      <c r="L527" s="537">
        <f t="shared" si="18"/>
        <v>0</v>
      </c>
      <c r="M527" s="824"/>
      <c r="N527" s="207"/>
      <c r="O527" s="192"/>
      <c r="P527" s="208"/>
      <c r="Q527" s="208"/>
      <c r="R527" s="208"/>
      <c r="S527" s="192"/>
    </row>
    <row r="528" spans="1:28" ht="9.75" hidden="1" customHeight="1">
      <c r="A528" s="192"/>
      <c r="B528" s="808" t="s">
        <v>366</v>
      </c>
      <c r="C528" s="536"/>
      <c r="D528" s="536"/>
      <c r="E528" s="538"/>
      <c r="F528" s="225"/>
      <c r="G528" s="538"/>
      <c r="H528" s="818">
        <f>IF($E$516="",0,((Nutzung!$G$29+Regelung-1)+(($C$518-Nutzung!$G$29)/2)-F290)*D290*$D$516*$E$516*24/($B$284*1000))</f>
        <v>0</v>
      </c>
      <c r="I528" s="537">
        <f>Einträge!E261</f>
        <v>0</v>
      </c>
      <c r="J528" s="537">
        <f>H528-I528*$F$304</f>
        <v>0</v>
      </c>
      <c r="K528" s="554"/>
      <c r="L528" s="537">
        <f t="shared" si="18"/>
        <v>0</v>
      </c>
      <c r="M528" s="824"/>
      <c r="N528" s="207"/>
      <c r="O528" s="192"/>
      <c r="P528" s="208"/>
      <c r="Q528" s="208"/>
      <c r="R528" s="208"/>
      <c r="S528" s="192"/>
    </row>
    <row r="529" spans="1:28" ht="9.75" hidden="1" customHeight="1">
      <c r="A529" s="192"/>
      <c r="B529" s="808" t="s">
        <v>465</v>
      </c>
      <c r="C529" s="536"/>
      <c r="D529" s="536"/>
      <c r="E529" s="538"/>
      <c r="F529" s="225"/>
      <c r="G529" s="538"/>
      <c r="H529" s="818">
        <f>IF($E$516="",0,((Nutzung!$G$29+Regelung-1)+(($C$518-Nutzung!$G$29)/2)-F291)*D291*$D$516*$E$516*24/($B$284*1000))</f>
        <v>0</v>
      </c>
      <c r="I529" s="537">
        <f>Einträge!E262</f>
        <v>0</v>
      </c>
      <c r="J529" s="537">
        <f>H529-I529*$F$305</f>
        <v>0</v>
      </c>
      <c r="K529" s="554"/>
      <c r="L529" s="537">
        <f t="shared" si="18"/>
        <v>0</v>
      </c>
      <c r="M529" s="824"/>
      <c r="N529" s="207"/>
      <c r="O529" s="192"/>
      <c r="P529" s="208"/>
      <c r="Q529" s="208"/>
      <c r="R529" s="208"/>
      <c r="S529" s="192"/>
    </row>
    <row r="530" spans="1:28" ht="10.95" customHeight="1">
      <c r="A530" s="192"/>
      <c r="B530" s="648"/>
      <c r="C530" s="656"/>
      <c r="D530" s="657"/>
      <c r="E530" s="658"/>
      <c r="F530" s="664"/>
      <c r="G530" s="873"/>
      <c r="H530" s="658"/>
      <c r="I530" s="671"/>
      <c r="J530" s="668"/>
      <c r="K530" s="668"/>
      <c r="L530" s="220" t="str">
        <f>IF(E530="","",Nutzung!$G$29)</f>
        <v/>
      </c>
      <c r="M530" s="780" t="str">
        <f>IF(D530="","",AB530)</f>
        <v/>
      </c>
      <c r="N530" s="214">
        <f>IF(E530=0,0,M532)</f>
        <v>0</v>
      </c>
      <c r="O530" s="215" t="str">
        <f>IF(N530/$O$1370=0,"",N530/$O$1370)</f>
        <v/>
      </c>
      <c r="P530" s="208"/>
      <c r="Q530" s="208"/>
      <c r="R530" s="208"/>
      <c r="S530" s="192"/>
      <c r="T530" s="182">
        <f>D530*E530</f>
        <v>0</v>
      </c>
      <c r="AA530" s="318">
        <f>IF(D530="",0,1)</f>
        <v>0</v>
      </c>
      <c r="AB530" s="318">
        <f>AB516+AA530</f>
        <v>0</v>
      </c>
    </row>
    <row r="531" spans="1:28" ht="10.95" hidden="1" customHeight="1">
      <c r="A531" s="260"/>
      <c r="B531" s="807"/>
      <c r="C531" s="812"/>
      <c r="D531" s="812"/>
      <c r="E531" s="813"/>
      <c r="F531" s="796"/>
      <c r="G531" s="813"/>
      <c r="H531" s="816"/>
      <c r="I531" s="816"/>
      <c r="J531" s="816"/>
      <c r="K531" s="797"/>
      <c r="L531" s="819"/>
      <c r="M531" s="823"/>
      <c r="N531" s="251"/>
      <c r="O531" s="215"/>
      <c r="P531" s="208"/>
      <c r="Q531" s="208"/>
      <c r="R531" s="208"/>
      <c r="S531" s="192"/>
    </row>
    <row r="532" spans="1:28" ht="9.75" hidden="1" customHeight="1">
      <c r="A532" s="192"/>
      <c r="B532" s="808" t="s">
        <v>49</v>
      </c>
      <c r="C532" s="536" t="str">
        <f>IF($L$530&lt;Nutzung!$G$29,Nutzung!$G$29,$L$530)</f>
        <v/>
      </c>
      <c r="D532" s="536"/>
      <c r="E532" s="538"/>
      <c r="F532" s="225"/>
      <c r="G532" s="817">
        <f>IF(L530="",Nutzung!$G$29,Bauteile!L530)</f>
        <v>0</v>
      </c>
      <c r="H532" s="818">
        <f>IF($E$530="",0,((Nutzung!$G$29+Regelung-1)+(($C$532-Nutzung!$G$29)/2)-F280)*D280*$D$530*$E$530*24/($B$284*1000))</f>
        <v>0</v>
      </c>
      <c r="I532" s="537">
        <f>Einträge!E264</f>
        <v>0</v>
      </c>
      <c r="J532" s="537">
        <f>H532-I532*$F$294</f>
        <v>0</v>
      </c>
      <c r="K532" s="554"/>
      <c r="L532" s="537">
        <f t="shared" ref="L532:L543" si="19">IF($B$282=1,J532,H532)</f>
        <v>0</v>
      </c>
      <c r="M532" s="821" t="str">
        <f>IF(E530="","",SUM(L532:L543))</f>
        <v/>
      </c>
      <c r="N532" s="207"/>
      <c r="O532" s="192"/>
      <c r="P532" s="208"/>
      <c r="Q532" s="208"/>
      <c r="R532" s="208"/>
      <c r="S532" s="192"/>
    </row>
    <row r="533" spans="1:28" ht="9.75" hidden="1" customHeight="1">
      <c r="A533" s="192"/>
      <c r="B533" s="808" t="s">
        <v>554</v>
      </c>
      <c r="C533" s="536"/>
      <c r="D533" s="536"/>
      <c r="E533" s="538"/>
      <c r="F533" s="225"/>
      <c r="G533" s="538"/>
      <c r="H533" s="818">
        <f>IF($E$530="",0,((Nutzung!$G$29+Regelung-1)+(($C$532-Nutzung!$G$29)/2)-F281)*D281*$D$530*$E$530*24/($B$284*1000))</f>
        <v>0</v>
      </c>
      <c r="I533" s="537">
        <f>Einträge!E265</f>
        <v>0</v>
      </c>
      <c r="J533" s="537">
        <f>H533-I533*$F$295</f>
        <v>0</v>
      </c>
      <c r="K533" s="554"/>
      <c r="L533" s="537">
        <f t="shared" si="19"/>
        <v>0</v>
      </c>
      <c r="M533" s="824"/>
      <c r="N533" s="207"/>
      <c r="O533" s="192"/>
      <c r="P533" s="208"/>
      <c r="Q533" s="208"/>
      <c r="R533" s="208"/>
      <c r="S533" s="192"/>
    </row>
    <row r="534" spans="1:28" ht="9.75" hidden="1" customHeight="1">
      <c r="A534" s="192"/>
      <c r="B534" s="808" t="s">
        <v>306</v>
      </c>
      <c r="C534" s="536"/>
      <c r="D534" s="536"/>
      <c r="E534" s="538"/>
      <c r="F534" s="225"/>
      <c r="G534" s="538"/>
      <c r="H534" s="818">
        <f>IF($E$530="",0,((Nutzung!$G$29+Regelung-1)+(($C$532-Nutzung!$G$29)/2)-F282)*D282*$D$530*$E$530*24/($B$284*1000))</f>
        <v>0</v>
      </c>
      <c r="I534" s="537">
        <f>Einträge!E266</f>
        <v>0</v>
      </c>
      <c r="J534" s="537">
        <f>H534-I534*$F$296</f>
        <v>0</v>
      </c>
      <c r="K534" s="554"/>
      <c r="L534" s="537">
        <f t="shared" si="19"/>
        <v>0</v>
      </c>
      <c r="M534" s="824"/>
      <c r="N534" s="207"/>
      <c r="O534" s="192"/>
      <c r="P534" s="208"/>
      <c r="Q534" s="208"/>
      <c r="R534" s="208"/>
      <c r="S534" s="192"/>
    </row>
    <row r="535" spans="1:28" ht="9.75" hidden="1" customHeight="1">
      <c r="A535" s="192"/>
      <c r="B535" s="808" t="s">
        <v>409</v>
      </c>
      <c r="C535" s="536"/>
      <c r="D535" s="536"/>
      <c r="E535" s="538"/>
      <c r="F535" s="225"/>
      <c r="G535" s="538"/>
      <c r="H535" s="818">
        <f>IF($E$530="",0,((Nutzung!$G$29+Regelung-1)+(($C$532-Nutzung!$G$29)/2)-F283)*D283*$D$530*$E$530*24/($B$284*1000))</f>
        <v>0</v>
      </c>
      <c r="I535" s="537">
        <f>Einträge!E267</f>
        <v>0</v>
      </c>
      <c r="J535" s="537">
        <f>H535-I535*$F$297</f>
        <v>0</v>
      </c>
      <c r="K535" s="554"/>
      <c r="L535" s="537">
        <f t="shared" si="19"/>
        <v>0</v>
      </c>
      <c r="M535" s="824"/>
      <c r="N535" s="207"/>
      <c r="O535" s="192"/>
      <c r="P535" s="208"/>
      <c r="Q535" s="208"/>
      <c r="R535" s="208"/>
      <c r="S535" s="192"/>
    </row>
    <row r="536" spans="1:28" ht="9.75" hidden="1" customHeight="1">
      <c r="A536" s="192"/>
      <c r="B536" s="808" t="s">
        <v>410</v>
      </c>
      <c r="C536" s="536"/>
      <c r="D536" s="536"/>
      <c r="E536" s="538"/>
      <c r="F536" s="225"/>
      <c r="G536" s="538"/>
      <c r="H536" s="818">
        <f>IF($E$530="",0,((Nutzung!$G$29+Regelung-1)+(($C$532-Nutzung!$G$29)/2)-F284)*D284*$D$530*$E$530*24/($B$284*1000))</f>
        <v>0</v>
      </c>
      <c r="I536" s="537">
        <f>Einträge!E268</f>
        <v>0</v>
      </c>
      <c r="J536" s="537">
        <f>H536-I536*$F$298</f>
        <v>0</v>
      </c>
      <c r="K536" s="554"/>
      <c r="L536" s="537">
        <f t="shared" si="19"/>
        <v>0</v>
      </c>
      <c r="M536" s="824"/>
      <c r="N536" s="207"/>
      <c r="O536" s="192"/>
      <c r="P536" s="208"/>
      <c r="Q536" s="208"/>
      <c r="R536" s="208"/>
      <c r="S536" s="192"/>
    </row>
    <row r="537" spans="1:28" ht="9.75" hidden="1" customHeight="1">
      <c r="A537" s="192"/>
      <c r="B537" s="808" t="s">
        <v>411</v>
      </c>
      <c r="C537" s="536"/>
      <c r="D537" s="536"/>
      <c r="E537" s="538"/>
      <c r="F537" s="225"/>
      <c r="G537" s="538"/>
      <c r="H537" s="818">
        <f>IF($E$530="",0,((Nutzung!$G$29+Regelung-1)+(($C$532-Nutzung!$G$29)/2)-F285)*D285*$D$530*$E$530*24/($B$284*1000))</f>
        <v>0</v>
      </c>
      <c r="I537" s="537">
        <f>Einträge!E269</f>
        <v>0</v>
      </c>
      <c r="J537" s="537">
        <f>H537-I537*$F$299</f>
        <v>0</v>
      </c>
      <c r="K537" s="554"/>
      <c r="L537" s="537">
        <f t="shared" si="19"/>
        <v>0</v>
      </c>
      <c r="M537" s="824"/>
      <c r="N537" s="268" t="s">
        <v>517</v>
      </c>
      <c r="O537" s="192"/>
      <c r="P537" s="208"/>
      <c r="Q537" s="208"/>
      <c r="R537" s="208"/>
      <c r="S537" s="192"/>
    </row>
    <row r="538" spans="1:28" ht="9.75" hidden="1" customHeight="1">
      <c r="A538" s="192"/>
      <c r="B538" s="808" t="s">
        <v>221</v>
      </c>
      <c r="C538" s="536"/>
      <c r="D538" s="536"/>
      <c r="E538" s="538"/>
      <c r="F538" s="225"/>
      <c r="G538" s="538"/>
      <c r="H538" s="818">
        <f>IF($E$530="",0,((Nutzung!$G$29+Regelung-1)+(($C$532-Nutzung!$G$29)/2)-F286)*D286*$D$530*$E$530*24/($B$284*1000))</f>
        <v>0</v>
      </c>
      <c r="I538" s="537">
        <f>Einträge!E270</f>
        <v>0</v>
      </c>
      <c r="J538" s="537">
        <f>H538-I538*$F$300</f>
        <v>0</v>
      </c>
      <c r="K538" s="554"/>
      <c r="L538" s="537">
        <f t="shared" si="19"/>
        <v>0</v>
      </c>
      <c r="M538" s="824"/>
      <c r="N538" s="709">
        <f>SUM(H532:H543)</f>
        <v>0</v>
      </c>
      <c r="O538" s="192"/>
      <c r="P538" s="208"/>
      <c r="Q538" s="208"/>
      <c r="R538" s="208"/>
      <c r="S538" s="192"/>
    </row>
    <row r="539" spans="1:28" ht="9.75" hidden="1" customHeight="1">
      <c r="A539" s="192"/>
      <c r="B539" s="808" t="s">
        <v>138</v>
      </c>
      <c r="C539" s="536"/>
      <c r="D539" s="536"/>
      <c r="E539" s="538"/>
      <c r="F539" s="225"/>
      <c r="G539" s="538"/>
      <c r="H539" s="818">
        <f>IF($E$530="",0,((Nutzung!$G$29+Regelung-1)+(($C$532-Nutzung!$G$29)/2)-F287)*D287*$D$530*$E$530*24/($B$284*1000))</f>
        <v>0</v>
      </c>
      <c r="I539" s="537">
        <f>Einträge!E271</f>
        <v>0</v>
      </c>
      <c r="J539" s="537">
        <f>H539-I539*$F$301</f>
        <v>0</v>
      </c>
      <c r="K539" s="554"/>
      <c r="L539" s="537">
        <f t="shared" si="19"/>
        <v>0</v>
      </c>
      <c r="M539" s="824"/>
      <c r="N539" s="207"/>
      <c r="O539" s="192"/>
      <c r="P539" s="208"/>
      <c r="Q539" s="208"/>
      <c r="R539" s="208"/>
      <c r="S539" s="192"/>
    </row>
    <row r="540" spans="1:28" ht="9.75" hidden="1" customHeight="1">
      <c r="A540" s="192"/>
      <c r="B540" s="808" t="s">
        <v>139</v>
      </c>
      <c r="C540" s="536"/>
      <c r="D540" s="536"/>
      <c r="E540" s="538"/>
      <c r="F540" s="225"/>
      <c r="G540" s="538"/>
      <c r="H540" s="818">
        <f>IF($E$530="",0,((Nutzung!$G$29+Regelung-1)+(($C$532-Nutzung!$G$29)/2)-F288)*D288*$D$530*$E$530*24/($B$284*1000))</f>
        <v>0</v>
      </c>
      <c r="I540" s="537">
        <f>Einträge!E272</f>
        <v>0</v>
      </c>
      <c r="J540" s="537">
        <f>H540-I540*$F$302</f>
        <v>0</v>
      </c>
      <c r="K540" s="554"/>
      <c r="L540" s="537">
        <f t="shared" si="19"/>
        <v>0</v>
      </c>
      <c r="M540" s="824"/>
      <c r="N540" s="207"/>
      <c r="O540" s="192"/>
      <c r="P540" s="208"/>
      <c r="Q540" s="208"/>
      <c r="R540" s="208"/>
      <c r="S540" s="192"/>
    </row>
    <row r="541" spans="1:28" ht="9.75" hidden="1" customHeight="1">
      <c r="A541" s="192"/>
      <c r="B541" s="808" t="s">
        <v>269</v>
      </c>
      <c r="C541" s="536"/>
      <c r="D541" s="536"/>
      <c r="E541" s="538"/>
      <c r="F541" s="225"/>
      <c r="G541" s="538"/>
      <c r="H541" s="818">
        <f>IF($E$530="",0,((Nutzung!$G$29+Regelung-1)+(($C$532-Nutzung!$G$29)/2)-F289)*D289*$D$530*$E$530*24/($B$284*1000))</f>
        <v>0</v>
      </c>
      <c r="I541" s="537">
        <f>Einträge!E273</f>
        <v>0</v>
      </c>
      <c r="J541" s="537">
        <f>H541-I541*$F$303</f>
        <v>0</v>
      </c>
      <c r="K541" s="554"/>
      <c r="L541" s="537">
        <f t="shared" si="19"/>
        <v>0</v>
      </c>
      <c r="M541" s="824"/>
      <c r="N541" s="207"/>
      <c r="O541" s="192"/>
      <c r="P541" s="208"/>
      <c r="Q541" s="208"/>
      <c r="R541" s="208"/>
      <c r="S541" s="192"/>
    </row>
    <row r="542" spans="1:28" ht="9.75" hidden="1" customHeight="1">
      <c r="A542" s="192"/>
      <c r="B542" s="808" t="s">
        <v>366</v>
      </c>
      <c r="C542" s="536"/>
      <c r="D542" s="536"/>
      <c r="E542" s="538"/>
      <c r="F542" s="225"/>
      <c r="G542" s="538"/>
      <c r="H542" s="818">
        <f>IF($E$530="",0,((Nutzung!$G$29+Regelung-1)+(($C$532-Nutzung!$G$29)/2)-F290)*D290*$D$530*$E$530*24/($B$284*1000))</f>
        <v>0</v>
      </c>
      <c r="I542" s="537">
        <f>Einträge!E274</f>
        <v>0</v>
      </c>
      <c r="J542" s="537">
        <f>H542-I542*$F$304</f>
        <v>0</v>
      </c>
      <c r="K542" s="554"/>
      <c r="L542" s="537">
        <f t="shared" si="19"/>
        <v>0</v>
      </c>
      <c r="M542" s="824"/>
      <c r="N542" s="207"/>
      <c r="O542" s="192"/>
      <c r="P542" s="208"/>
      <c r="Q542" s="208"/>
      <c r="R542" s="208"/>
      <c r="S542" s="192"/>
    </row>
    <row r="543" spans="1:28" ht="9.75" hidden="1" customHeight="1">
      <c r="A543" s="192"/>
      <c r="B543" s="808" t="s">
        <v>465</v>
      </c>
      <c r="C543" s="536"/>
      <c r="D543" s="536"/>
      <c r="E543" s="538"/>
      <c r="F543" s="225"/>
      <c r="G543" s="538"/>
      <c r="H543" s="818">
        <f>IF($E$530="",0,((Nutzung!$G$29+Regelung-1)+(($C$532-Nutzung!$G$29)/2)-F291)*D291*$D$530*$E$530*24/($B$284*1000))</f>
        <v>0</v>
      </c>
      <c r="I543" s="537">
        <f>Einträge!E275</f>
        <v>0</v>
      </c>
      <c r="J543" s="537">
        <f>H543-I543*$F$305</f>
        <v>0</v>
      </c>
      <c r="K543" s="554"/>
      <c r="L543" s="537">
        <f t="shared" si="19"/>
        <v>0</v>
      </c>
      <c r="M543" s="824"/>
      <c r="N543" s="207"/>
      <c r="O543" s="192"/>
      <c r="P543" s="208"/>
      <c r="Q543" s="208"/>
      <c r="R543" s="208"/>
      <c r="S543" s="192"/>
    </row>
    <row r="544" spans="1:28" ht="10.95" customHeight="1">
      <c r="A544" s="192"/>
      <c r="B544" s="649"/>
      <c r="C544" s="660"/>
      <c r="D544" s="661"/>
      <c r="E544" s="662"/>
      <c r="F544" s="665"/>
      <c r="G544" s="874"/>
      <c r="H544" s="662"/>
      <c r="I544" s="670"/>
      <c r="J544" s="669"/>
      <c r="K544" s="669"/>
      <c r="L544" s="221" t="str">
        <f>IF(E544="","",Nutzung!$G$29)</f>
        <v/>
      </c>
      <c r="M544" s="768" t="str">
        <f>IF(D544="","",AB544)</f>
        <v/>
      </c>
      <c r="N544" s="214">
        <f>IF(E544=0,0,M546)</f>
        <v>0</v>
      </c>
      <c r="O544" s="215" t="str">
        <f>IF(N544/$O$1370=0,"",N544/$O$1370)</f>
        <v/>
      </c>
      <c r="P544" s="208"/>
      <c r="Q544" s="208"/>
      <c r="R544" s="208"/>
      <c r="S544" s="192"/>
      <c r="T544" s="182">
        <f>D544*E544</f>
        <v>0</v>
      </c>
      <c r="AA544" s="318">
        <f>IF(D544="",0,1)</f>
        <v>0</v>
      </c>
      <c r="AB544" s="318">
        <f>AB530+AA544</f>
        <v>0</v>
      </c>
    </row>
    <row r="545" spans="1:38" ht="10.95" hidden="1" customHeight="1">
      <c r="A545" s="260"/>
      <c r="B545" s="799"/>
      <c r="C545" s="44"/>
      <c r="D545" s="44"/>
      <c r="E545" s="632"/>
      <c r="F545" s="632"/>
      <c r="G545" s="632"/>
      <c r="H545" s="797"/>
      <c r="I545" s="797"/>
      <c r="J545" s="797"/>
      <c r="K545" s="797"/>
      <c r="L545" s="825"/>
      <c r="M545" s="44"/>
      <c r="N545" s="251"/>
      <c r="O545" s="215"/>
      <c r="P545" s="208"/>
      <c r="Q545" s="208"/>
      <c r="R545" s="208"/>
      <c r="S545" s="192"/>
    </row>
    <row r="546" spans="1:38" ht="9.75" hidden="1" customHeight="1">
      <c r="A546" s="192"/>
      <c r="B546" s="716" t="s">
        <v>49</v>
      </c>
      <c r="C546" s="717" t="str">
        <f>IF($L$544&lt;Nutzung!$G$29,Nutzung!$G$29,$L$544)</f>
        <v/>
      </c>
      <c r="D546" s="717"/>
      <c r="E546" s="680"/>
      <c r="F546" s="717"/>
      <c r="G546" s="718">
        <f>IF(L544="",Nutzung!$G$29,Bauteile!L544)</f>
        <v>0</v>
      </c>
      <c r="H546" s="785">
        <f>IF($E$544="",0,((Nutzung!$G$29+Regelung-1)+(($C$546-Nutzung!$G$29)/2)-F280)*D280*$D$544*$E$544*24/($B$284*1000))</f>
        <v>0</v>
      </c>
      <c r="I546" s="786">
        <f>Einträge!E277</f>
        <v>0</v>
      </c>
      <c r="J546" s="787">
        <f>H546-I546*$F$294</f>
        <v>0</v>
      </c>
      <c r="K546" s="717"/>
      <c r="L546" s="285">
        <f t="shared" ref="L546:L557" si="20">IF($B$282=1,J546,H546)</f>
        <v>0</v>
      </c>
      <c r="M546" s="285" t="str">
        <f>IF(E544="","",SUM(L546:L557))</f>
        <v/>
      </c>
      <c r="N546" s="207"/>
      <c r="O546" s="192"/>
      <c r="P546" s="208"/>
      <c r="Q546" s="208"/>
      <c r="R546" s="208"/>
      <c r="S546" s="192"/>
    </row>
    <row r="547" spans="1:38" ht="9.75" hidden="1" customHeight="1">
      <c r="A547" s="192"/>
      <c r="B547" s="716" t="s">
        <v>554</v>
      </c>
      <c r="C547" s="717"/>
      <c r="D547" s="717"/>
      <c r="E547" s="680"/>
      <c r="F547" s="717"/>
      <c r="G547" s="13"/>
      <c r="H547" s="785">
        <f>IF($E$544="",0,((Nutzung!$G$29+Regelung-1)+(($C$546-Nutzung!$G$29)/2)-F281)*D281*$D$544*$E$544*24/($B$284*1000))</f>
        <v>0</v>
      </c>
      <c r="I547" s="786">
        <f>Einträge!E278</f>
        <v>0</v>
      </c>
      <c r="J547" s="787">
        <f>H547-I547*$F$295</f>
        <v>0</v>
      </c>
      <c r="K547" s="717"/>
      <c r="L547" s="285">
        <f t="shared" si="20"/>
        <v>0</v>
      </c>
      <c r="M547" s="717"/>
      <c r="N547" s="207"/>
      <c r="O547" s="192"/>
      <c r="P547" s="208"/>
      <c r="Q547" s="208"/>
      <c r="R547" s="208"/>
      <c r="S547" s="192"/>
    </row>
    <row r="548" spans="1:38" ht="9.75" hidden="1" customHeight="1">
      <c r="A548" s="192"/>
      <c r="B548" s="716" t="s">
        <v>306</v>
      </c>
      <c r="C548" s="717"/>
      <c r="D548" s="717"/>
      <c r="E548" s="680"/>
      <c r="F548" s="717"/>
      <c r="G548" s="13"/>
      <c r="H548" s="785">
        <f>IF($E$544="",0,((Nutzung!$G$29+Regelung-1)+(($C$546-Nutzung!$G$29)/2)-F282)*D282*$D$544*$E$544*24/($B$284*1000))</f>
        <v>0</v>
      </c>
      <c r="I548" s="786">
        <f>Einträge!E279</f>
        <v>0</v>
      </c>
      <c r="J548" s="787">
        <f>H548-I548*$F$296</f>
        <v>0</v>
      </c>
      <c r="K548" s="717"/>
      <c r="L548" s="285">
        <f t="shared" si="20"/>
        <v>0</v>
      </c>
      <c r="M548" s="717"/>
      <c r="N548" s="207"/>
      <c r="O548" s="192"/>
      <c r="P548" s="208"/>
      <c r="Q548" s="208"/>
      <c r="R548" s="208"/>
      <c r="S548" s="192"/>
    </row>
    <row r="549" spans="1:38" ht="9.75" hidden="1" customHeight="1">
      <c r="A549" s="192"/>
      <c r="B549" s="716" t="s">
        <v>409</v>
      </c>
      <c r="C549" s="717"/>
      <c r="D549" s="717"/>
      <c r="E549" s="680"/>
      <c r="F549" s="717"/>
      <c r="G549" s="13"/>
      <c r="H549" s="785">
        <f>IF($E$544="",0,((Nutzung!$G$29+Regelung-1)+(($C$546-Nutzung!$G$29)/2)-F283)*D283*$D$544*$E$544*24/($B$284*1000))</f>
        <v>0</v>
      </c>
      <c r="I549" s="786">
        <f>Einträge!E280</f>
        <v>0</v>
      </c>
      <c r="J549" s="787">
        <f>H549-I549*$F$297</f>
        <v>0</v>
      </c>
      <c r="K549" s="717"/>
      <c r="L549" s="285">
        <f t="shared" si="20"/>
        <v>0</v>
      </c>
      <c r="M549" s="717"/>
      <c r="N549" s="207"/>
      <c r="O549" s="192"/>
      <c r="P549" s="208"/>
      <c r="Q549" s="208"/>
      <c r="R549" s="208"/>
      <c r="S549" s="192"/>
    </row>
    <row r="550" spans="1:38" ht="9.75" hidden="1" customHeight="1">
      <c r="A550" s="192"/>
      <c r="B550" s="716" t="s">
        <v>410</v>
      </c>
      <c r="C550" s="717"/>
      <c r="D550" s="717"/>
      <c r="E550" s="680"/>
      <c r="F550" s="717"/>
      <c r="G550" s="13"/>
      <c r="H550" s="785">
        <f>IF($E$544="",0,((Nutzung!$G$29+Regelung-1)+(($C$546-Nutzung!$G$29)/2)-F284)*D284*$D$544*$E$544*24/($B$284*1000))</f>
        <v>0</v>
      </c>
      <c r="I550" s="786">
        <f>Einträge!E281</f>
        <v>0</v>
      </c>
      <c r="J550" s="787">
        <f>H550-I550*$F$298</f>
        <v>0</v>
      </c>
      <c r="K550" s="717"/>
      <c r="L550" s="285">
        <f t="shared" si="20"/>
        <v>0</v>
      </c>
      <c r="M550" s="717"/>
      <c r="N550" s="207"/>
      <c r="O550" s="192"/>
      <c r="P550" s="208"/>
      <c r="Q550" s="208"/>
      <c r="R550" s="208"/>
      <c r="S550" s="192"/>
    </row>
    <row r="551" spans="1:38" ht="9.75" hidden="1" customHeight="1">
      <c r="A551" s="192"/>
      <c r="B551" s="716" t="s">
        <v>411</v>
      </c>
      <c r="C551" s="717"/>
      <c r="D551" s="717"/>
      <c r="E551" s="680"/>
      <c r="F551" s="717"/>
      <c r="G551" s="13"/>
      <c r="H551" s="785">
        <f>IF($E$544="",0,((Nutzung!$G$29+Regelung-1)+(($C$546-Nutzung!$G$29)/2)-F285)*D285*$D$544*$E$544*24/($B$284*1000))</f>
        <v>0</v>
      </c>
      <c r="I551" s="786">
        <f>Einträge!E282</f>
        <v>0</v>
      </c>
      <c r="J551" s="787">
        <f>H551-I551*$F$299</f>
        <v>0</v>
      </c>
      <c r="K551" s="717"/>
      <c r="L551" s="285">
        <f t="shared" si="20"/>
        <v>0</v>
      </c>
      <c r="M551" s="717"/>
      <c r="N551" s="268" t="s">
        <v>517</v>
      </c>
      <c r="O551" s="192"/>
      <c r="P551" s="208"/>
      <c r="Q551" s="208"/>
      <c r="R551" s="208"/>
      <c r="S551" s="192"/>
    </row>
    <row r="552" spans="1:38" ht="9.75" hidden="1" customHeight="1">
      <c r="A552" s="192"/>
      <c r="B552" s="716" t="s">
        <v>221</v>
      </c>
      <c r="C552" s="717"/>
      <c r="D552" s="717"/>
      <c r="E552" s="680"/>
      <c r="F552" s="717"/>
      <c r="G552" s="13"/>
      <c r="H552" s="785">
        <f>IF($E$544="",0,((Nutzung!$G$29+Regelung-1)+(($C$546-Nutzung!$G$29)/2)-F286)*D286*$D$544*$E$544*24/($B$284*1000))</f>
        <v>0</v>
      </c>
      <c r="I552" s="786">
        <f>Einträge!E283</f>
        <v>0</v>
      </c>
      <c r="J552" s="787">
        <f>H552-I552*$F$300</f>
        <v>0</v>
      </c>
      <c r="K552" s="717"/>
      <c r="L552" s="285">
        <f t="shared" si="20"/>
        <v>0</v>
      </c>
      <c r="M552" s="717"/>
      <c r="N552" s="709">
        <f>SUM(H546:H557)</f>
        <v>0</v>
      </c>
      <c r="O552" s="192"/>
      <c r="P552" s="208"/>
      <c r="Q552" s="208"/>
      <c r="R552" s="208"/>
      <c r="S552" s="192"/>
    </row>
    <row r="553" spans="1:38" ht="9.75" hidden="1" customHeight="1">
      <c r="A553" s="192"/>
      <c r="B553" s="716" t="s">
        <v>138</v>
      </c>
      <c r="C553" s="717"/>
      <c r="D553" s="717"/>
      <c r="E553" s="680"/>
      <c r="F553" s="717"/>
      <c r="G553" s="13"/>
      <c r="H553" s="785">
        <f>IF($E$544="",0,((Nutzung!$G$29+Regelung-1)+(($C$546-Nutzung!$G$29)/2)-F287)*D287*$D$544*$E$544*24/($B$284*1000))</f>
        <v>0</v>
      </c>
      <c r="I553" s="786">
        <f>Einträge!E284</f>
        <v>0</v>
      </c>
      <c r="J553" s="787">
        <f>H553-I553*$F$301</f>
        <v>0</v>
      </c>
      <c r="K553" s="717"/>
      <c r="L553" s="285">
        <f t="shared" si="20"/>
        <v>0</v>
      </c>
      <c r="M553" s="717"/>
      <c r="N553" s="207"/>
      <c r="O553" s="192"/>
      <c r="P553" s="208"/>
      <c r="Q553" s="208"/>
      <c r="R553" s="208"/>
      <c r="S553" s="192"/>
    </row>
    <row r="554" spans="1:38" ht="9.75" hidden="1" customHeight="1">
      <c r="A554" s="192"/>
      <c r="B554" s="716" t="s">
        <v>139</v>
      </c>
      <c r="C554" s="717"/>
      <c r="D554" s="717"/>
      <c r="E554" s="680"/>
      <c r="F554" s="717"/>
      <c r="G554" s="13"/>
      <c r="H554" s="785">
        <f>IF($E$544="",0,((Nutzung!$G$29+Regelung-1)+(($C$546-Nutzung!$G$29)/2)-F288)*D288*$D$544*$E$544*24/($B$284*1000))</f>
        <v>0</v>
      </c>
      <c r="I554" s="786">
        <f>Einträge!E285</f>
        <v>0</v>
      </c>
      <c r="J554" s="787">
        <f>H554-I554*$F$302</f>
        <v>0</v>
      </c>
      <c r="K554" s="717"/>
      <c r="L554" s="285">
        <f t="shared" si="20"/>
        <v>0</v>
      </c>
      <c r="M554" s="717"/>
      <c r="N554" s="207"/>
      <c r="O554" s="192"/>
      <c r="P554" s="208"/>
      <c r="Q554" s="208"/>
      <c r="R554" s="208"/>
      <c r="S554" s="192"/>
    </row>
    <row r="555" spans="1:38" ht="9.75" hidden="1" customHeight="1">
      <c r="A555" s="192"/>
      <c r="B555" s="716" t="s">
        <v>269</v>
      </c>
      <c r="C555" s="717"/>
      <c r="D555" s="717"/>
      <c r="E555" s="680"/>
      <c r="F555" s="717"/>
      <c r="G555" s="13"/>
      <c r="H555" s="785">
        <f>IF($E$544="",0,((Nutzung!$G$29+Regelung-1)+(($C$546-Nutzung!$G$29)/2)-F289)*D289*$D$544*$E$544*24/($B$284*1000))</f>
        <v>0</v>
      </c>
      <c r="I555" s="786">
        <f>Einträge!E286</f>
        <v>0</v>
      </c>
      <c r="J555" s="787">
        <f>H555-I555*$F$303</f>
        <v>0</v>
      </c>
      <c r="K555" s="717"/>
      <c r="L555" s="285">
        <f t="shared" si="20"/>
        <v>0</v>
      </c>
      <c r="M555" s="717"/>
      <c r="N555" s="207"/>
      <c r="O555" s="192"/>
      <c r="P555" s="208"/>
      <c r="Q555" s="208"/>
      <c r="R555" s="208"/>
      <c r="S555" s="192"/>
    </row>
    <row r="556" spans="1:38" ht="9.75" hidden="1" customHeight="1">
      <c r="A556" s="192"/>
      <c r="B556" s="716" t="s">
        <v>366</v>
      </c>
      <c r="C556" s="717"/>
      <c r="D556" s="717"/>
      <c r="E556" s="680"/>
      <c r="F556" s="717"/>
      <c r="G556" s="13"/>
      <c r="H556" s="785">
        <f>IF($E$544="",0,((Nutzung!$G$29+Regelung-1)+(($C$546-Nutzung!$G$29)/2)-F290)*D290*$D$544*$E$544*24/($B$284*1000))</f>
        <v>0</v>
      </c>
      <c r="I556" s="786">
        <f>Einträge!E287</f>
        <v>0</v>
      </c>
      <c r="J556" s="787">
        <f>H556-I556*$F$304</f>
        <v>0</v>
      </c>
      <c r="K556" s="717"/>
      <c r="L556" s="285">
        <f t="shared" si="20"/>
        <v>0</v>
      </c>
      <c r="M556" s="717"/>
      <c r="N556" s="207"/>
      <c r="O556" s="192"/>
      <c r="P556" s="208"/>
      <c r="Q556" s="208"/>
      <c r="R556" s="208"/>
      <c r="S556" s="192"/>
    </row>
    <row r="557" spans="1:38" ht="9.75" hidden="1" customHeight="1">
      <c r="A557" s="192"/>
      <c r="B557" s="716" t="s">
        <v>465</v>
      </c>
      <c r="C557" s="717"/>
      <c r="D557" s="717"/>
      <c r="E557" s="680"/>
      <c r="F557" s="717"/>
      <c r="G557" s="13"/>
      <c r="H557" s="785">
        <f>IF($E$544="",0,((Nutzung!$G$29+Regelung-1)+(($C$546-Nutzung!$G$29)/2)-F291)*D291*$D$544*$E$544*24/($B$284*1000))</f>
        <v>0</v>
      </c>
      <c r="I557" s="786">
        <f>Einträge!E288</f>
        <v>0</v>
      </c>
      <c r="J557" s="787">
        <f>H557-I557*$F$305</f>
        <v>0</v>
      </c>
      <c r="K557" s="717"/>
      <c r="L557" s="285">
        <f t="shared" si="20"/>
        <v>0</v>
      </c>
      <c r="M557" s="717"/>
      <c r="N557" s="207"/>
      <c r="O557" s="192"/>
      <c r="P557" s="208"/>
      <c r="Q557" s="208"/>
      <c r="R557" s="208"/>
      <c r="S557" s="192"/>
    </row>
    <row r="558" spans="1:38">
      <c r="A558" s="192"/>
      <c r="B558" s="196"/>
      <c r="C558" s="197"/>
      <c r="D558" s="197"/>
      <c r="E558" s="197"/>
      <c r="F558" s="197"/>
      <c r="G558" s="197"/>
      <c r="H558" s="207"/>
      <c r="I558" s="208"/>
      <c r="J558" s="192"/>
      <c r="K558" s="192"/>
      <c r="L558" s="192"/>
      <c r="M558" s="192"/>
      <c r="N558" s="192"/>
      <c r="O558" s="192"/>
      <c r="P558" s="192"/>
      <c r="Q558" s="192"/>
      <c r="R558" s="192"/>
      <c r="S558" s="192"/>
    </row>
    <row r="559" spans="1:38" s="237" customFormat="1" ht="12" customHeight="1">
      <c r="A559" s="243"/>
      <c r="B559" s="905" t="s">
        <v>194</v>
      </c>
      <c r="C559" s="904" t="s">
        <v>521</v>
      </c>
      <c r="D559" s="904" t="s">
        <v>119</v>
      </c>
      <c r="E559" s="904" t="s">
        <v>464</v>
      </c>
      <c r="F559" s="904" t="s">
        <v>51</v>
      </c>
      <c r="G559" s="904" t="s">
        <v>18</v>
      </c>
      <c r="H559" s="904" t="s">
        <v>193</v>
      </c>
      <c r="I559" s="904" t="s">
        <v>193</v>
      </c>
      <c r="J559" s="904" t="s">
        <v>193</v>
      </c>
      <c r="K559" s="904" t="s">
        <v>193</v>
      </c>
      <c r="L559" s="904" t="s">
        <v>153</v>
      </c>
      <c r="M559" s="904" t="s">
        <v>349</v>
      </c>
      <c r="N559" s="904" t="s">
        <v>166</v>
      </c>
      <c r="O559" s="904" t="s">
        <v>520</v>
      </c>
      <c r="P559" s="194"/>
      <c r="Q559" s="194"/>
      <c r="R559" s="243"/>
      <c r="S559" s="243"/>
      <c r="Z559" s="325"/>
      <c r="AA559" s="318"/>
      <c r="AB559" s="325"/>
      <c r="AC559" s="325"/>
      <c r="AD559" s="325"/>
      <c r="AE559" s="325"/>
      <c r="AF559" s="325"/>
      <c r="AG559" s="325"/>
      <c r="AH559" s="325"/>
      <c r="AI559" s="325"/>
      <c r="AJ559" s="325"/>
      <c r="AK559" s="325"/>
      <c r="AL559" s="304"/>
    </row>
    <row r="560" spans="1:38" s="237" customFormat="1" ht="12" customHeight="1">
      <c r="A560" s="243"/>
      <c r="B560" s="905"/>
      <c r="C560" s="904"/>
      <c r="D560" s="904" t="s">
        <v>552</v>
      </c>
      <c r="E560" s="904" t="s">
        <v>181</v>
      </c>
      <c r="F560" s="904" t="s">
        <v>487</v>
      </c>
      <c r="G560" s="904"/>
      <c r="H560" s="904" t="s">
        <v>384</v>
      </c>
      <c r="I560" s="904" t="s">
        <v>113</v>
      </c>
      <c r="J560" s="904" t="s">
        <v>114</v>
      </c>
      <c r="K560" s="904" t="s">
        <v>70</v>
      </c>
      <c r="L560" s="904" t="s">
        <v>228</v>
      </c>
      <c r="M560" s="904"/>
      <c r="N560" s="904" t="s">
        <v>621</v>
      </c>
      <c r="O560" s="904"/>
      <c r="P560" s="194"/>
      <c r="Q560" s="194"/>
      <c r="R560" s="243"/>
      <c r="S560" s="243"/>
      <c r="Z560" s="325"/>
      <c r="AA560" s="318"/>
      <c r="AB560" s="325"/>
      <c r="AC560" s="325"/>
      <c r="AD560" s="325"/>
      <c r="AE560" s="325"/>
      <c r="AF560" s="325"/>
      <c r="AG560" s="325"/>
      <c r="AH560" s="325"/>
      <c r="AI560" s="325"/>
      <c r="AJ560" s="325"/>
      <c r="AK560" s="325"/>
      <c r="AL560" s="304"/>
    </row>
    <row r="561" spans="1:38" s="231" customFormat="1" ht="4.95" customHeight="1">
      <c r="A561" s="195"/>
      <c r="B561" s="196"/>
      <c r="C561" s="197"/>
      <c r="D561" s="197"/>
      <c r="E561" s="197"/>
      <c r="F561" s="197"/>
      <c r="G561" s="197"/>
      <c r="H561" s="195"/>
      <c r="I561" s="197"/>
      <c r="J561" s="197"/>
      <c r="K561" s="195"/>
      <c r="L561" s="195"/>
      <c r="M561" s="195"/>
      <c r="N561" s="195"/>
      <c r="O561" s="195"/>
      <c r="P561" s="195"/>
      <c r="Q561" s="195"/>
      <c r="R561" s="195"/>
      <c r="S561" s="195"/>
      <c r="Z561" s="320"/>
      <c r="AA561" s="320"/>
      <c r="AB561" s="320"/>
      <c r="AC561" s="320"/>
      <c r="AD561" s="320"/>
      <c r="AE561" s="320"/>
      <c r="AF561" s="320"/>
      <c r="AG561" s="320"/>
      <c r="AH561" s="320"/>
      <c r="AI561" s="320"/>
      <c r="AJ561" s="320"/>
      <c r="AK561" s="320"/>
      <c r="AL561" s="299"/>
    </row>
    <row r="562" spans="1:38" ht="10.95" customHeight="1">
      <c r="A562" s="192"/>
      <c r="B562" s="646"/>
      <c r="C562" s="652"/>
      <c r="D562" s="653"/>
      <c r="E562" s="654"/>
      <c r="F562" s="663"/>
      <c r="G562" s="653"/>
      <c r="H562" s="667"/>
      <c r="I562" s="672"/>
      <c r="J562" s="667"/>
      <c r="K562" s="667"/>
      <c r="L562" s="532" t="str">
        <f>IF(D562="","",Nutzung!$G$29)</f>
        <v/>
      </c>
      <c r="M562" s="545" t="str">
        <f>IF(D562="","",AB562)</f>
        <v/>
      </c>
      <c r="N562" s="214">
        <f>IF(E562=0,0,R563)</f>
        <v>0</v>
      </c>
      <c r="O562" s="215" t="str">
        <f>IF(N562/$O$1370=0,"",N562/$O$1370)</f>
        <v/>
      </c>
      <c r="P562" s="208"/>
      <c r="Q562" s="208"/>
      <c r="R562" s="208"/>
      <c r="S562" s="192"/>
      <c r="T562" s="182">
        <f>D562*E562</f>
        <v>0</v>
      </c>
      <c r="AA562" s="318">
        <f>IF(D562="",0,1)</f>
        <v>0</v>
      </c>
      <c r="AB562" s="318">
        <f>AB544+AA562</f>
        <v>0</v>
      </c>
    </row>
    <row r="563" spans="1:38" ht="9.75" hidden="1" customHeight="1">
      <c r="A563" s="192"/>
      <c r="B563" s="756" t="s">
        <v>49</v>
      </c>
      <c r="C563" s="784" t="str">
        <f>IF($L$562&lt;Nutzung!$G$29,Nutzung!$G$29,$L$562)</f>
        <v/>
      </c>
      <c r="D563" s="181"/>
      <c r="E563" s="546"/>
      <c r="F563" s="788"/>
      <c r="G563" s="13"/>
      <c r="H563" s="13"/>
      <c r="I563" s="13"/>
      <c r="J563" s="13"/>
      <c r="K563" s="181"/>
      <c r="L563" s="181">
        <f>IF(L562="",Nutzung!$G$29,Bauteile!L562)</f>
        <v>0</v>
      </c>
      <c r="M563" s="13"/>
      <c r="N563" s="789">
        <f>IF($E$562="",0,((Nutzung!$G$29+Regelung-1)+(($C$563-Nutzung!$G$29)/2)-F280)*D280*$D$562*$E$562*24/($B$284*1000))</f>
        <v>0</v>
      </c>
      <c r="O563" s="790">
        <f>Einträge!E291</f>
        <v>0</v>
      </c>
      <c r="P563" s="791">
        <f t="shared" ref="P563:P574" si="21">N563-O563*$F$294</f>
        <v>0</v>
      </c>
      <c r="Q563" s="791">
        <f t="shared" ref="Q563:Q574" si="22">IF($B$282=1,P563,N563)</f>
        <v>0</v>
      </c>
      <c r="R563" s="791" t="str">
        <f>IF(E562="","",SUM(Q563:Q574))</f>
        <v/>
      </c>
      <c r="S563" s="192"/>
    </row>
    <row r="564" spans="1:38" ht="9.75" hidden="1" customHeight="1">
      <c r="A564" s="192"/>
      <c r="B564" s="47" t="s">
        <v>554</v>
      </c>
      <c r="C564" s="784"/>
      <c r="D564" s="181"/>
      <c r="E564" s="546"/>
      <c r="F564" s="130"/>
      <c r="G564" s="550"/>
      <c r="H564" s="13"/>
      <c r="I564" s="13"/>
      <c r="J564" s="13"/>
      <c r="K564" s="181"/>
      <c r="L564" s="13"/>
      <c r="M564" s="181"/>
      <c r="N564" s="789">
        <f>IF($E$562="",0,((Nutzung!$G$29+Regelung-1)+(($C$563-Nutzung!$G$29)/2)-F281)*D281*$D$562*$E$562*24/($B$284*1000))</f>
        <v>0</v>
      </c>
      <c r="O564" s="790">
        <f>Einträge!E292</f>
        <v>0</v>
      </c>
      <c r="P564" s="791">
        <f t="shared" si="21"/>
        <v>0</v>
      </c>
      <c r="Q564" s="791">
        <f t="shared" si="22"/>
        <v>0</v>
      </c>
      <c r="R564" s="208"/>
      <c r="S564" s="192"/>
    </row>
    <row r="565" spans="1:38" ht="9.75" hidden="1" customHeight="1">
      <c r="A565" s="192"/>
      <c r="B565" s="47" t="s">
        <v>306</v>
      </c>
      <c r="C565" s="784"/>
      <c r="D565" s="181"/>
      <c r="E565" s="546"/>
      <c r="F565" s="130"/>
      <c r="G565" s="550"/>
      <c r="H565" s="13"/>
      <c r="I565" s="13"/>
      <c r="J565" s="13"/>
      <c r="K565" s="181"/>
      <c r="L565" s="13"/>
      <c r="M565" s="181"/>
      <c r="N565" s="789">
        <f>IF($E$562="",0,((Nutzung!$G$29+Regelung-1)+(($C$563-Nutzung!$G$29)/2)-F282)*D282*$D$562*$E$562*24/($B$284*1000))</f>
        <v>0</v>
      </c>
      <c r="O565" s="790">
        <f>Einträge!E293</f>
        <v>0</v>
      </c>
      <c r="P565" s="791">
        <f t="shared" si="21"/>
        <v>0</v>
      </c>
      <c r="Q565" s="791">
        <f t="shared" si="22"/>
        <v>0</v>
      </c>
      <c r="R565" s="208"/>
      <c r="S565" s="192"/>
    </row>
    <row r="566" spans="1:38" ht="9.75" hidden="1" customHeight="1">
      <c r="A566" s="192"/>
      <c r="B566" s="47" t="s">
        <v>409</v>
      </c>
      <c r="C566" s="784"/>
      <c r="D566" s="181"/>
      <c r="E566" s="546"/>
      <c r="F566" s="130"/>
      <c r="G566" s="550"/>
      <c r="H566" s="13"/>
      <c r="I566" s="13"/>
      <c r="J566" s="13"/>
      <c r="K566" s="181"/>
      <c r="L566" s="13"/>
      <c r="M566" s="181"/>
      <c r="N566" s="789">
        <f>IF($E$562="",0,((Nutzung!$G$29+Regelung-1)+(($C$563-Nutzung!$G$29)/2)-F283)*D283*$D$562*$E$562*24/($B$284*1000))</f>
        <v>0</v>
      </c>
      <c r="O566" s="790">
        <f>Einträge!E294</f>
        <v>0</v>
      </c>
      <c r="P566" s="791">
        <f t="shared" si="21"/>
        <v>0</v>
      </c>
      <c r="Q566" s="791">
        <f t="shared" si="22"/>
        <v>0</v>
      </c>
      <c r="R566" s="208"/>
      <c r="S566" s="192"/>
    </row>
    <row r="567" spans="1:38" ht="9.75" hidden="1" customHeight="1">
      <c r="A567" s="192"/>
      <c r="B567" s="47" t="s">
        <v>410</v>
      </c>
      <c r="C567" s="784"/>
      <c r="D567" s="181"/>
      <c r="E567" s="546"/>
      <c r="F567" s="130"/>
      <c r="G567" s="550"/>
      <c r="H567" s="13"/>
      <c r="I567" s="13"/>
      <c r="J567" s="13"/>
      <c r="K567" s="181"/>
      <c r="L567" s="13"/>
      <c r="M567" s="181"/>
      <c r="N567" s="789">
        <f>IF($E$562="",0,((Nutzung!$G$29+Regelung-1)+(($C$563-Nutzung!$G$29)/2)-F284)*D284*$D$562*$E$562*24/($B$284*1000))</f>
        <v>0</v>
      </c>
      <c r="O567" s="790">
        <f>Einträge!E295</f>
        <v>0</v>
      </c>
      <c r="P567" s="791">
        <f t="shared" si="21"/>
        <v>0</v>
      </c>
      <c r="Q567" s="791">
        <f t="shared" si="22"/>
        <v>0</v>
      </c>
      <c r="R567" s="208"/>
      <c r="S567" s="192"/>
    </row>
    <row r="568" spans="1:38" ht="9.75" hidden="1" customHeight="1">
      <c r="A568" s="192"/>
      <c r="B568" s="47" t="s">
        <v>411</v>
      </c>
      <c r="C568" s="784"/>
      <c r="D568" s="181"/>
      <c r="E568" s="546"/>
      <c r="F568" s="130"/>
      <c r="G568" s="550"/>
      <c r="H568" s="13"/>
      <c r="I568" s="13"/>
      <c r="J568" s="13"/>
      <c r="K568" s="181"/>
      <c r="L568" s="13"/>
      <c r="M568" s="181"/>
      <c r="N568" s="789">
        <f>IF($E$562="",0,((Nutzung!$G$29+Regelung-1)+(($C$563-Nutzung!$G$29)/2)-F285)*D285*$D$562*$E$562*24/($B$284*1000))</f>
        <v>0</v>
      </c>
      <c r="O568" s="790">
        <f>Einträge!E296</f>
        <v>0</v>
      </c>
      <c r="P568" s="791">
        <f t="shared" si="21"/>
        <v>0</v>
      </c>
      <c r="Q568" s="791">
        <f t="shared" si="22"/>
        <v>0</v>
      </c>
      <c r="R568" s="208"/>
      <c r="S568" s="268" t="s">
        <v>517</v>
      </c>
    </row>
    <row r="569" spans="1:38" ht="9.75" hidden="1" customHeight="1">
      <c r="A569" s="192"/>
      <c r="B569" s="47" t="s">
        <v>221</v>
      </c>
      <c r="C569" s="784"/>
      <c r="D569" s="181"/>
      <c r="E569" s="546"/>
      <c r="F569" s="130"/>
      <c r="G569" s="550"/>
      <c r="H569" s="13"/>
      <c r="I569" s="13"/>
      <c r="J569" s="13"/>
      <c r="K569" s="181"/>
      <c r="L569" s="13"/>
      <c r="M569" s="181"/>
      <c r="N569" s="789">
        <f>IF($E$562="",0,((Nutzung!$G$29+Regelung-1)+(($C$563-Nutzung!$G$29)/2)-F286)*D286*$D$562*$E$562*24/($B$284*1000))</f>
        <v>0</v>
      </c>
      <c r="O569" s="790">
        <f>Einträge!E297</f>
        <v>0</v>
      </c>
      <c r="P569" s="791">
        <f t="shared" si="21"/>
        <v>0</v>
      </c>
      <c r="Q569" s="791">
        <f t="shared" si="22"/>
        <v>0</v>
      </c>
      <c r="R569" s="208"/>
      <c r="S569" s="709">
        <f>SUM(N563:N574)</f>
        <v>0</v>
      </c>
    </row>
    <row r="570" spans="1:38" ht="9.75" hidden="1" customHeight="1">
      <c r="A570" s="192"/>
      <c r="B570" s="47" t="s">
        <v>138</v>
      </c>
      <c r="C570" s="784"/>
      <c r="D570" s="181"/>
      <c r="E570" s="546"/>
      <c r="F570" s="130"/>
      <c r="G570" s="550"/>
      <c r="H570" s="13"/>
      <c r="I570" s="13"/>
      <c r="J570" s="13"/>
      <c r="K570" s="181"/>
      <c r="L570" s="13"/>
      <c r="M570" s="181"/>
      <c r="N570" s="789">
        <f>IF($E$562="",0,((Nutzung!$G$29+Regelung-1)+(($C$563-Nutzung!$G$29)/2)-F287)*D287*$D$562*$E$562*24/($B$284*1000))</f>
        <v>0</v>
      </c>
      <c r="O570" s="790">
        <f>Einträge!E298</f>
        <v>0</v>
      </c>
      <c r="P570" s="791">
        <f t="shared" si="21"/>
        <v>0</v>
      </c>
      <c r="Q570" s="791">
        <f t="shared" si="22"/>
        <v>0</v>
      </c>
      <c r="R570" s="208"/>
      <c r="S570" s="192"/>
    </row>
    <row r="571" spans="1:38" ht="9.75" hidden="1" customHeight="1">
      <c r="A571" s="192"/>
      <c r="B571" s="47" t="s">
        <v>139</v>
      </c>
      <c r="C571" s="784"/>
      <c r="D571" s="181"/>
      <c r="E571" s="546"/>
      <c r="F571" s="130"/>
      <c r="G571" s="550"/>
      <c r="H571" s="13"/>
      <c r="I571" s="13"/>
      <c r="J571" s="13"/>
      <c r="K571" s="181"/>
      <c r="L571" s="13"/>
      <c r="M571" s="181"/>
      <c r="N571" s="789">
        <f>IF($E$562="",0,((Nutzung!$G$29+Regelung-1)+(($C$563-Nutzung!$G$29)/2)-F288)*D288*$D$562*$E$562*24/($B$284*1000))</f>
        <v>0</v>
      </c>
      <c r="O571" s="790">
        <f>Einträge!E299</f>
        <v>0</v>
      </c>
      <c r="P571" s="791">
        <f t="shared" si="21"/>
        <v>0</v>
      </c>
      <c r="Q571" s="791">
        <f t="shared" si="22"/>
        <v>0</v>
      </c>
      <c r="R571" s="208"/>
      <c r="S571" s="192"/>
    </row>
    <row r="572" spans="1:38" ht="9.75" hidden="1" customHeight="1">
      <c r="A572" s="192"/>
      <c r="B572" s="47" t="s">
        <v>269</v>
      </c>
      <c r="C572" s="784"/>
      <c r="D572" s="181"/>
      <c r="E572" s="546"/>
      <c r="F572" s="130"/>
      <c r="G572" s="550"/>
      <c r="H572" s="13"/>
      <c r="I572" s="13"/>
      <c r="J572" s="13"/>
      <c r="K572" s="181"/>
      <c r="L572" s="13"/>
      <c r="M572" s="181"/>
      <c r="N572" s="789">
        <f>IF($E$562="",0,((Nutzung!$G$29+Regelung-1)+(($C$563-Nutzung!$G$29)/2)-F289)*D289*$D$562*$E$562*24/($B$284*1000))</f>
        <v>0</v>
      </c>
      <c r="O572" s="790">
        <f>Einträge!E300</f>
        <v>0</v>
      </c>
      <c r="P572" s="791">
        <f t="shared" si="21"/>
        <v>0</v>
      </c>
      <c r="Q572" s="791">
        <f t="shared" si="22"/>
        <v>0</v>
      </c>
      <c r="R572" s="208"/>
      <c r="S572" s="192"/>
    </row>
    <row r="573" spans="1:38" ht="9.75" hidden="1" customHeight="1">
      <c r="A573" s="192"/>
      <c r="B573" s="47" t="s">
        <v>366</v>
      </c>
      <c r="C573" s="784"/>
      <c r="D573" s="181"/>
      <c r="E573" s="546"/>
      <c r="F573" s="130"/>
      <c r="G573" s="550"/>
      <c r="H573" s="13"/>
      <c r="I573" s="13"/>
      <c r="J573" s="13"/>
      <c r="K573" s="181"/>
      <c r="L573" s="13"/>
      <c r="M573" s="181"/>
      <c r="N573" s="789">
        <f>IF($E$562="",0,((Nutzung!$G$29+Regelung-1)+(($C$563-Nutzung!$G$29)/2)-F290)*D290*$D$562*$E$562*24/($B$284*1000))</f>
        <v>0</v>
      </c>
      <c r="O573" s="790">
        <f>Einträge!E301</f>
        <v>0</v>
      </c>
      <c r="P573" s="791">
        <f t="shared" si="21"/>
        <v>0</v>
      </c>
      <c r="Q573" s="791">
        <f t="shared" si="22"/>
        <v>0</v>
      </c>
      <c r="R573" s="208"/>
      <c r="S573" s="192"/>
    </row>
    <row r="574" spans="1:38" ht="9.75" hidden="1" customHeight="1">
      <c r="A574" s="192"/>
      <c r="B574" s="47" t="s">
        <v>465</v>
      </c>
      <c r="C574" s="784"/>
      <c r="D574" s="181"/>
      <c r="E574" s="546"/>
      <c r="F574" s="130"/>
      <c r="G574" s="550"/>
      <c r="H574" s="13"/>
      <c r="I574" s="13"/>
      <c r="J574" s="13"/>
      <c r="K574" s="181"/>
      <c r="L574" s="13"/>
      <c r="M574" s="181"/>
      <c r="N574" s="789">
        <f>IF($E$562="",0,((Nutzung!$G$29+Regelung-1)+(($C$563-Nutzung!$G$29)/2)-F291)*D291*$D$562*$E$562*24/($B$284*1000))</f>
        <v>0</v>
      </c>
      <c r="O574" s="790">
        <f>Einträge!E302</f>
        <v>0</v>
      </c>
      <c r="P574" s="791">
        <f t="shared" si="21"/>
        <v>0</v>
      </c>
      <c r="Q574" s="791">
        <f t="shared" si="22"/>
        <v>0</v>
      </c>
      <c r="R574" s="208"/>
      <c r="S574" s="192"/>
    </row>
    <row r="575" spans="1:38" ht="10.95" customHeight="1">
      <c r="A575" s="192"/>
      <c r="B575" s="649"/>
      <c r="C575" s="660"/>
      <c r="D575" s="661"/>
      <c r="E575" s="662"/>
      <c r="F575" s="665"/>
      <c r="G575" s="661"/>
      <c r="H575" s="669"/>
      <c r="I575" s="670"/>
      <c r="J575" s="669"/>
      <c r="K575" s="669"/>
      <c r="L575" s="221" t="str">
        <f>IF(D575="","",Nutzung!$G$29)</f>
        <v/>
      </c>
      <c r="M575" s="540" t="str">
        <f>IF(D575="","",AB575)</f>
        <v/>
      </c>
      <c r="N575" s="214">
        <f>IF(E575=0,0,R576)</f>
        <v>0</v>
      </c>
      <c r="O575" s="215" t="str">
        <f>IF(N575/$O$1370=0,"",N575/$O$1370)</f>
        <v/>
      </c>
      <c r="P575" s="208"/>
      <c r="Q575" s="208"/>
      <c r="R575" s="208"/>
      <c r="S575" s="192"/>
      <c r="T575" s="182">
        <f>D575*E575</f>
        <v>0</v>
      </c>
      <c r="U575" s="182">
        <f>SUM(T278:T575)</f>
        <v>0</v>
      </c>
      <c r="AA575" s="318">
        <f>IF(D575="",0,1)</f>
        <v>0</v>
      </c>
      <c r="AB575" s="318">
        <f>AB562+AA575</f>
        <v>0</v>
      </c>
    </row>
    <row r="576" spans="1:38" ht="9.75" hidden="1" customHeight="1">
      <c r="A576" s="192"/>
      <c r="B576" s="691" t="s">
        <v>49</v>
      </c>
      <c r="C576" s="717" t="str">
        <f>IF($L$575&lt;Nutzung!$G$29,Nutzung!$G$29,$L$575)</f>
        <v/>
      </c>
      <c r="D576" s="717"/>
      <c r="E576" s="680"/>
      <c r="F576" s="717"/>
      <c r="G576" s="13"/>
      <c r="H576" s="13"/>
      <c r="I576" s="13"/>
      <c r="J576" s="13"/>
      <c r="K576" s="717"/>
      <c r="L576" s="718">
        <f>IF(L575="",Nutzung!$G$29,Bauteile!L575)</f>
        <v>0</v>
      </c>
      <c r="M576" s="13"/>
      <c r="N576" s="209">
        <f>IF($E$575="",0,((Nutzung!$G$29+Regelung-1)+(($C$576-Nutzung!$G$29)/2)-F280)*D280*$D$575*$E$575*24/($B$284*1000))</f>
        <v>0</v>
      </c>
      <c r="O576" s="296">
        <f>Einträge!F304</f>
        <v>0</v>
      </c>
      <c r="P576" s="792">
        <f t="shared" ref="P576:P587" si="23">N576-O576*$F$294</f>
        <v>0</v>
      </c>
      <c r="Q576" s="791">
        <f t="shared" ref="Q576:Q587" si="24">IF($B$282=1,P576,N576)</f>
        <v>0</v>
      </c>
      <c r="R576" s="791" t="str">
        <f>IF(E575="","",SUM(Q576:Q587))</f>
        <v/>
      </c>
      <c r="S576" s="192"/>
    </row>
    <row r="577" spans="1:38" ht="9.75" hidden="1" customHeight="1">
      <c r="A577" s="192"/>
      <c r="B577" s="691" t="s">
        <v>554</v>
      </c>
      <c r="C577" s="717"/>
      <c r="D577" s="717"/>
      <c r="E577" s="680"/>
      <c r="F577" s="717"/>
      <c r="G577" s="13"/>
      <c r="H577" s="13"/>
      <c r="I577" s="13"/>
      <c r="J577" s="13"/>
      <c r="K577" s="717"/>
      <c r="L577" s="13"/>
      <c r="M577" s="717"/>
      <c r="N577" s="209">
        <f>IF($E$575="",0,((Nutzung!$G$29+Regelung-1)+(($C$576-Nutzung!$G$29)/2)-F281)*D281*$D$575*$E$575*24/($B$284*1000))</f>
        <v>0</v>
      </c>
      <c r="O577" s="296">
        <f>Einträge!F305</f>
        <v>0</v>
      </c>
      <c r="P577" s="792">
        <f t="shared" si="23"/>
        <v>0</v>
      </c>
      <c r="Q577" s="791">
        <f t="shared" si="24"/>
        <v>0</v>
      </c>
      <c r="R577" s="208"/>
      <c r="S577" s="192"/>
    </row>
    <row r="578" spans="1:38" ht="9.75" hidden="1" customHeight="1">
      <c r="A578" s="192"/>
      <c r="B578" s="691" t="s">
        <v>306</v>
      </c>
      <c r="C578" s="717"/>
      <c r="D578" s="717"/>
      <c r="E578" s="680"/>
      <c r="F578" s="717"/>
      <c r="G578" s="13"/>
      <c r="H578" s="13"/>
      <c r="I578" s="13"/>
      <c r="J578" s="13"/>
      <c r="K578" s="717"/>
      <c r="L578" s="13"/>
      <c r="M578" s="717"/>
      <c r="N578" s="209">
        <f>IF($E$575="",0,((Nutzung!$G$29+Regelung-1)+(($C$576-Nutzung!$G$29)/2)-F282)*D282*$D$575*$E$575*24/($B$284*1000))</f>
        <v>0</v>
      </c>
      <c r="O578" s="296">
        <f>Einträge!F306</f>
        <v>0</v>
      </c>
      <c r="P578" s="792">
        <f t="shared" si="23"/>
        <v>0</v>
      </c>
      <c r="Q578" s="791">
        <f t="shared" si="24"/>
        <v>0</v>
      </c>
      <c r="R578" s="208"/>
      <c r="S578" s="192"/>
    </row>
    <row r="579" spans="1:38" ht="9.75" hidden="1" customHeight="1">
      <c r="A579" s="192"/>
      <c r="B579" s="691" t="s">
        <v>409</v>
      </c>
      <c r="C579" s="717"/>
      <c r="D579" s="717"/>
      <c r="E579" s="680"/>
      <c r="F579" s="717"/>
      <c r="G579" s="13"/>
      <c r="H579" s="13"/>
      <c r="I579" s="13"/>
      <c r="J579" s="13"/>
      <c r="K579" s="717"/>
      <c r="L579" s="13"/>
      <c r="M579" s="717"/>
      <c r="N579" s="209">
        <f>IF($E$575="",0,((Nutzung!$G$29+Regelung-1)+(($C$576-Nutzung!$G$29)/2)-F283)*D283*$D$575*$E$575*24/($B$284*1000))</f>
        <v>0</v>
      </c>
      <c r="O579" s="296">
        <f>Einträge!F307</f>
        <v>0</v>
      </c>
      <c r="P579" s="792">
        <f t="shared" si="23"/>
        <v>0</v>
      </c>
      <c r="Q579" s="791">
        <f t="shared" si="24"/>
        <v>0</v>
      </c>
      <c r="R579" s="208"/>
      <c r="S579" s="192"/>
    </row>
    <row r="580" spans="1:38" ht="9.75" hidden="1" customHeight="1">
      <c r="A580" s="192"/>
      <c r="B580" s="691" t="s">
        <v>410</v>
      </c>
      <c r="C580" s="717"/>
      <c r="D580" s="717"/>
      <c r="E580" s="680"/>
      <c r="F580" s="717"/>
      <c r="G580" s="13"/>
      <c r="H580" s="13"/>
      <c r="I580" s="13"/>
      <c r="J580" s="13"/>
      <c r="K580" s="717"/>
      <c r="L580" s="13"/>
      <c r="M580" s="717"/>
      <c r="N580" s="209">
        <f>IF($E$575="",0,((Nutzung!$G$29+Regelung-1)+(($C$576-Nutzung!$G$29)/2)-F284)*D284*$D$575*$E$575*24/($B$284*1000))</f>
        <v>0</v>
      </c>
      <c r="O580" s="296">
        <f>Einträge!F308</f>
        <v>0</v>
      </c>
      <c r="P580" s="792">
        <f t="shared" si="23"/>
        <v>0</v>
      </c>
      <c r="Q580" s="791">
        <f t="shared" si="24"/>
        <v>0</v>
      </c>
      <c r="R580" s="208"/>
      <c r="S580" s="192"/>
    </row>
    <row r="581" spans="1:38" ht="9.75" hidden="1" customHeight="1">
      <c r="A581" s="192"/>
      <c r="B581" s="691" t="s">
        <v>411</v>
      </c>
      <c r="C581" s="717"/>
      <c r="D581" s="717"/>
      <c r="E581" s="680"/>
      <c r="F581" s="717"/>
      <c r="G581" s="13"/>
      <c r="H581" s="13"/>
      <c r="I581" s="13"/>
      <c r="J581" s="13"/>
      <c r="K581" s="717"/>
      <c r="L581" s="13"/>
      <c r="M581" s="717"/>
      <c r="N581" s="209">
        <f>IF($E$575="",0,((Nutzung!$G$29+Regelung-1)+(($C$576-Nutzung!$G$29)/2)-F285)*D285*$D$575*$E$575*24/($B$284*1000))</f>
        <v>0</v>
      </c>
      <c r="O581" s="296">
        <f>Einträge!F309</f>
        <v>0</v>
      </c>
      <c r="P581" s="792">
        <f t="shared" si="23"/>
        <v>0</v>
      </c>
      <c r="Q581" s="791">
        <f t="shared" si="24"/>
        <v>0</v>
      </c>
      <c r="R581" s="208"/>
      <c r="S581" s="268" t="s">
        <v>517</v>
      </c>
    </row>
    <row r="582" spans="1:38" ht="9.75" hidden="1" customHeight="1">
      <c r="A582" s="192"/>
      <c r="B582" s="691" t="s">
        <v>221</v>
      </c>
      <c r="C582" s="717"/>
      <c r="D582" s="717"/>
      <c r="E582" s="680"/>
      <c r="F582" s="717"/>
      <c r="G582" s="13"/>
      <c r="H582" s="13"/>
      <c r="I582" s="13"/>
      <c r="J582" s="13"/>
      <c r="K582" s="717"/>
      <c r="L582" s="13"/>
      <c r="M582" s="717"/>
      <c r="N582" s="209">
        <f>IF($E$575="",0,((Nutzung!$G$29+Regelung-1)+(($C$576-Nutzung!$G$29)/2)-F286)*D286*$D$575*$E$575*24/($B$284*1000))</f>
        <v>0</v>
      </c>
      <c r="O582" s="296">
        <f>Einträge!F310</f>
        <v>0</v>
      </c>
      <c r="P582" s="792">
        <f t="shared" si="23"/>
        <v>0</v>
      </c>
      <c r="Q582" s="791">
        <f t="shared" si="24"/>
        <v>0</v>
      </c>
      <c r="R582" s="208"/>
      <c r="S582" s="709">
        <f>SUM(N576:N587)</f>
        <v>0</v>
      </c>
    </row>
    <row r="583" spans="1:38" ht="9.75" hidden="1" customHeight="1">
      <c r="A583" s="192"/>
      <c r="B583" s="691" t="s">
        <v>138</v>
      </c>
      <c r="C583" s="717"/>
      <c r="D583" s="717"/>
      <c r="E583" s="680"/>
      <c r="F583" s="717"/>
      <c r="G583" s="13"/>
      <c r="H583" s="13"/>
      <c r="I583" s="13"/>
      <c r="J583" s="13"/>
      <c r="K583" s="717"/>
      <c r="L583" s="13"/>
      <c r="M583" s="717"/>
      <c r="N583" s="209">
        <f>IF($E$575="",0,((Nutzung!$G$29+Regelung-1)+(($C$576-Nutzung!$G$29)/2)-F287)*D287*$D$575*$E$575*24/($B$284*1000))</f>
        <v>0</v>
      </c>
      <c r="O583" s="296">
        <f>Einträge!F311</f>
        <v>0</v>
      </c>
      <c r="P583" s="792">
        <f t="shared" si="23"/>
        <v>0</v>
      </c>
      <c r="Q583" s="791">
        <f t="shared" si="24"/>
        <v>0</v>
      </c>
      <c r="R583" s="208"/>
      <c r="S583" s="192"/>
    </row>
    <row r="584" spans="1:38" ht="9.75" hidden="1" customHeight="1">
      <c r="A584" s="192"/>
      <c r="B584" s="691" t="s">
        <v>139</v>
      </c>
      <c r="C584" s="717"/>
      <c r="D584" s="717"/>
      <c r="E584" s="680"/>
      <c r="F584" s="717"/>
      <c r="G584" s="13"/>
      <c r="H584" s="13"/>
      <c r="I584" s="13"/>
      <c r="J584" s="13"/>
      <c r="K584" s="717"/>
      <c r="L584" s="13"/>
      <c r="M584" s="717"/>
      <c r="N584" s="209">
        <f>IF($E$575="",0,((Nutzung!$G$29+Regelung-1)+(($C$576-Nutzung!$G$29)/2)-F288)*D288*$D$575*$E$575*24/($B$284*1000))</f>
        <v>0</v>
      </c>
      <c r="O584" s="296">
        <f>Einträge!F312</f>
        <v>0</v>
      </c>
      <c r="P584" s="792">
        <f t="shared" si="23"/>
        <v>0</v>
      </c>
      <c r="Q584" s="791">
        <f t="shared" si="24"/>
        <v>0</v>
      </c>
      <c r="R584" s="208"/>
      <c r="S584" s="192"/>
    </row>
    <row r="585" spans="1:38" ht="9.75" hidden="1" customHeight="1">
      <c r="A585" s="192"/>
      <c r="B585" s="691" t="s">
        <v>269</v>
      </c>
      <c r="C585" s="717"/>
      <c r="D585" s="717"/>
      <c r="E585" s="680"/>
      <c r="F585" s="717"/>
      <c r="G585" s="13"/>
      <c r="H585" s="13"/>
      <c r="I585" s="13"/>
      <c r="J585" s="13"/>
      <c r="K585" s="717"/>
      <c r="L585" s="13"/>
      <c r="M585" s="717"/>
      <c r="N585" s="209">
        <f>IF($E$575="",0,((Nutzung!$G$29+Regelung-1)+(($C$576-Nutzung!$G$29)/2)-F289)*D289*$D$575*$E$575*24/($B$284*1000))</f>
        <v>0</v>
      </c>
      <c r="O585" s="296">
        <f>Einträge!F313</f>
        <v>0</v>
      </c>
      <c r="P585" s="792">
        <f t="shared" si="23"/>
        <v>0</v>
      </c>
      <c r="Q585" s="791">
        <f t="shared" si="24"/>
        <v>0</v>
      </c>
      <c r="R585" s="208"/>
      <c r="S585" s="192"/>
    </row>
    <row r="586" spans="1:38" ht="9.75" hidden="1" customHeight="1">
      <c r="A586" s="192"/>
      <c r="B586" s="691" t="s">
        <v>366</v>
      </c>
      <c r="C586" s="717"/>
      <c r="D586" s="717"/>
      <c r="E586" s="680"/>
      <c r="F586" s="717"/>
      <c r="G586" s="13"/>
      <c r="H586" s="13"/>
      <c r="I586" s="13"/>
      <c r="J586" s="13"/>
      <c r="K586" s="717"/>
      <c r="L586" s="13"/>
      <c r="M586" s="717"/>
      <c r="N586" s="209">
        <f>IF($E$575="",0,((Nutzung!$G$29+Regelung-1)+(($C$576-Nutzung!$G$29)/2)-F290)*D290*$D$575*$E$575*24/($B$284*1000))</f>
        <v>0</v>
      </c>
      <c r="O586" s="296">
        <f>Einträge!F314</f>
        <v>0</v>
      </c>
      <c r="P586" s="792">
        <f t="shared" si="23"/>
        <v>0</v>
      </c>
      <c r="Q586" s="791">
        <f t="shared" si="24"/>
        <v>0</v>
      </c>
      <c r="R586" s="208"/>
      <c r="S586" s="192"/>
    </row>
    <row r="587" spans="1:38" ht="9.75" hidden="1" customHeight="1">
      <c r="A587" s="192"/>
      <c r="B587" s="691" t="s">
        <v>465</v>
      </c>
      <c r="C587" s="717"/>
      <c r="D587" s="717"/>
      <c r="E587" s="680"/>
      <c r="F587" s="717"/>
      <c r="G587" s="13"/>
      <c r="H587" s="13"/>
      <c r="I587" s="13"/>
      <c r="J587" s="13"/>
      <c r="K587" s="717"/>
      <c r="L587" s="13"/>
      <c r="M587" s="717"/>
      <c r="N587" s="209">
        <f>IF($E$575="",0,((Nutzung!$G$29+Regelung-1)+(($C$576-Nutzung!$G$29)/2)-F291)*D291*$D$575*$E$575*24/($B$284*1000))</f>
        <v>0</v>
      </c>
      <c r="O587" s="296">
        <f>Einträge!F315</f>
        <v>0</v>
      </c>
      <c r="P587" s="792">
        <f t="shared" si="23"/>
        <v>0</v>
      </c>
      <c r="Q587" s="791">
        <f t="shared" si="24"/>
        <v>0</v>
      </c>
      <c r="R587" s="208"/>
      <c r="S587" s="192"/>
    </row>
    <row r="588" spans="1:38">
      <c r="A588" s="192"/>
      <c r="B588" s="196"/>
      <c r="C588" s="197"/>
      <c r="D588" s="197"/>
      <c r="E588" s="197"/>
      <c r="F588" s="197"/>
      <c r="G588" s="197"/>
      <c r="H588" s="207"/>
      <c r="I588" s="208"/>
      <c r="J588" s="192"/>
      <c r="K588" s="192"/>
      <c r="L588" s="192"/>
      <c r="M588" s="192"/>
      <c r="N588" s="192"/>
      <c r="O588" s="192"/>
      <c r="P588" s="192"/>
      <c r="Q588" s="192"/>
      <c r="R588" s="192"/>
      <c r="S588" s="192"/>
    </row>
    <row r="589" spans="1:38" s="237" customFormat="1" ht="12" customHeight="1">
      <c r="A589" s="243"/>
      <c r="B589" s="905" t="s">
        <v>195</v>
      </c>
      <c r="C589" s="904" t="s">
        <v>47</v>
      </c>
      <c r="D589" s="904" t="s">
        <v>119</v>
      </c>
      <c r="E589" s="904" t="s">
        <v>464</v>
      </c>
      <c r="F589" s="904"/>
      <c r="G589" s="904"/>
      <c r="H589" s="904"/>
      <c r="I589" s="904"/>
      <c r="J589" s="904"/>
      <c r="K589" s="908"/>
      <c r="L589" s="904" t="s">
        <v>442</v>
      </c>
      <c r="M589" s="904" t="s">
        <v>349</v>
      </c>
      <c r="N589" s="904" t="s">
        <v>166</v>
      </c>
      <c r="O589" s="904" t="s">
        <v>520</v>
      </c>
      <c r="P589" s="194"/>
      <c r="Q589" s="194"/>
      <c r="R589" s="243"/>
      <c r="S589" s="243"/>
      <c r="Z589" s="325"/>
      <c r="AA589" s="318"/>
      <c r="AB589" s="325"/>
      <c r="AC589" s="325"/>
      <c r="AD589" s="325"/>
      <c r="AE589" s="325"/>
      <c r="AF589" s="325"/>
      <c r="AG589" s="325"/>
      <c r="AH589" s="325"/>
      <c r="AI589" s="325"/>
      <c r="AJ589" s="325"/>
      <c r="AK589" s="325"/>
      <c r="AL589" s="304"/>
    </row>
    <row r="590" spans="1:38" s="237" customFormat="1" ht="12" customHeight="1">
      <c r="A590" s="243"/>
      <c r="B590" s="905"/>
      <c r="C590" s="904" t="s">
        <v>206</v>
      </c>
      <c r="D590" s="904" t="s">
        <v>552</v>
      </c>
      <c r="E590" s="904" t="s">
        <v>181</v>
      </c>
      <c r="F590" s="904"/>
      <c r="G590" s="904"/>
      <c r="H590" s="904"/>
      <c r="I590" s="904"/>
      <c r="J590" s="904"/>
      <c r="K590" s="908"/>
      <c r="L590" s="904" t="s">
        <v>228</v>
      </c>
      <c r="M590" s="904"/>
      <c r="N590" s="904" t="s">
        <v>621</v>
      </c>
      <c r="O590" s="904"/>
      <c r="P590" s="194"/>
      <c r="Q590" s="194"/>
      <c r="R590" s="243"/>
      <c r="S590" s="243"/>
      <c r="Z590" s="325"/>
      <c r="AA590" s="318"/>
      <c r="AB590" s="325"/>
      <c r="AC590" s="325"/>
      <c r="AD590" s="325"/>
      <c r="AE590" s="325"/>
      <c r="AF590" s="325"/>
      <c r="AG590" s="325"/>
      <c r="AH590" s="325"/>
      <c r="AI590" s="325"/>
      <c r="AJ590" s="325"/>
      <c r="AK590" s="325"/>
      <c r="AL590" s="304"/>
    </row>
    <row r="591" spans="1:38" s="231" customFormat="1" ht="4.95" customHeight="1">
      <c r="A591" s="195"/>
      <c r="B591" s="196"/>
      <c r="C591" s="197"/>
      <c r="D591" s="197"/>
      <c r="E591" s="197"/>
      <c r="F591" s="197"/>
      <c r="G591" s="197"/>
      <c r="H591" s="195"/>
      <c r="I591" s="197"/>
      <c r="J591" s="197"/>
      <c r="K591" s="195"/>
      <c r="L591" s="195"/>
      <c r="M591" s="195"/>
      <c r="N591" s="195"/>
      <c r="O591" s="195"/>
      <c r="P591" s="195"/>
      <c r="Q591" s="195"/>
      <c r="R591" s="195"/>
      <c r="S591" s="195"/>
      <c r="Z591" s="320"/>
      <c r="AA591" s="320"/>
      <c r="AB591" s="320"/>
      <c r="AC591" s="320"/>
      <c r="AD591" s="320"/>
      <c r="AE591" s="320"/>
      <c r="AF591" s="320"/>
      <c r="AG591" s="320"/>
      <c r="AH591" s="320"/>
      <c r="AI591" s="320"/>
      <c r="AJ591" s="320"/>
      <c r="AK591" s="320"/>
      <c r="AL591" s="299"/>
    </row>
    <row r="592" spans="1:38" ht="10.95" customHeight="1">
      <c r="A592" s="192"/>
      <c r="B592" s="646"/>
      <c r="C592" s="652"/>
      <c r="D592" s="673"/>
      <c r="E592" s="677"/>
      <c r="F592" s="245"/>
      <c r="G592" s="198"/>
      <c r="H592" s="198"/>
      <c r="I592" s="198"/>
      <c r="J592" s="267"/>
      <c r="K592" s="211"/>
      <c r="L592" s="219" t="str">
        <f>IF(E592="","",Nutzung!$G$29)</f>
        <v/>
      </c>
      <c r="M592" s="218" t="str">
        <f>IF(D592="","",AB592)</f>
        <v/>
      </c>
      <c r="N592" s="214">
        <f>IF(E592=0,0,SUM(O593:O604))</f>
        <v>0</v>
      </c>
      <c r="O592" s="215" t="str">
        <f>IF(N592/$O$1370=0,"",N592/$O$1370)</f>
        <v/>
      </c>
      <c r="P592" s="198"/>
      <c r="Q592" s="198"/>
      <c r="R592" s="198"/>
      <c r="S592" s="192"/>
      <c r="T592" s="182">
        <f>D592*E592</f>
        <v>0</v>
      </c>
      <c r="AA592" s="318">
        <f>IF(D592="",0,1)</f>
        <v>0</v>
      </c>
      <c r="AB592" s="318">
        <f>AB575+AA592</f>
        <v>0</v>
      </c>
    </row>
    <row r="593" spans="1:38" s="235" customFormat="1" ht="10.199999999999999" hidden="1">
      <c r="A593" s="202"/>
      <c r="B593" s="690" t="s">
        <v>49</v>
      </c>
      <c r="C593" s="724"/>
      <c r="D593" s="724"/>
      <c r="E593" s="731"/>
      <c r="F593" s="704" t="str">
        <f>IF($L$592&lt;Nutzung!$G$29,Nutzung!$G$29,$L$592)</f>
        <v/>
      </c>
      <c r="G593" s="704">
        <f>Klima!$C136</f>
        <v>0</v>
      </c>
      <c r="H593" s="263">
        <v>31</v>
      </c>
      <c r="I593" s="239"/>
      <c r="J593" s="246">
        <f>IF(L592="",Nutzung!$G$29,Bauteile!L592)</f>
        <v>0</v>
      </c>
      <c r="K593" s="240"/>
      <c r="L593" s="224"/>
      <c r="M593" s="541"/>
      <c r="N593" s="217">
        <f>EBF!$F$39</f>
        <v>1.0000000000000001E-31</v>
      </c>
      <c r="O593" s="209">
        <f>IF($E$592="",0,((Nutzung!$G$29+Regelung-1)+(($F$593-Nutzung!$G$29)/4)-G593)*H593*$D$592*$E$592*24/($N$593*1000))</f>
        <v>0</v>
      </c>
      <c r="P593" s="239"/>
      <c r="Q593" s="239"/>
      <c r="R593" s="239"/>
      <c r="S593" s="202"/>
      <c r="Z593" s="323"/>
      <c r="AA593" s="318"/>
      <c r="AB593" s="323"/>
      <c r="AC593" s="323"/>
      <c r="AD593" s="323"/>
      <c r="AE593" s="323"/>
      <c r="AF593" s="323"/>
      <c r="AG593" s="323"/>
      <c r="AH593" s="323"/>
      <c r="AI593" s="323"/>
      <c r="AJ593" s="323"/>
      <c r="AK593" s="323"/>
      <c r="AL593" s="302"/>
    </row>
    <row r="594" spans="1:38" s="235" customFormat="1" ht="10.199999999999999" hidden="1">
      <c r="A594" s="202"/>
      <c r="B594" s="690" t="s">
        <v>554</v>
      </c>
      <c r="C594" s="536"/>
      <c r="D594" s="725"/>
      <c r="E594" s="721"/>
      <c r="F594" s="245"/>
      <c r="G594" s="704">
        <f>Klima!$C137</f>
        <v>0</v>
      </c>
      <c r="H594" s="263">
        <v>28</v>
      </c>
      <c r="I594" s="239"/>
      <c r="J594" s="239"/>
      <c r="K594" s="240"/>
      <c r="L594" s="224"/>
      <c r="M594" s="541"/>
      <c r="N594" s="217"/>
      <c r="O594" s="209">
        <f>IF($E$592="",0,((Nutzung!$G$29+Regelung-1)+(($F$593-Nutzung!$G$29)/4)-G594)*H594*$D$592*$E$592*24/($N$593*1000))</f>
        <v>0</v>
      </c>
      <c r="P594" s="239"/>
      <c r="Q594" s="239"/>
      <c r="R594" s="239"/>
      <c r="S594" s="202"/>
      <c r="Z594" s="323"/>
      <c r="AA594" s="318"/>
      <c r="AB594" s="323"/>
      <c r="AC594" s="323"/>
      <c r="AD594" s="323"/>
      <c r="AE594" s="323"/>
      <c r="AF594" s="323"/>
      <c r="AG594" s="323"/>
      <c r="AH594" s="323"/>
      <c r="AI594" s="323"/>
      <c r="AJ594" s="323"/>
      <c r="AK594" s="323"/>
      <c r="AL594" s="302"/>
    </row>
    <row r="595" spans="1:38" s="235" customFormat="1" ht="10.199999999999999" hidden="1">
      <c r="A595" s="202"/>
      <c r="B595" s="690" t="s">
        <v>306</v>
      </c>
      <c r="C595" s="536"/>
      <c r="D595" s="725"/>
      <c r="E595" s="721"/>
      <c r="F595" s="245"/>
      <c r="G595" s="704">
        <f>Klima!$C138</f>
        <v>0</v>
      </c>
      <c r="H595" s="263">
        <v>31</v>
      </c>
      <c r="I595" s="239"/>
      <c r="J595" s="239"/>
      <c r="K595" s="240"/>
      <c r="L595" s="224"/>
      <c r="M595" s="541"/>
      <c r="N595" s="217"/>
      <c r="O595" s="209">
        <f>IF($E$592="",0,((Nutzung!$G$29+Regelung-1)+(($F$593-Nutzung!$G$29)/4)-G595)*H595*$D$592*$E$592*24/($N$593*1000))</f>
        <v>0</v>
      </c>
      <c r="P595" s="239"/>
      <c r="Q595" s="239"/>
      <c r="R595" s="239"/>
      <c r="S595" s="202"/>
      <c r="Z595" s="323"/>
      <c r="AA595" s="318"/>
      <c r="AB595" s="323"/>
      <c r="AC595" s="323"/>
      <c r="AD595" s="323"/>
      <c r="AE595" s="323"/>
      <c r="AF595" s="323"/>
      <c r="AG595" s="323"/>
      <c r="AH595" s="323"/>
      <c r="AI595" s="323"/>
      <c r="AJ595" s="323"/>
      <c r="AK595" s="323"/>
      <c r="AL595" s="302"/>
    </row>
    <row r="596" spans="1:38" s="235" customFormat="1" ht="10.199999999999999" hidden="1">
      <c r="A596" s="202"/>
      <c r="B596" s="690" t="s">
        <v>409</v>
      </c>
      <c r="C596" s="536"/>
      <c r="D596" s="725"/>
      <c r="E596" s="721"/>
      <c r="F596" s="245"/>
      <c r="G596" s="704">
        <f>Klima!$C139</f>
        <v>0</v>
      </c>
      <c r="H596" s="263">
        <v>30</v>
      </c>
      <c r="I596" s="239"/>
      <c r="J596" s="239"/>
      <c r="K596" s="240"/>
      <c r="L596" s="224"/>
      <c r="M596" s="541"/>
      <c r="N596" s="217"/>
      <c r="O596" s="209">
        <f>IF($E$592="",0,((Nutzung!$G$29+Regelung-1)+(($F$593-Nutzung!$G$29)/4)-G596)*H596*$D$592*$E$592*24/($N$593*1000))</f>
        <v>0</v>
      </c>
      <c r="P596" s="239"/>
      <c r="Q596" s="239"/>
      <c r="R596" s="239"/>
      <c r="S596" s="202"/>
      <c r="Z596" s="323"/>
      <c r="AA596" s="318"/>
      <c r="AB596" s="323"/>
      <c r="AC596" s="323"/>
      <c r="AD596" s="323"/>
      <c r="AE596" s="323"/>
      <c r="AF596" s="323"/>
      <c r="AG596" s="323"/>
      <c r="AH596" s="323"/>
      <c r="AI596" s="323"/>
      <c r="AJ596" s="323"/>
      <c r="AK596" s="323"/>
      <c r="AL596" s="302"/>
    </row>
    <row r="597" spans="1:38" s="235" customFormat="1" ht="10.199999999999999" hidden="1">
      <c r="A597" s="202"/>
      <c r="B597" s="690" t="s">
        <v>410</v>
      </c>
      <c r="C597" s="536"/>
      <c r="D597" s="725"/>
      <c r="E597" s="721"/>
      <c r="F597" s="245"/>
      <c r="G597" s="704">
        <f>Klima!$C140</f>
        <v>0</v>
      </c>
      <c r="H597" s="263">
        <v>31</v>
      </c>
      <c r="I597" s="239"/>
      <c r="J597" s="239"/>
      <c r="K597" s="240"/>
      <c r="L597" s="224"/>
      <c r="M597" s="541"/>
      <c r="N597" s="217"/>
      <c r="O597" s="209">
        <f>IF($E$592="",0,((Nutzung!$G$29+Regelung-1)+(($F$593-Nutzung!$G$29)/4)-G597)*H597*$D$592*$E$592*24/($N$593*1000))</f>
        <v>0</v>
      </c>
      <c r="P597" s="239"/>
      <c r="Q597" s="239"/>
      <c r="R597" s="239"/>
      <c r="S597" s="202"/>
      <c r="Z597" s="323"/>
      <c r="AA597" s="318"/>
      <c r="AB597" s="323"/>
      <c r="AC597" s="323"/>
      <c r="AD597" s="323"/>
      <c r="AE597" s="323"/>
      <c r="AF597" s="323"/>
      <c r="AG597" s="323"/>
      <c r="AH597" s="323"/>
      <c r="AI597" s="323"/>
      <c r="AJ597" s="323"/>
      <c r="AK597" s="323"/>
      <c r="AL597" s="302"/>
    </row>
    <row r="598" spans="1:38" s="235" customFormat="1" ht="10.199999999999999" hidden="1">
      <c r="A598" s="202"/>
      <c r="B598" s="690" t="s">
        <v>411</v>
      </c>
      <c r="C598" s="536"/>
      <c r="D598" s="725"/>
      <c r="E598" s="721"/>
      <c r="F598" s="245"/>
      <c r="G598" s="704">
        <f>Klima!$C141</f>
        <v>0</v>
      </c>
      <c r="H598" s="263">
        <v>30</v>
      </c>
      <c r="I598" s="239"/>
      <c r="J598" s="239"/>
      <c r="K598" s="240"/>
      <c r="L598" s="224"/>
      <c r="M598" s="541"/>
      <c r="N598" s="217"/>
      <c r="O598" s="209">
        <f>IF($E$592="",0,((Nutzung!$G$29+Regelung-1)+(($F$593-Nutzung!$G$29)/4)-G598)*H598*$D$592*$E$592*24/($N$593*1000))</f>
        <v>0</v>
      </c>
      <c r="P598" s="239"/>
      <c r="Q598" s="239"/>
      <c r="R598" s="239"/>
      <c r="S598" s="202"/>
      <c r="Z598" s="323"/>
      <c r="AA598" s="318"/>
      <c r="AB598" s="323"/>
      <c r="AC598" s="323"/>
      <c r="AD598" s="323"/>
      <c r="AE598" s="323"/>
      <c r="AF598" s="323"/>
      <c r="AG598" s="323"/>
      <c r="AH598" s="323"/>
      <c r="AI598" s="323"/>
      <c r="AJ598" s="323"/>
      <c r="AK598" s="323"/>
      <c r="AL598" s="302"/>
    </row>
    <row r="599" spans="1:38" s="235" customFormat="1" ht="10.199999999999999" hidden="1">
      <c r="A599" s="202"/>
      <c r="B599" s="690" t="s">
        <v>221</v>
      </c>
      <c r="C599" s="536"/>
      <c r="D599" s="725"/>
      <c r="E599" s="721"/>
      <c r="F599" s="245"/>
      <c r="G599" s="704">
        <f>Klima!$C142</f>
        <v>0</v>
      </c>
      <c r="H599" s="263">
        <v>31</v>
      </c>
      <c r="I599" s="239"/>
      <c r="J599" s="239"/>
      <c r="K599" s="240"/>
      <c r="L599" s="224"/>
      <c r="M599" s="541"/>
      <c r="N599" s="217"/>
      <c r="O599" s="209">
        <f>IF($E$592="",0,((Nutzung!$G$29+Regelung-1)+(($F$593-Nutzung!$G$29)/4)-G599)*H599*$D$592*$E$592*24/($N$593*1000))</f>
        <v>0</v>
      </c>
      <c r="P599" s="239"/>
      <c r="Q599" s="239"/>
      <c r="R599" s="239"/>
      <c r="S599" s="202"/>
      <c r="Z599" s="323"/>
      <c r="AA599" s="318"/>
      <c r="AB599" s="323"/>
      <c r="AC599" s="323"/>
      <c r="AD599" s="323"/>
      <c r="AE599" s="323"/>
      <c r="AF599" s="323"/>
      <c r="AG599" s="323"/>
      <c r="AH599" s="323"/>
      <c r="AI599" s="323"/>
      <c r="AJ599" s="323"/>
      <c r="AK599" s="323"/>
      <c r="AL599" s="302"/>
    </row>
    <row r="600" spans="1:38" s="235" customFormat="1" ht="10.199999999999999" hidden="1">
      <c r="A600" s="202"/>
      <c r="B600" s="690" t="s">
        <v>138</v>
      </c>
      <c r="C600" s="536"/>
      <c r="D600" s="725"/>
      <c r="E600" s="721"/>
      <c r="F600" s="245"/>
      <c r="G600" s="704">
        <f>Klima!$C143</f>
        <v>0</v>
      </c>
      <c r="H600" s="263">
        <v>31</v>
      </c>
      <c r="I600" s="239"/>
      <c r="J600" s="239"/>
      <c r="K600" s="240"/>
      <c r="L600" s="224"/>
      <c r="M600" s="541"/>
      <c r="N600" s="217"/>
      <c r="O600" s="209">
        <f>IF($E$592="",0,((Nutzung!$G$29+Regelung-1)+(($F$593-Nutzung!$G$29)/4)-G600)*H600*$D$592*$E$592*24/($N$593*1000))</f>
        <v>0</v>
      </c>
      <c r="P600" s="239"/>
      <c r="Q600" s="239"/>
      <c r="R600" s="239"/>
      <c r="S600" s="202"/>
      <c r="Z600" s="323"/>
      <c r="AA600" s="318"/>
      <c r="AB600" s="323"/>
      <c r="AC600" s="323"/>
      <c r="AD600" s="323"/>
      <c r="AE600" s="323"/>
      <c r="AF600" s="323"/>
      <c r="AG600" s="323"/>
      <c r="AH600" s="323"/>
      <c r="AI600" s="323"/>
      <c r="AJ600" s="323"/>
      <c r="AK600" s="323"/>
      <c r="AL600" s="302"/>
    </row>
    <row r="601" spans="1:38" s="235" customFormat="1" ht="10.199999999999999" hidden="1">
      <c r="A601" s="202"/>
      <c r="B601" s="690" t="s">
        <v>139</v>
      </c>
      <c r="C601" s="536"/>
      <c r="D601" s="725"/>
      <c r="E601" s="721"/>
      <c r="F601" s="245"/>
      <c r="G601" s="704">
        <f>Klima!$C144</f>
        <v>0</v>
      </c>
      <c r="H601" s="263">
        <v>30</v>
      </c>
      <c r="I601" s="239"/>
      <c r="J601" s="239"/>
      <c r="K601" s="240"/>
      <c r="L601" s="224"/>
      <c r="M601" s="541"/>
      <c r="N601" s="217"/>
      <c r="O601" s="209">
        <f>IF($E$592="",0,((Nutzung!$G$29+Regelung-1)+(($F$593-Nutzung!$G$29)/4)-G601)*H601*$D$592*$E$592*24/($N$593*1000))</f>
        <v>0</v>
      </c>
      <c r="P601" s="239"/>
      <c r="Q601" s="239"/>
      <c r="R601" s="239"/>
      <c r="S601" s="202"/>
      <c r="Z601" s="323"/>
      <c r="AA601" s="318"/>
      <c r="AB601" s="323"/>
      <c r="AC601" s="323"/>
      <c r="AD601" s="323"/>
      <c r="AE601" s="323"/>
      <c r="AF601" s="323"/>
      <c r="AG601" s="323"/>
      <c r="AH601" s="323"/>
      <c r="AI601" s="323"/>
      <c r="AJ601" s="323"/>
      <c r="AK601" s="323"/>
      <c r="AL601" s="302"/>
    </row>
    <row r="602" spans="1:38" s="235" customFormat="1" ht="10.199999999999999" hidden="1">
      <c r="A602" s="202"/>
      <c r="B602" s="690" t="s">
        <v>269</v>
      </c>
      <c r="C602" s="536"/>
      <c r="D602" s="725"/>
      <c r="E602" s="721"/>
      <c r="F602" s="245"/>
      <c r="G602" s="704">
        <f>Klima!$C145</f>
        <v>0</v>
      </c>
      <c r="H602" s="263">
        <v>31</v>
      </c>
      <c r="I602" s="239"/>
      <c r="J602" s="239"/>
      <c r="K602" s="240"/>
      <c r="L602" s="224"/>
      <c r="M602" s="541"/>
      <c r="N602" s="217"/>
      <c r="O602" s="209">
        <f>IF($E$592="",0,((Nutzung!$G$29+Regelung-1)+(($F$593-Nutzung!$G$29)/4)-G602)*H602*$D$592*$E$592*24/($N$593*1000))</f>
        <v>0</v>
      </c>
      <c r="P602" s="239"/>
      <c r="Q602" s="239"/>
      <c r="R602" s="239"/>
      <c r="S602" s="202"/>
      <c r="Z602" s="323"/>
      <c r="AA602" s="318"/>
      <c r="AB602" s="323"/>
      <c r="AC602" s="323"/>
      <c r="AD602" s="323"/>
      <c r="AE602" s="323"/>
      <c r="AF602" s="323"/>
      <c r="AG602" s="323"/>
      <c r="AH602" s="323"/>
      <c r="AI602" s="323"/>
      <c r="AJ602" s="323"/>
      <c r="AK602" s="323"/>
      <c r="AL602" s="302"/>
    </row>
    <row r="603" spans="1:38" s="235" customFormat="1" ht="10.199999999999999" hidden="1">
      <c r="A603" s="202"/>
      <c r="B603" s="690" t="s">
        <v>366</v>
      </c>
      <c r="C603" s="536"/>
      <c r="D603" s="725"/>
      <c r="E603" s="721"/>
      <c r="F603" s="245"/>
      <c r="G603" s="704">
        <f>Klima!$C146</f>
        <v>0</v>
      </c>
      <c r="H603" s="263">
        <v>30</v>
      </c>
      <c r="I603" s="239"/>
      <c r="J603" s="239"/>
      <c r="K603" s="240"/>
      <c r="L603" s="224"/>
      <c r="M603" s="541"/>
      <c r="N603" s="217"/>
      <c r="O603" s="209">
        <f>IF($E$592="",0,((Nutzung!$G$29+Regelung-1)+(($F$593-Nutzung!$G$29)/4)-G603)*H603*$D$592*$E$592*24/($N$593*1000))</f>
        <v>0</v>
      </c>
      <c r="P603" s="239"/>
      <c r="Q603" s="239"/>
      <c r="R603" s="239"/>
      <c r="S603" s="202"/>
      <c r="Z603" s="323"/>
      <c r="AA603" s="318"/>
      <c r="AB603" s="323"/>
      <c r="AC603" s="323"/>
      <c r="AD603" s="323"/>
      <c r="AE603" s="323"/>
      <c r="AF603" s="323"/>
      <c r="AG603" s="323"/>
      <c r="AH603" s="323"/>
      <c r="AI603" s="323"/>
      <c r="AJ603" s="323"/>
      <c r="AK603" s="323"/>
      <c r="AL603" s="302"/>
    </row>
    <row r="604" spans="1:38" s="235" customFormat="1" ht="10.199999999999999" hidden="1">
      <c r="A604" s="202"/>
      <c r="B604" s="690" t="s">
        <v>465</v>
      </c>
      <c r="C604" s="536"/>
      <c r="D604" s="725"/>
      <c r="E604" s="721"/>
      <c r="F604" s="245"/>
      <c r="G604" s="704">
        <f>Klima!$C147</f>
        <v>0</v>
      </c>
      <c r="H604" s="263">
        <v>31</v>
      </c>
      <c r="I604" s="239"/>
      <c r="J604" s="239"/>
      <c r="K604" s="240"/>
      <c r="L604" s="224"/>
      <c r="M604" s="541"/>
      <c r="N604" s="217"/>
      <c r="O604" s="209">
        <f>IF($E$592="",0,((Nutzung!$G$29+Regelung-1)+(($F$593-Nutzung!$G$29)/4)-G604)*H604*$D$592*$E$592*24/($N$593*1000))</f>
        <v>0</v>
      </c>
      <c r="P604" s="239"/>
      <c r="Q604" s="239"/>
      <c r="R604" s="239"/>
      <c r="S604" s="202"/>
      <c r="Z604" s="323"/>
      <c r="AA604" s="318"/>
      <c r="AB604" s="323"/>
      <c r="AC604" s="323"/>
      <c r="AD604" s="323"/>
      <c r="AE604" s="323"/>
      <c r="AF604" s="323"/>
      <c r="AG604" s="323"/>
      <c r="AH604" s="323"/>
      <c r="AI604" s="323"/>
      <c r="AJ604" s="323"/>
      <c r="AK604" s="323"/>
      <c r="AL604" s="302"/>
    </row>
    <row r="605" spans="1:38" ht="10.95" customHeight="1">
      <c r="A605" s="192"/>
      <c r="B605" s="648"/>
      <c r="C605" s="656"/>
      <c r="D605" s="674"/>
      <c r="E605" s="676"/>
      <c r="F605" s="244"/>
      <c r="G605" s="192"/>
      <c r="H605" s="198"/>
      <c r="I605" s="198"/>
      <c r="J605" s="198"/>
      <c r="K605" s="211"/>
      <c r="L605" s="220" t="str">
        <f>IF(E605="","",Nutzung!$G$29)</f>
        <v/>
      </c>
      <c r="M605" s="218" t="str">
        <f>IF(D605="","",AB605)</f>
        <v/>
      </c>
      <c r="N605" s="214">
        <f>IF(E605=0,0,SUM(O606:O617))</f>
        <v>0</v>
      </c>
      <c r="O605" s="215" t="str">
        <f>IF(N605/$O$1370=0,"",N605/$O$1370)</f>
        <v/>
      </c>
      <c r="P605" s="198"/>
      <c r="Q605" s="198"/>
      <c r="R605" s="198"/>
      <c r="S605" s="192"/>
      <c r="T605" s="182">
        <f>D605*E605</f>
        <v>0</v>
      </c>
      <c r="AA605" s="318">
        <f>IF(D605="",0,1)</f>
        <v>0</v>
      </c>
      <c r="AB605" s="318">
        <f>AB592+AA605</f>
        <v>0</v>
      </c>
    </row>
    <row r="606" spans="1:38" s="235" customFormat="1" ht="10.199999999999999" hidden="1">
      <c r="A606" s="202"/>
      <c r="B606" s="690" t="s">
        <v>49</v>
      </c>
      <c r="C606" s="724"/>
      <c r="D606" s="225"/>
      <c r="E606" s="731"/>
      <c r="F606" s="704" t="str">
        <f>IF($L$605&lt;Nutzung!$G$29,Nutzung!$G$29,$L$605)</f>
        <v/>
      </c>
      <c r="G606" s="202"/>
      <c r="H606" s="239"/>
      <c r="I606" s="239"/>
      <c r="J606" s="246">
        <f>IF(L605="",Nutzung!$G$29,Bauteile!L605)</f>
        <v>0</v>
      </c>
      <c r="K606" s="240"/>
      <c r="L606" s="224"/>
      <c r="M606" s="541"/>
      <c r="N606" s="217"/>
      <c r="O606" s="209">
        <f>IF($E$605="",0,((Nutzung!$G$29+Regelung-1)+(($F$606-Nutzung!$G$29)/4)-G593)*H593*$D$605*$E$605*24/($N$593*1000))</f>
        <v>0</v>
      </c>
      <c r="P606" s="239"/>
      <c r="Q606" s="239"/>
      <c r="R606" s="239"/>
      <c r="S606" s="202"/>
      <c r="Z606" s="323"/>
      <c r="AA606" s="318"/>
      <c r="AB606" s="323"/>
      <c r="AC606" s="323"/>
      <c r="AD606" s="323"/>
      <c r="AE606" s="323"/>
      <c r="AF606" s="323"/>
      <c r="AG606" s="323"/>
      <c r="AH606" s="323"/>
      <c r="AI606" s="323"/>
      <c r="AJ606" s="323"/>
      <c r="AK606" s="323"/>
      <c r="AL606" s="302"/>
    </row>
    <row r="607" spans="1:38" s="235" customFormat="1" ht="10.199999999999999" hidden="1">
      <c r="A607" s="202"/>
      <c r="B607" s="690" t="s">
        <v>554</v>
      </c>
      <c r="C607" s="536"/>
      <c r="D607" s="225"/>
      <c r="E607" s="546"/>
      <c r="F607" s="245"/>
      <c r="G607" s="202"/>
      <c r="H607" s="239"/>
      <c r="I607" s="239"/>
      <c r="J607" s="239"/>
      <c r="K607" s="240"/>
      <c r="L607" s="224"/>
      <c r="M607" s="541"/>
      <c r="N607" s="217"/>
      <c r="O607" s="209">
        <f>IF($E$605="",0,((Nutzung!$G$29+Regelung-1)+(($F$606-Nutzung!$G$29)/4)-G594)*H594*$D$605*$E$605*24/($N$593*1000))</f>
        <v>0</v>
      </c>
      <c r="P607" s="239"/>
      <c r="Q607" s="239"/>
      <c r="R607" s="239"/>
      <c r="S607" s="202"/>
      <c r="Z607" s="323"/>
      <c r="AA607" s="318"/>
      <c r="AB607" s="323"/>
      <c r="AC607" s="323"/>
      <c r="AD607" s="323"/>
      <c r="AE607" s="323"/>
      <c r="AF607" s="323"/>
      <c r="AG607" s="323"/>
      <c r="AH607" s="323"/>
      <c r="AI607" s="323"/>
      <c r="AJ607" s="323"/>
      <c r="AK607" s="323"/>
      <c r="AL607" s="302"/>
    </row>
    <row r="608" spans="1:38" s="235" customFormat="1" ht="10.199999999999999" hidden="1">
      <c r="A608" s="202"/>
      <c r="B608" s="690" t="s">
        <v>306</v>
      </c>
      <c r="C608" s="536"/>
      <c r="D608" s="225"/>
      <c r="E608" s="546"/>
      <c r="F608" s="245"/>
      <c r="G608" s="202"/>
      <c r="H608" s="239"/>
      <c r="I608" s="239"/>
      <c r="J608" s="239"/>
      <c r="K608" s="240"/>
      <c r="L608" s="224"/>
      <c r="M608" s="541"/>
      <c r="N608" s="217"/>
      <c r="O608" s="209">
        <f>IF($E$605="",0,((Nutzung!$G$29+Regelung-1)+(($F$606-Nutzung!$G$29)/4)-G595)*H595*$D$605*$E$605*24/($N$593*1000))</f>
        <v>0</v>
      </c>
      <c r="P608" s="239"/>
      <c r="Q608" s="239"/>
      <c r="R608" s="239"/>
      <c r="S608" s="202"/>
      <c r="Z608" s="323"/>
      <c r="AA608" s="318"/>
      <c r="AB608" s="323"/>
      <c r="AC608" s="323"/>
      <c r="AD608" s="323"/>
      <c r="AE608" s="323"/>
      <c r="AF608" s="323"/>
      <c r="AG608" s="323"/>
      <c r="AH608" s="323"/>
      <c r="AI608" s="323"/>
      <c r="AJ608" s="323"/>
      <c r="AK608" s="323"/>
      <c r="AL608" s="302"/>
    </row>
    <row r="609" spans="1:38" s="235" customFormat="1" ht="10.199999999999999" hidden="1">
      <c r="A609" s="202"/>
      <c r="B609" s="690" t="s">
        <v>409</v>
      </c>
      <c r="C609" s="536"/>
      <c r="D609" s="225"/>
      <c r="E609" s="546"/>
      <c r="F609" s="245"/>
      <c r="G609" s="202"/>
      <c r="H609" s="239"/>
      <c r="I609" s="239"/>
      <c r="J609" s="239"/>
      <c r="K609" s="240"/>
      <c r="L609" s="224"/>
      <c r="M609" s="541"/>
      <c r="N609" s="217"/>
      <c r="O609" s="209">
        <f>IF($E$605="",0,((Nutzung!$G$29+Regelung-1)+(($F$606-Nutzung!$G$29)/4)-G596)*H596*$D$605*$E$605*24/($N$593*1000))</f>
        <v>0</v>
      </c>
      <c r="P609" s="239"/>
      <c r="Q609" s="239"/>
      <c r="R609" s="239"/>
      <c r="S609" s="202"/>
      <c r="Z609" s="323"/>
      <c r="AA609" s="318"/>
      <c r="AB609" s="323"/>
      <c r="AC609" s="323"/>
      <c r="AD609" s="323"/>
      <c r="AE609" s="323"/>
      <c r="AF609" s="323"/>
      <c r="AG609" s="323"/>
      <c r="AH609" s="323"/>
      <c r="AI609" s="323"/>
      <c r="AJ609" s="323"/>
      <c r="AK609" s="323"/>
      <c r="AL609" s="302"/>
    </row>
    <row r="610" spans="1:38" s="235" customFormat="1" ht="10.199999999999999" hidden="1">
      <c r="A610" s="202"/>
      <c r="B610" s="690" t="s">
        <v>410</v>
      </c>
      <c r="C610" s="536"/>
      <c r="D610" s="225"/>
      <c r="E610" s="546"/>
      <c r="F610" s="245"/>
      <c r="G610" s="202"/>
      <c r="H610" s="239"/>
      <c r="I610" s="239"/>
      <c r="J610" s="239"/>
      <c r="K610" s="240"/>
      <c r="L610" s="224"/>
      <c r="M610" s="541"/>
      <c r="N610" s="217"/>
      <c r="O610" s="209">
        <f>IF($E$605="",0,((Nutzung!$G$29+Regelung-1)+(($F$606-Nutzung!$G$29)/4)-G597)*H597*$D$605*$E$605*24/($N$593*1000))</f>
        <v>0</v>
      </c>
      <c r="P610" s="239"/>
      <c r="Q610" s="239"/>
      <c r="R610" s="239"/>
      <c r="S610" s="202"/>
      <c r="Z610" s="323"/>
      <c r="AA610" s="318"/>
      <c r="AB610" s="323"/>
      <c r="AC610" s="323"/>
      <c r="AD610" s="323"/>
      <c r="AE610" s="323"/>
      <c r="AF610" s="323"/>
      <c r="AG610" s="323"/>
      <c r="AH610" s="323"/>
      <c r="AI610" s="323"/>
      <c r="AJ610" s="323"/>
      <c r="AK610" s="323"/>
      <c r="AL610" s="302"/>
    </row>
    <row r="611" spans="1:38" s="235" customFormat="1" ht="10.199999999999999" hidden="1">
      <c r="A611" s="202"/>
      <c r="B611" s="690" t="s">
        <v>411</v>
      </c>
      <c r="C611" s="536"/>
      <c r="D611" s="225"/>
      <c r="E611" s="546"/>
      <c r="F611" s="245"/>
      <c r="G611" s="202"/>
      <c r="H611" s="239"/>
      <c r="I611" s="239"/>
      <c r="J611" s="239"/>
      <c r="K611" s="240"/>
      <c r="L611" s="224"/>
      <c r="M611" s="541"/>
      <c r="N611" s="217"/>
      <c r="O611" s="209">
        <f>IF($E$605="",0,((Nutzung!$G$29+Regelung-1)+(($F$606-Nutzung!$G$29)/4)-G598)*H598*$D$605*$E$605*24/($N$593*1000))</f>
        <v>0</v>
      </c>
      <c r="P611" s="239"/>
      <c r="Q611" s="239"/>
      <c r="R611" s="239"/>
      <c r="S611" s="202"/>
      <c r="Z611" s="323"/>
      <c r="AA611" s="318"/>
      <c r="AB611" s="323"/>
      <c r="AC611" s="323"/>
      <c r="AD611" s="323"/>
      <c r="AE611" s="323"/>
      <c r="AF611" s="323"/>
      <c r="AG611" s="323"/>
      <c r="AH611" s="323"/>
      <c r="AI611" s="323"/>
      <c r="AJ611" s="323"/>
      <c r="AK611" s="323"/>
      <c r="AL611" s="302"/>
    </row>
    <row r="612" spans="1:38" s="235" customFormat="1" ht="10.199999999999999" hidden="1">
      <c r="A612" s="202"/>
      <c r="B612" s="690" t="s">
        <v>221</v>
      </c>
      <c r="C612" s="536"/>
      <c r="D612" s="225"/>
      <c r="E612" s="546"/>
      <c r="F612" s="245"/>
      <c r="G612" s="202"/>
      <c r="H612" s="239"/>
      <c r="I612" s="239"/>
      <c r="J612" s="239"/>
      <c r="K612" s="240"/>
      <c r="L612" s="224"/>
      <c r="M612" s="541"/>
      <c r="N612" s="217"/>
      <c r="O612" s="209">
        <f>IF($E$605="",0,((Nutzung!$G$29+Regelung-1)+(($F$606-Nutzung!$G$29)/4)-G599)*H599*$D$605*$E$605*24/($N$593*1000))</f>
        <v>0</v>
      </c>
      <c r="P612" s="239"/>
      <c r="Q612" s="239"/>
      <c r="R612" s="239"/>
      <c r="S612" s="202"/>
      <c r="Z612" s="323"/>
      <c r="AA612" s="318"/>
      <c r="AB612" s="323"/>
      <c r="AC612" s="323"/>
      <c r="AD612" s="323"/>
      <c r="AE612" s="323"/>
      <c r="AF612" s="323"/>
      <c r="AG612" s="323"/>
      <c r="AH612" s="323"/>
      <c r="AI612" s="323"/>
      <c r="AJ612" s="323"/>
      <c r="AK612" s="323"/>
      <c r="AL612" s="302"/>
    </row>
    <row r="613" spans="1:38" s="235" customFormat="1" ht="10.199999999999999" hidden="1">
      <c r="A613" s="202"/>
      <c r="B613" s="690" t="s">
        <v>138</v>
      </c>
      <c r="C613" s="536"/>
      <c r="D613" s="225"/>
      <c r="E613" s="546"/>
      <c r="F613" s="245"/>
      <c r="G613" s="202"/>
      <c r="H613" s="239"/>
      <c r="I613" s="239"/>
      <c r="J613" s="239"/>
      <c r="K613" s="240"/>
      <c r="L613" s="224"/>
      <c r="M613" s="541"/>
      <c r="N613" s="217"/>
      <c r="O613" s="209">
        <f>IF($E$605="",0,((Nutzung!$G$29+Regelung-1)+(($F$606-Nutzung!$G$29)/4)-G600)*H600*$D$605*$E$605*24/($N$593*1000))</f>
        <v>0</v>
      </c>
      <c r="P613" s="239"/>
      <c r="Q613" s="239"/>
      <c r="R613" s="239"/>
      <c r="S613" s="202"/>
      <c r="Z613" s="323"/>
      <c r="AA613" s="318"/>
      <c r="AB613" s="323"/>
      <c r="AC613" s="323"/>
      <c r="AD613" s="323"/>
      <c r="AE613" s="323"/>
      <c r="AF613" s="323"/>
      <c r="AG613" s="323"/>
      <c r="AH613" s="323"/>
      <c r="AI613" s="323"/>
      <c r="AJ613" s="323"/>
      <c r="AK613" s="323"/>
      <c r="AL613" s="302"/>
    </row>
    <row r="614" spans="1:38" s="235" customFormat="1" ht="10.199999999999999" hidden="1">
      <c r="A614" s="202"/>
      <c r="B614" s="690" t="s">
        <v>139</v>
      </c>
      <c r="C614" s="536"/>
      <c r="D614" s="225"/>
      <c r="E614" s="546"/>
      <c r="F614" s="245"/>
      <c r="G614" s="202"/>
      <c r="H614" s="239"/>
      <c r="I614" s="239"/>
      <c r="J614" s="239"/>
      <c r="K614" s="240"/>
      <c r="L614" s="224"/>
      <c r="M614" s="541"/>
      <c r="N614" s="217"/>
      <c r="O614" s="209">
        <f>IF($E$605="",0,((Nutzung!$G$29+Regelung-1)+(($F$606-Nutzung!$G$29)/4)-G601)*H601*$D$605*$E$605*24/($N$593*1000))</f>
        <v>0</v>
      </c>
      <c r="P614" s="239"/>
      <c r="Q614" s="239"/>
      <c r="R614" s="239"/>
      <c r="S614" s="202"/>
      <c r="Z614" s="323"/>
      <c r="AA614" s="318"/>
      <c r="AB614" s="323"/>
      <c r="AC614" s="323"/>
      <c r="AD614" s="323"/>
      <c r="AE614" s="323"/>
      <c r="AF614" s="323"/>
      <c r="AG614" s="323"/>
      <c r="AH614" s="323"/>
      <c r="AI614" s="323"/>
      <c r="AJ614" s="323"/>
      <c r="AK614" s="323"/>
      <c r="AL614" s="302"/>
    </row>
    <row r="615" spans="1:38" s="235" customFormat="1" ht="10.199999999999999" hidden="1">
      <c r="A615" s="202"/>
      <c r="B615" s="690" t="s">
        <v>269</v>
      </c>
      <c r="C615" s="536"/>
      <c r="D615" s="225"/>
      <c r="E615" s="546"/>
      <c r="F615" s="245"/>
      <c r="G615" s="202"/>
      <c r="H615" s="239"/>
      <c r="I615" s="239"/>
      <c r="J615" s="239"/>
      <c r="K615" s="240"/>
      <c r="L615" s="224"/>
      <c r="M615" s="541"/>
      <c r="N615" s="217"/>
      <c r="O615" s="209">
        <f>IF($E$605="",0,((Nutzung!$G$29+Regelung-1)+(($F$606-Nutzung!$G$29)/4)-G602)*H602*$D$605*$E$605*24/($N$593*1000))</f>
        <v>0</v>
      </c>
      <c r="P615" s="239"/>
      <c r="Q615" s="239"/>
      <c r="R615" s="239"/>
      <c r="S615" s="202"/>
      <c r="Z615" s="323"/>
      <c r="AA615" s="318"/>
      <c r="AB615" s="323"/>
      <c r="AC615" s="323"/>
      <c r="AD615" s="323"/>
      <c r="AE615" s="323"/>
      <c r="AF615" s="323"/>
      <c r="AG615" s="323"/>
      <c r="AH615" s="323"/>
      <c r="AI615" s="323"/>
      <c r="AJ615" s="323"/>
      <c r="AK615" s="323"/>
      <c r="AL615" s="302"/>
    </row>
    <row r="616" spans="1:38" s="235" customFormat="1" ht="10.199999999999999" hidden="1">
      <c r="A616" s="202"/>
      <c r="B616" s="690" t="s">
        <v>366</v>
      </c>
      <c r="C616" s="536"/>
      <c r="D616" s="225"/>
      <c r="E616" s="546"/>
      <c r="F616" s="245"/>
      <c r="G616" s="202"/>
      <c r="H616" s="239"/>
      <c r="I616" s="239"/>
      <c r="J616" s="239"/>
      <c r="K616" s="240"/>
      <c r="L616" s="224"/>
      <c r="M616" s="541"/>
      <c r="N616" s="217"/>
      <c r="O616" s="209">
        <f>IF($E$605="",0,((Nutzung!$G$29+Regelung-1)+(($F$606-Nutzung!$G$29)/4)-G603)*H603*$D$605*$E$605*24/($N$593*1000))</f>
        <v>0</v>
      </c>
      <c r="P616" s="239"/>
      <c r="Q616" s="239"/>
      <c r="R616" s="239"/>
      <c r="S616" s="202"/>
      <c r="Z616" s="323"/>
      <c r="AA616" s="318"/>
      <c r="AB616" s="323"/>
      <c r="AC616" s="323"/>
      <c r="AD616" s="323"/>
      <c r="AE616" s="323"/>
      <c r="AF616" s="323"/>
      <c r="AG616" s="323"/>
      <c r="AH616" s="323"/>
      <c r="AI616" s="323"/>
      <c r="AJ616" s="323"/>
      <c r="AK616" s="323"/>
      <c r="AL616" s="302"/>
    </row>
    <row r="617" spans="1:38" s="235" customFormat="1" ht="10.199999999999999" hidden="1">
      <c r="A617" s="202"/>
      <c r="B617" s="690" t="s">
        <v>465</v>
      </c>
      <c r="C617" s="536"/>
      <c r="D617" s="225"/>
      <c r="E617" s="546"/>
      <c r="F617" s="245"/>
      <c r="G617" s="202"/>
      <c r="H617" s="239"/>
      <c r="I617" s="239"/>
      <c r="J617" s="239"/>
      <c r="K617" s="240"/>
      <c r="L617" s="224"/>
      <c r="M617" s="541"/>
      <c r="N617" s="217"/>
      <c r="O617" s="209">
        <f>IF($E$605="",0,((Nutzung!$G$29+Regelung-1)+(($F$606-Nutzung!$G$29)/4)-G604)*H604*$D$605*$E$605*24/($N$593*1000))</f>
        <v>0</v>
      </c>
      <c r="P617" s="239"/>
      <c r="Q617" s="239"/>
      <c r="R617" s="239"/>
      <c r="S617" s="202"/>
      <c r="Z617" s="323"/>
      <c r="AA617" s="318"/>
      <c r="AB617" s="323"/>
      <c r="AC617" s="323"/>
      <c r="AD617" s="323"/>
      <c r="AE617" s="323"/>
      <c r="AF617" s="323"/>
      <c r="AG617" s="323"/>
      <c r="AH617" s="323"/>
      <c r="AI617" s="323"/>
      <c r="AJ617" s="323"/>
      <c r="AK617" s="323"/>
      <c r="AL617" s="302"/>
    </row>
    <row r="618" spans="1:38" ht="10.95" customHeight="1">
      <c r="A618" s="203" t="str">
        <f>A320</f>
        <v>0</v>
      </c>
      <c r="B618" s="648"/>
      <c r="C618" s="656"/>
      <c r="D618" s="674"/>
      <c r="E618" s="676"/>
      <c r="F618" s="244"/>
      <c r="G618" s="192"/>
      <c r="H618" s="198"/>
      <c r="I618" s="198"/>
      <c r="J618" s="198"/>
      <c r="K618" s="211"/>
      <c r="L618" s="220" t="str">
        <f>IF(E618="","",Nutzung!$G$29)</f>
        <v/>
      </c>
      <c r="M618" s="218" t="str">
        <f>IF(D618="","",AB618)</f>
        <v/>
      </c>
      <c r="N618" s="214">
        <f>IF(E618=0,0,SUM(O619:O630))</f>
        <v>0</v>
      </c>
      <c r="O618" s="215" t="str">
        <f>IF(N618/$O$1370=0,"",N618/$O$1370)</f>
        <v/>
      </c>
      <c r="P618" s="198"/>
      <c r="Q618" s="198"/>
      <c r="R618" s="198"/>
      <c r="S618" s="192"/>
      <c r="T618" s="182">
        <f>D618*E618</f>
        <v>0</v>
      </c>
      <c r="AA618" s="318">
        <f>IF(D618="",0,1)</f>
        <v>0</v>
      </c>
      <c r="AB618" s="318">
        <f>AB605+AA618</f>
        <v>0</v>
      </c>
    </row>
    <row r="619" spans="1:38" s="235" customFormat="1" ht="10.199999999999999" hidden="1">
      <c r="A619" s="202"/>
      <c r="B619" s="690" t="s">
        <v>49</v>
      </c>
      <c r="C619" s="724"/>
      <c r="D619" s="225"/>
      <c r="E619" s="732"/>
      <c r="F619" s="704" t="str">
        <f>IF($L$618&lt;Nutzung!$G$29,Nutzung!$G$29,$L$618)</f>
        <v/>
      </c>
      <c r="G619" s="202"/>
      <c r="H619" s="239"/>
      <c r="I619" s="239"/>
      <c r="J619" s="246">
        <f>IF(L618="",Nutzung!$G$29,Bauteile!L618)</f>
        <v>0</v>
      </c>
      <c r="K619" s="240"/>
      <c r="L619" s="224"/>
      <c r="M619" s="541"/>
      <c r="N619" s="217"/>
      <c r="O619" s="209">
        <f>IF($E$618="",0,((Nutzung!$G$29+Regelung-1)+(($F$619-Nutzung!$G$29)/4)-G593)*H593*$D$618*$E$618*24/($N$593*1000))</f>
        <v>0</v>
      </c>
      <c r="P619" s="239"/>
      <c r="Q619" s="239"/>
      <c r="R619" s="239"/>
      <c r="S619" s="202"/>
      <c r="Z619" s="323"/>
      <c r="AA619" s="318"/>
      <c r="AB619" s="323"/>
      <c r="AC619" s="323"/>
      <c r="AD619" s="323"/>
      <c r="AE619" s="323"/>
      <c r="AF619" s="323"/>
      <c r="AG619" s="323"/>
      <c r="AH619" s="323"/>
      <c r="AI619" s="323"/>
      <c r="AJ619" s="323"/>
      <c r="AK619" s="323"/>
      <c r="AL619" s="302"/>
    </row>
    <row r="620" spans="1:38" s="235" customFormat="1" ht="10.199999999999999" hidden="1">
      <c r="A620" s="202"/>
      <c r="B620" s="690" t="s">
        <v>554</v>
      </c>
      <c r="C620" s="536"/>
      <c r="D620" s="225"/>
      <c r="E620" s="546"/>
      <c r="F620" s="245"/>
      <c r="G620" s="202"/>
      <c r="H620" s="239"/>
      <c r="I620" s="239"/>
      <c r="J620" s="239"/>
      <c r="K620" s="240"/>
      <c r="L620" s="224"/>
      <c r="M620" s="541"/>
      <c r="N620" s="217"/>
      <c r="O620" s="209">
        <f>IF($E$618="",0,((Nutzung!$G$29+Regelung-1)+(($F$619-Nutzung!$G$29)/4)-G594)*H594*$D$618*$E$618*24/($N$593*1000))</f>
        <v>0</v>
      </c>
      <c r="P620" s="239"/>
      <c r="Q620" s="239"/>
      <c r="R620" s="239"/>
      <c r="S620" s="202"/>
      <c r="Z620" s="323"/>
      <c r="AA620" s="318"/>
      <c r="AB620" s="323"/>
      <c r="AC620" s="323"/>
      <c r="AD620" s="323"/>
      <c r="AE620" s="323"/>
      <c r="AF620" s="323"/>
      <c r="AG620" s="323"/>
      <c r="AH620" s="323"/>
      <c r="AI620" s="323"/>
      <c r="AJ620" s="323"/>
      <c r="AK620" s="323"/>
      <c r="AL620" s="302"/>
    </row>
    <row r="621" spans="1:38" s="235" customFormat="1" ht="10.199999999999999" hidden="1">
      <c r="A621" s="202"/>
      <c r="B621" s="690" t="s">
        <v>306</v>
      </c>
      <c r="C621" s="536"/>
      <c r="D621" s="225"/>
      <c r="E621" s="546"/>
      <c r="F621" s="245"/>
      <c r="G621" s="202"/>
      <c r="H621" s="239"/>
      <c r="I621" s="239"/>
      <c r="J621" s="239"/>
      <c r="K621" s="240"/>
      <c r="L621" s="224"/>
      <c r="M621" s="541"/>
      <c r="N621" s="217"/>
      <c r="O621" s="209">
        <f>IF($E$618="",0,((Nutzung!$G$29+Regelung-1)+(($F$619-Nutzung!$G$29)/4)-G595)*H595*$D$618*$E$618*24/($N$593*1000))</f>
        <v>0</v>
      </c>
      <c r="P621" s="239"/>
      <c r="Q621" s="239"/>
      <c r="R621" s="239"/>
      <c r="S621" s="202"/>
      <c r="Z621" s="323"/>
      <c r="AA621" s="318"/>
      <c r="AB621" s="323"/>
      <c r="AC621" s="323"/>
      <c r="AD621" s="323"/>
      <c r="AE621" s="323"/>
      <c r="AF621" s="323"/>
      <c r="AG621" s="323"/>
      <c r="AH621" s="323"/>
      <c r="AI621" s="323"/>
      <c r="AJ621" s="323"/>
      <c r="AK621" s="323"/>
      <c r="AL621" s="302"/>
    </row>
    <row r="622" spans="1:38" s="235" customFormat="1" ht="10.199999999999999" hidden="1">
      <c r="A622" s="202"/>
      <c r="B622" s="690" t="s">
        <v>409</v>
      </c>
      <c r="C622" s="536"/>
      <c r="D622" s="225"/>
      <c r="E622" s="546"/>
      <c r="F622" s="245"/>
      <c r="G622" s="202"/>
      <c r="H622" s="239"/>
      <c r="I622" s="239"/>
      <c r="J622" s="239"/>
      <c r="K622" s="240"/>
      <c r="L622" s="224"/>
      <c r="M622" s="541"/>
      <c r="N622" s="217"/>
      <c r="O622" s="209">
        <f>IF($E$618="",0,((Nutzung!$G$29+Regelung-1)+(($F$619-Nutzung!$G$29)/4)-G596)*H596*$D$618*$E$618*24/($N$593*1000))</f>
        <v>0</v>
      </c>
      <c r="P622" s="239"/>
      <c r="Q622" s="239"/>
      <c r="R622" s="239"/>
      <c r="S622" s="202"/>
      <c r="Z622" s="323"/>
      <c r="AA622" s="318"/>
      <c r="AB622" s="323"/>
      <c r="AC622" s="323"/>
      <c r="AD622" s="323"/>
      <c r="AE622" s="323"/>
      <c r="AF622" s="323"/>
      <c r="AG622" s="323"/>
      <c r="AH622" s="323"/>
      <c r="AI622" s="323"/>
      <c r="AJ622" s="323"/>
      <c r="AK622" s="323"/>
      <c r="AL622" s="302"/>
    </row>
    <row r="623" spans="1:38" s="235" customFormat="1" ht="10.199999999999999" hidden="1">
      <c r="A623" s="202"/>
      <c r="B623" s="690" t="s">
        <v>410</v>
      </c>
      <c r="C623" s="536"/>
      <c r="D623" s="225"/>
      <c r="E623" s="546"/>
      <c r="F623" s="245"/>
      <c r="G623" s="202"/>
      <c r="H623" s="239"/>
      <c r="I623" s="239"/>
      <c r="J623" s="239"/>
      <c r="K623" s="240"/>
      <c r="L623" s="224"/>
      <c r="M623" s="541"/>
      <c r="N623" s="217"/>
      <c r="O623" s="209">
        <f>IF($E$618="",0,((Nutzung!$G$29+Regelung-1)+(($F$619-Nutzung!$G$29)/4)-G597)*H597*$D$618*$E$618*24/($N$593*1000))</f>
        <v>0</v>
      </c>
      <c r="P623" s="239"/>
      <c r="Q623" s="239"/>
      <c r="R623" s="239"/>
      <c r="S623" s="202"/>
      <c r="Z623" s="323"/>
      <c r="AA623" s="318"/>
      <c r="AB623" s="323"/>
      <c r="AC623" s="323"/>
      <c r="AD623" s="323"/>
      <c r="AE623" s="323"/>
      <c r="AF623" s="323"/>
      <c r="AG623" s="323"/>
      <c r="AH623" s="323"/>
      <c r="AI623" s="323"/>
      <c r="AJ623" s="323"/>
      <c r="AK623" s="323"/>
      <c r="AL623" s="302"/>
    </row>
    <row r="624" spans="1:38" s="235" customFormat="1" ht="10.199999999999999" hidden="1">
      <c r="A624" s="202"/>
      <c r="B624" s="690" t="s">
        <v>411</v>
      </c>
      <c r="C624" s="536"/>
      <c r="D624" s="225"/>
      <c r="E624" s="546"/>
      <c r="F624" s="245"/>
      <c r="G624" s="202"/>
      <c r="H624" s="239"/>
      <c r="I624" s="239"/>
      <c r="J624" s="239"/>
      <c r="K624" s="240"/>
      <c r="L624" s="224"/>
      <c r="M624" s="541"/>
      <c r="N624" s="217"/>
      <c r="O624" s="209">
        <f>IF($E$618="",0,((Nutzung!$G$29+Regelung-1)+(($F$619-Nutzung!$G$29)/4)-G598)*H598*$D$618*$E$618*24/($N$593*1000))</f>
        <v>0</v>
      </c>
      <c r="P624" s="239"/>
      <c r="Q624" s="239"/>
      <c r="R624" s="239"/>
      <c r="S624" s="202"/>
      <c r="Z624" s="323"/>
      <c r="AA624" s="318"/>
      <c r="AB624" s="323"/>
      <c r="AC624" s="323"/>
      <c r="AD624" s="323"/>
      <c r="AE624" s="323"/>
      <c r="AF624" s="323"/>
      <c r="AG624" s="323"/>
      <c r="AH624" s="323"/>
      <c r="AI624" s="323"/>
      <c r="AJ624" s="323"/>
      <c r="AK624" s="323"/>
      <c r="AL624" s="302"/>
    </row>
    <row r="625" spans="1:38" s="235" customFormat="1" ht="10.199999999999999" hidden="1">
      <c r="A625" s="202"/>
      <c r="B625" s="690" t="s">
        <v>221</v>
      </c>
      <c r="C625" s="536"/>
      <c r="D625" s="225"/>
      <c r="E625" s="546"/>
      <c r="F625" s="245"/>
      <c r="G625" s="202"/>
      <c r="H625" s="239"/>
      <c r="I625" s="239"/>
      <c r="J625" s="239"/>
      <c r="K625" s="240"/>
      <c r="L625" s="224"/>
      <c r="M625" s="541"/>
      <c r="N625" s="217"/>
      <c r="O625" s="209">
        <f>IF($E$618="",0,((Nutzung!$G$29+Regelung-1)+(($F$619-Nutzung!$G$29)/4)-G599)*H599*$D$618*$E$618*24/($N$593*1000))</f>
        <v>0</v>
      </c>
      <c r="P625" s="239"/>
      <c r="Q625" s="239"/>
      <c r="R625" s="239"/>
      <c r="S625" s="202"/>
      <c r="Z625" s="323"/>
      <c r="AA625" s="318"/>
      <c r="AB625" s="323"/>
      <c r="AC625" s="323"/>
      <c r="AD625" s="323"/>
      <c r="AE625" s="323"/>
      <c r="AF625" s="323"/>
      <c r="AG625" s="323"/>
      <c r="AH625" s="323"/>
      <c r="AI625" s="323"/>
      <c r="AJ625" s="323"/>
      <c r="AK625" s="323"/>
      <c r="AL625" s="302"/>
    </row>
    <row r="626" spans="1:38" s="235" customFormat="1" ht="10.199999999999999" hidden="1">
      <c r="A626" s="202"/>
      <c r="B626" s="690" t="s">
        <v>138</v>
      </c>
      <c r="C626" s="536"/>
      <c r="D626" s="225"/>
      <c r="E626" s="546"/>
      <c r="F626" s="245"/>
      <c r="G626" s="202"/>
      <c r="H626" s="239"/>
      <c r="I626" s="239"/>
      <c r="J626" s="239"/>
      <c r="K626" s="240"/>
      <c r="L626" s="224"/>
      <c r="M626" s="541"/>
      <c r="N626" s="217"/>
      <c r="O626" s="209">
        <f>IF($E$618="",0,((Nutzung!$G$29+Regelung-1)+(($F$619-Nutzung!$G$29)/4)-G600)*H600*$D$618*$E$618*24/($N$593*1000))</f>
        <v>0</v>
      </c>
      <c r="P626" s="239"/>
      <c r="Q626" s="239"/>
      <c r="R626" s="239"/>
      <c r="S626" s="202"/>
      <c r="Z626" s="323"/>
      <c r="AA626" s="318"/>
      <c r="AB626" s="323"/>
      <c r="AC626" s="323"/>
      <c r="AD626" s="323"/>
      <c r="AE626" s="323"/>
      <c r="AF626" s="323"/>
      <c r="AG626" s="323"/>
      <c r="AH626" s="323"/>
      <c r="AI626" s="323"/>
      <c r="AJ626" s="323"/>
      <c r="AK626" s="323"/>
      <c r="AL626" s="302"/>
    </row>
    <row r="627" spans="1:38" s="235" customFormat="1" ht="10.199999999999999" hidden="1">
      <c r="A627" s="202"/>
      <c r="B627" s="690" t="s">
        <v>139</v>
      </c>
      <c r="C627" s="536"/>
      <c r="D627" s="225"/>
      <c r="E627" s="546"/>
      <c r="F627" s="245"/>
      <c r="G627" s="202"/>
      <c r="H627" s="239"/>
      <c r="I627" s="239"/>
      <c r="J627" s="239"/>
      <c r="K627" s="240"/>
      <c r="L627" s="224"/>
      <c r="M627" s="541"/>
      <c r="N627" s="217"/>
      <c r="O627" s="209">
        <f>IF($E$618="",0,((Nutzung!$G$29+Regelung-1)+(($F$619-Nutzung!$G$29)/4)-G601)*H601*$D$618*$E$618*24/($N$593*1000))</f>
        <v>0</v>
      </c>
      <c r="P627" s="239"/>
      <c r="Q627" s="239"/>
      <c r="R627" s="239"/>
      <c r="S627" s="202"/>
      <c r="Z627" s="323"/>
      <c r="AA627" s="318"/>
      <c r="AB627" s="323"/>
      <c r="AC627" s="323"/>
      <c r="AD627" s="323"/>
      <c r="AE627" s="323"/>
      <c r="AF627" s="323"/>
      <c r="AG627" s="323"/>
      <c r="AH627" s="323"/>
      <c r="AI627" s="323"/>
      <c r="AJ627" s="323"/>
      <c r="AK627" s="323"/>
      <c r="AL627" s="302"/>
    </row>
    <row r="628" spans="1:38" s="235" customFormat="1" ht="10.199999999999999" hidden="1">
      <c r="A628" s="202"/>
      <c r="B628" s="690" t="s">
        <v>269</v>
      </c>
      <c r="C628" s="536"/>
      <c r="D628" s="225"/>
      <c r="E628" s="546"/>
      <c r="F628" s="245"/>
      <c r="G628" s="202"/>
      <c r="H628" s="239"/>
      <c r="I628" s="239"/>
      <c r="J628" s="239"/>
      <c r="K628" s="240"/>
      <c r="L628" s="224"/>
      <c r="M628" s="541"/>
      <c r="N628" s="217"/>
      <c r="O628" s="209">
        <f>IF($E$618="",0,((Nutzung!$G$29+Regelung-1)+(($F$619-Nutzung!$G$29)/4)-G602)*H602*$D$618*$E$618*24/($N$593*1000))</f>
        <v>0</v>
      </c>
      <c r="P628" s="239"/>
      <c r="Q628" s="239"/>
      <c r="R628" s="239"/>
      <c r="S628" s="202"/>
      <c r="Z628" s="323"/>
      <c r="AA628" s="318"/>
      <c r="AB628" s="323"/>
      <c r="AC628" s="323"/>
      <c r="AD628" s="323"/>
      <c r="AE628" s="323"/>
      <c r="AF628" s="323"/>
      <c r="AG628" s="323"/>
      <c r="AH628" s="323"/>
      <c r="AI628" s="323"/>
      <c r="AJ628" s="323"/>
      <c r="AK628" s="323"/>
      <c r="AL628" s="302"/>
    </row>
    <row r="629" spans="1:38" s="235" customFormat="1" ht="10.199999999999999" hidden="1">
      <c r="A629" s="202"/>
      <c r="B629" s="690" t="s">
        <v>366</v>
      </c>
      <c r="C629" s="536"/>
      <c r="D629" s="225"/>
      <c r="E629" s="546"/>
      <c r="F629" s="245"/>
      <c r="G629" s="202"/>
      <c r="H629" s="239"/>
      <c r="I629" s="239"/>
      <c r="J629" s="239"/>
      <c r="K629" s="240"/>
      <c r="L629" s="224"/>
      <c r="M629" s="541"/>
      <c r="N629" s="217"/>
      <c r="O629" s="209">
        <f>IF($E$618="",0,((Nutzung!$G$29+Regelung-1)+(($F$619-Nutzung!$G$29)/4)-G603)*H603*$D$618*$E$618*24/($N$593*1000))</f>
        <v>0</v>
      </c>
      <c r="P629" s="239"/>
      <c r="Q629" s="239"/>
      <c r="R629" s="239"/>
      <c r="S629" s="202"/>
      <c r="Z629" s="323"/>
      <c r="AA629" s="318"/>
      <c r="AB629" s="323"/>
      <c r="AC629" s="323"/>
      <c r="AD629" s="323"/>
      <c r="AE629" s="323"/>
      <c r="AF629" s="323"/>
      <c r="AG629" s="323"/>
      <c r="AH629" s="323"/>
      <c r="AI629" s="323"/>
      <c r="AJ629" s="323"/>
      <c r="AK629" s="323"/>
      <c r="AL629" s="302"/>
    </row>
    <row r="630" spans="1:38" s="235" customFormat="1" ht="10.199999999999999" hidden="1">
      <c r="A630" s="202"/>
      <c r="B630" s="690" t="s">
        <v>465</v>
      </c>
      <c r="C630" s="536"/>
      <c r="D630" s="225"/>
      <c r="E630" s="546"/>
      <c r="F630" s="245"/>
      <c r="G630" s="202"/>
      <c r="H630" s="239"/>
      <c r="I630" s="239"/>
      <c r="J630" s="239"/>
      <c r="K630" s="240"/>
      <c r="L630" s="224"/>
      <c r="M630" s="541"/>
      <c r="N630" s="217"/>
      <c r="O630" s="209">
        <f>IF($E$618="",0,((Nutzung!$G$29+Regelung-1)+(($F$619-Nutzung!$G$29)/4)-G604)*H604*$D$618*$E$618*24/($N$593*1000))</f>
        <v>0</v>
      </c>
      <c r="P630" s="239"/>
      <c r="Q630" s="239"/>
      <c r="R630" s="239"/>
      <c r="S630" s="202"/>
      <c r="Z630" s="323"/>
      <c r="AA630" s="318"/>
      <c r="AB630" s="323"/>
      <c r="AC630" s="323"/>
      <c r="AD630" s="323"/>
      <c r="AE630" s="323"/>
      <c r="AF630" s="323"/>
      <c r="AG630" s="323"/>
      <c r="AH630" s="323"/>
      <c r="AI630" s="323"/>
      <c r="AJ630" s="323"/>
      <c r="AK630" s="323"/>
      <c r="AL630" s="302"/>
    </row>
    <row r="631" spans="1:38" ht="10.95" customHeight="1">
      <c r="A631" s="192"/>
      <c r="B631" s="648"/>
      <c r="C631" s="656"/>
      <c r="D631" s="674"/>
      <c r="E631" s="676"/>
      <c r="F631" s="244"/>
      <c r="G631" s="192"/>
      <c r="H631" s="198"/>
      <c r="I631" s="198"/>
      <c r="J631" s="198"/>
      <c r="K631" s="211"/>
      <c r="L631" s="220" t="str">
        <f>IF(E631="","",Nutzung!$G$29)</f>
        <v/>
      </c>
      <c r="M631" s="218" t="str">
        <f>IF(D631="","",AB631)</f>
        <v/>
      </c>
      <c r="N631" s="214">
        <f>IF(E631=0,0,SUM(O632:O643))</f>
        <v>0</v>
      </c>
      <c r="O631" s="215" t="str">
        <f>IF(N631/$O$1370=0,"",N631/$O$1370)</f>
        <v/>
      </c>
      <c r="P631" s="198"/>
      <c r="Q631" s="198"/>
      <c r="R631" s="198"/>
      <c r="S631" s="192"/>
      <c r="T631" s="182">
        <f>D631*E631</f>
        <v>0</v>
      </c>
      <c r="AA631" s="318">
        <f>IF(D631="",0,1)</f>
        <v>0</v>
      </c>
      <c r="AB631" s="318">
        <f>AB618+AA631</f>
        <v>0</v>
      </c>
    </row>
    <row r="632" spans="1:38" s="235" customFormat="1" ht="10.199999999999999" hidden="1">
      <c r="A632" s="202"/>
      <c r="B632" s="690" t="s">
        <v>49</v>
      </c>
      <c r="C632" s="724"/>
      <c r="D632" s="225"/>
      <c r="E632" s="732"/>
      <c r="F632" s="704" t="str">
        <f>IF($L$631&lt;Nutzung!$G$29,Nutzung!$G$29,$L$631)</f>
        <v/>
      </c>
      <c r="G632" s="202"/>
      <c r="H632" s="239"/>
      <c r="I632" s="239"/>
      <c r="J632" s="246">
        <f>IF(L631="",Nutzung!$G$29,Bauteile!L631)</f>
        <v>0</v>
      </c>
      <c r="K632" s="240"/>
      <c r="L632" s="224"/>
      <c r="M632" s="541"/>
      <c r="N632" s="217"/>
      <c r="O632" s="209">
        <f>IF($E$631="",0,((Nutzung!$G$29+Regelung-1)+(($F$632-Nutzung!$G$29)/4)-G593)*H593*$D$631*$E$631*24/($N$593*1000))</f>
        <v>0</v>
      </c>
      <c r="P632" s="239"/>
      <c r="Q632" s="239"/>
      <c r="R632" s="239"/>
      <c r="S632" s="202"/>
      <c r="Z632" s="323"/>
      <c r="AA632" s="318"/>
      <c r="AB632" s="323"/>
      <c r="AC632" s="323"/>
      <c r="AD632" s="323"/>
      <c r="AE632" s="323"/>
      <c r="AF632" s="323"/>
      <c r="AG632" s="323"/>
      <c r="AH632" s="323"/>
      <c r="AI632" s="323"/>
      <c r="AJ632" s="323"/>
      <c r="AK632" s="323"/>
      <c r="AL632" s="302"/>
    </row>
    <row r="633" spans="1:38" s="235" customFormat="1" ht="10.199999999999999" hidden="1">
      <c r="A633" s="202"/>
      <c r="B633" s="690" t="s">
        <v>554</v>
      </c>
      <c r="C633" s="536"/>
      <c r="D633" s="225"/>
      <c r="E633" s="546"/>
      <c r="F633" s="245"/>
      <c r="G633" s="202"/>
      <c r="H633" s="239"/>
      <c r="I633" s="239"/>
      <c r="J633" s="239"/>
      <c r="K633" s="240"/>
      <c r="L633" s="224"/>
      <c r="M633" s="541"/>
      <c r="N633" s="217"/>
      <c r="O633" s="209">
        <f>IF($E$631="",0,((Nutzung!$G$29+Regelung-1)+(($F$632-Nutzung!$G$29)/4)-G594)*H594*$D$631*$E$631*24/($N$593*1000))</f>
        <v>0</v>
      </c>
      <c r="P633" s="239"/>
      <c r="Q633" s="239"/>
      <c r="R633" s="239"/>
      <c r="S633" s="202"/>
      <c r="Z633" s="323"/>
      <c r="AA633" s="318"/>
      <c r="AB633" s="323"/>
      <c r="AC633" s="323"/>
      <c r="AD633" s="323"/>
      <c r="AE633" s="323"/>
      <c r="AF633" s="323"/>
      <c r="AG633" s="323"/>
      <c r="AH633" s="323"/>
      <c r="AI633" s="323"/>
      <c r="AJ633" s="323"/>
      <c r="AK633" s="323"/>
      <c r="AL633" s="302"/>
    </row>
    <row r="634" spans="1:38" s="235" customFormat="1" ht="10.199999999999999" hidden="1">
      <c r="A634" s="202"/>
      <c r="B634" s="690" t="s">
        <v>306</v>
      </c>
      <c r="C634" s="536"/>
      <c r="D634" s="225"/>
      <c r="E634" s="546"/>
      <c r="F634" s="245"/>
      <c r="G634" s="202"/>
      <c r="H634" s="239"/>
      <c r="I634" s="239"/>
      <c r="J634" s="239"/>
      <c r="K634" s="240"/>
      <c r="L634" s="224"/>
      <c r="M634" s="541"/>
      <c r="N634" s="217"/>
      <c r="O634" s="209">
        <f>IF($E$631="",0,((Nutzung!$G$29+Regelung-1)+(($F$632-Nutzung!$G$29)/4)-G595)*H595*$D$631*$E$631*24/($N$593*1000))</f>
        <v>0</v>
      </c>
      <c r="P634" s="239"/>
      <c r="Q634" s="239"/>
      <c r="R634" s="239"/>
      <c r="S634" s="202"/>
      <c r="Z634" s="323"/>
      <c r="AA634" s="318"/>
      <c r="AB634" s="323"/>
      <c r="AC634" s="323"/>
      <c r="AD634" s="323"/>
      <c r="AE634" s="323"/>
      <c r="AF634" s="323"/>
      <c r="AG634" s="323"/>
      <c r="AH634" s="323"/>
      <c r="AI634" s="323"/>
      <c r="AJ634" s="323"/>
      <c r="AK634" s="323"/>
      <c r="AL634" s="302"/>
    </row>
    <row r="635" spans="1:38" s="235" customFormat="1" ht="10.199999999999999" hidden="1">
      <c r="A635" s="202"/>
      <c r="B635" s="690" t="s">
        <v>409</v>
      </c>
      <c r="C635" s="536"/>
      <c r="D635" s="225"/>
      <c r="E635" s="546"/>
      <c r="F635" s="245"/>
      <c r="G635" s="202"/>
      <c r="H635" s="239"/>
      <c r="I635" s="239"/>
      <c r="J635" s="239"/>
      <c r="K635" s="240"/>
      <c r="L635" s="224"/>
      <c r="M635" s="541"/>
      <c r="N635" s="217"/>
      <c r="O635" s="209">
        <f>IF($E$631="",0,((Nutzung!$G$29+Regelung-1)+(($F$632-Nutzung!$G$29)/4)-G596)*H596*$D$631*$E$631*24/($N$593*1000))</f>
        <v>0</v>
      </c>
      <c r="P635" s="239"/>
      <c r="Q635" s="239"/>
      <c r="R635" s="239"/>
      <c r="S635" s="202"/>
      <c r="Z635" s="323"/>
      <c r="AA635" s="318"/>
      <c r="AB635" s="323"/>
      <c r="AC635" s="323"/>
      <c r="AD635" s="323"/>
      <c r="AE635" s="323"/>
      <c r="AF635" s="323"/>
      <c r="AG635" s="323"/>
      <c r="AH635" s="323"/>
      <c r="AI635" s="323"/>
      <c r="AJ635" s="323"/>
      <c r="AK635" s="323"/>
      <c r="AL635" s="302"/>
    </row>
    <row r="636" spans="1:38" s="235" customFormat="1" ht="10.199999999999999" hidden="1">
      <c r="A636" s="202"/>
      <c r="B636" s="690" t="s">
        <v>410</v>
      </c>
      <c r="C636" s="536"/>
      <c r="D636" s="225"/>
      <c r="E636" s="546"/>
      <c r="F636" s="245"/>
      <c r="G636" s="202"/>
      <c r="H636" s="239"/>
      <c r="I636" s="239"/>
      <c r="J636" s="239"/>
      <c r="K636" s="240"/>
      <c r="L636" s="224"/>
      <c r="M636" s="541"/>
      <c r="N636" s="217"/>
      <c r="O636" s="209">
        <f>IF($E$631="",0,((Nutzung!$G$29+Regelung-1)+(($F$632-Nutzung!$G$29)/4)-G597)*H597*$D$631*$E$631*24/($N$593*1000))</f>
        <v>0</v>
      </c>
      <c r="P636" s="239"/>
      <c r="Q636" s="239"/>
      <c r="R636" s="239"/>
      <c r="S636" s="202"/>
      <c r="Z636" s="323"/>
      <c r="AA636" s="318"/>
      <c r="AB636" s="323"/>
      <c r="AC636" s="323"/>
      <c r="AD636" s="323"/>
      <c r="AE636" s="323"/>
      <c r="AF636" s="323"/>
      <c r="AG636" s="323"/>
      <c r="AH636" s="323"/>
      <c r="AI636" s="323"/>
      <c r="AJ636" s="323"/>
      <c r="AK636" s="323"/>
      <c r="AL636" s="302"/>
    </row>
    <row r="637" spans="1:38" s="235" customFormat="1" ht="10.199999999999999" hidden="1">
      <c r="A637" s="202"/>
      <c r="B637" s="690" t="s">
        <v>411</v>
      </c>
      <c r="C637" s="536"/>
      <c r="D637" s="225"/>
      <c r="E637" s="546"/>
      <c r="F637" s="245"/>
      <c r="G637" s="202"/>
      <c r="H637" s="239"/>
      <c r="I637" s="239"/>
      <c r="J637" s="239"/>
      <c r="K637" s="240"/>
      <c r="L637" s="224"/>
      <c r="M637" s="541"/>
      <c r="N637" s="217"/>
      <c r="O637" s="209">
        <f>IF($E$631="",0,((Nutzung!$G$29+Regelung-1)+(($F$632-Nutzung!$G$29)/4)-G598)*H598*$D$631*$E$631*24/($N$593*1000))</f>
        <v>0</v>
      </c>
      <c r="P637" s="239"/>
      <c r="Q637" s="239"/>
      <c r="R637" s="239"/>
      <c r="S637" s="202"/>
      <c r="Z637" s="323"/>
      <c r="AA637" s="318"/>
      <c r="AB637" s="323"/>
      <c r="AC637" s="323"/>
      <c r="AD637" s="323"/>
      <c r="AE637" s="323"/>
      <c r="AF637" s="323"/>
      <c r="AG637" s="323"/>
      <c r="AH637" s="323"/>
      <c r="AI637" s="323"/>
      <c r="AJ637" s="323"/>
      <c r="AK637" s="323"/>
      <c r="AL637" s="302"/>
    </row>
    <row r="638" spans="1:38" s="235" customFormat="1" ht="10.199999999999999" hidden="1">
      <c r="A638" s="202"/>
      <c r="B638" s="690" t="s">
        <v>221</v>
      </c>
      <c r="C638" s="536"/>
      <c r="D638" s="225"/>
      <c r="E638" s="546"/>
      <c r="F638" s="245"/>
      <c r="G638" s="202"/>
      <c r="H638" s="239"/>
      <c r="I638" s="239"/>
      <c r="J638" s="239"/>
      <c r="K638" s="240"/>
      <c r="L638" s="224"/>
      <c r="M638" s="541"/>
      <c r="N638" s="217"/>
      <c r="O638" s="209">
        <f>IF($E$631="",0,((Nutzung!$G$29+Regelung-1)+(($F$632-Nutzung!$G$29)/4)-G599)*H599*$D$631*$E$631*24/($N$593*1000))</f>
        <v>0</v>
      </c>
      <c r="P638" s="239"/>
      <c r="Q638" s="239"/>
      <c r="R638" s="239"/>
      <c r="S638" s="202"/>
      <c r="Z638" s="323"/>
      <c r="AA638" s="318"/>
      <c r="AB638" s="323"/>
      <c r="AC638" s="323"/>
      <c r="AD638" s="323"/>
      <c r="AE638" s="323"/>
      <c r="AF638" s="323"/>
      <c r="AG638" s="323"/>
      <c r="AH638" s="323"/>
      <c r="AI638" s="323"/>
      <c r="AJ638" s="323"/>
      <c r="AK638" s="323"/>
      <c r="AL638" s="302"/>
    </row>
    <row r="639" spans="1:38" s="235" customFormat="1" ht="10.199999999999999" hidden="1">
      <c r="A639" s="202"/>
      <c r="B639" s="690" t="s">
        <v>138</v>
      </c>
      <c r="C639" s="536"/>
      <c r="D639" s="225"/>
      <c r="E639" s="546"/>
      <c r="F639" s="245"/>
      <c r="G639" s="202"/>
      <c r="H639" s="239"/>
      <c r="I639" s="239"/>
      <c r="J639" s="239"/>
      <c r="K639" s="240"/>
      <c r="L639" s="224"/>
      <c r="M639" s="541"/>
      <c r="N639" s="217"/>
      <c r="O639" s="209">
        <f>IF($E$631="",0,((Nutzung!$G$29+Regelung-1)+(($F$632-Nutzung!$G$29)/4)-G600)*H600*$D$631*$E$631*24/($N$593*1000))</f>
        <v>0</v>
      </c>
      <c r="P639" s="239"/>
      <c r="Q639" s="239"/>
      <c r="R639" s="239"/>
      <c r="S639" s="202"/>
      <c r="Z639" s="323"/>
      <c r="AA639" s="318"/>
      <c r="AB639" s="323"/>
      <c r="AC639" s="323"/>
      <c r="AD639" s="323"/>
      <c r="AE639" s="323"/>
      <c r="AF639" s="323"/>
      <c r="AG639" s="323"/>
      <c r="AH639" s="323"/>
      <c r="AI639" s="323"/>
      <c r="AJ639" s="323"/>
      <c r="AK639" s="323"/>
      <c r="AL639" s="302"/>
    </row>
    <row r="640" spans="1:38" s="235" customFormat="1" ht="10.199999999999999" hidden="1">
      <c r="A640" s="202"/>
      <c r="B640" s="690" t="s">
        <v>139</v>
      </c>
      <c r="C640" s="536"/>
      <c r="D640" s="225"/>
      <c r="E640" s="546"/>
      <c r="F640" s="245"/>
      <c r="G640" s="202"/>
      <c r="H640" s="239"/>
      <c r="I640" s="239"/>
      <c r="J640" s="239"/>
      <c r="K640" s="240"/>
      <c r="L640" s="224"/>
      <c r="M640" s="541"/>
      <c r="N640" s="217"/>
      <c r="O640" s="209">
        <f>IF($E$631="",0,((Nutzung!$G$29+Regelung-1)+(($F$632-Nutzung!$G$29)/4)-G601)*H601*$D$631*$E$631*24/($N$593*1000))</f>
        <v>0</v>
      </c>
      <c r="P640" s="239"/>
      <c r="Q640" s="239"/>
      <c r="R640" s="239"/>
      <c r="S640" s="202"/>
      <c r="Z640" s="323"/>
      <c r="AA640" s="318"/>
      <c r="AB640" s="323"/>
      <c r="AC640" s="323"/>
      <c r="AD640" s="323"/>
      <c r="AE640" s="323"/>
      <c r="AF640" s="323"/>
      <c r="AG640" s="323"/>
      <c r="AH640" s="323"/>
      <c r="AI640" s="323"/>
      <c r="AJ640" s="323"/>
      <c r="AK640" s="323"/>
      <c r="AL640" s="302"/>
    </row>
    <row r="641" spans="1:38" s="235" customFormat="1" ht="10.199999999999999" hidden="1">
      <c r="A641" s="202"/>
      <c r="B641" s="690" t="s">
        <v>269</v>
      </c>
      <c r="C641" s="536"/>
      <c r="D641" s="225"/>
      <c r="E641" s="546"/>
      <c r="F641" s="245"/>
      <c r="G641" s="202"/>
      <c r="H641" s="239"/>
      <c r="I641" s="239"/>
      <c r="J641" s="239"/>
      <c r="K641" s="240"/>
      <c r="L641" s="224"/>
      <c r="M641" s="541"/>
      <c r="N641" s="217"/>
      <c r="O641" s="209">
        <f>IF($E$631="",0,((Nutzung!$G$29+Regelung-1)+(($F$632-Nutzung!$G$29)/4)-G602)*H602*$D$631*$E$631*24/($N$593*1000))</f>
        <v>0</v>
      </c>
      <c r="P641" s="239"/>
      <c r="Q641" s="239"/>
      <c r="R641" s="239"/>
      <c r="S641" s="202"/>
      <c r="Z641" s="323"/>
      <c r="AA641" s="318"/>
      <c r="AB641" s="323"/>
      <c r="AC641" s="323"/>
      <c r="AD641" s="323"/>
      <c r="AE641" s="323"/>
      <c r="AF641" s="323"/>
      <c r="AG641" s="323"/>
      <c r="AH641" s="323"/>
      <c r="AI641" s="323"/>
      <c r="AJ641" s="323"/>
      <c r="AK641" s="323"/>
      <c r="AL641" s="302"/>
    </row>
    <row r="642" spans="1:38" s="235" customFormat="1" ht="10.199999999999999" hidden="1">
      <c r="A642" s="202"/>
      <c r="B642" s="690" t="s">
        <v>366</v>
      </c>
      <c r="C642" s="536"/>
      <c r="D642" s="225"/>
      <c r="E642" s="546"/>
      <c r="F642" s="245"/>
      <c r="G642" s="202"/>
      <c r="H642" s="239"/>
      <c r="I642" s="239"/>
      <c r="J642" s="239"/>
      <c r="K642" s="240"/>
      <c r="L642" s="224"/>
      <c r="M642" s="541"/>
      <c r="N642" s="217"/>
      <c r="O642" s="209">
        <f>IF($E$631="",0,((Nutzung!$G$29+Regelung-1)+(($F$632-Nutzung!$G$29)/4)-G603)*H603*$D$631*$E$631*24/($N$593*1000))</f>
        <v>0</v>
      </c>
      <c r="P642" s="239"/>
      <c r="Q642" s="239"/>
      <c r="R642" s="239"/>
      <c r="S642" s="202"/>
      <c r="Z642" s="323"/>
      <c r="AA642" s="318"/>
      <c r="AB642" s="323"/>
      <c r="AC642" s="323"/>
      <c r="AD642" s="323"/>
      <c r="AE642" s="323"/>
      <c r="AF642" s="323"/>
      <c r="AG642" s="323"/>
      <c r="AH642" s="323"/>
      <c r="AI642" s="323"/>
      <c r="AJ642" s="323"/>
      <c r="AK642" s="323"/>
      <c r="AL642" s="302"/>
    </row>
    <row r="643" spans="1:38" s="235" customFormat="1" ht="10.199999999999999" hidden="1">
      <c r="A643" s="202"/>
      <c r="B643" s="690" t="s">
        <v>465</v>
      </c>
      <c r="C643" s="536"/>
      <c r="D643" s="225"/>
      <c r="E643" s="546"/>
      <c r="F643" s="245"/>
      <c r="G643" s="202"/>
      <c r="H643" s="239"/>
      <c r="I643" s="239"/>
      <c r="J643" s="239"/>
      <c r="K643" s="240"/>
      <c r="L643" s="224"/>
      <c r="M643" s="541"/>
      <c r="N643" s="217"/>
      <c r="O643" s="209">
        <f>IF($E$631="",0,((Nutzung!$G$29+Regelung-1)+(($F$632-Nutzung!$G$29)/4)-G604)*H604*$D$631*$E$631*24/($N$593*1000))</f>
        <v>0</v>
      </c>
      <c r="P643" s="239"/>
      <c r="Q643" s="239"/>
      <c r="R643" s="239"/>
      <c r="S643" s="202"/>
      <c r="Z643" s="323"/>
      <c r="AA643" s="318"/>
      <c r="AB643" s="323"/>
      <c r="AC643" s="323"/>
      <c r="AD643" s="323"/>
      <c r="AE643" s="323"/>
      <c r="AF643" s="323"/>
      <c r="AG643" s="323"/>
      <c r="AH643" s="323"/>
      <c r="AI643" s="323"/>
      <c r="AJ643" s="323"/>
      <c r="AK643" s="323"/>
      <c r="AL643" s="302"/>
    </row>
    <row r="644" spans="1:38" ht="10.95" customHeight="1">
      <c r="A644" s="192"/>
      <c r="B644" s="648"/>
      <c r="C644" s="656"/>
      <c r="D644" s="674"/>
      <c r="E644" s="676"/>
      <c r="F644" s="244"/>
      <c r="G644" s="192"/>
      <c r="H644" s="198"/>
      <c r="I644" s="198"/>
      <c r="J644" s="198"/>
      <c r="K644" s="211"/>
      <c r="L644" s="220" t="str">
        <f>IF(E644="","",Nutzung!$G$29)</f>
        <v/>
      </c>
      <c r="M644" s="218" t="str">
        <f>IF(D644="","",AB644)</f>
        <v/>
      </c>
      <c r="N644" s="214">
        <f>IF(E644=0,0,SUM(O645:O656))</f>
        <v>0</v>
      </c>
      <c r="O644" s="215" t="str">
        <f>IF(N644/$O$1370=0,"",N644/$O$1370)</f>
        <v/>
      </c>
      <c r="P644" s="198"/>
      <c r="Q644" s="198"/>
      <c r="R644" s="198"/>
      <c r="S644" s="192"/>
      <c r="T644" s="182">
        <f>D644*E644</f>
        <v>0</v>
      </c>
      <c r="AA644" s="318">
        <f>IF(D644="",0,1)</f>
        <v>0</v>
      </c>
      <c r="AB644" s="318">
        <f>AB631+AA644</f>
        <v>0</v>
      </c>
    </row>
    <row r="645" spans="1:38" s="235" customFormat="1" ht="10.199999999999999" hidden="1">
      <c r="A645" s="202"/>
      <c r="B645" s="690" t="s">
        <v>49</v>
      </c>
      <c r="C645" s="724"/>
      <c r="D645" s="225"/>
      <c r="E645" s="732"/>
      <c r="F645" s="704" t="str">
        <f>IF($L$644&lt;Nutzung!$G$29,Nutzung!$G$29,$L$644)</f>
        <v/>
      </c>
      <c r="G645" s="202"/>
      <c r="H645" s="239"/>
      <c r="I645" s="239"/>
      <c r="J645" s="246">
        <f>IF(L644="",Nutzung!$G$29,Bauteile!L644)</f>
        <v>0</v>
      </c>
      <c r="K645" s="240"/>
      <c r="L645" s="224"/>
      <c r="M645" s="541"/>
      <c r="N645" s="217"/>
      <c r="O645" s="209">
        <f>IF($E$644="",0,((Nutzung!$G$29+Regelung-1)+(($F$645-Nutzung!$G$29)/4)-G593)*H593*$D$644*$E$644*24/($N$593*1000))</f>
        <v>0</v>
      </c>
      <c r="P645" s="239"/>
      <c r="Q645" s="239"/>
      <c r="R645" s="239"/>
      <c r="S645" s="202"/>
      <c r="Z645" s="323"/>
      <c r="AA645" s="318"/>
      <c r="AB645" s="323"/>
      <c r="AC645" s="323"/>
      <c r="AD645" s="323"/>
      <c r="AE645" s="323"/>
      <c r="AF645" s="323"/>
      <c r="AG645" s="323"/>
      <c r="AH645" s="323"/>
      <c r="AI645" s="323"/>
      <c r="AJ645" s="323"/>
      <c r="AK645" s="323"/>
      <c r="AL645" s="302"/>
    </row>
    <row r="646" spans="1:38" s="235" customFormat="1" ht="10.199999999999999" hidden="1">
      <c r="A646" s="202"/>
      <c r="B646" s="690" t="s">
        <v>554</v>
      </c>
      <c r="C646" s="536"/>
      <c r="D646" s="225"/>
      <c r="E646" s="546"/>
      <c r="F646" s="245"/>
      <c r="G646" s="202"/>
      <c r="H646" s="239"/>
      <c r="I646" s="239"/>
      <c r="J646" s="239"/>
      <c r="K646" s="240"/>
      <c r="L646" s="224"/>
      <c r="M646" s="541"/>
      <c r="N646" s="217"/>
      <c r="O646" s="209">
        <f>IF($E$644="",0,((Nutzung!$G$29+Regelung-1)+(($F$645-Nutzung!$G$29)/4)-G594)*H594*$D$644*$E$644*24/($N$593*1000))</f>
        <v>0</v>
      </c>
      <c r="P646" s="239"/>
      <c r="Q646" s="239"/>
      <c r="R646" s="239"/>
      <c r="S646" s="202"/>
      <c r="Z646" s="323"/>
      <c r="AA646" s="318"/>
      <c r="AB646" s="323"/>
      <c r="AC646" s="323"/>
      <c r="AD646" s="323"/>
      <c r="AE646" s="323"/>
      <c r="AF646" s="323"/>
      <c r="AG646" s="323"/>
      <c r="AH646" s="323"/>
      <c r="AI646" s="323"/>
      <c r="AJ646" s="323"/>
      <c r="AK646" s="323"/>
      <c r="AL646" s="302"/>
    </row>
    <row r="647" spans="1:38" s="235" customFormat="1" ht="10.199999999999999" hidden="1">
      <c r="A647" s="202"/>
      <c r="B647" s="690" t="s">
        <v>306</v>
      </c>
      <c r="C647" s="536"/>
      <c r="D647" s="225"/>
      <c r="E647" s="546"/>
      <c r="F647" s="245"/>
      <c r="G647" s="202"/>
      <c r="H647" s="239"/>
      <c r="I647" s="239"/>
      <c r="J647" s="239"/>
      <c r="K647" s="240"/>
      <c r="L647" s="224"/>
      <c r="M647" s="541"/>
      <c r="N647" s="217"/>
      <c r="O647" s="209">
        <f>IF($E$644="",0,((Nutzung!$G$29+Regelung-1)+(($F$645-Nutzung!$G$29)/4)-G595)*H595*$D$644*$E$644*24/($N$593*1000))</f>
        <v>0</v>
      </c>
      <c r="P647" s="239"/>
      <c r="Q647" s="239"/>
      <c r="R647" s="239"/>
      <c r="S647" s="202"/>
      <c r="Z647" s="323"/>
      <c r="AA647" s="318"/>
      <c r="AB647" s="323"/>
      <c r="AC647" s="323"/>
      <c r="AD647" s="323"/>
      <c r="AE647" s="323"/>
      <c r="AF647" s="323"/>
      <c r="AG647" s="323"/>
      <c r="AH647" s="323"/>
      <c r="AI647" s="323"/>
      <c r="AJ647" s="323"/>
      <c r="AK647" s="323"/>
      <c r="AL647" s="302"/>
    </row>
    <row r="648" spans="1:38" s="235" customFormat="1" ht="10.199999999999999" hidden="1">
      <c r="A648" s="202"/>
      <c r="B648" s="690" t="s">
        <v>409</v>
      </c>
      <c r="C648" s="536"/>
      <c r="D648" s="225"/>
      <c r="E648" s="546"/>
      <c r="F648" s="245"/>
      <c r="G648" s="202"/>
      <c r="H648" s="239"/>
      <c r="I648" s="239"/>
      <c r="J648" s="239"/>
      <c r="K648" s="240"/>
      <c r="L648" s="224"/>
      <c r="M648" s="541"/>
      <c r="N648" s="217"/>
      <c r="O648" s="209">
        <f>IF($E$644="",0,((Nutzung!$G$29+Regelung-1)+(($F$645-Nutzung!$G$29)/4)-G596)*H596*$D$644*$E$644*24/($N$593*1000))</f>
        <v>0</v>
      </c>
      <c r="P648" s="239"/>
      <c r="Q648" s="239"/>
      <c r="R648" s="239"/>
      <c r="S648" s="202"/>
      <c r="Z648" s="323"/>
      <c r="AA648" s="318"/>
      <c r="AB648" s="323"/>
      <c r="AC648" s="323"/>
      <c r="AD648" s="323"/>
      <c r="AE648" s="323"/>
      <c r="AF648" s="323"/>
      <c r="AG648" s="323"/>
      <c r="AH648" s="323"/>
      <c r="AI648" s="323"/>
      <c r="AJ648" s="323"/>
      <c r="AK648" s="323"/>
      <c r="AL648" s="302"/>
    </row>
    <row r="649" spans="1:38" s="235" customFormat="1" ht="10.199999999999999" hidden="1">
      <c r="A649" s="202"/>
      <c r="B649" s="690" t="s">
        <v>410</v>
      </c>
      <c r="C649" s="536"/>
      <c r="D649" s="225"/>
      <c r="E649" s="546"/>
      <c r="F649" s="245"/>
      <c r="G649" s="202"/>
      <c r="H649" s="239"/>
      <c r="I649" s="239"/>
      <c r="J649" s="239"/>
      <c r="K649" s="240"/>
      <c r="L649" s="224"/>
      <c r="M649" s="541"/>
      <c r="N649" s="217"/>
      <c r="O649" s="209">
        <f>IF($E$644="",0,((Nutzung!$G$29+Regelung-1)+(($F$645-Nutzung!$G$29)/4)-G597)*H597*$D$644*$E$644*24/($N$593*1000))</f>
        <v>0</v>
      </c>
      <c r="P649" s="239"/>
      <c r="Q649" s="239"/>
      <c r="R649" s="239"/>
      <c r="S649" s="202"/>
      <c r="Z649" s="323"/>
      <c r="AA649" s="318"/>
      <c r="AB649" s="323"/>
      <c r="AC649" s="323"/>
      <c r="AD649" s="323"/>
      <c r="AE649" s="323"/>
      <c r="AF649" s="323"/>
      <c r="AG649" s="323"/>
      <c r="AH649" s="323"/>
      <c r="AI649" s="323"/>
      <c r="AJ649" s="323"/>
      <c r="AK649" s="323"/>
      <c r="AL649" s="302"/>
    </row>
    <row r="650" spans="1:38" s="235" customFormat="1" ht="10.199999999999999" hidden="1">
      <c r="A650" s="202"/>
      <c r="B650" s="690" t="s">
        <v>411</v>
      </c>
      <c r="C650" s="536"/>
      <c r="D650" s="225"/>
      <c r="E650" s="546"/>
      <c r="F650" s="245"/>
      <c r="G650" s="202"/>
      <c r="H650" s="239"/>
      <c r="I650" s="239"/>
      <c r="J650" s="239"/>
      <c r="K650" s="240"/>
      <c r="L650" s="224"/>
      <c r="M650" s="541"/>
      <c r="N650" s="217"/>
      <c r="O650" s="209">
        <f>IF($E$644="",0,((Nutzung!$G$29+Regelung-1)+(($F$645-Nutzung!$G$29)/4)-G598)*H598*$D$644*$E$644*24/($N$593*1000))</f>
        <v>0</v>
      </c>
      <c r="P650" s="239"/>
      <c r="Q650" s="239"/>
      <c r="R650" s="239"/>
      <c r="S650" s="202"/>
      <c r="Z650" s="323"/>
      <c r="AA650" s="318"/>
      <c r="AB650" s="323"/>
      <c r="AC650" s="323"/>
      <c r="AD650" s="323"/>
      <c r="AE650" s="323"/>
      <c r="AF650" s="323"/>
      <c r="AG650" s="323"/>
      <c r="AH650" s="323"/>
      <c r="AI650" s="323"/>
      <c r="AJ650" s="323"/>
      <c r="AK650" s="323"/>
      <c r="AL650" s="302"/>
    </row>
    <row r="651" spans="1:38" s="235" customFormat="1" ht="10.199999999999999" hidden="1">
      <c r="A651" s="202"/>
      <c r="B651" s="690" t="s">
        <v>221</v>
      </c>
      <c r="C651" s="536"/>
      <c r="D651" s="225"/>
      <c r="E651" s="546"/>
      <c r="F651" s="245"/>
      <c r="G651" s="202"/>
      <c r="H651" s="239"/>
      <c r="I651" s="239"/>
      <c r="J651" s="239"/>
      <c r="K651" s="240"/>
      <c r="L651" s="224"/>
      <c r="M651" s="541"/>
      <c r="N651" s="217"/>
      <c r="O651" s="209">
        <f>IF($E$644="",0,((Nutzung!$G$29+Regelung-1)+(($F$645-Nutzung!$G$29)/4)-G599)*H599*$D$644*$E$644*24/($N$593*1000))</f>
        <v>0</v>
      </c>
      <c r="P651" s="239"/>
      <c r="Q651" s="239"/>
      <c r="R651" s="239"/>
      <c r="S651" s="202"/>
      <c r="Z651" s="323"/>
      <c r="AA651" s="318"/>
      <c r="AB651" s="323"/>
      <c r="AC651" s="323"/>
      <c r="AD651" s="323"/>
      <c r="AE651" s="323"/>
      <c r="AF651" s="323"/>
      <c r="AG651" s="323"/>
      <c r="AH651" s="323"/>
      <c r="AI651" s="323"/>
      <c r="AJ651" s="323"/>
      <c r="AK651" s="323"/>
      <c r="AL651" s="302"/>
    </row>
    <row r="652" spans="1:38" s="235" customFormat="1" ht="10.199999999999999" hidden="1">
      <c r="A652" s="202"/>
      <c r="B652" s="690" t="s">
        <v>138</v>
      </c>
      <c r="C652" s="536"/>
      <c r="D652" s="225"/>
      <c r="E652" s="546"/>
      <c r="F652" s="245"/>
      <c r="G652" s="202"/>
      <c r="H652" s="239"/>
      <c r="I652" s="239"/>
      <c r="J652" s="239"/>
      <c r="K652" s="240"/>
      <c r="L652" s="224"/>
      <c r="M652" s="541"/>
      <c r="N652" s="217"/>
      <c r="O652" s="209">
        <f>IF($E$644="",0,((Nutzung!$G$29+Regelung-1)+(($F$645-Nutzung!$G$29)/4)-G600)*H600*$D$644*$E$644*24/($N$593*1000))</f>
        <v>0</v>
      </c>
      <c r="P652" s="239"/>
      <c r="Q652" s="239"/>
      <c r="R652" s="239"/>
      <c r="S652" s="202"/>
      <c r="Z652" s="323"/>
      <c r="AA652" s="318"/>
      <c r="AB652" s="323"/>
      <c r="AC652" s="323"/>
      <c r="AD652" s="323"/>
      <c r="AE652" s="323"/>
      <c r="AF652" s="323"/>
      <c r="AG652" s="323"/>
      <c r="AH652" s="323"/>
      <c r="AI652" s="323"/>
      <c r="AJ652" s="323"/>
      <c r="AK652" s="323"/>
      <c r="AL652" s="302"/>
    </row>
    <row r="653" spans="1:38" s="235" customFormat="1" ht="10.199999999999999" hidden="1">
      <c r="A653" s="202"/>
      <c r="B653" s="690" t="s">
        <v>139</v>
      </c>
      <c r="C653" s="536"/>
      <c r="D653" s="225"/>
      <c r="E653" s="546"/>
      <c r="F653" s="245"/>
      <c r="G653" s="202"/>
      <c r="H653" s="239"/>
      <c r="I653" s="239"/>
      <c r="J653" s="239"/>
      <c r="K653" s="240"/>
      <c r="L653" s="224"/>
      <c r="M653" s="541"/>
      <c r="N653" s="217"/>
      <c r="O653" s="209">
        <f>IF($E$644="",0,((Nutzung!$G$29+Regelung-1)+(($F$645-Nutzung!$G$29)/4)-G601)*H601*$D$644*$E$644*24/($N$593*1000))</f>
        <v>0</v>
      </c>
      <c r="P653" s="239"/>
      <c r="Q653" s="239"/>
      <c r="R653" s="239"/>
      <c r="S653" s="202"/>
      <c r="Z653" s="323"/>
      <c r="AA653" s="318"/>
      <c r="AB653" s="323"/>
      <c r="AC653" s="323"/>
      <c r="AD653" s="323"/>
      <c r="AE653" s="323"/>
      <c r="AF653" s="323"/>
      <c r="AG653" s="323"/>
      <c r="AH653" s="323"/>
      <c r="AI653" s="323"/>
      <c r="AJ653" s="323"/>
      <c r="AK653" s="323"/>
      <c r="AL653" s="302"/>
    </row>
    <row r="654" spans="1:38" s="235" customFormat="1" ht="10.199999999999999" hidden="1">
      <c r="A654" s="202"/>
      <c r="B654" s="690" t="s">
        <v>269</v>
      </c>
      <c r="C654" s="536"/>
      <c r="D654" s="225"/>
      <c r="E654" s="546"/>
      <c r="F654" s="245"/>
      <c r="G654" s="202"/>
      <c r="H654" s="239"/>
      <c r="I654" s="239"/>
      <c r="J654" s="239"/>
      <c r="K654" s="240"/>
      <c r="L654" s="224"/>
      <c r="M654" s="541"/>
      <c r="N654" s="217"/>
      <c r="O654" s="209">
        <f>IF($E$644="",0,((Nutzung!$G$29+Regelung-1)+(($F$645-Nutzung!$G$29)/4)-G602)*H602*$D$644*$E$644*24/($N$593*1000))</f>
        <v>0</v>
      </c>
      <c r="P654" s="239"/>
      <c r="Q654" s="239"/>
      <c r="R654" s="239"/>
      <c r="S654" s="202"/>
      <c r="Z654" s="323"/>
      <c r="AA654" s="318"/>
      <c r="AB654" s="323"/>
      <c r="AC654" s="323"/>
      <c r="AD654" s="323"/>
      <c r="AE654" s="323"/>
      <c r="AF654" s="323"/>
      <c r="AG654" s="323"/>
      <c r="AH654" s="323"/>
      <c r="AI654" s="323"/>
      <c r="AJ654" s="323"/>
      <c r="AK654" s="323"/>
      <c r="AL654" s="302"/>
    </row>
    <row r="655" spans="1:38" s="235" customFormat="1" ht="10.199999999999999" hidden="1">
      <c r="A655" s="202"/>
      <c r="B655" s="690" t="s">
        <v>366</v>
      </c>
      <c r="C655" s="536"/>
      <c r="D655" s="225"/>
      <c r="E655" s="546"/>
      <c r="F655" s="245"/>
      <c r="G655" s="202"/>
      <c r="H655" s="239"/>
      <c r="I655" s="239"/>
      <c r="J655" s="239"/>
      <c r="K655" s="240"/>
      <c r="L655" s="224"/>
      <c r="M655" s="541"/>
      <c r="N655" s="217"/>
      <c r="O655" s="209">
        <f>IF($E$644="",0,((Nutzung!$G$29+Regelung-1)+(($F$645-Nutzung!$G$29)/4)-G603)*H603*$D$644*$E$644*24/($N$593*1000))</f>
        <v>0</v>
      </c>
      <c r="P655" s="239"/>
      <c r="Q655" s="239"/>
      <c r="R655" s="239"/>
      <c r="S655" s="202"/>
      <c r="Z655" s="323"/>
      <c r="AA655" s="318"/>
      <c r="AB655" s="323"/>
      <c r="AC655" s="323"/>
      <c r="AD655" s="323"/>
      <c r="AE655" s="323"/>
      <c r="AF655" s="323"/>
      <c r="AG655" s="323"/>
      <c r="AH655" s="323"/>
      <c r="AI655" s="323"/>
      <c r="AJ655" s="323"/>
      <c r="AK655" s="323"/>
      <c r="AL655" s="302"/>
    </row>
    <row r="656" spans="1:38" s="235" customFormat="1" ht="10.199999999999999" hidden="1">
      <c r="A656" s="202"/>
      <c r="B656" s="690" t="s">
        <v>465</v>
      </c>
      <c r="C656" s="536"/>
      <c r="D656" s="225"/>
      <c r="E656" s="546"/>
      <c r="F656" s="245"/>
      <c r="G656" s="202"/>
      <c r="H656" s="239"/>
      <c r="I656" s="239"/>
      <c r="J656" s="239"/>
      <c r="K656" s="240"/>
      <c r="L656" s="224"/>
      <c r="M656" s="541"/>
      <c r="N656" s="217"/>
      <c r="O656" s="209">
        <f>IF($E$644="",0,((Nutzung!$G$29+Regelung-1)+(($F$645-Nutzung!$G$29)/4)-G604)*H604*$D$644*$E$644*24/($N$593*1000))</f>
        <v>0</v>
      </c>
      <c r="P656" s="239"/>
      <c r="Q656" s="239"/>
      <c r="R656" s="239"/>
      <c r="S656" s="202"/>
      <c r="Z656" s="323"/>
      <c r="AA656" s="318"/>
      <c r="AB656" s="323"/>
      <c r="AC656" s="323"/>
      <c r="AD656" s="323"/>
      <c r="AE656" s="323"/>
      <c r="AF656" s="323"/>
      <c r="AG656" s="323"/>
      <c r="AH656" s="323"/>
      <c r="AI656" s="323"/>
      <c r="AJ656" s="323"/>
      <c r="AK656" s="323"/>
      <c r="AL656" s="302"/>
    </row>
    <row r="657" spans="1:38" ht="10.95" customHeight="1">
      <c r="A657" s="192"/>
      <c r="B657" s="649"/>
      <c r="C657" s="660"/>
      <c r="D657" s="675"/>
      <c r="E657" s="736"/>
      <c r="F657" s="253"/>
      <c r="G657" s="192"/>
      <c r="H657" s="198"/>
      <c r="I657" s="198"/>
      <c r="J657" s="198"/>
      <c r="K657" s="211"/>
      <c r="L657" s="326" t="str">
        <f>IF(E657="","",Nutzung!$G$29)</f>
        <v/>
      </c>
      <c r="M657" s="540" t="str">
        <f>IF(D657="","",AB657)</f>
        <v/>
      </c>
      <c r="N657" s="214">
        <f>IF(E657=0,0,SUM(O658:O669))</f>
        <v>0</v>
      </c>
      <c r="O657" s="215" t="str">
        <f>IF(N657/$O$1370=0,"",N657/$O$1370)</f>
        <v/>
      </c>
      <c r="P657" s="198"/>
      <c r="Q657" s="198"/>
      <c r="R657" s="198"/>
      <c r="S657" s="192"/>
      <c r="T657" s="182">
        <f>D657*E657</f>
        <v>0</v>
      </c>
      <c r="U657" s="182">
        <f>SUM(T592:T657)</f>
        <v>0</v>
      </c>
      <c r="AA657" s="318">
        <f>IF(D657="",0,1)</f>
        <v>0</v>
      </c>
      <c r="AB657" s="318">
        <f>AB644+AA657</f>
        <v>0</v>
      </c>
    </row>
    <row r="658" spans="1:38" s="233" customFormat="1" ht="10.199999999999999" hidden="1">
      <c r="A658" s="196"/>
      <c r="B658" s="691" t="s">
        <v>49</v>
      </c>
      <c r="C658" s="735"/>
      <c r="D658" s="717"/>
      <c r="E658" s="734"/>
      <c r="F658" s="197" t="str">
        <f>IF($L$657&lt;Nutzung!$G$29,Nutzung!$G$29,$L$657)</f>
        <v/>
      </c>
      <c r="G658" s="196"/>
      <c r="H658" s="197"/>
      <c r="I658" s="196"/>
      <c r="J658" s="711">
        <f>IF(L657="",Nutzung!$G$29,Bauteile!L657)</f>
        <v>0</v>
      </c>
      <c r="K658" s="196"/>
      <c r="L658" s="719"/>
      <c r="M658" s="716"/>
      <c r="N658" s="207"/>
      <c r="O658" s="723">
        <f>IF($E$657="",0,((Nutzung!$G$29+Regelung-1)+(($F$658-Nutzung!$G$29)/4)-G593)*H593*$D$657*$E$657*24/($N$593*1000))</f>
        <v>0</v>
      </c>
      <c r="P658" s="196"/>
      <c r="Q658" s="196"/>
      <c r="R658" s="196"/>
      <c r="S658" s="196"/>
      <c r="Z658" s="324"/>
      <c r="AA658" s="318"/>
      <c r="AB658" s="324"/>
      <c r="AC658" s="324"/>
      <c r="AD658" s="324"/>
      <c r="AE658" s="324"/>
      <c r="AF658" s="324"/>
      <c r="AG658" s="324"/>
      <c r="AH658" s="324"/>
      <c r="AI658" s="324"/>
      <c r="AJ658" s="324"/>
      <c r="AK658" s="324"/>
      <c r="AL658" s="303"/>
    </row>
    <row r="659" spans="1:38" s="233" customFormat="1" ht="10.199999999999999" hidden="1">
      <c r="A659" s="196"/>
      <c r="B659" s="691" t="s">
        <v>554</v>
      </c>
      <c r="C659" s="727"/>
      <c r="D659" s="717"/>
      <c r="E659" s="733"/>
      <c r="F659" s="197"/>
      <c r="G659" s="196"/>
      <c r="H659" s="197"/>
      <c r="I659" s="196"/>
      <c r="J659" s="196"/>
      <c r="K659" s="196"/>
      <c r="L659" s="719"/>
      <c r="M659" s="716"/>
      <c r="N659" s="207"/>
      <c r="O659" s="723">
        <f>IF($E$657="",0,((Nutzung!$G$29+Regelung-1)+(($F$658-Nutzung!$G$29)/4)-G594)*H594*$D$657*$E$657*24/($N$593*1000))</f>
        <v>0</v>
      </c>
      <c r="P659" s="196"/>
      <c r="Q659" s="196"/>
      <c r="R659" s="196"/>
      <c r="S659" s="196"/>
      <c r="Z659" s="324"/>
      <c r="AA659" s="318"/>
      <c r="AB659" s="324"/>
      <c r="AC659" s="324"/>
      <c r="AD659" s="324"/>
      <c r="AE659" s="324"/>
      <c r="AF659" s="324"/>
      <c r="AG659" s="324"/>
      <c r="AH659" s="324"/>
      <c r="AI659" s="324"/>
      <c r="AJ659" s="324"/>
      <c r="AK659" s="324"/>
      <c r="AL659" s="303"/>
    </row>
    <row r="660" spans="1:38" s="233" customFormat="1" ht="10.199999999999999" hidden="1">
      <c r="A660" s="196"/>
      <c r="B660" s="691" t="s">
        <v>306</v>
      </c>
      <c r="C660" s="727"/>
      <c r="D660" s="717"/>
      <c r="E660" s="733"/>
      <c r="F660" s="197"/>
      <c r="G660" s="196"/>
      <c r="H660" s="197"/>
      <c r="I660" s="196"/>
      <c r="J660" s="196"/>
      <c r="K660" s="196"/>
      <c r="L660" s="719"/>
      <c r="M660" s="716"/>
      <c r="N660" s="207"/>
      <c r="O660" s="723">
        <f>IF($E$657="",0,((Nutzung!$G$29+Regelung-1)+(($F$658-Nutzung!$G$29)/4)-G595)*H595*$D$657*$E$657*24/($N$593*1000))</f>
        <v>0</v>
      </c>
      <c r="P660" s="196"/>
      <c r="Q660" s="196"/>
      <c r="R660" s="196"/>
      <c r="S660" s="196"/>
      <c r="Z660" s="324"/>
      <c r="AA660" s="318"/>
      <c r="AB660" s="324"/>
      <c r="AC660" s="324"/>
      <c r="AD660" s="324"/>
      <c r="AE660" s="324"/>
      <c r="AF660" s="324"/>
      <c r="AG660" s="324"/>
      <c r="AH660" s="324"/>
      <c r="AI660" s="324"/>
      <c r="AJ660" s="324"/>
      <c r="AK660" s="324"/>
      <c r="AL660" s="303"/>
    </row>
    <row r="661" spans="1:38" s="233" customFormat="1" ht="10.199999999999999" hidden="1">
      <c r="A661" s="196"/>
      <c r="B661" s="691" t="s">
        <v>409</v>
      </c>
      <c r="C661" s="727"/>
      <c r="D661" s="717"/>
      <c r="E661" s="733"/>
      <c r="F661" s="197"/>
      <c r="G661" s="196"/>
      <c r="H661" s="197"/>
      <c r="I661" s="196"/>
      <c r="J661" s="196"/>
      <c r="K661" s="196"/>
      <c r="L661" s="719"/>
      <c r="M661" s="716"/>
      <c r="N661" s="207"/>
      <c r="O661" s="723">
        <f>IF($E$657="",0,((Nutzung!$G$29+Regelung-1)+(($F$658-Nutzung!$G$29)/4)-G596)*H596*$D$657*$E$657*24/($N$593*1000))</f>
        <v>0</v>
      </c>
      <c r="P661" s="196"/>
      <c r="Q661" s="196"/>
      <c r="R661" s="196"/>
      <c r="S661" s="196"/>
      <c r="Z661" s="324"/>
      <c r="AA661" s="318"/>
      <c r="AB661" s="324"/>
      <c r="AC661" s="324"/>
      <c r="AD661" s="324"/>
      <c r="AE661" s="324"/>
      <c r="AF661" s="324"/>
      <c r="AG661" s="324"/>
      <c r="AH661" s="324"/>
      <c r="AI661" s="324"/>
      <c r="AJ661" s="324"/>
      <c r="AK661" s="324"/>
      <c r="AL661" s="303"/>
    </row>
    <row r="662" spans="1:38" s="233" customFormat="1" ht="10.199999999999999" hidden="1">
      <c r="A662" s="196"/>
      <c r="B662" s="691" t="s">
        <v>410</v>
      </c>
      <c r="C662" s="727"/>
      <c r="D662" s="717"/>
      <c r="E662" s="733"/>
      <c r="F662" s="197"/>
      <c r="G662" s="196"/>
      <c r="H662" s="197"/>
      <c r="I662" s="196"/>
      <c r="J662" s="196"/>
      <c r="K662" s="196"/>
      <c r="L662" s="719"/>
      <c r="M662" s="716"/>
      <c r="N662" s="207"/>
      <c r="O662" s="723">
        <f>IF($E$657="",0,((Nutzung!$G$29+Regelung-1)+(($F$658-Nutzung!$G$29)/4)-G597)*H597*$D$657*$E$657*24/($N$593*1000))</f>
        <v>0</v>
      </c>
      <c r="P662" s="196"/>
      <c r="Q662" s="196"/>
      <c r="R662" s="196"/>
      <c r="S662" s="196"/>
      <c r="Z662" s="324"/>
      <c r="AA662" s="318"/>
      <c r="AB662" s="324"/>
      <c r="AC662" s="324"/>
      <c r="AD662" s="324"/>
      <c r="AE662" s="324"/>
      <c r="AF662" s="324"/>
      <c r="AG662" s="324"/>
      <c r="AH662" s="324"/>
      <c r="AI662" s="324"/>
      <c r="AJ662" s="324"/>
      <c r="AK662" s="324"/>
      <c r="AL662" s="303"/>
    </row>
    <row r="663" spans="1:38" s="233" customFormat="1" ht="10.199999999999999" hidden="1">
      <c r="A663" s="196"/>
      <c r="B663" s="691" t="s">
        <v>411</v>
      </c>
      <c r="C663" s="727"/>
      <c r="D663" s="717"/>
      <c r="E663" s="733"/>
      <c r="F663" s="197"/>
      <c r="G663" s="196"/>
      <c r="H663" s="197"/>
      <c r="I663" s="196"/>
      <c r="J663" s="196"/>
      <c r="K663" s="196"/>
      <c r="L663" s="719"/>
      <c r="M663" s="716"/>
      <c r="N663" s="207"/>
      <c r="O663" s="723">
        <f>IF($E$657="",0,((Nutzung!$G$29+Regelung-1)+(($F$658-Nutzung!$G$29)/4)-G598)*H598*$D$657*$E$657*24/($N$593*1000))</f>
        <v>0</v>
      </c>
      <c r="P663" s="196"/>
      <c r="Q663" s="196"/>
      <c r="R663" s="196"/>
      <c r="S663" s="196"/>
      <c r="Z663" s="324"/>
      <c r="AA663" s="318"/>
      <c r="AB663" s="324"/>
      <c r="AC663" s="324"/>
      <c r="AD663" s="324"/>
      <c r="AE663" s="324"/>
      <c r="AF663" s="324"/>
      <c r="AG663" s="324"/>
      <c r="AH663" s="324"/>
      <c r="AI663" s="324"/>
      <c r="AJ663" s="324"/>
      <c r="AK663" s="324"/>
      <c r="AL663" s="303"/>
    </row>
    <row r="664" spans="1:38" s="233" customFormat="1" ht="10.199999999999999" hidden="1">
      <c r="A664" s="196"/>
      <c r="B664" s="691" t="s">
        <v>221</v>
      </c>
      <c r="C664" s="727"/>
      <c r="D664" s="717"/>
      <c r="E664" s="733"/>
      <c r="F664" s="197"/>
      <c r="G664" s="196"/>
      <c r="H664" s="197"/>
      <c r="I664" s="196"/>
      <c r="J664" s="196"/>
      <c r="K664" s="196"/>
      <c r="L664" s="719"/>
      <c r="M664" s="716"/>
      <c r="N664" s="207"/>
      <c r="O664" s="723">
        <f>IF($E$657="",0,((Nutzung!$G$29+Regelung-1)+(($F$658-Nutzung!$G$29)/4)-G599)*H599*$D$657*$E$657*24/($N$593*1000))</f>
        <v>0</v>
      </c>
      <c r="P664" s="196"/>
      <c r="Q664" s="196"/>
      <c r="R664" s="196"/>
      <c r="S664" s="196"/>
      <c r="Z664" s="324"/>
      <c r="AA664" s="318"/>
      <c r="AB664" s="324"/>
      <c r="AC664" s="324"/>
      <c r="AD664" s="324"/>
      <c r="AE664" s="324"/>
      <c r="AF664" s="324"/>
      <c r="AG664" s="324"/>
      <c r="AH664" s="324"/>
      <c r="AI664" s="324"/>
      <c r="AJ664" s="324"/>
      <c r="AK664" s="324"/>
      <c r="AL664" s="303"/>
    </row>
    <row r="665" spans="1:38" s="233" customFormat="1" ht="10.199999999999999" hidden="1">
      <c r="A665" s="196"/>
      <c r="B665" s="691" t="s">
        <v>138</v>
      </c>
      <c r="C665" s="727"/>
      <c r="D665" s="717"/>
      <c r="E665" s="733"/>
      <c r="F665" s="197"/>
      <c r="G665" s="196"/>
      <c r="H665" s="197"/>
      <c r="I665" s="196"/>
      <c r="J665" s="196"/>
      <c r="K665" s="196"/>
      <c r="L665" s="719"/>
      <c r="M665" s="716"/>
      <c r="N665" s="207"/>
      <c r="O665" s="723">
        <f>IF($E$657="",0,((Nutzung!$G$29+Regelung-1)+(($F$658-Nutzung!$G$29)/4)-G600)*H600*$D$657*$E$657*24/($N$593*1000))</f>
        <v>0</v>
      </c>
      <c r="P665" s="196"/>
      <c r="Q665" s="196"/>
      <c r="R665" s="196"/>
      <c r="S665" s="196"/>
      <c r="Z665" s="324"/>
      <c r="AA665" s="318"/>
      <c r="AB665" s="324"/>
      <c r="AC665" s="324"/>
      <c r="AD665" s="324"/>
      <c r="AE665" s="324"/>
      <c r="AF665" s="324"/>
      <c r="AG665" s="324"/>
      <c r="AH665" s="324"/>
      <c r="AI665" s="324"/>
      <c r="AJ665" s="324"/>
      <c r="AK665" s="324"/>
      <c r="AL665" s="303"/>
    </row>
    <row r="666" spans="1:38" s="233" customFormat="1" ht="10.199999999999999" hidden="1">
      <c r="A666" s="196"/>
      <c r="B666" s="691" t="s">
        <v>139</v>
      </c>
      <c r="C666" s="727"/>
      <c r="D666" s="717"/>
      <c r="E666" s="733"/>
      <c r="F666" s="197"/>
      <c r="G666" s="196"/>
      <c r="H666" s="197"/>
      <c r="I666" s="196"/>
      <c r="J666" s="196"/>
      <c r="K666" s="196"/>
      <c r="L666" s="719"/>
      <c r="M666" s="716"/>
      <c r="N666" s="207"/>
      <c r="O666" s="723">
        <f>IF($E$657="",0,((Nutzung!$G$29+Regelung-1)+(($F$658-Nutzung!$G$29)/4)-G601)*H601*$D$657*$E$657*24/($N$593*1000))</f>
        <v>0</v>
      </c>
      <c r="P666" s="196"/>
      <c r="Q666" s="196"/>
      <c r="R666" s="196"/>
      <c r="S666" s="196"/>
      <c r="Z666" s="324"/>
      <c r="AA666" s="318"/>
      <c r="AB666" s="324"/>
      <c r="AC666" s="324"/>
      <c r="AD666" s="324"/>
      <c r="AE666" s="324"/>
      <c r="AF666" s="324"/>
      <c r="AG666" s="324"/>
      <c r="AH666" s="324"/>
      <c r="AI666" s="324"/>
      <c r="AJ666" s="324"/>
      <c r="AK666" s="324"/>
      <c r="AL666" s="303"/>
    </row>
    <row r="667" spans="1:38" s="233" customFormat="1" ht="10.199999999999999" hidden="1">
      <c r="A667" s="196"/>
      <c r="B667" s="691" t="s">
        <v>269</v>
      </c>
      <c r="C667" s="727"/>
      <c r="D667" s="717"/>
      <c r="E667" s="733"/>
      <c r="F667" s="197"/>
      <c r="G667" s="196"/>
      <c r="H667" s="197"/>
      <c r="I667" s="196"/>
      <c r="J667" s="196"/>
      <c r="K667" s="196"/>
      <c r="L667" s="719"/>
      <c r="M667" s="716"/>
      <c r="N667" s="207"/>
      <c r="O667" s="723">
        <f>IF($E$657="",0,((Nutzung!$G$29+Regelung-1)+(($F$658-Nutzung!$G$29)/4)-G602)*H602*$D$657*$E$657*24/($N$593*1000))</f>
        <v>0</v>
      </c>
      <c r="P667" s="196"/>
      <c r="Q667" s="196"/>
      <c r="R667" s="196"/>
      <c r="S667" s="196"/>
      <c r="Z667" s="324"/>
      <c r="AA667" s="318"/>
      <c r="AB667" s="324"/>
      <c r="AC667" s="324"/>
      <c r="AD667" s="324"/>
      <c r="AE667" s="324"/>
      <c r="AF667" s="324"/>
      <c r="AG667" s="324"/>
      <c r="AH667" s="324"/>
      <c r="AI667" s="324"/>
      <c r="AJ667" s="324"/>
      <c r="AK667" s="324"/>
      <c r="AL667" s="303"/>
    </row>
    <row r="668" spans="1:38" s="233" customFormat="1" ht="10.199999999999999" hidden="1">
      <c r="A668" s="196"/>
      <c r="B668" s="691" t="s">
        <v>366</v>
      </c>
      <c r="C668" s="727"/>
      <c r="D668" s="717"/>
      <c r="E668" s="733"/>
      <c r="F668" s="197"/>
      <c r="G668" s="196"/>
      <c r="H668" s="197"/>
      <c r="I668" s="196"/>
      <c r="J668" s="196"/>
      <c r="K668" s="196"/>
      <c r="L668" s="719"/>
      <c r="M668" s="716"/>
      <c r="N668" s="207"/>
      <c r="O668" s="723">
        <f>IF($E$657="",0,((Nutzung!$G$29+Regelung-1)+(($F$658-Nutzung!$G$29)/4)-G603)*H603*$D$657*$E$657*24/($N$593*1000))</f>
        <v>0</v>
      </c>
      <c r="P668" s="196"/>
      <c r="Q668" s="196"/>
      <c r="R668" s="196"/>
      <c r="S668" s="196"/>
      <c r="Z668" s="324"/>
      <c r="AA668" s="318"/>
      <c r="AB668" s="324"/>
      <c r="AC668" s="324"/>
      <c r="AD668" s="324"/>
      <c r="AE668" s="324"/>
      <c r="AF668" s="324"/>
      <c r="AG668" s="324"/>
      <c r="AH668" s="324"/>
      <c r="AI668" s="324"/>
      <c r="AJ668" s="324"/>
      <c r="AK668" s="324"/>
      <c r="AL668" s="303"/>
    </row>
    <row r="669" spans="1:38" s="233" customFormat="1" ht="10.199999999999999" hidden="1">
      <c r="A669" s="196"/>
      <c r="B669" s="691" t="s">
        <v>465</v>
      </c>
      <c r="C669" s="727"/>
      <c r="D669" s="717"/>
      <c r="E669" s="733"/>
      <c r="F669" s="197"/>
      <c r="G669" s="196"/>
      <c r="H669" s="197"/>
      <c r="I669" s="196"/>
      <c r="J669" s="196"/>
      <c r="K669" s="196"/>
      <c r="L669" s="719"/>
      <c r="M669" s="716"/>
      <c r="N669" s="207"/>
      <c r="O669" s="723">
        <f>IF($E$657="",0,((Nutzung!$G$29+Regelung-1)+(($F$658-Nutzung!$G$29)/4)-G604)*H604*$D$657*$E$657*24/($N$593*1000))</f>
        <v>0</v>
      </c>
      <c r="P669" s="196"/>
      <c r="Q669" s="196"/>
      <c r="R669" s="196"/>
      <c r="S669" s="196"/>
      <c r="Z669" s="324"/>
      <c r="AA669" s="318"/>
      <c r="AB669" s="324"/>
      <c r="AC669" s="324"/>
      <c r="AD669" s="324"/>
      <c r="AE669" s="324"/>
      <c r="AF669" s="324"/>
      <c r="AG669" s="324"/>
      <c r="AH669" s="324"/>
      <c r="AI669" s="324"/>
      <c r="AJ669" s="324"/>
      <c r="AK669" s="324"/>
      <c r="AL669" s="303"/>
    </row>
    <row r="670" spans="1:38">
      <c r="A670" s="192"/>
      <c r="B670" s="196"/>
      <c r="C670" s="197"/>
      <c r="D670" s="197"/>
      <c r="E670" s="197"/>
      <c r="F670" s="197"/>
      <c r="G670" s="197"/>
      <c r="H670" s="207"/>
      <c r="I670" s="208"/>
      <c r="J670" s="192"/>
      <c r="K670" s="192"/>
      <c r="L670" s="192"/>
      <c r="M670" s="192"/>
      <c r="N670" s="192"/>
      <c r="O670" s="192"/>
      <c r="P670" s="192"/>
      <c r="Q670" s="192"/>
      <c r="R670" s="192"/>
      <c r="S670" s="192"/>
    </row>
    <row r="671" spans="1:38" s="237" customFormat="1" ht="12" customHeight="1">
      <c r="A671" s="243"/>
      <c r="B671" s="905" t="s">
        <v>196</v>
      </c>
      <c r="C671" s="904" t="s">
        <v>424</v>
      </c>
      <c r="D671" s="904" t="s">
        <v>119</v>
      </c>
      <c r="E671" s="904" t="s">
        <v>464</v>
      </c>
      <c r="F671" s="904" t="s">
        <v>521</v>
      </c>
      <c r="G671" s="904"/>
      <c r="H671" s="904"/>
      <c r="I671" s="904"/>
      <c r="J671" s="904"/>
      <c r="K671" s="908"/>
      <c r="L671" s="908"/>
      <c r="M671" s="904" t="s">
        <v>349</v>
      </c>
      <c r="N671" s="904" t="s">
        <v>166</v>
      </c>
      <c r="O671" s="904" t="s">
        <v>520</v>
      </c>
      <c r="P671" s="194"/>
      <c r="Q671" s="194"/>
      <c r="R671" s="243"/>
      <c r="S671" s="243"/>
      <c r="Z671" s="325"/>
      <c r="AA671" s="318"/>
      <c r="AB671" s="325"/>
      <c r="AC671" s="325"/>
      <c r="AD671" s="325"/>
      <c r="AE671" s="325"/>
      <c r="AF671" s="325"/>
      <c r="AG671" s="325"/>
      <c r="AH671" s="325"/>
      <c r="AI671" s="325"/>
      <c r="AJ671" s="325"/>
      <c r="AK671" s="325"/>
      <c r="AL671" s="304"/>
    </row>
    <row r="672" spans="1:38" s="237" customFormat="1" ht="12" customHeight="1">
      <c r="A672" s="243"/>
      <c r="B672" s="905"/>
      <c r="C672" s="904"/>
      <c r="D672" s="904" t="s">
        <v>552</v>
      </c>
      <c r="E672" s="904" t="s">
        <v>181</v>
      </c>
      <c r="F672" s="904"/>
      <c r="G672" s="904"/>
      <c r="H672" s="904"/>
      <c r="I672" s="904"/>
      <c r="J672" s="904"/>
      <c r="K672" s="908"/>
      <c r="L672" s="908"/>
      <c r="M672" s="904"/>
      <c r="N672" s="904" t="s">
        <v>621</v>
      </c>
      <c r="O672" s="904"/>
      <c r="P672" s="194"/>
      <c r="Q672" s="194"/>
      <c r="R672" s="243"/>
      <c r="S672" s="243"/>
      <c r="Z672" s="325"/>
      <c r="AA672" s="318"/>
      <c r="AB672" s="325"/>
      <c r="AC672" s="325"/>
      <c r="AD672" s="325"/>
      <c r="AE672" s="325"/>
      <c r="AF672" s="325"/>
      <c r="AG672" s="325"/>
      <c r="AH672" s="325"/>
      <c r="AI672" s="325"/>
      <c r="AJ672" s="325"/>
      <c r="AK672" s="325"/>
      <c r="AL672" s="304"/>
    </row>
    <row r="673" spans="1:38" s="231" customFormat="1" ht="4.95" customHeight="1">
      <c r="A673" s="195"/>
      <c r="B673" s="196"/>
      <c r="C673" s="197"/>
      <c r="D673" s="197"/>
      <c r="E673" s="197"/>
      <c r="F673" s="197"/>
      <c r="G673" s="197"/>
      <c r="H673" s="195"/>
      <c r="I673" s="197"/>
      <c r="J673" s="197"/>
      <c r="K673" s="195"/>
      <c r="L673" s="195"/>
      <c r="M673" s="195"/>
      <c r="N673" s="195"/>
      <c r="O673" s="195"/>
      <c r="P673" s="195"/>
      <c r="Q673" s="195"/>
      <c r="R673" s="195"/>
      <c r="S673" s="195"/>
      <c r="Z673" s="320"/>
      <c r="AA673" s="320"/>
      <c r="AB673" s="320"/>
      <c r="AC673" s="320"/>
      <c r="AD673" s="320"/>
      <c r="AE673" s="320"/>
      <c r="AF673" s="320"/>
      <c r="AG673" s="320"/>
      <c r="AH673" s="320"/>
      <c r="AI673" s="320"/>
      <c r="AJ673" s="320"/>
      <c r="AK673" s="320"/>
      <c r="AL673" s="299"/>
    </row>
    <row r="674" spans="1:38" ht="10.95" customHeight="1">
      <c r="A674" s="192"/>
      <c r="B674" s="646"/>
      <c r="C674" s="652"/>
      <c r="D674" s="653"/>
      <c r="E674" s="654"/>
      <c r="F674" s="655"/>
      <c r="G674" s="210"/>
      <c r="H674" s="247"/>
      <c r="I674" s="198"/>
      <c r="J674" s="241"/>
      <c r="K674" s="198"/>
      <c r="L674" s="248"/>
      <c r="M674" s="218" t="str">
        <f>IF(D674="","",AB674)</f>
        <v/>
      </c>
      <c r="N674" s="214">
        <f>IF(E674=0,0,SUM(O675:O686))</f>
        <v>0</v>
      </c>
      <c r="O674" s="215" t="str">
        <f>IF(N674/$O$1370=0,"",N674/$O$1370)</f>
        <v/>
      </c>
      <c r="P674" s="198"/>
      <c r="Q674" s="198"/>
      <c r="R674" s="198"/>
      <c r="S674" s="192"/>
      <c r="T674" s="182">
        <f>D674*E674</f>
        <v>0</v>
      </c>
      <c r="AA674" s="318">
        <f>IF(D674="",0,1)</f>
        <v>0</v>
      </c>
      <c r="AB674" s="318">
        <f>AB657+AA674</f>
        <v>0</v>
      </c>
    </row>
    <row r="675" spans="1:38" s="235" customFormat="1" ht="10.199999999999999" hidden="1">
      <c r="A675" s="202"/>
      <c r="B675" s="690" t="s">
        <v>49</v>
      </c>
      <c r="C675" s="701"/>
      <c r="D675" s="721"/>
      <c r="E675" s="724"/>
      <c r="F675" s="130"/>
      <c r="G675" s="213"/>
      <c r="H675" s="694">
        <f>Nutzung!$G$29</f>
        <v>0</v>
      </c>
      <c r="I675" s="263">
        <f>Klima!$C136</f>
        <v>0</v>
      </c>
      <c r="J675" s="722">
        <v>31</v>
      </c>
      <c r="K675" s="239"/>
      <c r="L675" s="249"/>
      <c r="M675" s="130"/>
      <c r="N675" s="217">
        <f>EBF!$F$39</f>
        <v>1.0000000000000001E-31</v>
      </c>
      <c r="O675" s="250">
        <f t="shared" ref="O675:O686" si="25">($H$675+Regelung-1-I675)*J675*$D$674*$E$674*24/($N$675*1000)</f>
        <v>0</v>
      </c>
      <c r="P675" s="239"/>
      <c r="Q675" s="239"/>
      <c r="R675" s="239"/>
      <c r="S675" s="202"/>
      <c r="Z675" s="323"/>
      <c r="AA675" s="318"/>
      <c r="AB675" s="323"/>
      <c r="AC675" s="323"/>
      <c r="AD675" s="323"/>
      <c r="AE675" s="323"/>
      <c r="AF675" s="323"/>
      <c r="AG675" s="323"/>
      <c r="AH675" s="323"/>
      <c r="AI675" s="323"/>
      <c r="AJ675" s="323"/>
      <c r="AK675" s="323"/>
      <c r="AL675" s="302"/>
    </row>
    <row r="676" spans="1:38" s="235" customFormat="1" ht="10.199999999999999" hidden="1">
      <c r="A676" s="202"/>
      <c r="B676" s="690" t="s">
        <v>554</v>
      </c>
      <c r="C676" s="536"/>
      <c r="D676" s="721"/>
      <c r="E676" s="725"/>
      <c r="F676" s="130"/>
      <c r="G676" s="213"/>
      <c r="H676" s="694"/>
      <c r="I676" s="263">
        <f>Klima!$C137</f>
        <v>0</v>
      </c>
      <c r="J676" s="722">
        <v>28</v>
      </c>
      <c r="K676" s="239"/>
      <c r="L676" s="249"/>
      <c r="M676" s="130"/>
      <c r="N676" s="217"/>
      <c r="O676" s="250">
        <f t="shared" si="25"/>
        <v>0</v>
      </c>
      <c r="P676" s="239"/>
      <c r="Q676" s="239"/>
      <c r="R676" s="239"/>
      <c r="S676" s="202"/>
      <c r="Z676" s="323"/>
      <c r="AA676" s="318"/>
      <c r="AB676" s="323"/>
      <c r="AC676" s="323"/>
      <c r="AD676" s="323"/>
      <c r="AE676" s="323"/>
      <c r="AF676" s="323"/>
      <c r="AG676" s="323"/>
      <c r="AH676" s="323"/>
      <c r="AI676" s="323"/>
      <c r="AJ676" s="323"/>
      <c r="AK676" s="323"/>
      <c r="AL676" s="302"/>
    </row>
    <row r="677" spans="1:38" s="235" customFormat="1" ht="10.199999999999999" hidden="1">
      <c r="A677" s="202"/>
      <c r="B677" s="690" t="s">
        <v>306</v>
      </c>
      <c r="C677" s="536"/>
      <c r="D677" s="721"/>
      <c r="E677" s="725"/>
      <c r="F677" s="130"/>
      <c r="G677" s="213"/>
      <c r="H677" s="694"/>
      <c r="I677" s="263">
        <f>Klima!$C138</f>
        <v>0</v>
      </c>
      <c r="J677" s="722">
        <v>31</v>
      </c>
      <c r="K677" s="239"/>
      <c r="L677" s="249"/>
      <c r="M677" s="130"/>
      <c r="N677" s="217"/>
      <c r="O677" s="250">
        <f t="shared" si="25"/>
        <v>0</v>
      </c>
      <c r="P677" s="239"/>
      <c r="Q677" s="239"/>
      <c r="R677" s="239"/>
      <c r="S677" s="202"/>
      <c r="Z677" s="323"/>
      <c r="AA677" s="318"/>
      <c r="AB677" s="323"/>
      <c r="AC677" s="323"/>
      <c r="AD677" s="323"/>
      <c r="AE677" s="323"/>
      <c r="AF677" s="323"/>
      <c r="AG677" s="323"/>
      <c r="AH677" s="323"/>
      <c r="AI677" s="323"/>
      <c r="AJ677" s="323"/>
      <c r="AK677" s="323"/>
      <c r="AL677" s="302"/>
    </row>
    <row r="678" spans="1:38" s="235" customFormat="1" ht="10.199999999999999" hidden="1">
      <c r="A678" s="202"/>
      <c r="B678" s="690" t="s">
        <v>409</v>
      </c>
      <c r="C678" s="536"/>
      <c r="D678" s="721"/>
      <c r="E678" s="725"/>
      <c r="F678" s="130"/>
      <c r="G678" s="213"/>
      <c r="H678" s="694"/>
      <c r="I678" s="263">
        <f>Klima!$C139</f>
        <v>0</v>
      </c>
      <c r="J678" s="722">
        <v>30</v>
      </c>
      <c r="K678" s="239"/>
      <c r="L678" s="249"/>
      <c r="M678" s="130"/>
      <c r="N678" s="217"/>
      <c r="O678" s="250">
        <f t="shared" si="25"/>
        <v>0</v>
      </c>
      <c r="P678" s="239"/>
      <c r="Q678" s="239"/>
      <c r="R678" s="239"/>
      <c r="S678" s="202"/>
      <c r="Z678" s="323"/>
      <c r="AA678" s="318"/>
      <c r="AB678" s="323"/>
      <c r="AC678" s="323"/>
      <c r="AD678" s="323"/>
      <c r="AE678" s="323"/>
      <c r="AF678" s="323"/>
      <c r="AG678" s="323"/>
      <c r="AH678" s="323"/>
      <c r="AI678" s="323"/>
      <c r="AJ678" s="323"/>
      <c r="AK678" s="323"/>
      <c r="AL678" s="302"/>
    </row>
    <row r="679" spans="1:38" s="235" customFormat="1" ht="10.199999999999999" hidden="1">
      <c r="A679" s="202"/>
      <c r="B679" s="690" t="s">
        <v>410</v>
      </c>
      <c r="C679" s="536"/>
      <c r="D679" s="721"/>
      <c r="E679" s="725"/>
      <c r="F679" s="130"/>
      <c r="G679" s="213"/>
      <c r="H679" s="694"/>
      <c r="I679" s="263">
        <f>Klima!$C140</f>
        <v>0</v>
      </c>
      <c r="J679" s="722">
        <v>31</v>
      </c>
      <c r="K679" s="239"/>
      <c r="L679" s="249"/>
      <c r="M679" s="130"/>
      <c r="N679" s="217"/>
      <c r="O679" s="250">
        <f t="shared" si="25"/>
        <v>0</v>
      </c>
      <c r="P679" s="239"/>
      <c r="Q679" s="239"/>
      <c r="R679" s="239"/>
      <c r="S679" s="202"/>
      <c r="Z679" s="323"/>
      <c r="AA679" s="318"/>
      <c r="AB679" s="323"/>
      <c r="AC679" s="323"/>
      <c r="AD679" s="323"/>
      <c r="AE679" s="323"/>
      <c r="AF679" s="323"/>
      <c r="AG679" s="323"/>
      <c r="AH679" s="323"/>
      <c r="AI679" s="323"/>
      <c r="AJ679" s="323"/>
      <c r="AK679" s="323"/>
      <c r="AL679" s="302"/>
    </row>
    <row r="680" spans="1:38" s="235" customFormat="1" ht="10.199999999999999" hidden="1">
      <c r="A680" s="202"/>
      <c r="B680" s="690" t="s">
        <v>411</v>
      </c>
      <c r="C680" s="536"/>
      <c r="D680" s="721"/>
      <c r="E680" s="725"/>
      <c r="F680" s="130"/>
      <c r="G680" s="213"/>
      <c r="H680" s="694"/>
      <c r="I680" s="263">
        <f>Klima!$C141</f>
        <v>0</v>
      </c>
      <c r="J680" s="722">
        <v>30</v>
      </c>
      <c r="K680" s="239"/>
      <c r="L680" s="249"/>
      <c r="M680" s="130"/>
      <c r="N680" s="217"/>
      <c r="O680" s="250">
        <f t="shared" si="25"/>
        <v>0</v>
      </c>
      <c r="P680" s="239"/>
      <c r="Q680" s="239"/>
      <c r="R680" s="239"/>
      <c r="S680" s="202"/>
      <c r="Z680" s="323"/>
      <c r="AA680" s="318"/>
      <c r="AB680" s="323"/>
      <c r="AC680" s="323"/>
      <c r="AD680" s="323"/>
      <c r="AE680" s="323"/>
      <c r="AF680" s="323"/>
      <c r="AG680" s="323"/>
      <c r="AH680" s="323"/>
      <c r="AI680" s="323"/>
      <c r="AJ680" s="323"/>
      <c r="AK680" s="323"/>
      <c r="AL680" s="302"/>
    </row>
    <row r="681" spans="1:38" s="235" customFormat="1" ht="10.199999999999999" hidden="1">
      <c r="A681" s="202"/>
      <c r="B681" s="690" t="s">
        <v>221</v>
      </c>
      <c r="C681" s="536"/>
      <c r="D681" s="721"/>
      <c r="E681" s="725"/>
      <c r="F681" s="130"/>
      <c r="G681" s="213"/>
      <c r="H681" s="694"/>
      <c r="I681" s="263">
        <f>Klima!$C142</f>
        <v>0</v>
      </c>
      <c r="J681" s="722">
        <v>31</v>
      </c>
      <c r="K681" s="239"/>
      <c r="L681" s="249"/>
      <c r="M681" s="130"/>
      <c r="N681" s="217"/>
      <c r="O681" s="250">
        <f t="shared" si="25"/>
        <v>0</v>
      </c>
      <c r="P681" s="239"/>
      <c r="Q681" s="239"/>
      <c r="R681" s="239"/>
      <c r="S681" s="202"/>
      <c r="Z681" s="323"/>
      <c r="AA681" s="318"/>
      <c r="AB681" s="323"/>
      <c r="AC681" s="323"/>
      <c r="AD681" s="323"/>
      <c r="AE681" s="323"/>
      <c r="AF681" s="323"/>
      <c r="AG681" s="323"/>
      <c r="AH681" s="323"/>
      <c r="AI681" s="323"/>
      <c r="AJ681" s="323"/>
      <c r="AK681" s="323"/>
      <c r="AL681" s="302"/>
    </row>
    <row r="682" spans="1:38" s="235" customFormat="1" ht="10.199999999999999" hidden="1">
      <c r="A682" s="202"/>
      <c r="B682" s="690" t="s">
        <v>138</v>
      </c>
      <c r="C682" s="536"/>
      <c r="D682" s="721"/>
      <c r="E682" s="725"/>
      <c r="F682" s="130"/>
      <c r="G682" s="213"/>
      <c r="H682" s="694"/>
      <c r="I682" s="263">
        <f>Klima!$C143</f>
        <v>0</v>
      </c>
      <c r="J682" s="722">
        <v>31</v>
      </c>
      <c r="K682" s="239"/>
      <c r="L682" s="249"/>
      <c r="M682" s="130"/>
      <c r="N682" s="217"/>
      <c r="O682" s="250">
        <f t="shared" si="25"/>
        <v>0</v>
      </c>
      <c r="P682" s="239"/>
      <c r="Q682" s="239"/>
      <c r="R682" s="239"/>
      <c r="S682" s="202"/>
      <c r="Z682" s="323"/>
      <c r="AA682" s="318"/>
      <c r="AB682" s="323"/>
      <c r="AC682" s="323"/>
      <c r="AD682" s="323"/>
      <c r="AE682" s="323"/>
      <c r="AF682" s="323"/>
      <c r="AG682" s="323"/>
      <c r="AH682" s="323"/>
      <c r="AI682" s="323"/>
      <c r="AJ682" s="323"/>
      <c r="AK682" s="323"/>
      <c r="AL682" s="302"/>
    </row>
    <row r="683" spans="1:38" s="235" customFormat="1" ht="10.199999999999999" hidden="1">
      <c r="A683" s="202"/>
      <c r="B683" s="690" t="s">
        <v>139</v>
      </c>
      <c r="C683" s="536"/>
      <c r="D683" s="721"/>
      <c r="E683" s="725"/>
      <c r="F683" s="130"/>
      <c r="G683" s="213"/>
      <c r="H683" s="694"/>
      <c r="I683" s="263">
        <f>Klima!$C144</f>
        <v>0</v>
      </c>
      <c r="J683" s="722">
        <v>30</v>
      </c>
      <c r="K683" s="239"/>
      <c r="L683" s="249"/>
      <c r="M683" s="130"/>
      <c r="N683" s="217"/>
      <c r="O683" s="250">
        <f t="shared" si="25"/>
        <v>0</v>
      </c>
      <c r="P683" s="239"/>
      <c r="Q683" s="239"/>
      <c r="R683" s="239"/>
      <c r="S683" s="202"/>
      <c r="Z683" s="323"/>
      <c r="AA683" s="318"/>
      <c r="AB683" s="323"/>
      <c r="AC683" s="323"/>
      <c r="AD683" s="323"/>
      <c r="AE683" s="323"/>
      <c r="AF683" s="323"/>
      <c r="AG683" s="323"/>
      <c r="AH683" s="323"/>
      <c r="AI683" s="323"/>
      <c r="AJ683" s="323"/>
      <c r="AK683" s="323"/>
      <c r="AL683" s="302"/>
    </row>
    <row r="684" spans="1:38" s="235" customFormat="1" ht="10.199999999999999" hidden="1">
      <c r="A684" s="202"/>
      <c r="B684" s="690" t="s">
        <v>269</v>
      </c>
      <c r="C684" s="536"/>
      <c r="D684" s="721"/>
      <c r="E684" s="725"/>
      <c r="F684" s="130"/>
      <c r="G684" s="213"/>
      <c r="H684" s="694"/>
      <c r="I684" s="263">
        <f>Klima!$C145</f>
        <v>0</v>
      </c>
      <c r="J684" s="722">
        <v>31</v>
      </c>
      <c r="K684" s="239"/>
      <c r="L684" s="249"/>
      <c r="M684" s="130"/>
      <c r="N684" s="217"/>
      <c r="O684" s="250">
        <f t="shared" si="25"/>
        <v>0</v>
      </c>
      <c r="P684" s="239"/>
      <c r="Q684" s="239"/>
      <c r="R684" s="239"/>
      <c r="S684" s="202"/>
      <c r="Z684" s="323"/>
      <c r="AA684" s="318"/>
      <c r="AB684" s="323"/>
      <c r="AC684" s="323"/>
      <c r="AD684" s="323"/>
      <c r="AE684" s="323"/>
      <c r="AF684" s="323"/>
      <c r="AG684" s="323"/>
      <c r="AH684" s="323"/>
      <c r="AI684" s="323"/>
      <c r="AJ684" s="323"/>
      <c r="AK684" s="323"/>
      <c r="AL684" s="302"/>
    </row>
    <row r="685" spans="1:38" s="235" customFormat="1" ht="10.199999999999999" hidden="1">
      <c r="A685" s="202"/>
      <c r="B685" s="690" t="s">
        <v>366</v>
      </c>
      <c r="C685" s="536"/>
      <c r="D685" s="721"/>
      <c r="E685" s="725"/>
      <c r="F685" s="130"/>
      <c r="G685" s="213"/>
      <c r="H685" s="694"/>
      <c r="I685" s="263">
        <f>Klima!$C146</f>
        <v>0</v>
      </c>
      <c r="J685" s="722">
        <v>30</v>
      </c>
      <c r="K685" s="239"/>
      <c r="L685" s="249"/>
      <c r="M685" s="130"/>
      <c r="N685" s="217"/>
      <c r="O685" s="250">
        <f t="shared" si="25"/>
        <v>0</v>
      </c>
      <c r="P685" s="239"/>
      <c r="Q685" s="239"/>
      <c r="R685" s="239"/>
      <c r="S685" s="202"/>
      <c r="Z685" s="323"/>
      <c r="AA685" s="318"/>
      <c r="AB685" s="323"/>
      <c r="AC685" s="323"/>
      <c r="AD685" s="323"/>
      <c r="AE685" s="323"/>
      <c r="AF685" s="323"/>
      <c r="AG685" s="323"/>
      <c r="AH685" s="323"/>
      <c r="AI685" s="323"/>
      <c r="AJ685" s="323"/>
      <c r="AK685" s="323"/>
      <c r="AL685" s="302"/>
    </row>
    <row r="686" spans="1:38" s="235" customFormat="1" ht="10.199999999999999" hidden="1">
      <c r="A686" s="202"/>
      <c r="B686" s="690" t="s">
        <v>465</v>
      </c>
      <c r="C686" s="536"/>
      <c r="D686" s="721"/>
      <c r="E686" s="725"/>
      <c r="F686" s="130"/>
      <c r="G686" s="213"/>
      <c r="H686" s="694"/>
      <c r="I686" s="263">
        <f>Klima!$C147</f>
        <v>0</v>
      </c>
      <c r="J686" s="722">
        <v>31</v>
      </c>
      <c r="K686" s="239"/>
      <c r="L686" s="249"/>
      <c r="M686" s="130"/>
      <c r="N686" s="217"/>
      <c r="O686" s="250">
        <f t="shared" si="25"/>
        <v>0</v>
      </c>
      <c r="P686" s="239"/>
      <c r="Q686" s="239"/>
      <c r="R686" s="239"/>
      <c r="S686" s="202"/>
      <c r="Z686" s="323"/>
      <c r="AA686" s="318"/>
      <c r="AB686" s="323"/>
      <c r="AC686" s="323"/>
      <c r="AD686" s="323"/>
      <c r="AE686" s="323"/>
      <c r="AF686" s="323"/>
      <c r="AG686" s="323"/>
      <c r="AH686" s="323"/>
      <c r="AI686" s="323"/>
      <c r="AJ686" s="323"/>
      <c r="AK686" s="323"/>
      <c r="AL686" s="302"/>
    </row>
    <row r="687" spans="1:38" ht="10.95" customHeight="1">
      <c r="A687" s="203" t="str">
        <f>A618</f>
        <v>0</v>
      </c>
      <c r="B687" s="648"/>
      <c r="C687" s="656"/>
      <c r="D687" s="657"/>
      <c r="E687" s="658"/>
      <c r="F687" s="659"/>
      <c r="G687" s="210"/>
      <c r="H687" s="247"/>
      <c r="I687" s="198"/>
      <c r="J687" s="241"/>
      <c r="K687" s="198"/>
      <c r="L687" s="248"/>
      <c r="M687" s="218" t="str">
        <f>IF(D687="","",AB687)</f>
        <v/>
      </c>
      <c r="N687" s="214">
        <f>IF(E687=0,0,SUM(O688:O699))</f>
        <v>0</v>
      </c>
      <c r="O687" s="215" t="str">
        <f>IF(N687/$O$1370=0,"",N687/$O$1370)</f>
        <v/>
      </c>
      <c r="P687" s="198"/>
      <c r="Q687" s="198"/>
      <c r="R687" s="198"/>
      <c r="S687" s="192"/>
      <c r="T687" s="182">
        <f>D687*E687</f>
        <v>0</v>
      </c>
      <c r="AA687" s="318">
        <f>IF(D687="",0,1)</f>
        <v>0</v>
      </c>
      <c r="AB687" s="318">
        <f>AB674+AA687</f>
        <v>0</v>
      </c>
    </row>
    <row r="688" spans="1:38" s="235" customFormat="1" ht="10.199999999999999" hidden="1">
      <c r="A688" s="202"/>
      <c r="B688" s="690" t="s">
        <v>49</v>
      </c>
      <c r="C688" s="724"/>
      <c r="D688" s="130"/>
      <c r="E688" s="538"/>
      <c r="F688" s="130"/>
      <c r="G688" s="213"/>
      <c r="H688" s="694">
        <f>Nutzung!$G$29</f>
        <v>0</v>
      </c>
      <c r="I688" s="239"/>
      <c r="J688" s="239"/>
      <c r="K688" s="239"/>
      <c r="L688" s="249"/>
      <c r="M688" s="130"/>
      <c r="N688" s="217"/>
      <c r="O688" s="250">
        <f t="shared" ref="O688:O699" si="26">($H$688+Regelung-1-I675)*J675*$D$687*$E$687*24/($N$675*1000)</f>
        <v>0</v>
      </c>
      <c r="P688" s="239"/>
      <c r="Q688" s="239"/>
      <c r="R688" s="239"/>
      <c r="S688" s="202"/>
      <c r="Z688" s="323"/>
      <c r="AA688" s="318"/>
      <c r="AB688" s="323"/>
      <c r="AC688" s="323"/>
      <c r="AD688" s="323"/>
      <c r="AE688" s="323"/>
      <c r="AF688" s="323"/>
      <c r="AG688" s="323"/>
      <c r="AH688" s="323"/>
      <c r="AI688" s="323"/>
      <c r="AJ688" s="323"/>
      <c r="AK688" s="323"/>
      <c r="AL688" s="302"/>
    </row>
    <row r="689" spans="1:38" s="235" customFormat="1" ht="10.199999999999999" hidden="1">
      <c r="A689" s="202"/>
      <c r="B689" s="690" t="s">
        <v>554</v>
      </c>
      <c r="C689" s="536"/>
      <c r="D689" s="130"/>
      <c r="E689" s="538"/>
      <c r="F689" s="130"/>
      <c r="G689" s="213"/>
      <c r="H689" s="246"/>
      <c r="I689" s="239"/>
      <c r="J689" s="239"/>
      <c r="K689" s="239"/>
      <c r="L689" s="249"/>
      <c r="M689" s="130"/>
      <c r="N689" s="217"/>
      <c r="O689" s="250">
        <f t="shared" si="26"/>
        <v>0</v>
      </c>
      <c r="P689" s="239"/>
      <c r="Q689" s="239"/>
      <c r="R689" s="239"/>
      <c r="S689" s="202"/>
      <c r="Z689" s="323"/>
      <c r="AA689" s="318"/>
      <c r="AB689" s="323"/>
      <c r="AC689" s="323"/>
      <c r="AD689" s="323"/>
      <c r="AE689" s="323"/>
      <c r="AF689" s="323"/>
      <c r="AG689" s="323"/>
      <c r="AH689" s="323"/>
      <c r="AI689" s="323"/>
      <c r="AJ689" s="323"/>
      <c r="AK689" s="323"/>
      <c r="AL689" s="302"/>
    </row>
    <row r="690" spans="1:38" s="235" customFormat="1" ht="10.199999999999999" hidden="1">
      <c r="A690" s="202"/>
      <c r="B690" s="690" t="s">
        <v>306</v>
      </c>
      <c r="C690" s="536"/>
      <c r="D690" s="130"/>
      <c r="E690" s="538"/>
      <c r="F690" s="130"/>
      <c r="G690" s="213"/>
      <c r="H690" s="246"/>
      <c r="I690" s="239"/>
      <c r="J690" s="239"/>
      <c r="K690" s="239"/>
      <c r="L690" s="249"/>
      <c r="M690" s="130"/>
      <c r="N690" s="217"/>
      <c r="O690" s="250">
        <f t="shared" si="26"/>
        <v>0</v>
      </c>
      <c r="P690" s="239"/>
      <c r="Q690" s="239"/>
      <c r="R690" s="239"/>
      <c r="S690" s="202"/>
      <c r="Z690" s="323"/>
      <c r="AA690" s="318"/>
      <c r="AB690" s="323"/>
      <c r="AC690" s="323"/>
      <c r="AD690" s="323"/>
      <c r="AE690" s="323"/>
      <c r="AF690" s="323"/>
      <c r="AG690" s="323"/>
      <c r="AH690" s="323"/>
      <c r="AI690" s="323"/>
      <c r="AJ690" s="323"/>
      <c r="AK690" s="323"/>
      <c r="AL690" s="302"/>
    </row>
    <row r="691" spans="1:38" s="235" customFormat="1" ht="10.199999999999999" hidden="1">
      <c r="A691" s="202"/>
      <c r="B691" s="690" t="s">
        <v>409</v>
      </c>
      <c r="C691" s="536"/>
      <c r="D691" s="130"/>
      <c r="E691" s="538"/>
      <c r="F691" s="130"/>
      <c r="G691" s="213"/>
      <c r="H691" s="246"/>
      <c r="I691" s="239"/>
      <c r="J691" s="239"/>
      <c r="K691" s="239"/>
      <c r="L691" s="249"/>
      <c r="M691" s="130"/>
      <c r="N691" s="217"/>
      <c r="O691" s="250">
        <f t="shared" si="26"/>
        <v>0</v>
      </c>
      <c r="P691" s="239"/>
      <c r="Q691" s="239"/>
      <c r="R691" s="239"/>
      <c r="S691" s="202"/>
      <c r="Z691" s="323"/>
      <c r="AA691" s="318"/>
      <c r="AB691" s="323"/>
      <c r="AC691" s="323"/>
      <c r="AD691" s="323"/>
      <c r="AE691" s="323"/>
      <c r="AF691" s="323"/>
      <c r="AG691" s="323"/>
      <c r="AH691" s="323"/>
      <c r="AI691" s="323"/>
      <c r="AJ691" s="323"/>
      <c r="AK691" s="323"/>
      <c r="AL691" s="302"/>
    </row>
    <row r="692" spans="1:38" s="235" customFormat="1" ht="10.199999999999999" hidden="1">
      <c r="A692" s="202"/>
      <c r="B692" s="690" t="s">
        <v>410</v>
      </c>
      <c r="C692" s="536"/>
      <c r="D692" s="130"/>
      <c r="E692" s="538"/>
      <c r="F692" s="130"/>
      <c r="G692" s="213"/>
      <c r="H692" s="246"/>
      <c r="I692" s="239"/>
      <c r="J692" s="239"/>
      <c r="K692" s="239"/>
      <c r="L692" s="249"/>
      <c r="M692" s="130"/>
      <c r="N692" s="217"/>
      <c r="O692" s="250">
        <f t="shared" si="26"/>
        <v>0</v>
      </c>
      <c r="P692" s="239"/>
      <c r="Q692" s="239"/>
      <c r="R692" s="239"/>
      <c r="S692" s="202"/>
      <c r="Z692" s="323"/>
      <c r="AA692" s="318"/>
      <c r="AB692" s="323"/>
      <c r="AC692" s="323"/>
      <c r="AD692" s="323"/>
      <c r="AE692" s="323"/>
      <c r="AF692" s="323"/>
      <c r="AG692" s="323"/>
      <c r="AH692" s="323"/>
      <c r="AI692" s="323"/>
      <c r="AJ692" s="323"/>
      <c r="AK692" s="323"/>
      <c r="AL692" s="302"/>
    </row>
    <row r="693" spans="1:38" s="235" customFormat="1" ht="10.199999999999999" hidden="1">
      <c r="A693" s="202"/>
      <c r="B693" s="690" t="s">
        <v>411</v>
      </c>
      <c r="C693" s="536"/>
      <c r="D693" s="130"/>
      <c r="E693" s="538"/>
      <c r="F693" s="130"/>
      <c r="G693" s="213"/>
      <c r="H693" s="246"/>
      <c r="I693" s="239"/>
      <c r="J693" s="239"/>
      <c r="K693" s="239"/>
      <c r="L693" s="249"/>
      <c r="M693" s="130"/>
      <c r="N693" s="217"/>
      <c r="O693" s="250">
        <f t="shared" si="26"/>
        <v>0</v>
      </c>
      <c r="P693" s="239"/>
      <c r="Q693" s="239"/>
      <c r="R693" s="239"/>
      <c r="S693" s="202"/>
      <c r="Z693" s="323"/>
      <c r="AA693" s="318"/>
      <c r="AB693" s="323"/>
      <c r="AC693" s="323"/>
      <c r="AD693" s="323"/>
      <c r="AE693" s="323"/>
      <c r="AF693" s="323"/>
      <c r="AG693" s="323"/>
      <c r="AH693" s="323"/>
      <c r="AI693" s="323"/>
      <c r="AJ693" s="323"/>
      <c r="AK693" s="323"/>
      <c r="AL693" s="302"/>
    </row>
    <row r="694" spans="1:38" s="235" customFormat="1" ht="10.199999999999999" hidden="1">
      <c r="A694" s="202"/>
      <c r="B694" s="690" t="s">
        <v>221</v>
      </c>
      <c r="C694" s="536"/>
      <c r="D694" s="130"/>
      <c r="E694" s="538"/>
      <c r="F694" s="130"/>
      <c r="G694" s="213"/>
      <c r="H694" s="246"/>
      <c r="I694" s="239"/>
      <c r="J694" s="239"/>
      <c r="K694" s="239"/>
      <c r="L694" s="249"/>
      <c r="M694" s="130"/>
      <c r="N694" s="217"/>
      <c r="O694" s="250">
        <f t="shared" si="26"/>
        <v>0</v>
      </c>
      <c r="P694" s="239"/>
      <c r="Q694" s="239"/>
      <c r="R694" s="239"/>
      <c r="S694" s="202"/>
      <c r="Z694" s="323"/>
      <c r="AA694" s="318"/>
      <c r="AB694" s="323"/>
      <c r="AC694" s="323"/>
      <c r="AD694" s="323"/>
      <c r="AE694" s="323"/>
      <c r="AF694" s="323"/>
      <c r="AG694" s="323"/>
      <c r="AH694" s="323"/>
      <c r="AI694" s="323"/>
      <c r="AJ694" s="323"/>
      <c r="AK694" s="323"/>
      <c r="AL694" s="302"/>
    </row>
    <row r="695" spans="1:38" s="235" customFormat="1" ht="10.199999999999999" hidden="1">
      <c r="A695" s="202"/>
      <c r="B695" s="690" t="s">
        <v>138</v>
      </c>
      <c r="C695" s="536"/>
      <c r="D695" s="130"/>
      <c r="E695" s="538"/>
      <c r="F695" s="130"/>
      <c r="G695" s="213"/>
      <c r="H695" s="246"/>
      <c r="I695" s="239"/>
      <c r="J695" s="239"/>
      <c r="K695" s="239"/>
      <c r="L695" s="249"/>
      <c r="M695" s="130"/>
      <c r="N695" s="217"/>
      <c r="O695" s="250">
        <f t="shared" si="26"/>
        <v>0</v>
      </c>
      <c r="P695" s="239"/>
      <c r="Q695" s="239"/>
      <c r="R695" s="239"/>
      <c r="S695" s="202"/>
      <c r="Z695" s="323"/>
      <c r="AA695" s="318"/>
      <c r="AB695" s="323"/>
      <c r="AC695" s="323"/>
      <c r="AD695" s="323"/>
      <c r="AE695" s="323"/>
      <c r="AF695" s="323"/>
      <c r="AG695" s="323"/>
      <c r="AH695" s="323"/>
      <c r="AI695" s="323"/>
      <c r="AJ695" s="323"/>
      <c r="AK695" s="323"/>
      <c r="AL695" s="302"/>
    </row>
    <row r="696" spans="1:38" s="235" customFormat="1" ht="10.199999999999999" hidden="1">
      <c r="A696" s="202"/>
      <c r="B696" s="690" t="s">
        <v>139</v>
      </c>
      <c r="C696" s="536"/>
      <c r="D696" s="130"/>
      <c r="E696" s="538"/>
      <c r="F696" s="130"/>
      <c r="G696" s="213"/>
      <c r="H696" s="246"/>
      <c r="I696" s="239"/>
      <c r="J696" s="239"/>
      <c r="K696" s="239"/>
      <c r="L696" s="249"/>
      <c r="M696" s="130"/>
      <c r="N696" s="217"/>
      <c r="O696" s="250">
        <f t="shared" si="26"/>
        <v>0</v>
      </c>
      <c r="P696" s="239"/>
      <c r="Q696" s="239"/>
      <c r="R696" s="239"/>
      <c r="S696" s="202"/>
      <c r="Z696" s="323"/>
      <c r="AA696" s="318"/>
      <c r="AB696" s="323"/>
      <c r="AC696" s="323"/>
      <c r="AD696" s="323"/>
      <c r="AE696" s="323"/>
      <c r="AF696" s="323"/>
      <c r="AG696" s="323"/>
      <c r="AH696" s="323"/>
      <c r="AI696" s="323"/>
      <c r="AJ696" s="323"/>
      <c r="AK696" s="323"/>
      <c r="AL696" s="302"/>
    </row>
    <row r="697" spans="1:38" s="235" customFormat="1" ht="10.199999999999999" hidden="1">
      <c r="A697" s="202"/>
      <c r="B697" s="690" t="s">
        <v>269</v>
      </c>
      <c r="C697" s="536"/>
      <c r="D697" s="130"/>
      <c r="E697" s="538"/>
      <c r="F697" s="130"/>
      <c r="G697" s="213"/>
      <c r="H697" s="246"/>
      <c r="I697" s="239"/>
      <c r="J697" s="239"/>
      <c r="K697" s="239"/>
      <c r="L697" s="249"/>
      <c r="M697" s="130"/>
      <c r="N697" s="217"/>
      <c r="O697" s="250">
        <f t="shared" si="26"/>
        <v>0</v>
      </c>
      <c r="P697" s="239"/>
      <c r="Q697" s="239"/>
      <c r="R697" s="239"/>
      <c r="S697" s="202"/>
      <c r="Z697" s="323"/>
      <c r="AA697" s="318"/>
      <c r="AB697" s="323"/>
      <c r="AC697" s="323"/>
      <c r="AD697" s="323"/>
      <c r="AE697" s="323"/>
      <c r="AF697" s="323"/>
      <c r="AG697" s="323"/>
      <c r="AH697" s="323"/>
      <c r="AI697" s="323"/>
      <c r="AJ697" s="323"/>
      <c r="AK697" s="323"/>
      <c r="AL697" s="302"/>
    </row>
    <row r="698" spans="1:38" s="235" customFormat="1" ht="10.199999999999999" hidden="1">
      <c r="A698" s="202"/>
      <c r="B698" s="690" t="s">
        <v>366</v>
      </c>
      <c r="C698" s="536"/>
      <c r="D698" s="130"/>
      <c r="E698" s="538"/>
      <c r="F698" s="130"/>
      <c r="G698" s="213"/>
      <c r="H698" s="246"/>
      <c r="I698" s="239"/>
      <c r="J698" s="239"/>
      <c r="K698" s="239"/>
      <c r="L698" s="249"/>
      <c r="M698" s="130"/>
      <c r="N698" s="217"/>
      <c r="O698" s="250">
        <f t="shared" si="26"/>
        <v>0</v>
      </c>
      <c r="P698" s="239"/>
      <c r="Q698" s="239"/>
      <c r="R698" s="239"/>
      <c r="S698" s="202"/>
      <c r="Z698" s="323"/>
      <c r="AA698" s="318"/>
      <c r="AB698" s="323"/>
      <c r="AC698" s="323"/>
      <c r="AD698" s="323"/>
      <c r="AE698" s="323"/>
      <c r="AF698" s="323"/>
      <c r="AG698" s="323"/>
      <c r="AH698" s="323"/>
      <c r="AI698" s="323"/>
      <c r="AJ698" s="323"/>
      <c r="AK698" s="323"/>
      <c r="AL698" s="302"/>
    </row>
    <row r="699" spans="1:38" s="235" customFormat="1" ht="10.199999999999999" hidden="1">
      <c r="A699" s="202"/>
      <c r="B699" s="690" t="s">
        <v>465</v>
      </c>
      <c r="C699" s="536"/>
      <c r="D699" s="130"/>
      <c r="E699" s="538"/>
      <c r="F699" s="130"/>
      <c r="G699" s="213"/>
      <c r="H699" s="246"/>
      <c r="I699" s="239"/>
      <c r="J699" s="239"/>
      <c r="K699" s="239"/>
      <c r="L699" s="249"/>
      <c r="M699" s="130"/>
      <c r="N699" s="217"/>
      <c r="O699" s="250">
        <f t="shared" si="26"/>
        <v>0</v>
      </c>
      <c r="P699" s="239"/>
      <c r="Q699" s="239"/>
      <c r="R699" s="239"/>
      <c r="S699" s="202"/>
      <c r="Z699" s="323"/>
      <c r="AA699" s="318"/>
      <c r="AB699" s="323"/>
      <c r="AC699" s="323"/>
      <c r="AD699" s="323"/>
      <c r="AE699" s="323"/>
      <c r="AF699" s="323"/>
      <c r="AG699" s="323"/>
      <c r="AH699" s="323"/>
      <c r="AI699" s="323"/>
      <c r="AJ699" s="323"/>
      <c r="AK699" s="323"/>
      <c r="AL699" s="302"/>
    </row>
    <row r="700" spans="1:38" ht="10.95" customHeight="1">
      <c r="A700" s="192"/>
      <c r="B700" s="649"/>
      <c r="C700" s="660"/>
      <c r="D700" s="661"/>
      <c r="E700" s="662"/>
      <c r="F700" s="661"/>
      <c r="G700" s="210"/>
      <c r="H700" s="247"/>
      <c r="I700" s="198"/>
      <c r="J700" s="241"/>
      <c r="K700" s="198"/>
      <c r="L700" s="252"/>
      <c r="M700" s="547" t="str">
        <f>IF(D700="","",AB700)</f>
        <v/>
      </c>
      <c r="N700" s="214">
        <f>IF(E700=0,0,SUM(O701:O712))</f>
        <v>0</v>
      </c>
      <c r="O700" s="215" t="str">
        <f>IF(N700/$O$1370=0,"",N700/$O$1370)</f>
        <v/>
      </c>
      <c r="P700" s="198"/>
      <c r="Q700" s="198"/>
      <c r="R700" s="198"/>
      <c r="S700" s="192"/>
      <c r="T700" s="182">
        <f>D700*E700</f>
        <v>0</v>
      </c>
      <c r="U700" s="182">
        <f>SUM(T674:T700)</f>
        <v>0</v>
      </c>
      <c r="AA700" s="318">
        <f>IF(D700="",0,1)</f>
        <v>0</v>
      </c>
      <c r="AB700" s="318">
        <f>AB687+AA700</f>
        <v>0</v>
      </c>
    </row>
    <row r="701" spans="1:38" s="233" customFormat="1" ht="10.199999999999999" hidden="1">
      <c r="A701" s="196"/>
      <c r="B701" s="691" t="s">
        <v>49</v>
      </c>
      <c r="C701" s="737"/>
      <c r="D701" s="717"/>
      <c r="E701" s="737"/>
      <c r="F701" s="717"/>
      <c r="G701" s="196"/>
      <c r="H701" s="197">
        <f>Nutzung!$G$29</f>
        <v>0</v>
      </c>
      <c r="I701" s="196"/>
      <c r="J701" s="196"/>
      <c r="K701" s="196"/>
      <c r="L701" s="297"/>
      <c r="M701" s="716"/>
      <c r="N701" s="207"/>
      <c r="O701" s="208">
        <f t="shared" ref="O701:O712" si="27">($H$701+Regelung-1-I675)*J675*$D$700*$E$700*24/($N$675*1000)</f>
        <v>0</v>
      </c>
      <c r="P701" s="196"/>
      <c r="Q701" s="196"/>
      <c r="R701" s="196"/>
      <c r="S701" s="196"/>
      <c r="Z701" s="324"/>
      <c r="AA701" s="318"/>
      <c r="AB701" s="324"/>
      <c r="AC701" s="324"/>
      <c r="AD701" s="324"/>
      <c r="AE701" s="324"/>
      <c r="AF701" s="324"/>
      <c r="AG701" s="324"/>
      <c r="AH701" s="324"/>
      <c r="AI701" s="324"/>
      <c r="AJ701" s="324"/>
      <c r="AK701" s="324"/>
      <c r="AL701" s="303"/>
    </row>
    <row r="702" spans="1:38" s="233" customFormat="1" ht="10.199999999999999" hidden="1">
      <c r="A702" s="196"/>
      <c r="B702" s="691" t="s">
        <v>554</v>
      </c>
      <c r="C702" s="727"/>
      <c r="D702" s="717"/>
      <c r="E702" s="727"/>
      <c r="F702" s="717"/>
      <c r="G702" s="196"/>
      <c r="H702" s="196"/>
      <c r="I702" s="196"/>
      <c r="J702" s="196"/>
      <c r="K702" s="196"/>
      <c r="L702" s="297"/>
      <c r="M702" s="716"/>
      <c r="N702" s="207"/>
      <c r="O702" s="208">
        <f t="shared" si="27"/>
        <v>0</v>
      </c>
      <c r="P702" s="196"/>
      <c r="Q702" s="196"/>
      <c r="R702" s="196"/>
      <c r="S702" s="196"/>
      <c r="Z702" s="324"/>
      <c r="AA702" s="318"/>
      <c r="AB702" s="324"/>
      <c r="AC702" s="324"/>
      <c r="AD702" s="324"/>
      <c r="AE702" s="324"/>
      <c r="AF702" s="324"/>
      <c r="AG702" s="324"/>
      <c r="AH702" s="324"/>
      <c r="AI702" s="324"/>
      <c r="AJ702" s="324"/>
      <c r="AK702" s="324"/>
      <c r="AL702" s="303"/>
    </row>
    <row r="703" spans="1:38" s="233" customFormat="1" ht="10.199999999999999" hidden="1">
      <c r="A703" s="196"/>
      <c r="B703" s="691" t="s">
        <v>306</v>
      </c>
      <c r="C703" s="727"/>
      <c r="D703" s="717"/>
      <c r="E703" s="727"/>
      <c r="F703" s="717"/>
      <c r="G703" s="196"/>
      <c r="H703" s="196"/>
      <c r="I703" s="196"/>
      <c r="J703" s="196"/>
      <c r="K703" s="196"/>
      <c r="L703" s="297"/>
      <c r="M703" s="716"/>
      <c r="N703" s="207"/>
      <c r="O703" s="208">
        <f t="shared" si="27"/>
        <v>0</v>
      </c>
      <c r="P703" s="196"/>
      <c r="Q703" s="196"/>
      <c r="R703" s="196"/>
      <c r="S703" s="196"/>
      <c r="Z703" s="324"/>
      <c r="AA703" s="318"/>
      <c r="AB703" s="324"/>
      <c r="AC703" s="324"/>
      <c r="AD703" s="324"/>
      <c r="AE703" s="324"/>
      <c r="AF703" s="324"/>
      <c r="AG703" s="324"/>
      <c r="AH703" s="324"/>
      <c r="AI703" s="324"/>
      <c r="AJ703" s="324"/>
      <c r="AK703" s="324"/>
      <c r="AL703" s="303"/>
    </row>
    <row r="704" spans="1:38" s="233" customFormat="1" ht="10.199999999999999" hidden="1">
      <c r="A704" s="196"/>
      <c r="B704" s="691" t="s">
        <v>409</v>
      </c>
      <c r="C704" s="727"/>
      <c r="D704" s="717"/>
      <c r="E704" s="727"/>
      <c r="F704" s="717"/>
      <c r="G704" s="196"/>
      <c r="H704" s="196"/>
      <c r="I704" s="196"/>
      <c r="J704" s="196"/>
      <c r="K704" s="196"/>
      <c r="L704" s="297"/>
      <c r="M704" s="716"/>
      <c r="N704" s="207"/>
      <c r="O704" s="208">
        <f t="shared" si="27"/>
        <v>0</v>
      </c>
      <c r="P704" s="196"/>
      <c r="Q704" s="196"/>
      <c r="R704" s="196"/>
      <c r="S704" s="196"/>
      <c r="Z704" s="324"/>
      <c r="AA704" s="318"/>
      <c r="AB704" s="324"/>
      <c r="AC704" s="324"/>
      <c r="AD704" s="324"/>
      <c r="AE704" s="324"/>
      <c r="AF704" s="324"/>
      <c r="AG704" s="324"/>
      <c r="AH704" s="324"/>
      <c r="AI704" s="324"/>
      <c r="AJ704" s="324"/>
      <c r="AK704" s="324"/>
      <c r="AL704" s="303"/>
    </row>
    <row r="705" spans="1:38" s="233" customFormat="1" ht="10.199999999999999" hidden="1">
      <c r="A705" s="196"/>
      <c r="B705" s="691" t="s">
        <v>410</v>
      </c>
      <c r="C705" s="727"/>
      <c r="D705" s="717"/>
      <c r="E705" s="727"/>
      <c r="F705" s="717"/>
      <c r="G705" s="196"/>
      <c r="H705" s="196"/>
      <c r="I705" s="196"/>
      <c r="J705" s="196"/>
      <c r="K705" s="196"/>
      <c r="L705" s="297"/>
      <c r="M705" s="716"/>
      <c r="N705" s="207"/>
      <c r="O705" s="208">
        <f t="shared" si="27"/>
        <v>0</v>
      </c>
      <c r="P705" s="196"/>
      <c r="Q705" s="196"/>
      <c r="R705" s="196"/>
      <c r="S705" s="196"/>
      <c r="Z705" s="324"/>
      <c r="AA705" s="318"/>
      <c r="AB705" s="324"/>
      <c r="AC705" s="324"/>
      <c r="AD705" s="324"/>
      <c r="AE705" s="324"/>
      <c r="AF705" s="324"/>
      <c r="AG705" s="324"/>
      <c r="AH705" s="324"/>
      <c r="AI705" s="324"/>
      <c r="AJ705" s="324"/>
      <c r="AK705" s="324"/>
      <c r="AL705" s="303"/>
    </row>
    <row r="706" spans="1:38" s="233" customFormat="1" ht="10.199999999999999" hidden="1">
      <c r="A706" s="196"/>
      <c r="B706" s="691" t="s">
        <v>411</v>
      </c>
      <c r="C706" s="727"/>
      <c r="D706" s="717"/>
      <c r="E706" s="727"/>
      <c r="F706" s="717"/>
      <c r="G706" s="196"/>
      <c r="H706" s="196"/>
      <c r="I706" s="196"/>
      <c r="J706" s="196"/>
      <c r="K706" s="196"/>
      <c r="L706" s="297"/>
      <c r="M706" s="716"/>
      <c r="N706" s="207"/>
      <c r="O706" s="208">
        <f t="shared" si="27"/>
        <v>0</v>
      </c>
      <c r="P706" s="196"/>
      <c r="Q706" s="196"/>
      <c r="R706" s="196"/>
      <c r="S706" s="196"/>
      <c r="Z706" s="324"/>
      <c r="AA706" s="318"/>
      <c r="AB706" s="324"/>
      <c r="AC706" s="324"/>
      <c r="AD706" s="324"/>
      <c r="AE706" s="324"/>
      <c r="AF706" s="324"/>
      <c r="AG706" s="324"/>
      <c r="AH706" s="324"/>
      <c r="AI706" s="324"/>
      <c r="AJ706" s="324"/>
      <c r="AK706" s="324"/>
      <c r="AL706" s="303"/>
    </row>
    <row r="707" spans="1:38" s="233" customFormat="1" ht="10.199999999999999" hidden="1">
      <c r="A707" s="196"/>
      <c r="B707" s="691" t="s">
        <v>221</v>
      </c>
      <c r="C707" s="727"/>
      <c r="D707" s="717"/>
      <c r="E707" s="727"/>
      <c r="F707" s="717"/>
      <c r="G707" s="196"/>
      <c r="H707" s="196"/>
      <c r="I707" s="196"/>
      <c r="J707" s="196"/>
      <c r="K707" s="196"/>
      <c r="L707" s="297"/>
      <c r="M707" s="716"/>
      <c r="N707" s="207"/>
      <c r="O707" s="208">
        <f t="shared" si="27"/>
        <v>0</v>
      </c>
      <c r="P707" s="196"/>
      <c r="Q707" s="196"/>
      <c r="R707" s="196"/>
      <c r="S707" s="196"/>
      <c r="Z707" s="324"/>
      <c r="AA707" s="318"/>
      <c r="AB707" s="324"/>
      <c r="AC707" s="324"/>
      <c r="AD707" s="324"/>
      <c r="AE707" s="324"/>
      <c r="AF707" s="324"/>
      <c r="AG707" s="324"/>
      <c r="AH707" s="324"/>
      <c r="AI707" s="324"/>
      <c r="AJ707" s="324"/>
      <c r="AK707" s="324"/>
      <c r="AL707" s="303"/>
    </row>
    <row r="708" spans="1:38" s="233" customFormat="1" ht="10.199999999999999" hidden="1">
      <c r="A708" s="196"/>
      <c r="B708" s="691" t="s">
        <v>138</v>
      </c>
      <c r="C708" s="727"/>
      <c r="D708" s="717"/>
      <c r="E708" s="727"/>
      <c r="F708" s="717"/>
      <c r="G708" s="196"/>
      <c r="H708" s="196"/>
      <c r="I708" s="196"/>
      <c r="J708" s="196"/>
      <c r="K708" s="196"/>
      <c r="L708" s="297"/>
      <c r="M708" s="716"/>
      <c r="N708" s="207"/>
      <c r="O708" s="208">
        <f t="shared" si="27"/>
        <v>0</v>
      </c>
      <c r="P708" s="196"/>
      <c r="Q708" s="196"/>
      <c r="R708" s="196"/>
      <c r="S708" s="196"/>
      <c r="Z708" s="324"/>
      <c r="AA708" s="318"/>
      <c r="AB708" s="324"/>
      <c r="AC708" s="324"/>
      <c r="AD708" s="324"/>
      <c r="AE708" s="324"/>
      <c r="AF708" s="324"/>
      <c r="AG708" s="324"/>
      <c r="AH708" s="324"/>
      <c r="AI708" s="324"/>
      <c r="AJ708" s="324"/>
      <c r="AK708" s="324"/>
      <c r="AL708" s="303"/>
    </row>
    <row r="709" spans="1:38" s="233" customFormat="1" ht="10.199999999999999" hidden="1">
      <c r="A709" s="196"/>
      <c r="B709" s="691" t="s">
        <v>139</v>
      </c>
      <c r="C709" s="727"/>
      <c r="D709" s="717"/>
      <c r="E709" s="727"/>
      <c r="F709" s="717"/>
      <c r="G709" s="196"/>
      <c r="H709" s="196"/>
      <c r="I709" s="196"/>
      <c r="J709" s="196"/>
      <c r="K709" s="196"/>
      <c r="L709" s="297"/>
      <c r="M709" s="716"/>
      <c r="N709" s="207"/>
      <c r="O709" s="208">
        <f t="shared" si="27"/>
        <v>0</v>
      </c>
      <c r="P709" s="196"/>
      <c r="Q709" s="196"/>
      <c r="R709" s="196"/>
      <c r="S709" s="196"/>
      <c r="Z709" s="324"/>
      <c r="AA709" s="318"/>
      <c r="AB709" s="324"/>
      <c r="AC709" s="324"/>
      <c r="AD709" s="324"/>
      <c r="AE709" s="324"/>
      <c r="AF709" s="324"/>
      <c r="AG709" s="324"/>
      <c r="AH709" s="324"/>
      <c r="AI709" s="324"/>
      <c r="AJ709" s="324"/>
      <c r="AK709" s="324"/>
      <c r="AL709" s="303"/>
    </row>
    <row r="710" spans="1:38" s="233" customFormat="1" ht="10.199999999999999" hidden="1">
      <c r="A710" s="196"/>
      <c r="B710" s="691" t="s">
        <v>269</v>
      </c>
      <c r="C710" s="727"/>
      <c r="D710" s="717"/>
      <c r="E710" s="727"/>
      <c r="F710" s="717"/>
      <c r="G710" s="196"/>
      <c r="H710" s="196"/>
      <c r="I710" s="196"/>
      <c r="J710" s="196"/>
      <c r="K710" s="196"/>
      <c r="L710" s="297"/>
      <c r="M710" s="716"/>
      <c r="N710" s="207"/>
      <c r="O710" s="208">
        <f t="shared" si="27"/>
        <v>0</v>
      </c>
      <c r="P710" s="196"/>
      <c r="Q710" s="196"/>
      <c r="R710" s="196"/>
      <c r="S710" s="196"/>
      <c r="Z710" s="324"/>
      <c r="AA710" s="318"/>
      <c r="AB710" s="324"/>
      <c r="AC710" s="324"/>
      <c r="AD710" s="324"/>
      <c r="AE710" s="324"/>
      <c r="AF710" s="324"/>
      <c r="AG710" s="324"/>
      <c r="AH710" s="324"/>
      <c r="AI710" s="324"/>
      <c r="AJ710" s="324"/>
      <c r="AK710" s="324"/>
      <c r="AL710" s="303"/>
    </row>
    <row r="711" spans="1:38" s="233" customFormat="1" ht="10.199999999999999" hidden="1">
      <c r="A711" s="196"/>
      <c r="B711" s="691" t="s">
        <v>366</v>
      </c>
      <c r="C711" s="727"/>
      <c r="D711" s="717"/>
      <c r="E711" s="727"/>
      <c r="F711" s="717"/>
      <c r="G711" s="196"/>
      <c r="H711" s="196"/>
      <c r="I711" s="196"/>
      <c r="J711" s="196"/>
      <c r="K711" s="196"/>
      <c r="L711" s="297"/>
      <c r="M711" s="716"/>
      <c r="N711" s="207"/>
      <c r="O711" s="208">
        <f t="shared" si="27"/>
        <v>0</v>
      </c>
      <c r="P711" s="196"/>
      <c r="Q711" s="196"/>
      <c r="R711" s="196"/>
      <c r="S711" s="196"/>
      <c r="Z711" s="324"/>
      <c r="AA711" s="318"/>
      <c r="AB711" s="324"/>
      <c r="AC711" s="324"/>
      <c r="AD711" s="324"/>
      <c r="AE711" s="324"/>
      <c r="AF711" s="324"/>
      <c r="AG711" s="324"/>
      <c r="AH711" s="324"/>
      <c r="AI711" s="324"/>
      <c r="AJ711" s="324"/>
      <c r="AK711" s="324"/>
      <c r="AL711" s="303"/>
    </row>
    <row r="712" spans="1:38" s="233" customFormat="1" ht="10.199999999999999" hidden="1">
      <c r="A712" s="196"/>
      <c r="B712" s="691" t="s">
        <v>465</v>
      </c>
      <c r="C712" s="727"/>
      <c r="D712" s="717"/>
      <c r="E712" s="727"/>
      <c r="F712" s="717"/>
      <c r="G712" s="196"/>
      <c r="H712" s="196"/>
      <c r="I712" s="196"/>
      <c r="J712" s="196"/>
      <c r="K712" s="196"/>
      <c r="L712" s="297"/>
      <c r="M712" s="716"/>
      <c r="N712" s="207"/>
      <c r="O712" s="208">
        <f t="shared" si="27"/>
        <v>0</v>
      </c>
      <c r="P712" s="196"/>
      <c r="Q712" s="196"/>
      <c r="R712" s="196"/>
      <c r="S712" s="196"/>
      <c r="Z712" s="324"/>
      <c r="AA712" s="318"/>
      <c r="AB712" s="324"/>
      <c r="AC712" s="324"/>
      <c r="AD712" s="324"/>
      <c r="AE712" s="324"/>
      <c r="AF712" s="324"/>
      <c r="AG712" s="324"/>
      <c r="AH712" s="324"/>
      <c r="AI712" s="324"/>
      <c r="AJ712" s="324"/>
      <c r="AK712" s="324"/>
      <c r="AL712" s="303"/>
    </row>
    <row r="713" spans="1:38">
      <c r="A713" s="192"/>
      <c r="B713" s="196"/>
      <c r="C713" s="197"/>
      <c r="D713" s="197"/>
      <c r="E713" s="197"/>
      <c r="F713" s="197"/>
      <c r="G713" s="197"/>
      <c r="H713" s="207"/>
      <c r="I713" s="208"/>
      <c r="J713" s="192"/>
      <c r="K713" s="192"/>
      <c r="L713" s="192"/>
      <c r="M713" s="192"/>
      <c r="N713" s="192"/>
      <c r="O713" s="192"/>
      <c r="P713" s="192"/>
      <c r="Q713" s="192"/>
      <c r="R713" s="192"/>
      <c r="S713" s="192"/>
    </row>
    <row r="714" spans="1:38" ht="21" customHeight="1">
      <c r="A714" s="192"/>
      <c r="B714" s="960" t="s">
        <v>449</v>
      </c>
      <c r="C714" s="890"/>
      <c r="D714" s="890"/>
      <c r="E714" s="890"/>
      <c r="F714" s="890"/>
      <c r="G714" s="890"/>
      <c r="H714" s="890"/>
      <c r="I714" s="890"/>
      <c r="J714" s="890"/>
      <c r="K714" s="890"/>
      <c r="L714" s="890"/>
      <c r="M714" s="890"/>
      <c r="N714" s="890"/>
      <c r="O714" s="890"/>
      <c r="P714" s="192"/>
      <c r="Q714" s="192"/>
      <c r="R714" s="192"/>
      <c r="S714" s="192"/>
    </row>
    <row r="715" spans="1:38" ht="3" customHeight="1">
      <c r="A715" s="192"/>
      <c r="B715" s="958"/>
      <c r="C715" s="958"/>
      <c r="D715" s="958"/>
      <c r="E715" s="958"/>
      <c r="F715" s="958"/>
      <c r="G715" s="958"/>
      <c r="H715" s="958"/>
      <c r="I715" s="958"/>
      <c r="J715" s="958"/>
      <c r="K715" s="958"/>
      <c r="L715" s="958"/>
      <c r="M715" s="958"/>
      <c r="N715" s="958"/>
      <c r="O715" s="958"/>
      <c r="P715" s="192"/>
      <c r="Q715" s="192"/>
      <c r="R715" s="192"/>
      <c r="S715" s="192"/>
    </row>
    <row r="716" spans="1:38" s="237" customFormat="1" ht="12" customHeight="1">
      <c r="A716" s="243"/>
      <c r="B716" s="891" t="s">
        <v>197</v>
      </c>
      <c r="C716" s="890" t="s">
        <v>424</v>
      </c>
      <c r="D716" s="890" t="s">
        <v>119</v>
      </c>
      <c r="E716" s="890" t="s">
        <v>231</v>
      </c>
      <c r="F716" s="890" t="s">
        <v>496</v>
      </c>
      <c r="G716" s="890"/>
      <c r="H716" s="890"/>
      <c r="I716" s="890"/>
      <c r="J716" s="890"/>
      <c r="K716" s="892"/>
      <c r="L716" s="892"/>
      <c r="M716" s="890" t="s">
        <v>349</v>
      </c>
      <c r="N716" s="890" t="s">
        <v>166</v>
      </c>
      <c r="O716" s="890" t="s">
        <v>520</v>
      </c>
      <c r="P716" s="194"/>
      <c r="Q716" s="194"/>
      <c r="R716" s="243"/>
      <c r="S716" s="243"/>
      <c r="Z716" s="325"/>
      <c r="AA716" s="318"/>
      <c r="AB716" s="325"/>
      <c r="AC716" s="325"/>
      <c r="AD716" s="325"/>
      <c r="AE716" s="325"/>
      <c r="AF716" s="325"/>
      <c r="AG716" s="325"/>
      <c r="AH716" s="325"/>
      <c r="AI716" s="325"/>
      <c r="AJ716" s="325"/>
      <c r="AK716" s="325"/>
      <c r="AL716" s="304"/>
    </row>
    <row r="717" spans="1:38" s="237" customFormat="1" ht="12" customHeight="1">
      <c r="A717" s="243"/>
      <c r="B717" s="891"/>
      <c r="C717" s="890"/>
      <c r="D717" s="890" t="s">
        <v>22</v>
      </c>
      <c r="E717" s="890" t="s">
        <v>430</v>
      </c>
      <c r="F717" s="890" t="s">
        <v>372</v>
      </c>
      <c r="G717" s="890"/>
      <c r="H717" s="890"/>
      <c r="I717" s="890"/>
      <c r="J717" s="890"/>
      <c r="K717" s="892"/>
      <c r="L717" s="892"/>
      <c r="M717" s="890"/>
      <c r="N717" s="890" t="s">
        <v>621</v>
      </c>
      <c r="O717" s="890"/>
      <c r="P717" s="194"/>
      <c r="Q717" s="194"/>
      <c r="R717" s="243"/>
      <c r="S717" s="243"/>
      <c r="Z717" s="325"/>
      <c r="AA717" s="318"/>
      <c r="AB717" s="325"/>
      <c r="AC717" s="325"/>
      <c r="AD717" s="325"/>
      <c r="AE717" s="325"/>
      <c r="AF717" s="325"/>
      <c r="AG717" s="325"/>
      <c r="AH717" s="325"/>
      <c r="AI717" s="325"/>
      <c r="AJ717" s="325"/>
      <c r="AK717" s="325"/>
      <c r="AL717" s="304"/>
    </row>
    <row r="718" spans="1:38" s="231" customFormat="1" ht="4.95" customHeight="1">
      <c r="A718" s="195"/>
      <c r="B718" s="196"/>
      <c r="C718" s="197"/>
      <c r="D718" s="197"/>
      <c r="E718" s="197"/>
      <c r="F718" s="197"/>
      <c r="G718" s="197"/>
      <c r="H718" s="195"/>
      <c r="I718" s="197"/>
      <c r="J718" s="197"/>
      <c r="K718" s="195"/>
      <c r="L718" s="195"/>
      <c r="M718" s="195"/>
      <c r="N718" s="195"/>
      <c r="O718" s="195"/>
      <c r="P718" s="195"/>
      <c r="Q718" s="195"/>
      <c r="R718" s="195"/>
      <c r="S718" s="195"/>
      <c r="Z718" s="320"/>
      <c r="AA718" s="320"/>
      <c r="AB718" s="320"/>
      <c r="AC718" s="320"/>
      <c r="AD718" s="320"/>
      <c r="AE718" s="320"/>
      <c r="AF718" s="320"/>
      <c r="AG718" s="320"/>
      <c r="AH718" s="320"/>
      <c r="AI718" s="320"/>
      <c r="AJ718" s="320"/>
      <c r="AK718" s="320"/>
      <c r="AL718" s="299"/>
    </row>
    <row r="719" spans="1:38" ht="10.95" customHeight="1">
      <c r="A719" s="192"/>
      <c r="B719" s="646"/>
      <c r="C719" s="652"/>
      <c r="D719" s="653"/>
      <c r="E719" s="654"/>
      <c r="F719" s="677"/>
      <c r="G719" s="244"/>
      <c r="H719" s="251"/>
      <c r="I719" s="252"/>
      <c r="J719" s="253"/>
      <c r="K719" s="252"/>
      <c r="L719" s="248"/>
      <c r="M719" s="218" t="str">
        <f>IF(D719="","",AB719)</f>
        <v/>
      </c>
      <c r="N719" s="214">
        <f>IF(F719=0,0,SUM(O720:O731))</f>
        <v>0</v>
      </c>
      <c r="O719" s="215" t="str">
        <f>IF(N719/$O$1370=0,"",N719/$O$1370)</f>
        <v/>
      </c>
      <c r="P719" s="198"/>
      <c r="Q719" s="198"/>
      <c r="R719" s="198"/>
      <c r="S719" s="192"/>
      <c r="T719" s="182">
        <f>D719*E719</f>
        <v>0</v>
      </c>
      <c r="AA719" s="318">
        <f>IF(D719="",0,1)</f>
        <v>0</v>
      </c>
      <c r="AB719" s="318">
        <f>AB700+AA719</f>
        <v>0</v>
      </c>
    </row>
    <row r="720" spans="1:38" s="235" customFormat="1" ht="10.199999999999999" hidden="1">
      <c r="A720" s="202"/>
      <c r="B720" s="690" t="s">
        <v>49</v>
      </c>
      <c r="C720" s="721"/>
      <c r="D720" s="721"/>
      <c r="E720" s="721"/>
      <c r="F720" s="680"/>
      <c r="G720" s="254"/>
      <c r="H720" s="739">
        <f>Nutzung!$G$29</f>
        <v>0</v>
      </c>
      <c r="I720" s="740">
        <f>Klima!$C136</f>
        <v>0</v>
      </c>
      <c r="J720" s="741">
        <v>31</v>
      </c>
      <c r="K720" s="255"/>
      <c r="L720" s="249"/>
      <c r="M720" s="130"/>
      <c r="N720" s="217">
        <f>EBF!$F$39</f>
        <v>1.0000000000000001E-31</v>
      </c>
      <c r="O720" s="250">
        <f t="shared" ref="O720:O731" si="28">($H$720+Regelung-1-I720)*J720*$D$719*$E$719*$F$719*24/($N$720*1000)</f>
        <v>0</v>
      </c>
      <c r="P720" s="239"/>
      <c r="Q720" s="239"/>
      <c r="R720" s="239"/>
      <c r="S720" s="202"/>
      <c r="Z720" s="323"/>
      <c r="AA720" s="318"/>
      <c r="AB720" s="323"/>
      <c r="AC720" s="323"/>
      <c r="AD720" s="323"/>
      <c r="AE720" s="323"/>
      <c r="AF720" s="323"/>
      <c r="AG720" s="323"/>
      <c r="AH720" s="323"/>
      <c r="AI720" s="323"/>
      <c r="AJ720" s="323"/>
      <c r="AK720" s="323"/>
      <c r="AL720" s="302"/>
    </row>
    <row r="721" spans="1:38" s="235" customFormat="1" ht="10.199999999999999" hidden="1">
      <c r="A721" s="202"/>
      <c r="B721" s="690" t="s">
        <v>554</v>
      </c>
      <c r="C721" s="721"/>
      <c r="D721" s="721"/>
      <c r="E721" s="721"/>
      <c r="F721" s="680"/>
      <c r="G721" s="254"/>
      <c r="H721" s="739"/>
      <c r="I721" s="740">
        <f>Klima!$C137</f>
        <v>0</v>
      </c>
      <c r="J721" s="741">
        <v>28</v>
      </c>
      <c r="K721" s="255"/>
      <c r="L721" s="249"/>
      <c r="M721" s="130"/>
      <c r="N721" s="217"/>
      <c r="O721" s="250">
        <f t="shared" si="28"/>
        <v>0</v>
      </c>
      <c r="P721" s="239"/>
      <c r="Q721" s="239"/>
      <c r="R721" s="239"/>
      <c r="S721" s="202"/>
      <c r="Z721" s="323"/>
      <c r="AA721" s="318"/>
      <c r="AB721" s="323"/>
      <c r="AC721" s="323"/>
      <c r="AD721" s="323"/>
      <c r="AE721" s="323"/>
      <c r="AF721" s="323"/>
      <c r="AG721" s="323"/>
      <c r="AH721" s="323"/>
      <c r="AI721" s="323"/>
      <c r="AJ721" s="323"/>
      <c r="AK721" s="323"/>
      <c r="AL721" s="302"/>
    </row>
    <row r="722" spans="1:38" s="235" customFormat="1" ht="10.199999999999999" hidden="1">
      <c r="A722" s="202"/>
      <c r="B722" s="690" t="s">
        <v>306</v>
      </c>
      <c r="C722" s="721"/>
      <c r="D722" s="721"/>
      <c r="E722" s="721"/>
      <c r="F722" s="680"/>
      <c r="G722" s="254"/>
      <c r="H722" s="739"/>
      <c r="I722" s="740">
        <f>Klima!$C138</f>
        <v>0</v>
      </c>
      <c r="J722" s="741">
        <v>31</v>
      </c>
      <c r="K722" s="255"/>
      <c r="L722" s="249"/>
      <c r="M722" s="130"/>
      <c r="N722" s="217"/>
      <c r="O722" s="250">
        <f t="shared" si="28"/>
        <v>0</v>
      </c>
      <c r="P722" s="239"/>
      <c r="Q722" s="239"/>
      <c r="R722" s="239"/>
      <c r="S722" s="202"/>
      <c r="Z722" s="323"/>
      <c r="AA722" s="318"/>
      <c r="AB722" s="323"/>
      <c r="AC722" s="323"/>
      <c r="AD722" s="323"/>
      <c r="AE722" s="323"/>
      <c r="AF722" s="323"/>
      <c r="AG722" s="323"/>
      <c r="AH722" s="323"/>
      <c r="AI722" s="323"/>
      <c r="AJ722" s="323"/>
      <c r="AK722" s="323"/>
      <c r="AL722" s="302"/>
    </row>
    <row r="723" spans="1:38" s="235" customFormat="1" ht="10.199999999999999" hidden="1">
      <c r="A723" s="202"/>
      <c r="B723" s="690" t="s">
        <v>409</v>
      </c>
      <c r="C723" s="721"/>
      <c r="D723" s="721"/>
      <c r="E723" s="721"/>
      <c r="F723" s="680"/>
      <c r="G723" s="254"/>
      <c r="H723" s="739"/>
      <c r="I723" s="740">
        <f>Klima!$C139</f>
        <v>0</v>
      </c>
      <c r="J723" s="741">
        <v>30</v>
      </c>
      <c r="K723" s="255"/>
      <c r="L723" s="249"/>
      <c r="M723" s="130"/>
      <c r="N723" s="217"/>
      <c r="O723" s="250">
        <f t="shared" si="28"/>
        <v>0</v>
      </c>
      <c r="P723" s="239"/>
      <c r="Q723" s="239"/>
      <c r="R723" s="239"/>
      <c r="S723" s="202"/>
      <c r="Z723" s="323"/>
      <c r="AA723" s="318"/>
      <c r="AB723" s="323"/>
      <c r="AC723" s="323"/>
      <c r="AD723" s="323"/>
      <c r="AE723" s="323"/>
      <c r="AF723" s="323"/>
      <c r="AG723" s="323"/>
      <c r="AH723" s="323"/>
      <c r="AI723" s="323"/>
      <c r="AJ723" s="323"/>
      <c r="AK723" s="323"/>
      <c r="AL723" s="302"/>
    </row>
    <row r="724" spans="1:38" s="235" customFormat="1" ht="10.199999999999999" hidden="1">
      <c r="A724" s="202"/>
      <c r="B724" s="690" t="s">
        <v>410</v>
      </c>
      <c r="C724" s="721"/>
      <c r="D724" s="721"/>
      <c r="E724" s="721"/>
      <c r="F724" s="680"/>
      <c r="G724" s="254"/>
      <c r="H724" s="739"/>
      <c r="I724" s="740">
        <f>Klima!$C140</f>
        <v>0</v>
      </c>
      <c r="J724" s="741">
        <v>31</v>
      </c>
      <c r="K724" s="255"/>
      <c r="L724" s="249"/>
      <c r="M724" s="130"/>
      <c r="N724" s="217"/>
      <c r="O724" s="250">
        <f t="shared" si="28"/>
        <v>0</v>
      </c>
      <c r="P724" s="239"/>
      <c r="Q724" s="239"/>
      <c r="R724" s="239"/>
      <c r="S724" s="202"/>
      <c r="Z724" s="323"/>
      <c r="AA724" s="318"/>
      <c r="AB724" s="323"/>
      <c r="AC724" s="323"/>
      <c r="AD724" s="323"/>
      <c r="AE724" s="323"/>
      <c r="AF724" s="323"/>
      <c r="AG724" s="323"/>
      <c r="AH724" s="323"/>
      <c r="AI724" s="323"/>
      <c r="AJ724" s="323"/>
      <c r="AK724" s="323"/>
      <c r="AL724" s="302"/>
    </row>
    <row r="725" spans="1:38" s="235" customFormat="1" ht="10.199999999999999" hidden="1">
      <c r="A725" s="202"/>
      <c r="B725" s="690" t="s">
        <v>411</v>
      </c>
      <c r="C725" s="721"/>
      <c r="D725" s="721"/>
      <c r="E725" s="721"/>
      <c r="F725" s="680"/>
      <c r="G725" s="254"/>
      <c r="H725" s="739"/>
      <c r="I725" s="740">
        <f>Klima!$C141</f>
        <v>0</v>
      </c>
      <c r="J725" s="741">
        <v>30</v>
      </c>
      <c r="K725" s="255"/>
      <c r="L725" s="249"/>
      <c r="M725" s="130"/>
      <c r="N725" s="217"/>
      <c r="O725" s="250">
        <f t="shared" si="28"/>
        <v>0</v>
      </c>
      <c r="P725" s="239"/>
      <c r="Q725" s="239"/>
      <c r="R725" s="239"/>
      <c r="S725" s="202"/>
      <c r="Z725" s="323"/>
      <c r="AA725" s="318"/>
      <c r="AB725" s="323"/>
      <c r="AC725" s="323"/>
      <c r="AD725" s="323"/>
      <c r="AE725" s="323"/>
      <c r="AF725" s="323"/>
      <c r="AG725" s="323"/>
      <c r="AH725" s="323"/>
      <c r="AI725" s="323"/>
      <c r="AJ725" s="323"/>
      <c r="AK725" s="323"/>
      <c r="AL725" s="302"/>
    </row>
    <row r="726" spans="1:38" s="235" customFormat="1" ht="10.199999999999999" hidden="1">
      <c r="A726" s="202"/>
      <c r="B726" s="690" t="s">
        <v>221</v>
      </c>
      <c r="C726" s="721"/>
      <c r="D726" s="721"/>
      <c r="E726" s="721"/>
      <c r="F726" s="680"/>
      <c r="G726" s="254"/>
      <c r="H726" s="739"/>
      <c r="I726" s="740">
        <f>Klima!$C142</f>
        <v>0</v>
      </c>
      <c r="J726" s="741">
        <v>31</v>
      </c>
      <c r="K726" s="255"/>
      <c r="L726" s="249"/>
      <c r="M726" s="130"/>
      <c r="N726" s="217"/>
      <c r="O726" s="250">
        <f t="shared" si="28"/>
        <v>0</v>
      </c>
      <c r="P726" s="239"/>
      <c r="Q726" s="239"/>
      <c r="R726" s="239"/>
      <c r="S726" s="202"/>
      <c r="Z726" s="323"/>
      <c r="AA726" s="318"/>
      <c r="AB726" s="323"/>
      <c r="AC726" s="323"/>
      <c r="AD726" s="323"/>
      <c r="AE726" s="323"/>
      <c r="AF726" s="323"/>
      <c r="AG726" s="323"/>
      <c r="AH726" s="323"/>
      <c r="AI726" s="323"/>
      <c r="AJ726" s="323"/>
      <c r="AK726" s="323"/>
      <c r="AL726" s="302"/>
    </row>
    <row r="727" spans="1:38" s="235" customFormat="1" ht="10.199999999999999" hidden="1">
      <c r="A727" s="202"/>
      <c r="B727" s="690" t="s">
        <v>138</v>
      </c>
      <c r="C727" s="721"/>
      <c r="D727" s="721"/>
      <c r="E727" s="721"/>
      <c r="F727" s="680"/>
      <c r="G727" s="254"/>
      <c r="H727" s="739"/>
      <c r="I727" s="740">
        <f>Klima!$C143</f>
        <v>0</v>
      </c>
      <c r="J727" s="741">
        <v>31</v>
      </c>
      <c r="K727" s="255"/>
      <c r="L727" s="249"/>
      <c r="M727" s="130"/>
      <c r="N727" s="217"/>
      <c r="O727" s="250">
        <f t="shared" si="28"/>
        <v>0</v>
      </c>
      <c r="P727" s="239"/>
      <c r="Q727" s="239"/>
      <c r="R727" s="239"/>
      <c r="S727" s="202"/>
      <c r="Z727" s="323"/>
      <c r="AA727" s="318"/>
      <c r="AB727" s="323"/>
      <c r="AC727" s="323"/>
      <c r="AD727" s="323"/>
      <c r="AE727" s="323"/>
      <c r="AF727" s="323"/>
      <c r="AG727" s="323"/>
      <c r="AH727" s="323"/>
      <c r="AI727" s="323"/>
      <c r="AJ727" s="323"/>
      <c r="AK727" s="323"/>
      <c r="AL727" s="302"/>
    </row>
    <row r="728" spans="1:38" s="235" customFormat="1" ht="10.199999999999999" hidden="1">
      <c r="A728" s="202"/>
      <c r="B728" s="690" t="s">
        <v>139</v>
      </c>
      <c r="C728" s="721"/>
      <c r="D728" s="721"/>
      <c r="E728" s="721"/>
      <c r="F728" s="680"/>
      <c r="G728" s="254"/>
      <c r="H728" s="739"/>
      <c r="I728" s="740">
        <f>Klima!$C144</f>
        <v>0</v>
      </c>
      <c r="J728" s="741">
        <v>30</v>
      </c>
      <c r="K728" s="255"/>
      <c r="L728" s="249"/>
      <c r="M728" s="130"/>
      <c r="N728" s="217"/>
      <c r="O728" s="250">
        <f t="shared" si="28"/>
        <v>0</v>
      </c>
      <c r="P728" s="239"/>
      <c r="Q728" s="239"/>
      <c r="R728" s="239"/>
      <c r="S728" s="202"/>
      <c r="Z728" s="323"/>
      <c r="AA728" s="318"/>
      <c r="AB728" s="323"/>
      <c r="AC728" s="323"/>
      <c r="AD728" s="323"/>
      <c r="AE728" s="323"/>
      <c r="AF728" s="323"/>
      <c r="AG728" s="323"/>
      <c r="AH728" s="323"/>
      <c r="AI728" s="323"/>
      <c r="AJ728" s="323"/>
      <c r="AK728" s="323"/>
      <c r="AL728" s="302"/>
    </row>
    <row r="729" spans="1:38" s="235" customFormat="1" ht="10.199999999999999" hidden="1">
      <c r="A729" s="202"/>
      <c r="B729" s="690" t="s">
        <v>269</v>
      </c>
      <c r="C729" s="721"/>
      <c r="D729" s="721"/>
      <c r="E729" s="721"/>
      <c r="F729" s="680"/>
      <c r="G729" s="254"/>
      <c r="H729" s="739"/>
      <c r="I729" s="740">
        <f>Klima!$C145</f>
        <v>0</v>
      </c>
      <c r="J729" s="741">
        <v>31</v>
      </c>
      <c r="K729" s="255"/>
      <c r="L729" s="249"/>
      <c r="M729" s="130"/>
      <c r="N729" s="217"/>
      <c r="O729" s="250">
        <f t="shared" si="28"/>
        <v>0</v>
      </c>
      <c r="P729" s="239"/>
      <c r="Q729" s="239"/>
      <c r="R729" s="239"/>
      <c r="S729" s="202"/>
      <c r="Z729" s="323"/>
      <c r="AA729" s="318"/>
      <c r="AB729" s="323"/>
      <c r="AC729" s="323"/>
      <c r="AD729" s="323"/>
      <c r="AE729" s="323"/>
      <c r="AF729" s="323"/>
      <c r="AG729" s="323"/>
      <c r="AH729" s="323"/>
      <c r="AI729" s="323"/>
      <c r="AJ729" s="323"/>
      <c r="AK729" s="323"/>
      <c r="AL729" s="302"/>
    </row>
    <row r="730" spans="1:38" s="235" customFormat="1" ht="10.199999999999999" hidden="1">
      <c r="A730" s="202"/>
      <c r="B730" s="690" t="s">
        <v>366</v>
      </c>
      <c r="C730" s="721"/>
      <c r="D730" s="721"/>
      <c r="E730" s="721"/>
      <c r="F730" s="680"/>
      <c r="G730" s="254"/>
      <c r="H730" s="739"/>
      <c r="I730" s="740">
        <f>Klima!$C146</f>
        <v>0</v>
      </c>
      <c r="J730" s="741">
        <v>30</v>
      </c>
      <c r="K730" s="255"/>
      <c r="L730" s="249"/>
      <c r="M730" s="130"/>
      <c r="N730" s="217"/>
      <c r="O730" s="250">
        <f t="shared" si="28"/>
        <v>0</v>
      </c>
      <c r="P730" s="239"/>
      <c r="Q730" s="239"/>
      <c r="R730" s="239"/>
      <c r="S730" s="202"/>
      <c r="Z730" s="323"/>
      <c r="AA730" s="318"/>
      <c r="AB730" s="323"/>
      <c r="AC730" s="323"/>
      <c r="AD730" s="323"/>
      <c r="AE730" s="323"/>
      <c r="AF730" s="323"/>
      <c r="AG730" s="323"/>
      <c r="AH730" s="323"/>
      <c r="AI730" s="323"/>
      <c r="AJ730" s="323"/>
      <c r="AK730" s="323"/>
      <c r="AL730" s="302"/>
    </row>
    <row r="731" spans="1:38" s="235" customFormat="1" ht="10.199999999999999" hidden="1">
      <c r="A731" s="202"/>
      <c r="B731" s="690" t="s">
        <v>465</v>
      </c>
      <c r="C731" s="721"/>
      <c r="D731" s="721"/>
      <c r="E731" s="721"/>
      <c r="F731" s="680"/>
      <c r="G731" s="254"/>
      <c r="H731" s="739"/>
      <c r="I731" s="740">
        <f>Klima!$C147</f>
        <v>0</v>
      </c>
      <c r="J731" s="741">
        <v>31</v>
      </c>
      <c r="K731" s="255"/>
      <c r="L731" s="249"/>
      <c r="M731" s="130"/>
      <c r="N731" s="217"/>
      <c r="O731" s="250">
        <f t="shared" si="28"/>
        <v>0</v>
      </c>
      <c r="P731" s="239"/>
      <c r="Q731" s="239"/>
      <c r="R731" s="239"/>
      <c r="S731" s="202"/>
      <c r="Z731" s="323"/>
      <c r="AA731" s="318"/>
      <c r="AB731" s="323"/>
      <c r="AC731" s="323"/>
      <c r="AD731" s="323"/>
      <c r="AE731" s="323"/>
      <c r="AF731" s="323"/>
      <c r="AG731" s="323"/>
      <c r="AH731" s="323"/>
      <c r="AI731" s="323"/>
      <c r="AJ731" s="323"/>
      <c r="AK731" s="323"/>
      <c r="AL731" s="302"/>
    </row>
    <row r="732" spans="1:38" ht="10.95" customHeight="1">
      <c r="A732" s="192"/>
      <c r="B732" s="648"/>
      <c r="C732" s="656"/>
      <c r="D732" s="657"/>
      <c r="E732" s="658"/>
      <c r="F732" s="676"/>
      <c r="G732" s="244"/>
      <c r="H732" s="251"/>
      <c r="I732" s="252"/>
      <c r="J732" s="253"/>
      <c r="K732" s="252"/>
      <c r="L732" s="256"/>
      <c r="M732" s="760" t="str">
        <f>IF(D732="","",AB732)</f>
        <v/>
      </c>
      <c r="N732" s="214">
        <f>IF(F732=0,0,SUM(O733:O744))</f>
        <v>0</v>
      </c>
      <c r="O732" s="215" t="str">
        <f>IF(N732/$O$1370=0,"",N732/$O$1370)</f>
        <v/>
      </c>
      <c r="P732" s="198"/>
      <c r="Q732" s="198"/>
      <c r="R732" s="198"/>
      <c r="S732" s="192"/>
      <c r="T732" s="182">
        <f>D732*E732</f>
        <v>0</v>
      </c>
      <c r="AA732" s="318">
        <f>IF(D732="",0,1)</f>
        <v>0</v>
      </c>
      <c r="AB732" s="318">
        <f>AB719+AA732</f>
        <v>0</v>
      </c>
    </row>
    <row r="733" spans="1:38" s="235" customFormat="1" ht="10.199999999999999" hidden="1">
      <c r="A733" s="202"/>
      <c r="B733" s="690" t="s">
        <v>49</v>
      </c>
      <c r="C733" s="743"/>
      <c r="D733" s="26"/>
      <c r="E733" s="680"/>
      <c r="F733" s="752"/>
      <c r="G733" s="709"/>
      <c r="H733" s="739">
        <f>Nutzung!$G$29</f>
        <v>0</v>
      </c>
      <c r="I733" s="255"/>
      <c r="J733" s="255"/>
      <c r="K733" s="255"/>
      <c r="L733" s="249"/>
      <c r="M733" s="130"/>
      <c r="N733" s="217"/>
      <c r="O733" s="250">
        <f t="shared" ref="O733:O744" si="29">($H$733+Regelung-1-I720)*J720*$D$732*$E$732*$F$732*24/($N$720*1000)</f>
        <v>0</v>
      </c>
      <c r="P733" s="239"/>
      <c r="Q733" s="239"/>
      <c r="R733" s="239"/>
      <c r="S733" s="202"/>
      <c r="Z733" s="323"/>
      <c r="AA733" s="318"/>
      <c r="AB733" s="323"/>
      <c r="AC733" s="323"/>
      <c r="AD733" s="323"/>
      <c r="AE733" s="323"/>
      <c r="AF733" s="323"/>
      <c r="AG733" s="323"/>
      <c r="AH733" s="323"/>
      <c r="AI733" s="323"/>
      <c r="AJ733" s="323"/>
      <c r="AK733" s="323"/>
      <c r="AL733" s="302"/>
    </row>
    <row r="734" spans="1:38" s="235" customFormat="1" ht="10.199999999999999" hidden="1">
      <c r="A734" s="202"/>
      <c r="B734" s="690" t="s">
        <v>554</v>
      </c>
      <c r="C734" s="26"/>
      <c r="D734" s="26"/>
      <c r="E734" s="680"/>
      <c r="F734" s="753"/>
      <c r="G734" s="709"/>
      <c r="H734" s="200"/>
      <c r="I734" s="255"/>
      <c r="J734" s="255"/>
      <c r="K734" s="255"/>
      <c r="L734" s="249"/>
      <c r="M734" s="130"/>
      <c r="N734" s="217"/>
      <c r="O734" s="250">
        <f t="shared" si="29"/>
        <v>0</v>
      </c>
      <c r="P734" s="239"/>
      <c r="Q734" s="239"/>
      <c r="R734" s="239"/>
      <c r="S734" s="202"/>
      <c r="Z734" s="323"/>
      <c r="AA734" s="318"/>
      <c r="AB734" s="323"/>
      <c r="AC734" s="323"/>
      <c r="AD734" s="323"/>
      <c r="AE734" s="323"/>
      <c r="AF734" s="323"/>
      <c r="AG734" s="323"/>
      <c r="AH734" s="323"/>
      <c r="AI734" s="323"/>
      <c r="AJ734" s="323"/>
      <c r="AK734" s="323"/>
      <c r="AL734" s="302"/>
    </row>
    <row r="735" spans="1:38" s="235" customFormat="1" ht="10.199999999999999" hidden="1">
      <c r="A735" s="202"/>
      <c r="B735" s="690" t="s">
        <v>306</v>
      </c>
      <c r="C735" s="26"/>
      <c r="D735" s="26"/>
      <c r="E735" s="680"/>
      <c r="F735" s="753"/>
      <c r="G735" s="709"/>
      <c r="H735" s="200"/>
      <c r="I735" s="255"/>
      <c r="J735" s="255"/>
      <c r="K735" s="255"/>
      <c r="L735" s="249"/>
      <c r="M735" s="130"/>
      <c r="N735" s="217"/>
      <c r="O735" s="250">
        <f t="shared" si="29"/>
        <v>0</v>
      </c>
      <c r="P735" s="239"/>
      <c r="Q735" s="239"/>
      <c r="R735" s="239"/>
      <c r="S735" s="202"/>
      <c r="Z735" s="323"/>
      <c r="AA735" s="318"/>
      <c r="AB735" s="323"/>
      <c r="AC735" s="323"/>
      <c r="AD735" s="323"/>
      <c r="AE735" s="323"/>
      <c r="AF735" s="323"/>
      <c r="AG735" s="323"/>
      <c r="AH735" s="323"/>
      <c r="AI735" s="323"/>
      <c r="AJ735" s="323"/>
      <c r="AK735" s="323"/>
      <c r="AL735" s="302"/>
    </row>
    <row r="736" spans="1:38" s="235" customFormat="1" ht="10.199999999999999" hidden="1">
      <c r="A736" s="202"/>
      <c r="B736" s="690" t="s">
        <v>409</v>
      </c>
      <c r="C736" s="26"/>
      <c r="D736" s="26"/>
      <c r="E736" s="680"/>
      <c r="F736" s="753"/>
      <c r="G736" s="709"/>
      <c r="H736" s="200"/>
      <c r="I736" s="255"/>
      <c r="J736" s="255"/>
      <c r="K736" s="255"/>
      <c r="L736" s="249"/>
      <c r="M736" s="130"/>
      <c r="N736" s="217"/>
      <c r="O736" s="250">
        <f t="shared" si="29"/>
        <v>0</v>
      </c>
      <c r="P736" s="239"/>
      <c r="Q736" s="239"/>
      <c r="R736" s="239"/>
      <c r="S736" s="202"/>
      <c r="Z736" s="323"/>
      <c r="AA736" s="318"/>
      <c r="AB736" s="323"/>
      <c r="AC736" s="323"/>
      <c r="AD736" s="323"/>
      <c r="AE736" s="323"/>
      <c r="AF736" s="323"/>
      <c r="AG736" s="323"/>
      <c r="AH736" s="323"/>
      <c r="AI736" s="323"/>
      <c r="AJ736" s="323"/>
      <c r="AK736" s="323"/>
      <c r="AL736" s="302"/>
    </row>
    <row r="737" spans="1:38" s="235" customFormat="1" ht="10.199999999999999" hidden="1">
      <c r="A737" s="202"/>
      <c r="B737" s="690" t="s">
        <v>410</v>
      </c>
      <c r="C737" s="26"/>
      <c r="D737" s="26"/>
      <c r="E737" s="680"/>
      <c r="F737" s="753"/>
      <c r="G737" s="709"/>
      <c r="H737" s="200"/>
      <c r="I737" s="255"/>
      <c r="J737" s="255"/>
      <c r="K737" s="255"/>
      <c r="L737" s="249"/>
      <c r="M737" s="130"/>
      <c r="N737" s="217"/>
      <c r="O737" s="250">
        <f t="shared" si="29"/>
        <v>0</v>
      </c>
      <c r="P737" s="239"/>
      <c r="Q737" s="239"/>
      <c r="R737" s="239"/>
      <c r="S737" s="202"/>
      <c r="Z737" s="323"/>
      <c r="AA737" s="318"/>
      <c r="AB737" s="323"/>
      <c r="AC737" s="323"/>
      <c r="AD737" s="323"/>
      <c r="AE737" s="323"/>
      <c r="AF737" s="323"/>
      <c r="AG737" s="323"/>
      <c r="AH737" s="323"/>
      <c r="AI737" s="323"/>
      <c r="AJ737" s="323"/>
      <c r="AK737" s="323"/>
      <c r="AL737" s="302"/>
    </row>
    <row r="738" spans="1:38" s="235" customFormat="1" ht="10.199999999999999" hidden="1">
      <c r="A738" s="202"/>
      <c r="B738" s="690" t="s">
        <v>411</v>
      </c>
      <c r="C738" s="26"/>
      <c r="D738" s="26"/>
      <c r="E738" s="680"/>
      <c r="F738" s="753"/>
      <c r="G738" s="709"/>
      <c r="H738" s="200"/>
      <c r="I738" s="255"/>
      <c r="J738" s="255"/>
      <c r="K738" s="255"/>
      <c r="L738" s="249"/>
      <c r="M738" s="130"/>
      <c r="N738" s="217"/>
      <c r="O738" s="250">
        <f t="shared" si="29"/>
        <v>0</v>
      </c>
      <c r="P738" s="239"/>
      <c r="Q738" s="239"/>
      <c r="R738" s="239"/>
      <c r="S738" s="202"/>
      <c r="Z738" s="323"/>
      <c r="AA738" s="318"/>
      <c r="AB738" s="323"/>
      <c r="AC738" s="323"/>
      <c r="AD738" s="323"/>
      <c r="AE738" s="323"/>
      <c r="AF738" s="323"/>
      <c r="AG738" s="323"/>
      <c r="AH738" s="323"/>
      <c r="AI738" s="323"/>
      <c r="AJ738" s="323"/>
      <c r="AK738" s="323"/>
      <c r="AL738" s="302"/>
    </row>
    <row r="739" spans="1:38" s="235" customFormat="1" ht="10.199999999999999" hidden="1">
      <c r="A739" s="202"/>
      <c r="B739" s="690" t="s">
        <v>221</v>
      </c>
      <c r="C739" s="26"/>
      <c r="D739" s="26"/>
      <c r="E739" s="680"/>
      <c r="F739" s="753"/>
      <c r="G739" s="709"/>
      <c r="H739" s="200"/>
      <c r="I739" s="255"/>
      <c r="J739" s="255"/>
      <c r="K739" s="255"/>
      <c r="L739" s="249"/>
      <c r="M739" s="130"/>
      <c r="N739" s="217"/>
      <c r="O739" s="250">
        <f t="shared" si="29"/>
        <v>0</v>
      </c>
      <c r="P739" s="239"/>
      <c r="Q739" s="239"/>
      <c r="R739" s="239"/>
      <c r="S739" s="202"/>
      <c r="Z739" s="323"/>
      <c r="AA739" s="318"/>
      <c r="AB739" s="323"/>
      <c r="AC739" s="323"/>
      <c r="AD739" s="323"/>
      <c r="AE739" s="323"/>
      <c r="AF739" s="323"/>
      <c r="AG739" s="323"/>
      <c r="AH739" s="323"/>
      <c r="AI739" s="323"/>
      <c r="AJ739" s="323"/>
      <c r="AK739" s="323"/>
      <c r="AL739" s="302"/>
    </row>
    <row r="740" spans="1:38" s="235" customFormat="1" ht="10.199999999999999" hidden="1">
      <c r="A740" s="202"/>
      <c r="B740" s="690" t="s">
        <v>138</v>
      </c>
      <c r="C740" s="26"/>
      <c r="D740" s="26"/>
      <c r="E740" s="680"/>
      <c r="F740" s="753"/>
      <c r="G740" s="709"/>
      <c r="H740" s="200"/>
      <c r="I740" s="255"/>
      <c r="J740" s="255"/>
      <c r="K740" s="255"/>
      <c r="L740" s="249"/>
      <c r="M740" s="130"/>
      <c r="N740" s="217"/>
      <c r="O740" s="250">
        <f t="shared" si="29"/>
        <v>0</v>
      </c>
      <c r="P740" s="239"/>
      <c r="Q740" s="239"/>
      <c r="R740" s="239"/>
      <c r="S740" s="202"/>
      <c r="Z740" s="323"/>
      <c r="AA740" s="318"/>
      <c r="AB740" s="323"/>
      <c r="AC740" s="323"/>
      <c r="AD740" s="323"/>
      <c r="AE740" s="323"/>
      <c r="AF740" s="323"/>
      <c r="AG740" s="323"/>
      <c r="AH740" s="323"/>
      <c r="AI740" s="323"/>
      <c r="AJ740" s="323"/>
      <c r="AK740" s="323"/>
      <c r="AL740" s="302"/>
    </row>
    <row r="741" spans="1:38" s="235" customFormat="1" ht="10.199999999999999" hidden="1">
      <c r="A741" s="202"/>
      <c r="B741" s="690" t="s">
        <v>139</v>
      </c>
      <c r="C741" s="26"/>
      <c r="D741" s="26"/>
      <c r="E741" s="680"/>
      <c r="F741" s="753"/>
      <c r="G741" s="709"/>
      <c r="H741" s="200"/>
      <c r="I741" s="255"/>
      <c r="J741" s="255"/>
      <c r="K741" s="255"/>
      <c r="L741" s="249"/>
      <c r="M741" s="130"/>
      <c r="N741" s="217"/>
      <c r="O741" s="250">
        <f t="shared" si="29"/>
        <v>0</v>
      </c>
      <c r="P741" s="239"/>
      <c r="Q741" s="239"/>
      <c r="R741" s="239"/>
      <c r="S741" s="202"/>
      <c r="Z741" s="323"/>
      <c r="AA741" s="318"/>
      <c r="AB741" s="323"/>
      <c r="AC741" s="323"/>
      <c r="AD741" s="323"/>
      <c r="AE741" s="323"/>
      <c r="AF741" s="323"/>
      <c r="AG741" s="323"/>
      <c r="AH741" s="323"/>
      <c r="AI741" s="323"/>
      <c r="AJ741" s="323"/>
      <c r="AK741" s="323"/>
      <c r="AL741" s="302"/>
    </row>
    <row r="742" spans="1:38" s="235" customFormat="1" ht="10.199999999999999" hidden="1">
      <c r="A742" s="202"/>
      <c r="B742" s="690" t="s">
        <v>269</v>
      </c>
      <c r="C742" s="26"/>
      <c r="D742" s="26"/>
      <c r="E742" s="680"/>
      <c r="F742" s="753"/>
      <c r="G742" s="709"/>
      <c r="H742" s="200"/>
      <c r="I742" s="255"/>
      <c r="J742" s="255"/>
      <c r="K742" s="255"/>
      <c r="L742" s="249"/>
      <c r="M742" s="130"/>
      <c r="N742" s="217"/>
      <c r="O742" s="250">
        <f t="shared" si="29"/>
        <v>0</v>
      </c>
      <c r="P742" s="239"/>
      <c r="Q742" s="239"/>
      <c r="R742" s="239"/>
      <c r="S742" s="202"/>
      <c r="Z742" s="323"/>
      <c r="AA742" s="318"/>
      <c r="AB742" s="323"/>
      <c r="AC742" s="323"/>
      <c r="AD742" s="323"/>
      <c r="AE742" s="323"/>
      <c r="AF742" s="323"/>
      <c r="AG742" s="323"/>
      <c r="AH742" s="323"/>
      <c r="AI742" s="323"/>
      <c r="AJ742" s="323"/>
      <c r="AK742" s="323"/>
      <c r="AL742" s="302"/>
    </row>
    <row r="743" spans="1:38" s="235" customFormat="1" ht="10.199999999999999" hidden="1">
      <c r="A743" s="202"/>
      <c r="B743" s="690" t="s">
        <v>366</v>
      </c>
      <c r="C743" s="26"/>
      <c r="D743" s="26"/>
      <c r="E743" s="680"/>
      <c r="F743" s="753"/>
      <c r="G743" s="709"/>
      <c r="H743" s="200"/>
      <c r="I743" s="255"/>
      <c r="J743" s="255"/>
      <c r="K743" s="255"/>
      <c r="L743" s="249"/>
      <c r="M743" s="130"/>
      <c r="N743" s="217"/>
      <c r="O743" s="250">
        <f t="shared" si="29"/>
        <v>0</v>
      </c>
      <c r="P743" s="239"/>
      <c r="Q743" s="239"/>
      <c r="R743" s="239"/>
      <c r="S743" s="202"/>
      <c r="Z743" s="323"/>
      <c r="AA743" s="318"/>
      <c r="AB743" s="323"/>
      <c r="AC743" s="323"/>
      <c r="AD743" s="323"/>
      <c r="AE743" s="323"/>
      <c r="AF743" s="323"/>
      <c r="AG743" s="323"/>
      <c r="AH743" s="323"/>
      <c r="AI743" s="323"/>
      <c r="AJ743" s="323"/>
      <c r="AK743" s="323"/>
      <c r="AL743" s="302"/>
    </row>
    <row r="744" spans="1:38" s="235" customFormat="1" ht="10.199999999999999" hidden="1">
      <c r="A744" s="202"/>
      <c r="B744" s="690" t="s">
        <v>465</v>
      </c>
      <c r="C744" s="26"/>
      <c r="D744" s="26"/>
      <c r="E744" s="680"/>
      <c r="F744" s="753"/>
      <c r="G744" s="709"/>
      <c r="H744" s="200"/>
      <c r="I744" s="255"/>
      <c r="J744" s="255"/>
      <c r="K744" s="255"/>
      <c r="L744" s="249"/>
      <c r="M744" s="130"/>
      <c r="N744" s="217"/>
      <c r="O744" s="250">
        <f t="shared" si="29"/>
        <v>0</v>
      </c>
      <c r="P744" s="239"/>
      <c r="Q744" s="239"/>
      <c r="R744" s="239"/>
      <c r="S744" s="202"/>
      <c r="Z744" s="323"/>
      <c r="AA744" s="318"/>
      <c r="AB744" s="323"/>
      <c r="AC744" s="323"/>
      <c r="AD744" s="323"/>
      <c r="AE744" s="323"/>
      <c r="AF744" s="323"/>
      <c r="AG744" s="323"/>
      <c r="AH744" s="323"/>
      <c r="AI744" s="323"/>
      <c r="AJ744" s="323"/>
      <c r="AK744" s="323"/>
      <c r="AL744" s="302"/>
    </row>
    <row r="745" spans="1:38" ht="10.95" customHeight="1">
      <c r="A745" s="192"/>
      <c r="B745" s="648"/>
      <c r="C745" s="656"/>
      <c r="D745" s="657"/>
      <c r="E745" s="658"/>
      <c r="F745" s="676"/>
      <c r="G745" s="244"/>
      <c r="H745" s="251"/>
      <c r="I745" s="252"/>
      <c r="J745" s="253"/>
      <c r="K745" s="252"/>
      <c r="L745" s="256"/>
      <c r="M745" s="760" t="str">
        <f>IF(D745="","",AB745)</f>
        <v/>
      </c>
      <c r="N745" s="214">
        <f>IF(F745=0,0,SUM(O746:O757))</f>
        <v>0</v>
      </c>
      <c r="O745" s="215" t="str">
        <f>IF(N745/$O$1370=0,"",N745/$O$1370)</f>
        <v/>
      </c>
      <c r="P745" s="198"/>
      <c r="Q745" s="198"/>
      <c r="R745" s="198"/>
      <c r="S745" s="192"/>
      <c r="T745" s="182">
        <f>D745*E745</f>
        <v>0</v>
      </c>
      <c r="AA745" s="318">
        <f>IF(D745="",0,1)</f>
        <v>0</v>
      </c>
      <c r="AB745" s="318">
        <f>AB732+AA745</f>
        <v>0</v>
      </c>
    </row>
    <row r="746" spans="1:38" s="235" customFormat="1" ht="10.199999999999999" hidden="1">
      <c r="A746" s="202"/>
      <c r="B746" s="690" t="s">
        <v>49</v>
      </c>
      <c r="C746" s="721"/>
      <c r="D746" s="26"/>
      <c r="E746" s="745"/>
      <c r="F746" s="680"/>
      <c r="G746" s="254"/>
      <c r="H746" s="739">
        <f>Nutzung!$G$29</f>
        <v>0</v>
      </c>
      <c r="I746" s="255"/>
      <c r="J746" s="255"/>
      <c r="K746" s="255"/>
      <c r="L746" s="249"/>
      <c r="M746" s="130"/>
      <c r="N746" s="217"/>
      <c r="O746" s="250">
        <f t="shared" ref="O746:O757" si="30">($H$746+Regelung-1-I720)*J720*$D$745*$E$745*$F$745*24/($N$720*1000)</f>
        <v>0</v>
      </c>
      <c r="P746" s="239"/>
      <c r="Q746" s="239"/>
      <c r="R746" s="239"/>
      <c r="S746" s="202"/>
      <c r="Z746" s="323"/>
      <c r="AA746" s="318"/>
      <c r="AB746" s="323"/>
      <c r="AC746" s="323"/>
      <c r="AD746" s="323"/>
      <c r="AE746" s="323"/>
      <c r="AF746" s="323"/>
      <c r="AG746" s="323"/>
      <c r="AH746" s="323"/>
      <c r="AI746" s="323"/>
      <c r="AJ746" s="323"/>
      <c r="AK746" s="323"/>
      <c r="AL746" s="302"/>
    </row>
    <row r="747" spans="1:38" s="235" customFormat="1" ht="10.199999999999999" hidden="1">
      <c r="A747" s="202"/>
      <c r="B747" s="690" t="s">
        <v>554</v>
      </c>
      <c r="C747" s="26"/>
      <c r="D747" s="26"/>
      <c r="E747" s="26"/>
      <c r="F747" s="680"/>
      <c r="G747" s="254"/>
      <c r="H747" s="200"/>
      <c r="I747" s="255"/>
      <c r="J747" s="255"/>
      <c r="K747" s="255"/>
      <c r="L747" s="249"/>
      <c r="M747" s="130"/>
      <c r="N747" s="217"/>
      <c r="O747" s="250">
        <f t="shared" si="30"/>
        <v>0</v>
      </c>
      <c r="P747" s="239"/>
      <c r="Q747" s="239"/>
      <c r="R747" s="239"/>
      <c r="S747" s="202"/>
      <c r="Z747" s="323"/>
      <c r="AA747" s="318"/>
      <c r="AB747" s="323"/>
      <c r="AC747" s="323"/>
      <c r="AD747" s="323"/>
      <c r="AE747" s="323"/>
      <c r="AF747" s="323"/>
      <c r="AG747" s="323"/>
      <c r="AH747" s="323"/>
      <c r="AI747" s="323"/>
      <c r="AJ747" s="323"/>
      <c r="AK747" s="323"/>
      <c r="AL747" s="302"/>
    </row>
    <row r="748" spans="1:38" s="235" customFormat="1" ht="10.199999999999999" hidden="1">
      <c r="A748" s="202"/>
      <c r="B748" s="690" t="s">
        <v>306</v>
      </c>
      <c r="C748" s="26"/>
      <c r="D748" s="26"/>
      <c r="E748" s="26"/>
      <c r="F748" s="680"/>
      <c r="G748" s="254"/>
      <c r="H748" s="200"/>
      <c r="I748" s="255"/>
      <c r="J748" s="255"/>
      <c r="K748" s="255"/>
      <c r="L748" s="249"/>
      <c r="M748" s="130"/>
      <c r="N748" s="217"/>
      <c r="O748" s="250">
        <f t="shared" si="30"/>
        <v>0</v>
      </c>
      <c r="P748" s="239"/>
      <c r="Q748" s="239"/>
      <c r="R748" s="239"/>
      <c r="S748" s="202"/>
      <c r="Z748" s="323"/>
      <c r="AA748" s="318"/>
      <c r="AB748" s="323"/>
      <c r="AC748" s="323"/>
      <c r="AD748" s="323"/>
      <c r="AE748" s="323"/>
      <c r="AF748" s="323"/>
      <c r="AG748" s="323"/>
      <c r="AH748" s="323"/>
      <c r="AI748" s="323"/>
      <c r="AJ748" s="323"/>
      <c r="AK748" s="323"/>
      <c r="AL748" s="302"/>
    </row>
    <row r="749" spans="1:38" s="235" customFormat="1" ht="10.199999999999999" hidden="1">
      <c r="A749" s="202"/>
      <c r="B749" s="690" t="s">
        <v>409</v>
      </c>
      <c r="C749" s="26"/>
      <c r="D749" s="26"/>
      <c r="E749" s="26"/>
      <c r="F749" s="680"/>
      <c r="G749" s="254"/>
      <c r="H749" s="200"/>
      <c r="I749" s="255"/>
      <c r="J749" s="255"/>
      <c r="K749" s="255"/>
      <c r="L749" s="249"/>
      <c r="M749" s="130"/>
      <c r="N749" s="217"/>
      <c r="O749" s="250">
        <f t="shared" si="30"/>
        <v>0</v>
      </c>
      <c r="P749" s="239"/>
      <c r="Q749" s="239"/>
      <c r="R749" s="239"/>
      <c r="S749" s="202"/>
      <c r="Z749" s="323"/>
      <c r="AA749" s="318"/>
      <c r="AB749" s="323"/>
      <c r="AC749" s="323"/>
      <c r="AD749" s="323"/>
      <c r="AE749" s="323"/>
      <c r="AF749" s="323"/>
      <c r="AG749" s="323"/>
      <c r="AH749" s="323"/>
      <c r="AI749" s="323"/>
      <c r="AJ749" s="323"/>
      <c r="AK749" s="323"/>
      <c r="AL749" s="302"/>
    </row>
    <row r="750" spans="1:38" s="235" customFormat="1" ht="10.199999999999999" hidden="1">
      <c r="A750" s="202"/>
      <c r="B750" s="690" t="s">
        <v>410</v>
      </c>
      <c r="C750" s="26"/>
      <c r="D750" s="26"/>
      <c r="E750" s="26"/>
      <c r="F750" s="680"/>
      <c r="G750" s="254"/>
      <c r="H750" s="200"/>
      <c r="I750" s="255"/>
      <c r="J750" s="255"/>
      <c r="K750" s="255"/>
      <c r="L750" s="249"/>
      <c r="M750" s="130"/>
      <c r="N750" s="217"/>
      <c r="O750" s="250">
        <f t="shared" si="30"/>
        <v>0</v>
      </c>
      <c r="P750" s="239"/>
      <c r="Q750" s="239"/>
      <c r="R750" s="239"/>
      <c r="S750" s="202"/>
      <c r="Z750" s="323"/>
      <c r="AA750" s="318"/>
      <c r="AB750" s="323"/>
      <c r="AC750" s="323"/>
      <c r="AD750" s="323"/>
      <c r="AE750" s="323"/>
      <c r="AF750" s="323"/>
      <c r="AG750" s="323"/>
      <c r="AH750" s="323"/>
      <c r="AI750" s="323"/>
      <c r="AJ750" s="323"/>
      <c r="AK750" s="323"/>
      <c r="AL750" s="302"/>
    </row>
    <row r="751" spans="1:38" s="235" customFormat="1" ht="10.199999999999999" hidden="1">
      <c r="A751" s="202"/>
      <c r="B751" s="690" t="s">
        <v>411</v>
      </c>
      <c r="C751" s="26"/>
      <c r="D751" s="26"/>
      <c r="E751" s="26"/>
      <c r="F751" s="680"/>
      <c r="G751" s="254"/>
      <c r="H751" s="200"/>
      <c r="I751" s="255"/>
      <c r="J751" s="255"/>
      <c r="K751" s="255"/>
      <c r="L751" s="249"/>
      <c r="M751" s="130"/>
      <c r="N751" s="217"/>
      <c r="O751" s="250">
        <f t="shared" si="30"/>
        <v>0</v>
      </c>
      <c r="P751" s="239"/>
      <c r="Q751" s="239"/>
      <c r="R751" s="239"/>
      <c r="S751" s="202"/>
      <c r="Z751" s="323"/>
      <c r="AA751" s="318"/>
      <c r="AB751" s="323"/>
      <c r="AC751" s="323"/>
      <c r="AD751" s="323"/>
      <c r="AE751" s="323"/>
      <c r="AF751" s="323"/>
      <c r="AG751" s="323"/>
      <c r="AH751" s="323"/>
      <c r="AI751" s="323"/>
      <c r="AJ751" s="323"/>
      <c r="AK751" s="323"/>
      <c r="AL751" s="302"/>
    </row>
    <row r="752" spans="1:38" s="235" customFormat="1" ht="10.199999999999999" hidden="1">
      <c r="A752" s="202"/>
      <c r="B752" s="690" t="s">
        <v>221</v>
      </c>
      <c r="C752" s="26"/>
      <c r="D752" s="26"/>
      <c r="E752" s="26"/>
      <c r="F752" s="680"/>
      <c r="G752" s="254"/>
      <c r="H752" s="200"/>
      <c r="I752" s="255"/>
      <c r="J752" s="255"/>
      <c r="K752" s="255"/>
      <c r="L752" s="249"/>
      <c r="M752" s="130"/>
      <c r="N752" s="217"/>
      <c r="O752" s="250">
        <f t="shared" si="30"/>
        <v>0</v>
      </c>
      <c r="P752" s="239"/>
      <c r="Q752" s="239"/>
      <c r="R752" s="239"/>
      <c r="S752" s="202"/>
      <c r="Z752" s="323"/>
      <c r="AA752" s="318"/>
      <c r="AB752" s="323"/>
      <c r="AC752" s="323"/>
      <c r="AD752" s="323"/>
      <c r="AE752" s="323"/>
      <c r="AF752" s="323"/>
      <c r="AG752" s="323"/>
      <c r="AH752" s="323"/>
      <c r="AI752" s="323"/>
      <c r="AJ752" s="323"/>
      <c r="AK752" s="323"/>
      <c r="AL752" s="302"/>
    </row>
    <row r="753" spans="1:38" s="235" customFormat="1" ht="10.199999999999999" hidden="1">
      <c r="A753" s="202"/>
      <c r="B753" s="690" t="s">
        <v>138</v>
      </c>
      <c r="C753" s="26"/>
      <c r="D753" s="26"/>
      <c r="E753" s="26"/>
      <c r="F753" s="680"/>
      <c r="G753" s="254"/>
      <c r="H753" s="200"/>
      <c r="I753" s="255"/>
      <c r="J753" s="255"/>
      <c r="K753" s="255"/>
      <c r="L753" s="249"/>
      <c r="M753" s="130"/>
      <c r="N753" s="217"/>
      <c r="O753" s="250">
        <f t="shared" si="30"/>
        <v>0</v>
      </c>
      <c r="P753" s="239"/>
      <c r="Q753" s="239"/>
      <c r="R753" s="239"/>
      <c r="S753" s="202"/>
      <c r="Z753" s="323"/>
      <c r="AA753" s="318"/>
      <c r="AB753" s="323"/>
      <c r="AC753" s="323"/>
      <c r="AD753" s="323"/>
      <c r="AE753" s="323"/>
      <c r="AF753" s="323"/>
      <c r="AG753" s="323"/>
      <c r="AH753" s="323"/>
      <c r="AI753" s="323"/>
      <c r="AJ753" s="323"/>
      <c r="AK753" s="323"/>
      <c r="AL753" s="302"/>
    </row>
    <row r="754" spans="1:38" s="235" customFormat="1" ht="10.199999999999999" hidden="1">
      <c r="A754" s="202"/>
      <c r="B754" s="690" t="s">
        <v>139</v>
      </c>
      <c r="C754" s="26"/>
      <c r="D754" s="26"/>
      <c r="E754" s="26"/>
      <c r="F754" s="680"/>
      <c r="G754" s="254"/>
      <c r="H754" s="200"/>
      <c r="I754" s="255"/>
      <c r="J754" s="255"/>
      <c r="K754" s="255"/>
      <c r="L754" s="249"/>
      <c r="M754" s="130"/>
      <c r="N754" s="217"/>
      <c r="O754" s="250">
        <f t="shared" si="30"/>
        <v>0</v>
      </c>
      <c r="P754" s="239"/>
      <c r="Q754" s="239"/>
      <c r="R754" s="239"/>
      <c r="S754" s="202"/>
      <c r="Z754" s="323"/>
      <c r="AA754" s="318"/>
      <c r="AB754" s="323"/>
      <c r="AC754" s="323"/>
      <c r="AD754" s="323"/>
      <c r="AE754" s="323"/>
      <c r="AF754" s="323"/>
      <c r="AG754" s="323"/>
      <c r="AH754" s="323"/>
      <c r="AI754" s="323"/>
      <c r="AJ754" s="323"/>
      <c r="AK754" s="323"/>
      <c r="AL754" s="302"/>
    </row>
    <row r="755" spans="1:38" s="235" customFormat="1" ht="10.199999999999999" hidden="1">
      <c r="A755" s="202"/>
      <c r="B755" s="690" t="s">
        <v>269</v>
      </c>
      <c r="C755" s="26"/>
      <c r="D755" s="26"/>
      <c r="E755" s="26"/>
      <c r="F755" s="680"/>
      <c r="G755" s="254"/>
      <c r="H755" s="200"/>
      <c r="I755" s="255"/>
      <c r="J755" s="255"/>
      <c r="K755" s="255"/>
      <c r="L755" s="249"/>
      <c r="M755" s="130"/>
      <c r="N755" s="217"/>
      <c r="O755" s="250">
        <f t="shared" si="30"/>
        <v>0</v>
      </c>
      <c r="P755" s="239"/>
      <c r="Q755" s="239"/>
      <c r="R755" s="239"/>
      <c r="S755" s="202"/>
      <c r="Z755" s="323"/>
      <c r="AA755" s="318"/>
      <c r="AB755" s="323"/>
      <c r="AC755" s="323"/>
      <c r="AD755" s="323"/>
      <c r="AE755" s="323"/>
      <c r="AF755" s="323"/>
      <c r="AG755" s="323"/>
      <c r="AH755" s="323"/>
      <c r="AI755" s="323"/>
      <c r="AJ755" s="323"/>
      <c r="AK755" s="323"/>
      <c r="AL755" s="302"/>
    </row>
    <row r="756" spans="1:38" s="235" customFormat="1" ht="10.199999999999999" hidden="1">
      <c r="A756" s="202"/>
      <c r="B756" s="690" t="s">
        <v>366</v>
      </c>
      <c r="C756" s="26"/>
      <c r="D756" s="26"/>
      <c r="E756" s="26"/>
      <c r="F756" s="680"/>
      <c r="G756" s="254"/>
      <c r="H756" s="200"/>
      <c r="I756" s="255"/>
      <c r="J756" s="255"/>
      <c r="K756" s="255"/>
      <c r="L756" s="249"/>
      <c r="M756" s="130"/>
      <c r="N756" s="217"/>
      <c r="O756" s="250">
        <f t="shared" si="30"/>
        <v>0</v>
      </c>
      <c r="P756" s="239"/>
      <c r="Q756" s="239"/>
      <c r="R756" s="239"/>
      <c r="S756" s="202"/>
      <c r="Z756" s="323"/>
      <c r="AA756" s="318"/>
      <c r="AB756" s="323"/>
      <c r="AC756" s="323"/>
      <c r="AD756" s="323"/>
      <c r="AE756" s="323"/>
      <c r="AF756" s="323"/>
      <c r="AG756" s="323"/>
      <c r="AH756" s="323"/>
      <c r="AI756" s="323"/>
      <c r="AJ756" s="323"/>
      <c r="AK756" s="323"/>
      <c r="AL756" s="302"/>
    </row>
    <row r="757" spans="1:38" s="235" customFormat="1" ht="10.199999999999999" hidden="1">
      <c r="A757" s="202"/>
      <c r="B757" s="690" t="s">
        <v>465</v>
      </c>
      <c r="C757" s="26"/>
      <c r="D757" s="26"/>
      <c r="E757" s="26"/>
      <c r="F757" s="680"/>
      <c r="G757" s="254"/>
      <c r="H757" s="200"/>
      <c r="I757" s="255"/>
      <c r="J757" s="255"/>
      <c r="K757" s="255"/>
      <c r="L757" s="249"/>
      <c r="M757" s="130"/>
      <c r="N757" s="217"/>
      <c r="O757" s="250">
        <f t="shared" si="30"/>
        <v>0</v>
      </c>
      <c r="P757" s="239"/>
      <c r="Q757" s="239"/>
      <c r="R757" s="239"/>
      <c r="S757" s="202"/>
      <c r="Z757" s="323"/>
      <c r="AA757" s="318"/>
      <c r="AB757" s="323"/>
      <c r="AC757" s="323"/>
      <c r="AD757" s="323"/>
      <c r="AE757" s="323"/>
      <c r="AF757" s="323"/>
      <c r="AG757" s="323"/>
      <c r="AH757" s="323"/>
      <c r="AI757" s="323"/>
      <c r="AJ757" s="323"/>
      <c r="AK757" s="323"/>
      <c r="AL757" s="302"/>
    </row>
    <row r="758" spans="1:38" ht="10.95" customHeight="1">
      <c r="A758" s="192"/>
      <c r="B758" s="648"/>
      <c r="C758" s="656"/>
      <c r="D758" s="657"/>
      <c r="E758" s="658"/>
      <c r="F758" s="676"/>
      <c r="G758" s="244"/>
      <c r="H758" s="251"/>
      <c r="I758" s="252"/>
      <c r="J758" s="253"/>
      <c r="K758" s="252"/>
      <c r="L758" s="256"/>
      <c r="M758" s="760" t="str">
        <f>IF(D758="","",AB758)</f>
        <v/>
      </c>
      <c r="N758" s="214">
        <f>IF(F758=0,0,SUM(O759:O770))</f>
        <v>0</v>
      </c>
      <c r="O758" s="215" t="str">
        <f>IF(N758/$O$1370=0,"",N758/$O$1370)</f>
        <v/>
      </c>
      <c r="P758" s="198"/>
      <c r="Q758" s="198"/>
      <c r="R758" s="198"/>
      <c r="S758" s="192"/>
      <c r="T758" s="182">
        <f>D758*E758</f>
        <v>0</v>
      </c>
      <c r="AA758" s="318">
        <f>IF(D758="",0,1)</f>
        <v>0</v>
      </c>
      <c r="AB758" s="318">
        <f>AB745+AA758</f>
        <v>0</v>
      </c>
    </row>
    <row r="759" spans="1:38" s="235" customFormat="1" ht="10.199999999999999" hidden="1">
      <c r="A759" s="202"/>
      <c r="B759" s="690" t="s">
        <v>49</v>
      </c>
      <c r="C759" s="721"/>
      <c r="D759" s="26"/>
      <c r="E759" s="745"/>
      <c r="F759" s="680"/>
      <c r="G759" s="254"/>
      <c r="H759" s="739">
        <f>Nutzung!$G$29</f>
        <v>0</v>
      </c>
      <c r="I759" s="255"/>
      <c r="J759" s="255"/>
      <c r="K759" s="255"/>
      <c r="L759" s="249"/>
      <c r="M759" s="130"/>
      <c r="N759" s="217"/>
      <c r="O759" s="250">
        <f t="shared" ref="O759:O770" si="31">($H$759+Regelung-1-I720)*J720*$D$758*$E$758*$F$758*24/($N$720*1000)</f>
        <v>0</v>
      </c>
      <c r="P759" s="239"/>
      <c r="Q759" s="239"/>
      <c r="R759" s="239"/>
      <c r="S759" s="202"/>
      <c r="Z759" s="323"/>
      <c r="AA759" s="318"/>
      <c r="AB759" s="323"/>
      <c r="AC759" s="323"/>
      <c r="AD759" s="323"/>
      <c r="AE759" s="323"/>
      <c r="AF759" s="323"/>
      <c r="AG759" s="323"/>
      <c r="AH759" s="323"/>
      <c r="AI759" s="323"/>
      <c r="AJ759" s="323"/>
      <c r="AK759" s="323"/>
      <c r="AL759" s="302"/>
    </row>
    <row r="760" spans="1:38" s="235" customFormat="1" ht="10.199999999999999" hidden="1">
      <c r="A760" s="202"/>
      <c r="B760" s="690" t="s">
        <v>554</v>
      </c>
      <c r="C760" s="26"/>
      <c r="D760" s="26"/>
      <c r="E760" s="26"/>
      <c r="F760" s="680"/>
      <c r="G760" s="254"/>
      <c r="H760" s="200"/>
      <c r="I760" s="255"/>
      <c r="J760" s="255"/>
      <c r="K760" s="255"/>
      <c r="L760" s="249"/>
      <c r="M760" s="130"/>
      <c r="N760" s="217"/>
      <c r="O760" s="250">
        <f t="shared" si="31"/>
        <v>0</v>
      </c>
      <c r="P760" s="239"/>
      <c r="Q760" s="239"/>
      <c r="R760" s="239"/>
      <c r="S760" s="202"/>
      <c r="Z760" s="323"/>
      <c r="AA760" s="318"/>
      <c r="AB760" s="323"/>
      <c r="AC760" s="323"/>
      <c r="AD760" s="323"/>
      <c r="AE760" s="323"/>
      <c r="AF760" s="323"/>
      <c r="AG760" s="323"/>
      <c r="AH760" s="323"/>
      <c r="AI760" s="323"/>
      <c r="AJ760" s="323"/>
      <c r="AK760" s="323"/>
      <c r="AL760" s="302"/>
    </row>
    <row r="761" spans="1:38" s="235" customFormat="1" ht="10.199999999999999" hidden="1">
      <c r="A761" s="202"/>
      <c r="B761" s="690" t="s">
        <v>306</v>
      </c>
      <c r="C761" s="26"/>
      <c r="D761" s="26"/>
      <c r="E761" s="26"/>
      <c r="F761" s="680"/>
      <c r="G761" s="254"/>
      <c r="H761" s="200"/>
      <c r="I761" s="255"/>
      <c r="J761" s="255"/>
      <c r="K761" s="255"/>
      <c r="L761" s="249"/>
      <c r="M761" s="130"/>
      <c r="N761" s="217"/>
      <c r="O761" s="250">
        <f t="shared" si="31"/>
        <v>0</v>
      </c>
      <c r="P761" s="239"/>
      <c r="Q761" s="239"/>
      <c r="R761" s="239"/>
      <c r="S761" s="202"/>
      <c r="Z761" s="323"/>
      <c r="AA761" s="318"/>
      <c r="AB761" s="323"/>
      <c r="AC761" s="323"/>
      <c r="AD761" s="323"/>
      <c r="AE761" s="323"/>
      <c r="AF761" s="323"/>
      <c r="AG761" s="323"/>
      <c r="AH761" s="323"/>
      <c r="AI761" s="323"/>
      <c r="AJ761" s="323"/>
      <c r="AK761" s="323"/>
      <c r="AL761" s="302"/>
    </row>
    <row r="762" spans="1:38" s="235" customFormat="1" ht="10.199999999999999" hidden="1">
      <c r="A762" s="202"/>
      <c r="B762" s="690" t="s">
        <v>409</v>
      </c>
      <c r="C762" s="26"/>
      <c r="D762" s="26"/>
      <c r="E762" s="26"/>
      <c r="F762" s="680"/>
      <c r="G762" s="254"/>
      <c r="H762" s="200"/>
      <c r="I762" s="255"/>
      <c r="J762" s="255"/>
      <c r="K762" s="255"/>
      <c r="L762" s="249"/>
      <c r="M762" s="130"/>
      <c r="N762" s="217"/>
      <c r="O762" s="250">
        <f t="shared" si="31"/>
        <v>0</v>
      </c>
      <c r="P762" s="239"/>
      <c r="Q762" s="239"/>
      <c r="R762" s="239"/>
      <c r="S762" s="202"/>
      <c r="Z762" s="323"/>
      <c r="AA762" s="318"/>
      <c r="AB762" s="323"/>
      <c r="AC762" s="323"/>
      <c r="AD762" s="323"/>
      <c r="AE762" s="323"/>
      <c r="AF762" s="323"/>
      <c r="AG762" s="323"/>
      <c r="AH762" s="323"/>
      <c r="AI762" s="323"/>
      <c r="AJ762" s="323"/>
      <c r="AK762" s="323"/>
      <c r="AL762" s="302"/>
    </row>
    <row r="763" spans="1:38" s="235" customFormat="1" ht="10.199999999999999" hidden="1">
      <c r="A763" s="202"/>
      <c r="B763" s="690" t="s">
        <v>410</v>
      </c>
      <c r="C763" s="26"/>
      <c r="D763" s="26"/>
      <c r="E763" s="26"/>
      <c r="F763" s="680"/>
      <c r="G763" s="254"/>
      <c r="H763" s="200"/>
      <c r="I763" s="255"/>
      <c r="J763" s="255"/>
      <c r="K763" s="255"/>
      <c r="L763" s="249"/>
      <c r="M763" s="130"/>
      <c r="N763" s="217"/>
      <c r="O763" s="250">
        <f t="shared" si="31"/>
        <v>0</v>
      </c>
      <c r="P763" s="239"/>
      <c r="Q763" s="239"/>
      <c r="R763" s="239"/>
      <c r="S763" s="202"/>
      <c r="Z763" s="323"/>
      <c r="AA763" s="318"/>
      <c r="AB763" s="323"/>
      <c r="AC763" s="323"/>
      <c r="AD763" s="323"/>
      <c r="AE763" s="323"/>
      <c r="AF763" s="323"/>
      <c r="AG763" s="323"/>
      <c r="AH763" s="323"/>
      <c r="AI763" s="323"/>
      <c r="AJ763" s="323"/>
      <c r="AK763" s="323"/>
      <c r="AL763" s="302"/>
    </row>
    <row r="764" spans="1:38" s="235" customFormat="1" ht="10.199999999999999" hidden="1">
      <c r="A764" s="202"/>
      <c r="B764" s="690" t="s">
        <v>411</v>
      </c>
      <c r="C764" s="26"/>
      <c r="D764" s="26"/>
      <c r="E764" s="26"/>
      <c r="F764" s="680"/>
      <c r="G764" s="254"/>
      <c r="H764" s="200"/>
      <c r="I764" s="255"/>
      <c r="J764" s="255"/>
      <c r="K764" s="255"/>
      <c r="L764" s="249"/>
      <c r="M764" s="130"/>
      <c r="N764" s="217"/>
      <c r="O764" s="250">
        <f t="shared" si="31"/>
        <v>0</v>
      </c>
      <c r="P764" s="239"/>
      <c r="Q764" s="239"/>
      <c r="R764" s="239"/>
      <c r="S764" s="202"/>
      <c r="Z764" s="323"/>
      <c r="AA764" s="318"/>
      <c r="AB764" s="323"/>
      <c r="AC764" s="323"/>
      <c r="AD764" s="323"/>
      <c r="AE764" s="323"/>
      <c r="AF764" s="323"/>
      <c r="AG764" s="323"/>
      <c r="AH764" s="323"/>
      <c r="AI764" s="323"/>
      <c r="AJ764" s="323"/>
      <c r="AK764" s="323"/>
      <c r="AL764" s="302"/>
    </row>
    <row r="765" spans="1:38" s="235" customFormat="1" ht="10.199999999999999" hidden="1">
      <c r="A765" s="202"/>
      <c r="B765" s="690" t="s">
        <v>221</v>
      </c>
      <c r="C765" s="26"/>
      <c r="D765" s="26"/>
      <c r="E765" s="26"/>
      <c r="F765" s="680"/>
      <c r="G765" s="254"/>
      <c r="H765" s="200"/>
      <c r="I765" s="255"/>
      <c r="J765" s="255"/>
      <c r="K765" s="255"/>
      <c r="L765" s="249"/>
      <c r="M765" s="130"/>
      <c r="N765" s="217"/>
      <c r="O765" s="250">
        <f t="shared" si="31"/>
        <v>0</v>
      </c>
      <c r="P765" s="239"/>
      <c r="Q765" s="239"/>
      <c r="R765" s="239"/>
      <c r="S765" s="202"/>
      <c r="Z765" s="323"/>
      <c r="AA765" s="318"/>
      <c r="AB765" s="323"/>
      <c r="AC765" s="323"/>
      <c r="AD765" s="323"/>
      <c r="AE765" s="323"/>
      <c r="AF765" s="323"/>
      <c r="AG765" s="323"/>
      <c r="AH765" s="323"/>
      <c r="AI765" s="323"/>
      <c r="AJ765" s="323"/>
      <c r="AK765" s="323"/>
      <c r="AL765" s="302"/>
    </row>
    <row r="766" spans="1:38" s="235" customFormat="1" ht="10.199999999999999" hidden="1">
      <c r="A766" s="202"/>
      <c r="B766" s="690" t="s">
        <v>138</v>
      </c>
      <c r="C766" s="26"/>
      <c r="D766" s="26"/>
      <c r="E766" s="26"/>
      <c r="F766" s="680"/>
      <c r="G766" s="254"/>
      <c r="H766" s="200"/>
      <c r="I766" s="255"/>
      <c r="J766" s="255"/>
      <c r="K766" s="255"/>
      <c r="L766" s="249"/>
      <c r="M766" s="130"/>
      <c r="N766" s="217"/>
      <c r="O766" s="250">
        <f t="shared" si="31"/>
        <v>0</v>
      </c>
      <c r="P766" s="239"/>
      <c r="Q766" s="239"/>
      <c r="R766" s="239"/>
      <c r="S766" s="202"/>
      <c r="Z766" s="323"/>
      <c r="AA766" s="318"/>
      <c r="AB766" s="323"/>
      <c r="AC766" s="323"/>
      <c r="AD766" s="323"/>
      <c r="AE766" s="323"/>
      <c r="AF766" s="323"/>
      <c r="AG766" s="323"/>
      <c r="AH766" s="323"/>
      <c r="AI766" s="323"/>
      <c r="AJ766" s="323"/>
      <c r="AK766" s="323"/>
      <c r="AL766" s="302"/>
    </row>
    <row r="767" spans="1:38" s="235" customFormat="1" ht="10.199999999999999" hidden="1">
      <c r="A767" s="202"/>
      <c r="B767" s="690" t="s">
        <v>139</v>
      </c>
      <c r="C767" s="26"/>
      <c r="D767" s="26"/>
      <c r="E767" s="26"/>
      <c r="F767" s="680"/>
      <c r="G767" s="254"/>
      <c r="H767" s="200"/>
      <c r="I767" s="255"/>
      <c r="J767" s="255"/>
      <c r="K767" s="255"/>
      <c r="L767" s="249"/>
      <c r="M767" s="130"/>
      <c r="N767" s="217"/>
      <c r="O767" s="250">
        <f t="shared" si="31"/>
        <v>0</v>
      </c>
      <c r="P767" s="239"/>
      <c r="Q767" s="239"/>
      <c r="R767" s="239"/>
      <c r="S767" s="202"/>
      <c r="Z767" s="323"/>
      <c r="AA767" s="318"/>
      <c r="AB767" s="323"/>
      <c r="AC767" s="323"/>
      <c r="AD767" s="323"/>
      <c r="AE767" s="323"/>
      <c r="AF767" s="323"/>
      <c r="AG767" s="323"/>
      <c r="AH767" s="323"/>
      <c r="AI767" s="323"/>
      <c r="AJ767" s="323"/>
      <c r="AK767" s="323"/>
      <c r="AL767" s="302"/>
    </row>
    <row r="768" spans="1:38" s="235" customFormat="1" ht="10.199999999999999" hidden="1">
      <c r="A768" s="202"/>
      <c r="B768" s="690" t="s">
        <v>269</v>
      </c>
      <c r="C768" s="26"/>
      <c r="D768" s="26"/>
      <c r="E768" s="26"/>
      <c r="F768" s="680"/>
      <c r="G768" s="254"/>
      <c r="H768" s="200"/>
      <c r="I768" s="255"/>
      <c r="J768" s="255"/>
      <c r="K768" s="255"/>
      <c r="L768" s="249"/>
      <c r="M768" s="130"/>
      <c r="N768" s="217"/>
      <c r="O768" s="250">
        <f t="shared" si="31"/>
        <v>0</v>
      </c>
      <c r="P768" s="239"/>
      <c r="Q768" s="239"/>
      <c r="R768" s="239"/>
      <c r="S768" s="202"/>
      <c r="Z768" s="323"/>
      <c r="AA768" s="318"/>
      <c r="AB768" s="323"/>
      <c r="AC768" s="323"/>
      <c r="AD768" s="323"/>
      <c r="AE768" s="323"/>
      <c r="AF768" s="323"/>
      <c r="AG768" s="323"/>
      <c r="AH768" s="323"/>
      <c r="AI768" s="323"/>
      <c r="AJ768" s="323"/>
      <c r="AK768" s="323"/>
      <c r="AL768" s="302"/>
    </row>
    <row r="769" spans="1:38" s="235" customFormat="1" ht="10.199999999999999" hidden="1">
      <c r="A769" s="202"/>
      <c r="B769" s="690" t="s">
        <v>366</v>
      </c>
      <c r="C769" s="26"/>
      <c r="D769" s="26"/>
      <c r="E769" s="26"/>
      <c r="F769" s="680"/>
      <c r="G769" s="254"/>
      <c r="H769" s="200"/>
      <c r="I769" s="255"/>
      <c r="J769" s="255"/>
      <c r="K769" s="255"/>
      <c r="L769" s="249"/>
      <c r="M769" s="130"/>
      <c r="N769" s="217"/>
      <c r="O769" s="250">
        <f t="shared" si="31"/>
        <v>0</v>
      </c>
      <c r="P769" s="239"/>
      <c r="Q769" s="239"/>
      <c r="R769" s="239"/>
      <c r="S769" s="202"/>
      <c r="Z769" s="323"/>
      <c r="AA769" s="318"/>
      <c r="AB769" s="323"/>
      <c r="AC769" s="323"/>
      <c r="AD769" s="323"/>
      <c r="AE769" s="323"/>
      <c r="AF769" s="323"/>
      <c r="AG769" s="323"/>
      <c r="AH769" s="323"/>
      <c r="AI769" s="323"/>
      <c r="AJ769" s="323"/>
      <c r="AK769" s="323"/>
      <c r="AL769" s="302"/>
    </row>
    <row r="770" spans="1:38" s="235" customFormat="1" ht="10.199999999999999" hidden="1">
      <c r="A770" s="202"/>
      <c r="B770" s="690" t="s">
        <v>465</v>
      </c>
      <c r="C770" s="26"/>
      <c r="D770" s="26"/>
      <c r="E770" s="26"/>
      <c r="F770" s="680"/>
      <c r="G770" s="254"/>
      <c r="H770" s="200"/>
      <c r="I770" s="255"/>
      <c r="J770" s="255"/>
      <c r="K770" s="255"/>
      <c r="L770" s="249"/>
      <c r="M770" s="130"/>
      <c r="N770" s="217"/>
      <c r="O770" s="250">
        <f t="shared" si="31"/>
        <v>0</v>
      </c>
      <c r="P770" s="239"/>
      <c r="Q770" s="239"/>
      <c r="R770" s="239"/>
      <c r="S770" s="202"/>
      <c r="Z770" s="323"/>
      <c r="AA770" s="318"/>
      <c r="AB770" s="323"/>
      <c r="AC770" s="323"/>
      <c r="AD770" s="323"/>
      <c r="AE770" s="323"/>
      <c r="AF770" s="323"/>
      <c r="AG770" s="323"/>
      <c r="AH770" s="323"/>
      <c r="AI770" s="323"/>
      <c r="AJ770" s="323"/>
      <c r="AK770" s="323"/>
      <c r="AL770" s="302"/>
    </row>
    <row r="771" spans="1:38" ht="10.95" customHeight="1">
      <c r="A771" s="203" t="str">
        <f>A687</f>
        <v>0</v>
      </c>
      <c r="B771" s="648"/>
      <c r="C771" s="656"/>
      <c r="D771" s="657"/>
      <c r="E771" s="658"/>
      <c r="F771" s="746"/>
      <c r="G771" s="244"/>
      <c r="H771" s="251"/>
      <c r="I771" s="252"/>
      <c r="J771" s="253"/>
      <c r="K771" s="252"/>
      <c r="L771" s="256"/>
      <c r="M771" s="760" t="str">
        <f>IF(D771="","",AB771)</f>
        <v/>
      </c>
      <c r="N771" s="214">
        <f>IF(F771=0,0,SUM(O772:O783))</f>
        <v>0</v>
      </c>
      <c r="O771" s="215" t="str">
        <f>IF(N771/$O$1370=0,"",N771/$O$1370)</f>
        <v/>
      </c>
      <c r="P771" s="198"/>
      <c r="Q771" s="198"/>
      <c r="R771" s="198"/>
      <c r="S771" s="192"/>
      <c r="T771" s="182">
        <f>D771*E771</f>
        <v>0</v>
      </c>
      <c r="AA771" s="318">
        <f>IF(D771="",0,1)</f>
        <v>0</v>
      </c>
      <c r="AB771" s="318">
        <f>AB758+AA771</f>
        <v>0</v>
      </c>
    </row>
    <row r="772" spans="1:38" s="233" customFormat="1" ht="10.199999999999999" hidden="1">
      <c r="A772" s="196"/>
      <c r="B772" s="47" t="s">
        <v>49</v>
      </c>
      <c r="C772" s="716"/>
      <c r="D772" s="681"/>
      <c r="E772" s="745"/>
      <c r="F772" s="681"/>
      <c r="G772" s="254"/>
      <c r="H772" s="739">
        <f>Nutzung!$G$29</f>
        <v>0</v>
      </c>
      <c r="I772" s="255"/>
      <c r="J772" s="255"/>
      <c r="K772" s="255"/>
      <c r="L772" s="249"/>
      <c r="M772" s="181"/>
      <c r="N772" s="217"/>
      <c r="O772" s="250">
        <f t="shared" ref="O772:O783" si="32">($H$772+Regelung-1-I720)*J720*$D$771*$E$771*$F$771*24/($N$720*1000)</f>
        <v>0</v>
      </c>
      <c r="P772" s="196"/>
      <c r="Q772" s="196"/>
      <c r="R772" s="196"/>
      <c r="S772" s="196"/>
      <c r="Z772" s="324"/>
      <c r="AA772" s="318"/>
      <c r="AB772" s="324"/>
      <c r="AC772" s="324"/>
      <c r="AD772" s="324"/>
      <c r="AE772" s="324"/>
      <c r="AF772" s="324"/>
      <c r="AG772" s="324"/>
      <c r="AH772" s="324"/>
      <c r="AI772" s="324"/>
      <c r="AJ772" s="324"/>
      <c r="AK772" s="324"/>
      <c r="AL772" s="303"/>
    </row>
    <row r="773" spans="1:38" s="233" customFormat="1" ht="10.199999999999999" hidden="1">
      <c r="A773" s="196"/>
      <c r="B773" s="47" t="s">
        <v>554</v>
      </c>
      <c r="C773" s="26"/>
      <c r="D773" s="26"/>
      <c r="E773" s="26"/>
      <c r="F773" s="681"/>
      <c r="G773" s="254"/>
      <c r="H773" s="200"/>
      <c r="I773" s="255"/>
      <c r="J773" s="255"/>
      <c r="K773" s="255"/>
      <c r="L773" s="249"/>
      <c r="M773" s="181"/>
      <c r="N773" s="217"/>
      <c r="O773" s="250">
        <f t="shared" si="32"/>
        <v>0</v>
      </c>
      <c r="P773" s="196"/>
      <c r="Q773" s="196"/>
      <c r="R773" s="196"/>
      <c r="S773" s="196"/>
      <c r="Z773" s="324"/>
      <c r="AA773" s="318"/>
      <c r="AB773" s="324"/>
      <c r="AC773" s="324"/>
      <c r="AD773" s="324"/>
      <c r="AE773" s="324"/>
      <c r="AF773" s="324"/>
      <c r="AG773" s="324"/>
      <c r="AH773" s="324"/>
      <c r="AI773" s="324"/>
      <c r="AJ773" s="324"/>
      <c r="AK773" s="324"/>
      <c r="AL773" s="303"/>
    </row>
    <row r="774" spans="1:38" s="233" customFormat="1" ht="10.199999999999999" hidden="1">
      <c r="A774" s="196"/>
      <c r="B774" s="47" t="s">
        <v>306</v>
      </c>
      <c r="C774" s="26"/>
      <c r="D774" s="26"/>
      <c r="E774" s="26"/>
      <c r="F774" s="681"/>
      <c r="G774" s="254"/>
      <c r="H774" s="200"/>
      <c r="I774" s="255"/>
      <c r="J774" s="255"/>
      <c r="K774" s="255"/>
      <c r="L774" s="249"/>
      <c r="M774" s="181"/>
      <c r="N774" s="217"/>
      <c r="O774" s="250">
        <f t="shared" si="32"/>
        <v>0</v>
      </c>
      <c r="P774" s="196"/>
      <c r="Q774" s="196"/>
      <c r="R774" s="196"/>
      <c r="S774" s="196"/>
      <c r="Z774" s="324"/>
      <c r="AA774" s="318"/>
      <c r="AB774" s="324"/>
      <c r="AC774" s="324"/>
      <c r="AD774" s="324"/>
      <c r="AE774" s="324"/>
      <c r="AF774" s="324"/>
      <c r="AG774" s="324"/>
      <c r="AH774" s="324"/>
      <c r="AI774" s="324"/>
      <c r="AJ774" s="324"/>
      <c r="AK774" s="324"/>
      <c r="AL774" s="303"/>
    </row>
    <row r="775" spans="1:38" s="233" customFormat="1" ht="10.199999999999999" hidden="1">
      <c r="A775" s="196"/>
      <c r="B775" s="47" t="s">
        <v>409</v>
      </c>
      <c r="C775" s="26"/>
      <c r="D775" s="26"/>
      <c r="E775" s="26"/>
      <c r="F775" s="681"/>
      <c r="G775" s="254"/>
      <c r="H775" s="200"/>
      <c r="I775" s="255"/>
      <c r="J775" s="255"/>
      <c r="K775" s="255"/>
      <c r="L775" s="249"/>
      <c r="M775" s="181"/>
      <c r="N775" s="217"/>
      <c r="O775" s="250">
        <f t="shared" si="32"/>
        <v>0</v>
      </c>
      <c r="P775" s="196"/>
      <c r="Q775" s="196"/>
      <c r="R775" s="196"/>
      <c r="S775" s="196"/>
      <c r="Z775" s="324"/>
      <c r="AA775" s="318"/>
      <c r="AB775" s="324"/>
      <c r="AC775" s="324"/>
      <c r="AD775" s="324"/>
      <c r="AE775" s="324"/>
      <c r="AF775" s="324"/>
      <c r="AG775" s="324"/>
      <c r="AH775" s="324"/>
      <c r="AI775" s="324"/>
      <c r="AJ775" s="324"/>
      <c r="AK775" s="324"/>
      <c r="AL775" s="303"/>
    </row>
    <row r="776" spans="1:38" s="233" customFormat="1" ht="10.199999999999999" hidden="1">
      <c r="A776" s="196"/>
      <c r="B776" s="47" t="s">
        <v>410</v>
      </c>
      <c r="C776" s="26"/>
      <c r="D776" s="26"/>
      <c r="E776" s="26"/>
      <c r="F776" s="681"/>
      <c r="G776" s="254"/>
      <c r="H776" s="200"/>
      <c r="I776" s="255"/>
      <c r="J776" s="255"/>
      <c r="K776" s="255"/>
      <c r="L776" s="249"/>
      <c r="M776" s="181"/>
      <c r="N776" s="217"/>
      <c r="O776" s="250">
        <f t="shared" si="32"/>
        <v>0</v>
      </c>
      <c r="P776" s="196"/>
      <c r="Q776" s="196"/>
      <c r="R776" s="196"/>
      <c r="S776" s="196"/>
      <c r="Z776" s="324"/>
      <c r="AA776" s="318"/>
      <c r="AB776" s="324"/>
      <c r="AC776" s="324"/>
      <c r="AD776" s="324"/>
      <c r="AE776" s="324"/>
      <c r="AF776" s="324"/>
      <c r="AG776" s="324"/>
      <c r="AH776" s="324"/>
      <c r="AI776" s="324"/>
      <c r="AJ776" s="324"/>
      <c r="AK776" s="324"/>
      <c r="AL776" s="303"/>
    </row>
    <row r="777" spans="1:38" s="233" customFormat="1" ht="8.25" hidden="1" customHeight="1">
      <c r="A777" s="196"/>
      <c r="B777" s="47" t="s">
        <v>411</v>
      </c>
      <c r="C777" s="26"/>
      <c r="D777" s="26"/>
      <c r="E777" s="26"/>
      <c r="F777" s="681"/>
      <c r="G777" s="254"/>
      <c r="H777" s="200"/>
      <c r="I777" s="255"/>
      <c r="J777" s="255"/>
      <c r="K777" s="255"/>
      <c r="L777" s="249"/>
      <c r="M777" s="181"/>
      <c r="N777" s="217"/>
      <c r="O777" s="250">
        <f t="shared" si="32"/>
        <v>0</v>
      </c>
      <c r="P777" s="196"/>
      <c r="Q777" s="196"/>
      <c r="R777" s="196"/>
      <c r="S777" s="196"/>
      <c r="Z777" s="324"/>
      <c r="AA777" s="318"/>
      <c r="AB777" s="324"/>
      <c r="AC777" s="324"/>
      <c r="AD777" s="324"/>
      <c r="AE777" s="324"/>
      <c r="AF777" s="324"/>
      <c r="AG777" s="324"/>
      <c r="AH777" s="324"/>
      <c r="AI777" s="324"/>
      <c r="AJ777" s="324"/>
      <c r="AK777" s="324"/>
      <c r="AL777" s="303"/>
    </row>
    <row r="778" spans="1:38" s="233" customFormat="1" ht="10.199999999999999" hidden="1">
      <c r="A778" s="196"/>
      <c r="B778" s="47" t="s">
        <v>221</v>
      </c>
      <c r="C778" s="26"/>
      <c r="D778" s="26"/>
      <c r="E778" s="26"/>
      <c r="F778" s="681"/>
      <c r="G778" s="254"/>
      <c r="H778" s="200"/>
      <c r="I778" s="255"/>
      <c r="J778" s="255"/>
      <c r="K778" s="255"/>
      <c r="L778" s="249"/>
      <c r="M778" s="181"/>
      <c r="N778" s="217"/>
      <c r="O778" s="250">
        <f t="shared" si="32"/>
        <v>0</v>
      </c>
      <c r="P778" s="196"/>
      <c r="Q778" s="196"/>
      <c r="R778" s="196"/>
      <c r="S778" s="196"/>
      <c r="Z778" s="324"/>
      <c r="AA778" s="318"/>
      <c r="AB778" s="324"/>
      <c r="AC778" s="324"/>
      <c r="AD778" s="324"/>
      <c r="AE778" s="324"/>
      <c r="AF778" s="324"/>
      <c r="AG778" s="324"/>
      <c r="AH778" s="324"/>
      <c r="AI778" s="324"/>
      <c r="AJ778" s="324"/>
      <c r="AK778" s="324"/>
      <c r="AL778" s="303"/>
    </row>
    <row r="779" spans="1:38" s="233" customFormat="1" ht="10.199999999999999" hidden="1">
      <c r="A779" s="196"/>
      <c r="B779" s="47" t="s">
        <v>138</v>
      </c>
      <c r="C779" s="26"/>
      <c r="D779" s="26"/>
      <c r="E779" s="26"/>
      <c r="F779" s="681"/>
      <c r="G779" s="254"/>
      <c r="H779" s="200"/>
      <c r="I779" s="255"/>
      <c r="J779" s="255"/>
      <c r="K779" s="255"/>
      <c r="L779" s="249"/>
      <c r="M779" s="181"/>
      <c r="N779" s="217"/>
      <c r="O779" s="250">
        <f t="shared" si="32"/>
        <v>0</v>
      </c>
      <c r="P779" s="196"/>
      <c r="Q779" s="196"/>
      <c r="R779" s="196"/>
      <c r="S779" s="196"/>
      <c r="Z779" s="324"/>
      <c r="AA779" s="318"/>
      <c r="AB779" s="324"/>
      <c r="AC779" s="324"/>
      <c r="AD779" s="324"/>
      <c r="AE779" s="324"/>
      <c r="AF779" s="324"/>
      <c r="AG779" s="324"/>
      <c r="AH779" s="324"/>
      <c r="AI779" s="324"/>
      <c r="AJ779" s="324"/>
      <c r="AK779" s="324"/>
      <c r="AL779" s="303"/>
    </row>
    <row r="780" spans="1:38" s="233" customFormat="1" ht="10.199999999999999" hidden="1">
      <c r="A780" s="196"/>
      <c r="B780" s="47" t="s">
        <v>139</v>
      </c>
      <c r="C780" s="26"/>
      <c r="D780" s="26"/>
      <c r="E780" s="26"/>
      <c r="F780" s="681"/>
      <c r="G780" s="254"/>
      <c r="H780" s="200"/>
      <c r="I780" s="255"/>
      <c r="J780" s="255"/>
      <c r="K780" s="255"/>
      <c r="L780" s="249"/>
      <c r="M780" s="181"/>
      <c r="N780" s="217"/>
      <c r="O780" s="250">
        <f t="shared" si="32"/>
        <v>0</v>
      </c>
      <c r="P780" s="196"/>
      <c r="Q780" s="196"/>
      <c r="R780" s="196"/>
      <c r="S780" s="196"/>
      <c r="Z780" s="324"/>
      <c r="AA780" s="318"/>
      <c r="AB780" s="324"/>
      <c r="AC780" s="324"/>
      <c r="AD780" s="324"/>
      <c r="AE780" s="324"/>
      <c r="AF780" s="324"/>
      <c r="AG780" s="324"/>
      <c r="AH780" s="324"/>
      <c r="AI780" s="324"/>
      <c r="AJ780" s="324"/>
      <c r="AK780" s="324"/>
      <c r="AL780" s="303"/>
    </row>
    <row r="781" spans="1:38" s="233" customFormat="1" ht="10.199999999999999" hidden="1">
      <c r="A781" s="196"/>
      <c r="B781" s="47" t="s">
        <v>269</v>
      </c>
      <c r="C781" s="26"/>
      <c r="D781" s="26"/>
      <c r="E781" s="26"/>
      <c r="F781" s="681"/>
      <c r="G781" s="254"/>
      <c r="H781" s="200"/>
      <c r="I781" s="255"/>
      <c r="J781" s="255"/>
      <c r="K781" s="255"/>
      <c r="L781" s="249"/>
      <c r="M781" s="181"/>
      <c r="N781" s="217"/>
      <c r="O781" s="250">
        <f t="shared" si="32"/>
        <v>0</v>
      </c>
      <c r="P781" s="196"/>
      <c r="Q781" s="196"/>
      <c r="R781" s="196"/>
      <c r="S781" s="196"/>
      <c r="Z781" s="324"/>
      <c r="AA781" s="318"/>
      <c r="AB781" s="324"/>
      <c r="AC781" s="324"/>
      <c r="AD781" s="324"/>
      <c r="AE781" s="324"/>
      <c r="AF781" s="324"/>
      <c r="AG781" s="324"/>
      <c r="AH781" s="324"/>
      <c r="AI781" s="324"/>
      <c r="AJ781" s="324"/>
      <c r="AK781" s="324"/>
      <c r="AL781" s="303"/>
    </row>
    <row r="782" spans="1:38" s="233" customFormat="1" ht="10.199999999999999" hidden="1">
      <c r="A782" s="196"/>
      <c r="B782" s="47" t="s">
        <v>366</v>
      </c>
      <c r="C782" s="26"/>
      <c r="D782" s="26"/>
      <c r="E782" s="26"/>
      <c r="F782" s="681"/>
      <c r="G782" s="254"/>
      <c r="H782" s="200"/>
      <c r="I782" s="255"/>
      <c r="J782" s="255"/>
      <c r="K782" s="255"/>
      <c r="L782" s="249"/>
      <c r="M782" s="181"/>
      <c r="N782" s="217"/>
      <c r="O782" s="250">
        <f t="shared" si="32"/>
        <v>0</v>
      </c>
      <c r="P782" s="196"/>
      <c r="Q782" s="196"/>
      <c r="R782" s="196"/>
      <c r="S782" s="196"/>
      <c r="Z782" s="324"/>
      <c r="AA782" s="318"/>
      <c r="AB782" s="324"/>
      <c r="AC782" s="324"/>
      <c r="AD782" s="324"/>
      <c r="AE782" s="324"/>
      <c r="AF782" s="324"/>
      <c r="AG782" s="324"/>
      <c r="AH782" s="324"/>
      <c r="AI782" s="324"/>
      <c r="AJ782" s="324"/>
      <c r="AK782" s="324"/>
      <c r="AL782" s="303"/>
    </row>
    <row r="783" spans="1:38" s="233" customFormat="1" ht="10.199999999999999" hidden="1">
      <c r="A783" s="196"/>
      <c r="B783" s="47" t="s">
        <v>465</v>
      </c>
      <c r="C783" s="26"/>
      <c r="D783" s="26"/>
      <c r="E783" s="26"/>
      <c r="F783" s="681"/>
      <c r="G783" s="254"/>
      <c r="H783" s="200"/>
      <c r="I783" s="255"/>
      <c r="J783" s="255"/>
      <c r="K783" s="255"/>
      <c r="L783" s="249"/>
      <c r="M783" s="181"/>
      <c r="N783" s="217"/>
      <c r="O783" s="250">
        <f t="shared" si="32"/>
        <v>0</v>
      </c>
      <c r="P783" s="196"/>
      <c r="Q783" s="196"/>
      <c r="R783" s="196"/>
      <c r="S783" s="196"/>
      <c r="Z783" s="324"/>
      <c r="AA783" s="318"/>
      <c r="AB783" s="324"/>
      <c r="AC783" s="324"/>
      <c r="AD783" s="324"/>
      <c r="AE783" s="324"/>
      <c r="AF783" s="324"/>
      <c r="AG783" s="324"/>
      <c r="AH783" s="324"/>
      <c r="AI783" s="324"/>
      <c r="AJ783" s="324"/>
      <c r="AK783" s="324"/>
      <c r="AL783" s="303"/>
    </row>
    <row r="784" spans="1:38" s="233" customFormat="1" ht="10.95" customHeight="1">
      <c r="A784" s="196"/>
      <c r="B784" s="747"/>
      <c r="C784" s="656"/>
      <c r="D784" s="656"/>
      <c r="E784" s="658"/>
      <c r="F784" s="746"/>
      <c r="G784" s="214"/>
      <c r="H784" s="253"/>
      <c r="I784" s="252"/>
      <c r="J784" s="250"/>
      <c r="K784" s="252"/>
      <c r="L784" s="257"/>
      <c r="M784" s="760" t="str">
        <f>IF(D784="","",AB784)</f>
        <v/>
      </c>
      <c r="N784" s="214">
        <f>IF(F784=0,0,SUM(O785:O796))</f>
        <v>0</v>
      </c>
      <c r="O784" s="215" t="str">
        <f>IF(N784/$O$1370=0,"",N784/$O$1370)</f>
        <v/>
      </c>
      <c r="P784" s="196"/>
      <c r="Q784" s="196"/>
      <c r="R784" s="196"/>
      <c r="S784" s="196"/>
      <c r="T784" s="182">
        <f>D784*E784</f>
        <v>0</v>
      </c>
      <c r="Z784" s="324"/>
      <c r="AA784" s="318">
        <f>IF(D784="",0,1)</f>
        <v>0</v>
      </c>
      <c r="AB784" s="318">
        <f>AB771+AA784</f>
        <v>0</v>
      </c>
      <c r="AC784" s="324"/>
      <c r="AD784" s="324"/>
      <c r="AE784" s="324"/>
      <c r="AF784" s="324"/>
      <c r="AG784" s="324"/>
      <c r="AH784" s="324"/>
      <c r="AI784" s="324"/>
      <c r="AJ784" s="324"/>
      <c r="AK784" s="324"/>
      <c r="AL784" s="303"/>
    </row>
    <row r="785" spans="1:38" s="233" customFormat="1" ht="10.199999999999999" hidden="1">
      <c r="A785" s="196"/>
      <c r="B785" s="756" t="s">
        <v>49</v>
      </c>
      <c r="C785" s="716"/>
      <c r="D785" s="681"/>
      <c r="E785" s="26"/>
      <c r="F785" s="754"/>
      <c r="G785" s="296"/>
      <c r="H785" s="738">
        <f>Nutzung!$G$29</f>
        <v>0</v>
      </c>
      <c r="I785" s="196"/>
      <c r="J785" s="196"/>
      <c r="K785" s="196"/>
      <c r="L785" s="297"/>
      <c r="M785" s="757"/>
      <c r="N785" s="207"/>
      <c r="O785" s="250">
        <f t="shared" ref="O785:O796" si="33">($H$785+Regelung-1-I720)*J720*$D$784*$E$784*$F$784*24/($N$720*1000)</f>
        <v>0</v>
      </c>
      <c r="P785" s="196"/>
      <c r="Q785" s="196"/>
      <c r="R785" s="196"/>
      <c r="S785" s="196"/>
      <c r="T785" s="182"/>
      <c r="Z785" s="324"/>
      <c r="AA785" s="318"/>
      <c r="AB785" s="324"/>
      <c r="AC785" s="324"/>
      <c r="AD785" s="324"/>
      <c r="AE785" s="324"/>
      <c r="AF785" s="324"/>
      <c r="AG785" s="324"/>
      <c r="AH785" s="324"/>
      <c r="AI785" s="324"/>
      <c r="AJ785" s="324"/>
      <c r="AK785" s="324"/>
      <c r="AL785" s="303"/>
    </row>
    <row r="786" spans="1:38" s="233" customFormat="1" ht="10.199999999999999" hidden="1">
      <c r="A786" s="196"/>
      <c r="B786" s="47" t="s">
        <v>554</v>
      </c>
      <c r="C786" s="681"/>
      <c r="D786" s="681"/>
      <c r="E786" s="26"/>
      <c r="F786" s="755"/>
      <c r="G786" s="296"/>
      <c r="H786" s="197"/>
      <c r="I786" s="196"/>
      <c r="J786" s="196"/>
      <c r="K786" s="196"/>
      <c r="L786" s="297"/>
      <c r="M786" s="758"/>
      <c r="N786" s="207"/>
      <c r="O786" s="250">
        <f t="shared" si="33"/>
        <v>0</v>
      </c>
      <c r="P786" s="196"/>
      <c r="Q786" s="196"/>
      <c r="R786" s="196"/>
      <c r="S786" s="196"/>
      <c r="T786" s="182"/>
      <c r="Z786" s="324"/>
      <c r="AA786" s="318"/>
      <c r="AB786" s="324"/>
      <c r="AC786" s="324"/>
      <c r="AD786" s="324"/>
      <c r="AE786" s="324"/>
      <c r="AF786" s="324"/>
      <c r="AG786" s="324"/>
      <c r="AH786" s="324"/>
      <c r="AI786" s="324"/>
      <c r="AJ786" s="324"/>
      <c r="AK786" s="324"/>
      <c r="AL786" s="303"/>
    </row>
    <row r="787" spans="1:38" s="233" customFormat="1" ht="10.199999999999999" hidden="1">
      <c r="A787" s="196"/>
      <c r="B787" s="47" t="s">
        <v>306</v>
      </c>
      <c r="C787" s="681"/>
      <c r="D787" s="681"/>
      <c r="E787" s="26"/>
      <c r="F787" s="755"/>
      <c r="G787" s="296"/>
      <c r="H787" s="197"/>
      <c r="I787" s="196"/>
      <c r="J787" s="196"/>
      <c r="K787" s="196"/>
      <c r="L787" s="297"/>
      <c r="M787" s="758"/>
      <c r="N787" s="207"/>
      <c r="O787" s="250">
        <f t="shared" si="33"/>
        <v>0</v>
      </c>
      <c r="P787" s="196"/>
      <c r="Q787" s="196"/>
      <c r="R787" s="196"/>
      <c r="S787" s="196"/>
      <c r="T787" s="182"/>
      <c r="Z787" s="324"/>
      <c r="AA787" s="318"/>
      <c r="AB787" s="324"/>
      <c r="AC787" s="324"/>
      <c r="AD787" s="324"/>
      <c r="AE787" s="324"/>
      <c r="AF787" s="324"/>
      <c r="AG787" s="324"/>
      <c r="AH787" s="324"/>
      <c r="AI787" s="324"/>
      <c r="AJ787" s="324"/>
      <c r="AK787" s="324"/>
      <c r="AL787" s="303"/>
    </row>
    <row r="788" spans="1:38" s="233" customFormat="1" ht="10.199999999999999" hidden="1">
      <c r="A788" s="196"/>
      <c r="B788" s="47" t="s">
        <v>409</v>
      </c>
      <c r="C788" s="681"/>
      <c r="D788" s="681"/>
      <c r="E788" s="26"/>
      <c r="F788" s="755"/>
      <c r="G788" s="296"/>
      <c r="H788" s="197"/>
      <c r="I788" s="196"/>
      <c r="J788" s="196"/>
      <c r="K788" s="196"/>
      <c r="L788" s="297"/>
      <c r="M788" s="758"/>
      <c r="N788" s="207"/>
      <c r="O788" s="250">
        <f t="shared" si="33"/>
        <v>0</v>
      </c>
      <c r="P788" s="196"/>
      <c r="Q788" s="196"/>
      <c r="R788" s="196"/>
      <c r="S788" s="196"/>
      <c r="T788" s="182"/>
      <c r="Z788" s="324"/>
      <c r="AA788" s="318"/>
      <c r="AB788" s="324"/>
      <c r="AC788" s="324"/>
      <c r="AD788" s="324"/>
      <c r="AE788" s="324"/>
      <c r="AF788" s="324"/>
      <c r="AG788" s="324"/>
      <c r="AH788" s="324"/>
      <c r="AI788" s="324"/>
      <c r="AJ788" s="324"/>
      <c r="AK788" s="324"/>
      <c r="AL788" s="303"/>
    </row>
    <row r="789" spans="1:38" s="233" customFormat="1" ht="10.199999999999999" hidden="1">
      <c r="A789" s="196"/>
      <c r="B789" s="47" t="s">
        <v>410</v>
      </c>
      <c r="C789" s="681"/>
      <c r="D789" s="681"/>
      <c r="E789" s="26"/>
      <c r="F789" s="755"/>
      <c r="G789" s="296"/>
      <c r="H789" s="197"/>
      <c r="I789" s="196"/>
      <c r="J789" s="196"/>
      <c r="K789" s="196"/>
      <c r="L789" s="297"/>
      <c r="M789" s="758"/>
      <c r="N789" s="207"/>
      <c r="O789" s="250">
        <f t="shared" si="33"/>
        <v>0</v>
      </c>
      <c r="P789" s="196"/>
      <c r="Q789" s="196"/>
      <c r="R789" s="196"/>
      <c r="S789" s="196"/>
      <c r="T789" s="182"/>
      <c r="Z789" s="324"/>
      <c r="AA789" s="318"/>
      <c r="AB789" s="324"/>
      <c r="AC789" s="324"/>
      <c r="AD789" s="324"/>
      <c r="AE789" s="324"/>
      <c r="AF789" s="324"/>
      <c r="AG789" s="324"/>
      <c r="AH789" s="324"/>
      <c r="AI789" s="324"/>
      <c r="AJ789" s="324"/>
      <c r="AK789" s="324"/>
      <c r="AL789" s="303"/>
    </row>
    <row r="790" spans="1:38" s="233" customFormat="1" ht="10.199999999999999" hidden="1">
      <c r="A790" s="196"/>
      <c r="B790" s="47" t="s">
        <v>411</v>
      </c>
      <c r="C790" s="681"/>
      <c r="D790" s="681"/>
      <c r="E790" s="26"/>
      <c r="F790" s="755"/>
      <c r="G790" s="296"/>
      <c r="H790" s="197"/>
      <c r="I790" s="196"/>
      <c r="J790" s="196"/>
      <c r="K790" s="196"/>
      <c r="L790" s="297"/>
      <c r="M790" s="758"/>
      <c r="N790" s="207"/>
      <c r="O790" s="250">
        <f t="shared" si="33"/>
        <v>0</v>
      </c>
      <c r="P790" s="196"/>
      <c r="Q790" s="196"/>
      <c r="R790" s="196"/>
      <c r="S790" s="196"/>
      <c r="T790" s="182"/>
      <c r="Z790" s="324"/>
      <c r="AA790" s="318"/>
      <c r="AB790" s="324"/>
      <c r="AC790" s="324"/>
      <c r="AD790" s="324"/>
      <c r="AE790" s="324"/>
      <c r="AF790" s="324"/>
      <c r="AG790" s="324"/>
      <c r="AH790" s="324"/>
      <c r="AI790" s="324"/>
      <c r="AJ790" s="324"/>
      <c r="AK790" s="324"/>
      <c r="AL790" s="303"/>
    </row>
    <row r="791" spans="1:38" s="233" customFormat="1" ht="10.199999999999999" hidden="1">
      <c r="A791" s="196"/>
      <c r="B791" s="47" t="s">
        <v>221</v>
      </c>
      <c r="C791" s="681"/>
      <c r="D791" s="681"/>
      <c r="E791" s="26"/>
      <c r="F791" s="755"/>
      <c r="G791" s="296"/>
      <c r="H791" s="197"/>
      <c r="I791" s="196"/>
      <c r="J791" s="196"/>
      <c r="K791" s="196"/>
      <c r="L791" s="297"/>
      <c r="M791" s="758"/>
      <c r="N791" s="207"/>
      <c r="O791" s="250">
        <f t="shared" si="33"/>
        <v>0</v>
      </c>
      <c r="P791" s="196"/>
      <c r="Q791" s="196"/>
      <c r="R791" s="196"/>
      <c r="S791" s="196"/>
      <c r="T791" s="182"/>
      <c r="Z791" s="324"/>
      <c r="AA791" s="318"/>
      <c r="AB791" s="324"/>
      <c r="AC791" s="324"/>
      <c r="AD791" s="324"/>
      <c r="AE791" s="324"/>
      <c r="AF791" s="324"/>
      <c r="AG791" s="324"/>
      <c r="AH791" s="324"/>
      <c r="AI791" s="324"/>
      <c r="AJ791" s="324"/>
      <c r="AK791" s="324"/>
      <c r="AL791" s="303"/>
    </row>
    <row r="792" spans="1:38" s="233" customFormat="1" ht="10.199999999999999" hidden="1">
      <c r="A792" s="196"/>
      <c r="B792" s="47" t="s">
        <v>138</v>
      </c>
      <c r="C792" s="681"/>
      <c r="D792" s="681"/>
      <c r="E792" s="26"/>
      <c r="F792" s="755"/>
      <c r="G792" s="296"/>
      <c r="H792" s="197"/>
      <c r="I792" s="196"/>
      <c r="J792" s="196"/>
      <c r="K792" s="196"/>
      <c r="L792" s="297"/>
      <c r="M792" s="758"/>
      <c r="N792" s="207"/>
      <c r="O792" s="250">
        <f t="shared" si="33"/>
        <v>0</v>
      </c>
      <c r="P792" s="196"/>
      <c r="Q792" s="196"/>
      <c r="R792" s="196"/>
      <c r="S792" s="196"/>
      <c r="T792" s="182"/>
      <c r="Z792" s="324"/>
      <c r="AA792" s="318"/>
      <c r="AB792" s="324"/>
      <c r="AC792" s="324"/>
      <c r="AD792" s="324"/>
      <c r="AE792" s="324"/>
      <c r="AF792" s="324"/>
      <c r="AG792" s="324"/>
      <c r="AH792" s="324"/>
      <c r="AI792" s="324"/>
      <c r="AJ792" s="324"/>
      <c r="AK792" s="324"/>
      <c r="AL792" s="303"/>
    </row>
    <row r="793" spans="1:38" s="233" customFormat="1" ht="10.199999999999999" hidden="1">
      <c r="A793" s="196"/>
      <c r="B793" s="47" t="s">
        <v>139</v>
      </c>
      <c r="C793" s="681"/>
      <c r="D793" s="681"/>
      <c r="E793" s="26"/>
      <c r="F793" s="755"/>
      <c r="G793" s="296"/>
      <c r="H793" s="197"/>
      <c r="I793" s="196"/>
      <c r="J793" s="196"/>
      <c r="K793" s="196"/>
      <c r="L793" s="297"/>
      <c r="M793" s="758"/>
      <c r="N793" s="207"/>
      <c r="O793" s="250">
        <f t="shared" si="33"/>
        <v>0</v>
      </c>
      <c r="P793" s="196"/>
      <c r="Q793" s="196"/>
      <c r="R793" s="196"/>
      <c r="S793" s="196"/>
      <c r="T793" s="182"/>
      <c r="Z793" s="324"/>
      <c r="AA793" s="318"/>
      <c r="AB793" s="324"/>
      <c r="AC793" s="324"/>
      <c r="AD793" s="324"/>
      <c r="AE793" s="324"/>
      <c r="AF793" s="324"/>
      <c r="AG793" s="324"/>
      <c r="AH793" s="324"/>
      <c r="AI793" s="324"/>
      <c r="AJ793" s="324"/>
      <c r="AK793" s="324"/>
      <c r="AL793" s="303"/>
    </row>
    <row r="794" spans="1:38" s="233" customFormat="1" ht="10.199999999999999" hidden="1">
      <c r="A794" s="196"/>
      <c r="B794" s="47" t="s">
        <v>269</v>
      </c>
      <c r="C794" s="681"/>
      <c r="D794" s="681"/>
      <c r="E794" s="26"/>
      <c r="F794" s="755"/>
      <c r="G794" s="296"/>
      <c r="H794" s="197"/>
      <c r="I794" s="196"/>
      <c r="J794" s="196"/>
      <c r="K794" s="196"/>
      <c r="L794" s="297"/>
      <c r="M794" s="758"/>
      <c r="N794" s="207"/>
      <c r="O794" s="250">
        <f t="shared" si="33"/>
        <v>0</v>
      </c>
      <c r="P794" s="196"/>
      <c r="Q794" s="196"/>
      <c r="R794" s="196"/>
      <c r="S794" s="196"/>
      <c r="T794" s="182"/>
      <c r="Z794" s="324"/>
      <c r="AA794" s="318"/>
      <c r="AB794" s="324"/>
      <c r="AC794" s="324"/>
      <c r="AD794" s="324"/>
      <c r="AE794" s="324"/>
      <c r="AF794" s="324"/>
      <c r="AG794" s="324"/>
      <c r="AH794" s="324"/>
      <c r="AI794" s="324"/>
      <c r="AJ794" s="324"/>
      <c r="AK794" s="324"/>
      <c r="AL794" s="303"/>
    </row>
    <row r="795" spans="1:38" s="233" customFormat="1" ht="10.199999999999999" hidden="1">
      <c r="A795" s="196"/>
      <c r="B795" s="47" t="s">
        <v>366</v>
      </c>
      <c r="C795" s="681"/>
      <c r="D795" s="681"/>
      <c r="E795" s="26"/>
      <c r="F795" s="755"/>
      <c r="G795" s="296"/>
      <c r="H795" s="197"/>
      <c r="I795" s="196"/>
      <c r="J795" s="196"/>
      <c r="K795" s="196"/>
      <c r="L795" s="297"/>
      <c r="M795" s="758"/>
      <c r="N795" s="207"/>
      <c r="O795" s="250">
        <f t="shared" si="33"/>
        <v>0</v>
      </c>
      <c r="P795" s="196"/>
      <c r="Q795" s="196"/>
      <c r="R795" s="196"/>
      <c r="S795" s="196"/>
      <c r="T795" s="182"/>
      <c r="Z795" s="324"/>
      <c r="AA795" s="318"/>
      <c r="AB795" s="324"/>
      <c r="AC795" s="324"/>
      <c r="AD795" s="324"/>
      <c r="AE795" s="324"/>
      <c r="AF795" s="324"/>
      <c r="AG795" s="324"/>
      <c r="AH795" s="324"/>
      <c r="AI795" s="324"/>
      <c r="AJ795" s="324"/>
      <c r="AK795" s="324"/>
      <c r="AL795" s="303"/>
    </row>
    <row r="796" spans="1:38" s="233" customFormat="1" ht="10.199999999999999" hidden="1">
      <c r="A796" s="196"/>
      <c r="B796" s="47" t="s">
        <v>465</v>
      </c>
      <c r="C796" s="681"/>
      <c r="D796" s="681"/>
      <c r="E796" s="26"/>
      <c r="F796" s="755"/>
      <c r="G796" s="296"/>
      <c r="H796" s="197"/>
      <c r="I796" s="196"/>
      <c r="J796" s="196"/>
      <c r="K796" s="196"/>
      <c r="L796" s="297"/>
      <c r="M796" s="758"/>
      <c r="N796" s="207"/>
      <c r="O796" s="250">
        <f t="shared" si="33"/>
        <v>0</v>
      </c>
      <c r="P796" s="196"/>
      <c r="Q796" s="196"/>
      <c r="R796" s="196"/>
      <c r="S796" s="196"/>
      <c r="T796" s="182"/>
      <c r="Z796" s="324"/>
      <c r="AA796" s="318"/>
      <c r="AB796" s="324"/>
      <c r="AC796" s="324"/>
      <c r="AD796" s="324"/>
      <c r="AE796" s="324"/>
      <c r="AF796" s="324"/>
      <c r="AG796" s="324"/>
      <c r="AH796" s="324"/>
      <c r="AI796" s="324"/>
      <c r="AJ796" s="324"/>
      <c r="AK796" s="324"/>
      <c r="AL796" s="303"/>
    </row>
    <row r="797" spans="1:38" s="233" customFormat="1" ht="10.95" customHeight="1">
      <c r="A797" s="196"/>
      <c r="B797" s="747"/>
      <c r="C797" s="748"/>
      <c r="D797" s="748"/>
      <c r="E797" s="749"/>
      <c r="F797" s="746"/>
      <c r="G797" s="294"/>
      <c r="H797" s="293"/>
      <c r="I797" s="291"/>
      <c r="J797" s="291"/>
      <c r="K797" s="291"/>
      <c r="L797" s="295"/>
      <c r="M797" s="760" t="str">
        <f>IF(D797="","",AB797)</f>
        <v/>
      </c>
      <c r="N797" s="251">
        <f>IF(F797=0,0,SUM(O798:O809))</f>
        <v>0</v>
      </c>
      <c r="O797" s="215" t="str">
        <f>IF(N797/$O$1370=0,"",N797/$O$1370)</f>
        <v/>
      </c>
      <c r="P797" s="196"/>
      <c r="Q797" s="196"/>
      <c r="R797" s="196"/>
      <c r="S797" s="196"/>
      <c r="T797" s="182">
        <f>D797*E797</f>
        <v>0</v>
      </c>
      <c r="Z797" s="324"/>
      <c r="AA797" s="318">
        <f>IF(D797="",0,1)</f>
        <v>0</v>
      </c>
      <c r="AB797" s="318">
        <f>AB784+AA797</f>
        <v>0</v>
      </c>
      <c r="AC797" s="324"/>
      <c r="AD797" s="324"/>
      <c r="AE797" s="324"/>
      <c r="AF797" s="324"/>
      <c r="AG797" s="324"/>
      <c r="AH797" s="324"/>
      <c r="AI797" s="324"/>
      <c r="AJ797" s="324"/>
      <c r="AK797" s="324"/>
      <c r="AL797" s="303"/>
    </row>
    <row r="798" spans="1:38" s="233" customFormat="1" ht="8.25" hidden="1" customHeight="1">
      <c r="A798" s="196"/>
      <c r="B798" s="47" t="s">
        <v>49</v>
      </c>
      <c r="C798" s="744"/>
      <c r="D798" s="26"/>
      <c r="E798" s="683"/>
      <c r="F798" s="742"/>
      <c r="G798" s="296"/>
      <c r="H798" s="738">
        <f>Nutzung!$G$29</f>
        <v>0</v>
      </c>
      <c r="I798" s="196"/>
      <c r="J798" s="196"/>
      <c r="K798" s="196"/>
      <c r="L798" s="297"/>
      <c r="M798" s="549"/>
      <c r="N798" s="296"/>
      <c r="O798" s="250">
        <f t="shared" ref="O798:O809" si="34">($H$798+Regelung-1-I720)*J720*$D$797*$E$797*$F$797*24/($N$720*1000)</f>
        <v>0</v>
      </c>
      <c r="P798" s="196"/>
      <c r="Q798" s="196"/>
      <c r="R798" s="196"/>
      <c r="S798" s="196"/>
      <c r="T798" s="182"/>
      <c r="Z798" s="324"/>
      <c r="AA798" s="318"/>
      <c r="AB798" s="318"/>
      <c r="AC798" s="324"/>
      <c r="AD798" s="324"/>
      <c r="AE798" s="324"/>
      <c r="AF798" s="324"/>
      <c r="AG798" s="324"/>
      <c r="AH798" s="324"/>
      <c r="AI798" s="324"/>
      <c r="AJ798" s="324"/>
      <c r="AK798" s="324"/>
      <c r="AL798" s="303"/>
    </row>
    <row r="799" spans="1:38" s="233" customFormat="1" ht="8.25" hidden="1" customHeight="1">
      <c r="A799" s="196"/>
      <c r="B799" s="47" t="s">
        <v>554</v>
      </c>
      <c r="C799" s="26"/>
      <c r="D799" s="26"/>
      <c r="E799" s="683"/>
      <c r="F799" s="742"/>
      <c r="G799" s="296"/>
      <c r="H799" s="197"/>
      <c r="I799" s="196"/>
      <c r="J799" s="196"/>
      <c r="K799" s="196"/>
      <c r="L799" s="297"/>
      <c r="M799" s="549"/>
      <c r="N799" s="296"/>
      <c r="O799" s="250">
        <f t="shared" si="34"/>
        <v>0</v>
      </c>
      <c r="P799" s="196"/>
      <c r="Q799" s="196"/>
      <c r="R799" s="196"/>
      <c r="S799" s="196"/>
      <c r="T799" s="182"/>
      <c r="Z799" s="324"/>
      <c r="AA799" s="318"/>
      <c r="AB799" s="318"/>
      <c r="AC799" s="324"/>
      <c r="AD799" s="324"/>
      <c r="AE799" s="324"/>
      <c r="AF799" s="324"/>
      <c r="AG799" s="324"/>
      <c r="AH799" s="324"/>
      <c r="AI799" s="324"/>
      <c r="AJ799" s="324"/>
      <c r="AK799" s="324"/>
      <c r="AL799" s="303"/>
    </row>
    <row r="800" spans="1:38" s="233" customFormat="1" ht="8.25" hidden="1" customHeight="1">
      <c r="A800" s="196"/>
      <c r="B800" s="47" t="s">
        <v>306</v>
      </c>
      <c r="C800" s="26"/>
      <c r="D800" s="26"/>
      <c r="E800" s="683"/>
      <c r="F800" s="742"/>
      <c r="G800" s="296"/>
      <c r="H800" s="197"/>
      <c r="I800" s="196"/>
      <c r="J800" s="196"/>
      <c r="K800" s="196"/>
      <c r="L800" s="297"/>
      <c r="M800" s="549"/>
      <c r="N800" s="296"/>
      <c r="O800" s="250">
        <f t="shared" si="34"/>
        <v>0</v>
      </c>
      <c r="P800" s="196"/>
      <c r="Q800" s="196"/>
      <c r="R800" s="196"/>
      <c r="S800" s="196"/>
      <c r="T800" s="182"/>
      <c r="Z800" s="324"/>
      <c r="AA800" s="318"/>
      <c r="AB800" s="318"/>
      <c r="AC800" s="324"/>
      <c r="AD800" s="324"/>
      <c r="AE800" s="324"/>
      <c r="AF800" s="324"/>
      <c r="AG800" s="324"/>
      <c r="AH800" s="324"/>
      <c r="AI800" s="324"/>
      <c r="AJ800" s="324"/>
      <c r="AK800" s="324"/>
      <c r="AL800" s="303"/>
    </row>
    <row r="801" spans="1:38" s="233" customFormat="1" ht="8.25" hidden="1" customHeight="1">
      <c r="A801" s="196"/>
      <c r="B801" s="47" t="s">
        <v>409</v>
      </c>
      <c r="C801" s="26"/>
      <c r="D801" s="26"/>
      <c r="E801" s="683"/>
      <c r="F801" s="742"/>
      <c r="G801" s="296"/>
      <c r="H801" s="197"/>
      <c r="I801" s="196"/>
      <c r="J801" s="196"/>
      <c r="K801" s="196"/>
      <c r="L801" s="297"/>
      <c r="M801" s="549"/>
      <c r="N801" s="296"/>
      <c r="O801" s="250">
        <f t="shared" si="34"/>
        <v>0</v>
      </c>
      <c r="P801" s="196"/>
      <c r="Q801" s="196"/>
      <c r="R801" s="196"/>
      <c r="S801" s="196"/>
      <c r="T801" s="182"/>
      <c r="Z801" s="324"/>
      <c r="AA801" s="318"/>
      <c r="AB801" s="318"/>
      <c r="AC801" s="324"/>
      <c r="AD801" s="324"/>
      <c r="AE801" s="324"/>
      <c r="AF801" s="324"/>
      <c r="AG801" s="324"/>
      <c r="AH801" s="324"/>
      <c r="AI801" s="324"/>
      <c r="AJ801" s="324"/>
      <c r="AK801" s="324"/>
      <c r="AL801" s="303"/>
    </row>
    <row r="802" spans="1:38" s="233" customFormat="1" ht="8.25" hidden="1" customHeight="1">
      <c r="A802" s="196"/>
      <c r="B802" s="47" t="s">
        <v>410</v>
      </c>
      <c r="C802" s="26"/>
      <c r="D802" s="26"/>
      <c r="E802" s="683"/>
      <c r="F802" s="742"/>
      <c r="G802" s="296"/>
      <c r="H802" s="197"/>
      <c r="I802" s="196"/>
      <c r="J802" s="196"/>
      <c r="K802" s="196"/>
      <c r="L802" s="297"/>
      <c r="M802" s="549"/>
      <c r="N802" s="296"/>
      <c r="O802" s="250">
        <f t="shared" si="34"/>
        <v>0</v>
      </c>
      <c r="P802" s="196"/>
      <c r="Q802" s="196"/>
      <c r="R802" s="196"/>
      <c r="S802" s="196"/>
      <c r="T802" s="182"/>
      <c r="Z802" s="324"/>
      <c r="AA802" s="318"/>
      <c r="AB802" s="318"/>
      <c r="AC802" s="324"/>
      <c r="AD802" s="324"/>
      <c r="AE802" s="324"/>
      <c r="AF802" s="324"/>
      <c r="AG802" s="324"/>
      <c r="AH802" s="324"/>
      <c r="AI802" s="324"/>
      <c r="AJ802" s="324"/>
      <c r="AK802" s="324"/>
      <c r="AL802" s="303"/>
    </row>
    <row r="803" spans="1:38" s="233" customFormat="1" ht="8.25" hidden="1" customHeight="1">
      <c r="A803" s="196"/>
      <c r="B803" s="47" t="s">
        <v>411</v>
      </c>
      <c r="C803" s="26"/>
      <c r="D803" s="26"/>
      <c r="E803" s="683"/>
      <c r="F803" s="742"/>
      <c r="G803" s="296"/>
      <c r="H803" s="197"/>
      <c r="I803" s="196"/>
      <c r="J803" s="196"/>
      <c r="K803" s="196"/>
      <c r="L803" s="297"/>
      <c r="M803" s="549"/>
      <c r="N803" s="296"/>
      <c r="O803" s="250">
        <f t="shared" si="34"/>
        <v>0</v>
      </c>
      <c r="P803" s="196"/>
      <c r="Q803" s="196"/>
      <c r="R803" s="196"/>
      <c r="S803" s="196"/>
      <c r="T803" s="182"/>
      <c r="Z803" s="324"/>
      <c r="AA803" s="318"/>
      <c r="AB803" s="318"/>
      <c r="AC803" s="324"/>
      <c r="AD803" s="324"/>
      <c r="AE803" s="324"/>
      <c r="AF803" s="324"/>
      <c r="AG803" s="324"/>
      <c r="AH803" s="324"/>
      <c r="AI803" s="324"/>
      <c r="AJ803" s="324"/>
      <c r="AK803" s="324"/>
      <c r="AL803" s="303"/>
    </row>
    <row r="804" spans="1:38" s="233" customFormat="1" ht="8.25" hidden="1" customHeight="1">
      <c r="A804" s="196"/>
      <c r="B804" s="47" t="s">
        <v>221</v>
      </c>
      <c r="C804" s="26"/>
      <c r="D804" s="26"/>
      <c r="E804" s="683"/>
      <c r="F804" s="742"/>
      <c r="G804" s="296"/>
      <c r="H804" s="197"/>
      <c r="I804" s="196"/>
      <c r="J804" s="196"/>
      <c r="K804" s="196"/>
      <c r="L804" s="297"/>
      <c r="M804" s="549"/>
      <c r="N804" s="296"/>
      <c r="O804" s="250">
        <f t="shared" si="34"/>
        <v>0</v>
      </c>
      <c r="P804" s="196"/>
      <c r="Q804" s="196"/>
      <c r="R804" s="196"/>
      <c r="S804" s="196"/>
      <c r="T804" s="182"/>
      <c r="Z804" s="324"/>
      <c r="AA804" s="318"/>
      <c r="AB804" s="318"/>
      <c r="AC804" s="324"/>
      <c r="AD804" s="324"/>
      <c r="AE804" s="324"/>
      <c r="AF804" s="324"/>
      <c r="AG804" s="324"/>
      <c r="AH804" s="324"/>
      <c r="AI804" s="324"/>
      <c r="AJ804" s="324"/>
      <c r="AK804" s="324"/>
      <c r="AL804" s="303"/>
    </row>
    <row r="805" spans="1:38" s="233" customFormat="1" ht="8.25" hidden="1" customHeight="1">
      <c r="A805" s="196"/>
      <c r="B805" s="47" t="s">
        <v>138</v>
      </c>
      <c r="C805" s="26"/>
      <c r="D805" s="26"/>
      <c r="E805" s="683"/>
      <c r="F805" s="742"/>
      <c r="G805" s="296"/>
      <c r="H805" s="197"/>
      <c r="I805" s="196"/>
      <c r="J805" s="196"/>
      <c r="K805" s="196"/>
      <c r="L805" s="297"/>
      <c r="M805" s="549"/>
      <c r="N805" s="296"/>
      <c r="O805" s="250">
        <f t="shared" si="34"/>
        <v>0</v>
      </c>
      <c r="P805" s="196"/>
      <c r="Q805" s="196"/>
      <c r="R805" s="196"/>
      <c r="S805" s="196"/>
      <c r="T805" s="182"/>
      <c r="Z805" s="324"/>
      <c r="AA805" s="318"/>
      <c r="AB805" s="318"/>
      <c r="AC805" s="324"/>
      <c r="AD805" s="324"/>
      <c r="AE805" s="324"/>
      <c r="AF805" s="324"/>
      <c r="AG805" s="324"/>
      <c r="AH805" s="324"/>
      <c r="AI805" s="324"/>
      <c r="AJ805" s="324"/>
      <c r="AK805" s="324"/>
      <c r="AL805" s="303"/>
    </row>
    <row r="806" spans="1:38" s="233" customFormat="1" ht="8.25" hidden="1" customHeight="1">
      <c r="A806" s="196"/>
      <c r="B806" s="47" t="s">
        <v>139</v>
      </c>
      <c r="C806" s="26"/>
      <c r="D806" s="26"/>
      <c r="E806" s="683"/>
      <c r="F806" s="742"/>
      <c r="G806" s="296"/>
      <c r="H806" s="197"/>
      <c r="I806" s="196"/>
      <c r="J806" s="196"/>
      <c r="K806" s="196"/>
      <c r="L806" s="297"/>
      <c r="M806" s="549"/>
      <c r="N806" s="296"/>
      <c r="O806" s="250">
        <f t="shared" si="34"/>
        <v>0</v>
      </c>
      <c r="P806" s="196"/>
      <c r="Q806" s="196"/>
      <c r="R806" s="196"/>
      <c r="S806" s="196"/>
      <c r="T806" s="182"/>
      <c r="Z806" s="324"/>
      <c r="AA806" s="318"/>
      <c r="AB806" s="318"/>
      <c r="AC806" s="324"/>
      <c r="AD806" s="324"/>
      <c r="AE806" s="324"/>
      <c r="AF806" s="324"/>
      <c r="AG806" s="324"/>
      <c r="AH806" s="324"/>
      <c r="AI806" s="324"/>
      <c r="AJ806" s="324"/>
      <c r="AK806" s="324"/>
      <c r="AL806" s="303"/>
    </row>
    <row r="807" spans="1:38" s="233" customFormat="1" ht="8.25" hidden="1" customHeight="1">
      <c r="A807" s="196"/>
      <c r="B807" s="47" t="s">
        <v>269</v>
      </c>
      <c r="C807" s="26"/>
      <c r="D807" s="26"/>
      <c r="E807" s="683"/>
      <c r="F807" s="742"/>
      <c r="G807" s="296"/>
      <c r="H807" s="197"/>
      <c r="I807" s="196"/>
      <c r="J807" s="196"/>
      <c r="K807" s="196"/>
      <c r="L807" s="297"/>
      <c r="M807" s="549"/>
      <c r="N807" s="296"/>
      <c r="O807" s="250">
        <f t="shared" si="34"/>
        <v>0</v>
      </c>
      <c r="P807" s="196"/>
      <c r="Q807" s="196"/>
      <c r="R807" s="196"/>
      <c r="S807" s="196"/>
      <c r="T807" s="182"/>
      <c r="Z807" s="324"/>
      <c r="AA807" s="318"/>
      <c r="AB807" s="318"/>
      <c r="AC807" s="324"/>
      <c r="AD807" s="324"/>
      <c r="AE807" s="324"/>
      <c r="AF807" s="324"/>
      <c r="AG807" s="324"/>
      <c r="AH807" s="324"/>
      <c r="AI807" s="324"/>
      <c r="AJ807" s="324"/>
      <c r="AK807" s="324"/>
      <c r="AL807" s="303"/>
    </row>
    <row r="808" spans="1:38" s="233" customFormat="1" ht="8.25" hidden="1" customHeight="1">
      <c r="A808" s="196"/>
      <c r="B808" s="47" t="s">
        <v>366</v>
      </c>
      <c r="C808" s="26"/>
      <c r="D808" s="26"/>
      <c r="E808" s="683"/>
      <c r="F808" s="742"/>
      <c r="G808" s="296"/>
      <c r="H808" s="197"/>
      <c r="I808" s="196"/>
      <c r="J808" s="196"/>
      <c r="K808" s="196"/>
      <c r="L808" s="297"/>
      <c r="M808" s="549"/>
      <c r="N808" s="296"/>
      <c r="O808" s="250">
        <f t="shared" si="34"/>
        <v>0</v>
      </c>
      <c r="P808" s="196"/>
      <c r="Q808" s="196"/>
      <c r="R808" s="196"/>
      <c r="S808" s="196"/>
      <c r="T808" s="182"/>
      <c r="Z808" s="324"/>
      <c r="AA808" s="318"/>
      <c r="AB808" s="318"/>
      <c r="AC808" s="324"/>
      <c r="AD808" s="324"/>
      <c r="AE808" s="324"/>
      <c r="AF808" s="324"/>
      <c r="AG808" s="324"/>
      <c r="AH808" s="324"/>
      <c r="AI808" s="324"/>
      <c r="AJ808" s="324"/>
      <c r="AK808" s="324"/>
      <c r="AL808" s="303"/>
    </row>
    <row r="809" spans="1:38" s="233" customFormat="1" ht="8.25" hidden="1" customHeight="1">
      <c r="A809" s="196"/>
      <c r="B809" s="47" t="s">
        <v>465</v>
      </c>
      <c r="C809" s="26"/>
      <c r="D809" s="26"/>
      <c r="E809" s="683"/>
      <c r="F809" s="742"/>
      <c r="G809" s="296"/>
      <c r="H809" s="197"/>
      <c r="I809" s="196"/>
      <c r="J809" s="196"/>
      <c r="K809" s="196"/>
      <c r="L809" s="297"/>
      <c r="M809" s="549"/>
      <c r="N809" s="296"/>
      <c r="O809" s="250">
        <f t="shared" si="34"/>
        <v>0</v>
      </c>
      <c r="P809" s="196"/>
      <c r="Q809" s="196"/>
      <c r="R809" s="196"/>
      <c r="S809" s="196"/>
      <c r="T809" s="182"/>
      <c r="Z809" s="324"/>
      <c r="AA809" s="318"/>
      <c r="AB809" s="318"/>
      <c r="AC809" s="324"/>
      <c r="AD809" s="324"/>
      <c r="AE809" s="324"/>
      <c r="AF809" s="324"/>
      <c r="AG809" s="324"/>
      <c r="AH809" s="324"/>
      <c r="AI809" s="324"/>
      <c r="AJ809" s="324"/>
      <c r="AK809" s="324"/>
      <c r="AL809" s="303"/>
    </row>
    <row r="810" spans="1:38" s="233" customFormat="1" ht="10.95" customHeight="1">
      <c r="A810" s="196"/>
      <c r="B810" s="747"/>
      <c r="C810" s="748"/>
      <c r="D810" s="748"/>
      <c r="E810" s="749"/>
      <c r="F810" s="746"/>
      <c r="G810" s="294"/>
      <c r="H810" s="293"/>
      <c r="I810" s="291"/>
      <c r="J810" s="291"/>
      <c r="K810" s="291"/>
      <c r="L810" s="295"/>
      <c r="M810" s="760" t="str">
        <f>IF(D810="","",AB810)</f>
        <v/>
      </c>
      <c r="N810" s="251">
        <f>IF(F810=0,0,SUM(O811:O822))</f>
        <v>0</v>
      </c>
      <c r="O810" s="215" t="str">
        <f>IF(N810/$O$1370=0,"",N810/$O$1370)</f>
        <v/>
      </c>
      <c r="P810" s="196"/>
      <c r="Q810" s="196"/>
      <c r="R810" s="196"/>
      <c r="S810" s="196"/>
      <c r="T810" s="182">
        <f>D810*E810</f>
        <v>0</v>
      </c>
      <c r="Z810" s="324"/>
      <c r="AA810" s="318">
        <f>IF(D810="",0,1)</f>
        <v>0</v>
      </c>
      <c r="AB810" s="318">
        <f>AB797+AA810</f>
        <v>0</v>
      </c>
      <c r="AC810" s="324"/>
      <c r="AD810" s="324"/>
      <c r="AE810" s="324"/>
      <c r="AF810" s="324"/>
      <c r="AG810" s="324"/>
      <c r="AH810" s="324"/>
      <c r="AI810" s="324"/>
      <c r="AJ810" s="324"/>
      <c r="AK810" s="324"/>
      <c r="AL810" s="303"/>
    </row>
    <row r="811" spans="1:38" s="233" customFormat="1" ht="10.199999999999999" hidden="1">
      <c r="A811" s="196"/>
      <c r="B811" s="756" t="s">
        <v>49</v>
      </c>
      <c r="C811" s="716"/>
      <c r="D811" s="681"/>
      <c r="E811" s="26"/>
      <c r="F811" s="754"/>
      <c r="G811" s="296"/>
      <c r="H811" s="738">
        <f>Nutzung!$G$29</f>
        <v>0</v>
      </c>
      <c r="I811" s="196"/>
      <c r="J811" s="196"/>
      <c r="K811" s="196"/>
      <c r="L811" s="297"/>
      <c r="M811" s="757"/>
      <c r="N811" s="207"/>
      <c r="O811" s="250">
        <f t="shared" ref="O811:O822" si="35">($H$811+Regelung-1-I720)*J720*$D$810*$E$810*$F$810*24/($N$720*1000)</f>
        <v>0</v>
      </c>
      <c r="P811" s="196"/>
      <c r="Q811" s="196"/>
      <c r="R811" s="196"/>
      <c r="S811" s="196"/>
      <c r="Z811" s="324"/>
      <c r="AA811" s="318"/>
      <c r="AB811" s="324"/>
      <c r="AC811" s="324"/>
      <c r="AD811" s="324"/>
      <c r="AE811" s="324"/>
      <c r="AF811" s="324"/>
      <c r="AG811" s="324"/>
      <c r="AH811" s="324"/>
      <c r="AI811" s="324"/>
      <c r="AJ811" s="324"/>
      <c r="AK811" s="324"/>
      <c r="AL811" s="303"/>
    </row>
    <row r="812" spans="1:38" s="233" customFormat="1" ht="10.199999999999999" hidden="1">
      <c r="A812" s="196"/>
      <c r="B812" s="47" t="s">
        <v>554</v>
      </c>
      <c r="C812" s="681"/>
      <c r="D812" s="681"/>
      <c r="E812" s="26"/>
      <c r="F812" s="755"/>
      <c r="G812" s="296"/>
      <c r="H812" s="197"/>
      <c r="I812" s="196"/>
      <c r="J812" s="196"/>
      <c r="K812" s="196"/>
      <c r="L812" s="297"/>
      <c r="M812" s="758"/>
      <c r="N812" s="207"/>
      <c r="O812" s="250">
        <f t="shared" si="35"/>
        <v>0</v>
      </c>
      <c r="P812" s="196"/>
      <c r="Q812" s="196"/>
      <c r="R812" s="196"/>
      <c r="S812" s="196"/>
      <c r="Z812" s="324"/>
      <c r="AA812" s="318"/>
      <c r="AB812" s="324"/>
      <c r="AC812" s="324"/>
      <c r="AD812" s="324"/>
      <c r="AE812" s="324"/>
      <c r="AF812" s="324"/>
      <c r="AG812" s="324"/>
      <c r="AH812" s="324"/>
      <c r="AI812" s="324"/>
      <c r="AJ812" s="324"/>
      <c r="AK812" s="324"/>
      <c r="AL812" s="303"/>
    </row>
    <row r="813" spans="1:38" s="233" customFormat="1" ht="10.199999999999999" hidden="1">
      <c r="A813" s="196"/>
      <c r="B813" s="47" t="s">
        <v>306</v>
      </c>
      <c r="C813" s="681"/>
      <c r="D813" s="681"/>
      <c r="E813" s="26"/>
      <c r="F813" s="755"/>
      <c r="G813" s="296"/>
      <c r="H813" s="197"/>
      <c r="I813" s="196"/>
      <c r="J813" s="196"/>
      <c r="K813" s="196"/>
      <c r="L813" s="297"/>
      <c r="M813" s="758"/>
      <c r="N813" s="207"/>
      <c r="O813" s="250">
        <f t="shared" si="35"/>
        <v>0</v>
      </c>
      <c r="P813" s="196"/>
      <c r="Q813" s="196"/>
      <c r="R813" s="196"/>
      <c r="S813" s="196"/>
      <c r="Z813" s="324"/>
      <c r="AA813" s="318"/>
      <c r="AB813" s="324"/>
      <c r="AC813" s="324"/>
      <c r="AD813" s="324"/>
      <c r="AE813" s="324"/>
      <c r="AF813" s="324"/>
      <c r="AG813" s="324"/>
      <c r="AH813" s="324"/>
      <c r="AI813" s="324"/>
      <c r="AJ813" s="324"/>
      <c r="AK813" s="324"/>
      <c r="AL813" s="303"/>
    </row>
    <row r="814" spans="1:38" s="233" customFormat="1" ht="10.199999999999999" hidden="1">
      <c r="A814" s="196"/>
      <c r="B814" s="47" t="s">
        <v>409</v>
      </c>
      <c r="C814" s="681"/>
      <c r="D814" s="681"/>
      <c r="E814" s="26"/>
      <c r="F814" s="755"/>
      <c r="G814" s="296"/>
      <c r="H814" s="197"/>
      <c r="I814" s="196"/>
      <c r="J814" s="196"/>
      <c r="K814" s="196"/>
      <c r="L814" s="297"/>
      <c r="M814" s="758"/>
      <c r="N814" s="207"/>
      <c r="O814" s="250">
        <f t="shared" si="35"/>
        <v>0</v>
      </c>
      <c r="P814" s="196"/>
      <c r="Q814" s="196"/>
      <c r="R814" s="196"/>
      <c r="S814" s="196"/>
      <c r="Z814" s="324"/>
      <c r="AA814" s="318"/>
      <c r="AB814" s="324"/>
      <c r="AC814" s="324"/>
      <c r="AD814" s="324"/>
      <c r="AE814" s="324"/>
      <c r="AF814" s="324"/>
      <c r="AG814" s="324"/>
      <c r="AH814" s="324"/>
      <c r="AI814" s="324"/>
      <c r="AJ814" s="324"/>
      <c r="AK814" s="324"/>
      <c r="AL814" s="303"/>
    </row>
    <row r="815" spans="1:38" s="233" customFormat="1" ht="10.199999999999999" hidden="1">
      <c r="A815" s="196"/>
      <c r="B815" s="47" t="s">
        <v>410</v>
      </c>
      <c r="C815" s="681"/>
      <c r="D815" s="681"/>
      <c r="E815" s="26"/>
      <c r="F815" s="755"/>
      <c r="G815" s="296"/>
      <c r="H815" s="197"/>
      <c r="I815" s="196"/>
      <c r="J815" s="196"/>
      <c r="K815" s="196"/>
      <c r="L815" s="297"/>
      <c r="M815" s="758"/>
      <c r="N815" s="207"/>
      <c r="O815" s="250">
        <f t="shared" si="35"/>
        <v>0</v>
      </c>
      <c r="P815" s="196"/>
      <c r="Q815" s="196"/>
      <c r="R815" s="196"/>
      <c r="S815" s="196"/>
      <c r="Z815" s="324"/>
      <c r="AA815" s="318"/>
      <c r="AB815" s="324"/>
      <c r="AC815" s="324"/>
      <c r="AD815" s="324"/>
      <c r="AE815" s="324"/>
      <c r="AF815" s="324"/>
      <c r="AG815" s="324"/>
      <c r="AH815" s="324"/>
      <c r="AI815" s="324"/>
      <c r="AJ815" s="324"/>
      <c r="AK815" s="324"/>
      <c r="AL815" s="303"/>
    </row>
    <row r="816" spans="1:38" s="233" customFormat="1" ht="10.199999999999999" hidden="1">
      <c r="A816" s="196"/>
      <c r="B816" s="47" t="s">
        <v>411</v>
      </c>
      <c r="C816" s="681"/>
      <c r="D816" s="681"/>
      <c r="E816" s="26"/>
      <c r="F816" s="755"/>
      <c r="G816" s="296"/>
      <c r="H816" s="197"/>
      <c r="I816" s="196"/>
      <c r="J816" s="196"/>
      <c r="K816" s="196"/>
      <c r="L816" s="297"/>
      <c r="M816" s="758"/>
      <c r="N816" s="207"/>
      <c r="O816" s="250">
        <f t="shared" si="35"/>
        <v>0</v>
      </c>
      <c r="P816" s="196"/>
      <c r="Q816" s="196"/>
      <c r="R816" s="196"/>
      <c r="S816" s="196"/>
      <c r="Z816" s="324"/>
      <c r="AA816" s="318"/>
      <c r="AB816" s="324"/>
      <c r="AC816" s="324"/>
      <c r="AD816" s="324"/>
      <c r="AE816" s="324"/>
      <c r="AF816" s="324"/>
      <c r="AG816" s="324"/>
      <c r="AH816" s="324"/>
      <c r="AI816" s="324"/>
      <c r="AJ816" s="324"/>
      <c r="AK816" s="324"/>
      <c r="AL816" s="303"/>
    </row>
    <row r="817" spans="1:38" s="233" customFormat="1" ht="10.199999999999999" hidden="1">
      <c r="A817" s="196"/>
      <c r="B817" s="47" t="s">
        <v>221</v>
      </c>
      <c r="C817" s="681"/>
      <c r="D817" s="681"/>
      <c r="E817" s="26"/>
      <c r="F817" s="755"/>
      <c r="G817" s="296"/>
      <c r="H817" s="197"/>
      <c r="I817" s="196"/>
      <c r="J817" s="196"/>
      <c r="K817" s="196"/>
      <c r="L817" s="297"/>
      <c r="M817" s="758"/>
      <c r="N817" s="207"/>
      <c r="O817" s="250">
        <f t="shared" si="35"/>
        <v>0</v>
      </c>
      <c r="P817" s="196"/>
      <c r="Q817" s="196"/>
      <c r="R817" s="196"/>
      <c r="S817" s="196"/>
      <c r="Z817" s="324"/>
      <c r="AA817" s="318"/>
      <c r="AB817" s="324"/>
      <c r="AC817" s="324"/>
      <c r="AD817" s="324"/>
      <c r="AE817" s="324"/>
      <c r="AF817" s="324"/>
      <c r="AG817" s="324"/>
      <c r="AH817" s="324"/>
      <c r="AI817" s="324"/>
      <c r="AJ817" s="324"/>
      <c r="AK817" s="324"/>
      <c r="AL817" s="303"/>
    </row>
    <row r="818" spans="1:38" s="233" customFormat="1" ht="10.199999999999999" hidden="1">
      <c r="A818" s="196"/>
      <c r="B818" s="47" t="s">
        <v>138</v>
      </c>
      <c r="C818" s="681"/>
      <c r="D818" s="681"/>
      <c r="E818" s="26"/>
      <c r="F818" s="755"/>
      <c r="G818" s="296"/>
      <c r="H818" s="197"/>
      <c r="I818" s="196"/>
      <c r="J818" s="196"/>
      <c r="K818" s="196"/>
      <c r="L818" s="297"/>
      <c r="M818" s="758"/>
      <c r="N818" s="207"/>
      <c r="O818" s="250">
        <f t="shared" si="35"/>
        <v>0</v>
      </c>
      <c r="P818" s="196"/>
      <c r="Q818" s="196"/>
      <c r="R818" s="196"/>
      <c r="S818" s="196"/>
      <c r="Z818" s="324"/>
      <c r="AA818" s="318"/>
      <c r="AB818" s="324"/>
      <c r="AC818" s="324"/>
      <c r="AD818" s="324"/>
      <c r="AE818" s="324"/>
      <c r="AF818" s="324"/>
      <c r="AG818" s="324"/>
      <c r="AH818" s="324"/>
      <c r="AI818" s="324"/>
      <c r="AJ818" s="324"/>
      <c r="AK818" s="324"/>
      <c r="AL818" s="303"/>
    </row>
    <row r="819" spans="1:38" s="233" customFormat="1" ht="10.199999999999999" hidden="1">
      <c r="A819" s="196"/>
      <c r="B819" s="47" t="s">
        <v>139</v>
      </c>
      <c r="C819" s="681"/>
      <c r="D819" s="681"/>
      <c r="E819" s="26"/>
      <c r="F819" s="755"/>
      <c r="G819" s="296"/>
      <c r="H819" s="197"/>
      <c r="I819" s="196"/>
      <c r="J819" s="196"/>
      <c r="K819" s="196"/>
      <c r="L819" s="297"/>
      <c r="M819" s="758"/>
      <c r="N819" s="207"/>
      <c r="O819" s="250">
        <f t="shared" si="35"/>
        <v>0</v>
      </c>
      <c r="P819" s="196"/>
      <c r="Q819" s="196"/>
      <c r="R819" s="196"/>
      <c r="S819" s="196"/>
      <c r="Z819" s="324"/>
      <c r="AA819" s="318"/>
      <c r="AB819" s="324"/>
      <c r="AC819" s="324"/>
      <c r="AD819" s="324"/>
      <c r="AE819" s="324"/>
      <c r="AF819" s="324"/>
      <c r="AG819" s="324"/>
      <c r="AH819" s="324"/>
      <c r="AI819" s="324"/>
      <c r="AJ819" s="324"/>
      <c r="AK819" s="324"/>
      <c r="AL819" s="303"/>
    </row>
    <row r="820" spans="1:38" s="233" customFormat="1" ht="10.199999999999999" hidden="1">
      <c r="A820" s="196"/>
      <c r="B820" s="47" t="s">
        <v>269</v>
      </c>
      <c r="C820" s="681"/>
      <c r="D820" s="681"/>
      <c r="E820" s="26"/>
      <c r="F820" s="755"/>
      <c r="G820" s="296"/>
      <c r="H820" s="197"/>
      <c r="I820" s="196"/>
      <c r="J820" s="196"/>
      <c r="K820" s="196"/>
      <c r="L820" s="297"/>
      <c r="M820" s="758"/>
      <c r="N820" s="207"/>
      <c r="O820" s="250">
        <f t="shared" si="35"/>
        <v>0</v>
      </c>
      <c r="P820" s="196"/>
      <c r="Q820" s="196"/>
      <c r="R820" s="196"/>
      <c r="S820" s="196"/>
      <c r="Z820" s="324"/>
      <c r="AA820" s="318"/>
      <c r="AB820" s="324"/>
      <c r="AC820" s="324"/>
      <c r="AD820" s="324"/>
      <c r="AE820" s="324"/>
      <c r="AF820" s="324"/>
      <c r="AG820" s="324"/>
      <c r="AH820" s="324"/>
      <c r="AI820" s="324"/>
      <c r="AJ820" s="324"/>
      <c r="AK820" s="324"/>
      <c r="AL820" s="303"/>
    </row>
    <row r="821" spans="1:38" s="233" customFormat="1" ht="10.199999999999999" hidden="1">
      <c r="A821" s="196"/>
      <c r="B821" s="47" t="s">
        <v>366</v>
      </c>
      <c r="C821" s="681"/>
      <c r="D821" s="681"/>
      <c r="E821" s="26"/>
      <c r="F821" s="755"/>
      <c r="G821" s="296"/>
      <c r="H821" s="197"/>
      <c r="I821" s="196"/>
      <c r="J821" s="196"/>
      <c r="K821" s="196"/>
      <c r="L821" s="297"/>
      <c r="M821" s="758"/>
      <c r="N821" s="207"/>
      <c r="O821" s="250">
        <f t="shared" si="35"/>
        <v>0</v>
      </c>
      <c r="P821" s="196"/>
      <c r="Q821" s="196"/>
      <c r="R821" s="196"/>
      <c r="S821" s="196"/>
      <c r="Z821" s="324"/>
      <c r="AA821" s="318"/>
      <c r="AB821" s="324"/>
      <c r="AC821" s="324"/>
      <c r="AD821" s="324"/>
      <c r="AE821" s="324"/>
      <c r="AF821" s="324"/>
      <c r="AG821" s="324"/>
      <c r="AH821" s="324"/>
      <c r="AI821" s="324"/>
      <c r="AJ821" s="324"/>
      <c r="AK821" s="324"/>
      <c r="AL821" s="303"/>
    </row>
    <row r="822" spans="1:38" s="233" customFormat="1" ht="10.199999999999999" hidden="1">
      <c r="A822" s="196"/>
      <c r="B822" s="47" t="s">
        <v>465</v>
      </c>
      <c r="C822" s="681"/>
      <c r="D822" s="681"/>
      <c r="E822" s="26"/>
      <c r="F822" s="755"/>
      <c r="G822" s="296"/>
      <c r="H822" s="197"/>
      <c r="I822" s="196"/>
      <c r="J822" s="196"/>
      <c r="K822" s="196"/>
      <c r="L822" s="297"/>
      <c r="M822" s="758"/>
      <c r="N822" s="207"/>
      <c r="O822" s="250">
        <f t="shared" si="35"/>
        <v>0</v>
      </c>
      <c r="P822" s="196"/>
      <c r="Q822" s="196"/>
      <c r="R822" s="196"/>
      <c r="S822" s="196"/>
      <c r="Z822" s="324"/>
      <c r="AA822" s="318"/>
      <c r="AB822" s="324"/>
      <c r="AC822" s="324"/>
      <c r="AD822" s="324"/>
      <c r="AE822" s="324"/>
      <c r="AF822" s="324"/>
      <c r="AG822" s="324"/>
      <c r="AH822" s="324"/>
      <c r="AI822" s="324"/>
      <c r="AJ822" s="324"/>
      <c r="AK822" s="324"/>
      <c r="AL822" s="303"/>
    </row>
    <row r="823" spans="1:38" s="233" customFormat="1" ht="10.95" customHeight="1">
      <c r="A823" s="196"/>
      <c r="B823" s="747"/>
      <c r="C823" s="656"/>
      <c r="D823" s="656"/>
      <c r="E823" s="658"/>
      <c r="F823" s="746"/>
      <c r="G823" s="533"/>
      <c r="H823" s="258"/>
      <c r="I823" s="192"/>
      <c r="J823" s="192"/>
      <c r="K823" s="192"/>
      <c r="L823" s="534"/>
      <c r="M823" s="760" t="str">
        <f>IF(D823="","",AB823)</f>
        <v/>
      </c>
      <c r="N823" s="251">
        <f>IF(F823=0,0,SUM(O824:O835))</f>
        <v>0</v>
      </c>
      <c r="O823" s="215" t="str">
        <f>IF(N823/$O$1370=0,"",N823/$O$1370)</f>
        <v/>
      </c>
      <c r="P823" s="192"/>
      <c r="Q823" s="192"/>
      <c r="R823" s="196"/>
      <c r="S823" s="196"/>
      <c r="T823" s="182">
        <f>D823*E823</f>
        <v>0</v>
      </c>
      <c r="Z823" s="324"/>
      <c r="AA823" s="318">
        <f>IF(D823="",0,1)</f>
        <v>0</v>
      </c>
      <c r="AB823" s="318">
        <f>AB810+AA823</f>
        <v>0</v>
      </c>
      <c r="AC823" s="324"/>
      <c r="AD823" s="324"/>
      <c r="AE823" s="324"/>
      <c r="AF823" s="324"/>
      <c r="AG823" s="324"/>
      <c r="AH823" s="324"/>
      <c r="AI823" s="324"/>
      <c r="AJ823" s="324"/>
      <c r="AK823" s="324"/>
      <c r="AL823" s="303"/>
    </row>
    <row r="824" spans="1:38" s="233" customFormat="1" ht="10.199999999999999" hidden="1">
      <c r="A824" s="196"/>
      <c r="B824" s="47" t="s">
        <v>49</v>
      </c>
      <c r="C824" s="716"/>
      <c r="D824" s="681"/>
      <c r="E824" s="683"/>
      <c r="F824" s="684"/>
      <c r="G824" s="296"/>
      <c r="H824" s="738">
        <f>Nutzung!$G$29</f>
        <v>0</v>
      </c>
      <c r="I824" s="196"/>
      <c r="J824" s="196"/>
      <c r="K824" s="196"/>
      <c r="L824" s="297"/>
      <c r="M824" s="757"/>
      <c r="N824" s="207"/>
      <c r="O824" s="250">
        <f t="shared" ref="O824:O835" si="36">($H$824+Regelung-1-I720)*J720*$D$823*$E$823*$F$823*24/($N$720*1000)</f>
        <v>0</v>
      </c>
      <c r="P824" s="196"/>
      <c r="Q824" s="196"/>
      <c r="R824" s="196"/>
      <c r="S824" s="196"/>
      <c r="Z824" s="324"/>
      <c r="AA824" s="318"/>
      <c r="AB824" s="324"/>
      <c r="AC824" s="324"/>
      <c r="AD824" s="324"/>
      <c r="AE824" s="324"/>
      <c r="AF824" s="324"/>
      <c r="AG824" s="324"/>
      <c r="AH824" s="324"/>
      <c r="AI824" s="324"/>
      <c r="AJ824" s="324"/>
      <c r="AK824" s="324"/>
      <c r="AL824" s="303"/>
    </row>
    <row r="825" spans="1:38" s="233" customFormat="1" ht="10.199999999999999" hidden="1">
      <c r="A825" s="196"/>
      <c r="B825" s="47" t="s">
        <v>554</v>
      </c>
      <c r="C825" s="681"/>
      <c r="D825" s="681"/>
      <c r="E825" s="683"/>
      <c r="F825" s="684"/>
      <c r="G825" s="296"/>
      <c r="H825" s="197"/>
      <c r="I825" s="196"/>
      <c r="J825" s="196"/>
      <c r="K825" s="196"/>
      <c r="L825" s="297"/>
      <c r="M825" s="758"/>
      <c r="N825" s="207"/>
      <c r="O825" s="250">
        <f t="shared" si="36"/>
        <v>0</v>
      </c>
      <c r="P825" s="196"/>
      <c r="Q825" s="196"/>
      <c r="R825" s="196"/>
      <c r="S825" s="196"/>
      <c r="Z825" s="324"/>
      <c r="AA825" s="318"/>
      <c r="AB825" s="324"/>
      <c r="AC825" s="324"/>
      <c r="AD825" s="324"/>
      <c r="AE825" s="324"/>
      <c r="AF825" s="324"/>
      <c r="AG825" s="324"/>
      <c r="AH825" s="324"/>
      <c r="AI825" s="324"/>
      <c r="AJ825" s="324"/>
      <c r="AK825" s="324"/>
      <c r="AL825" s="303"/>
    </row>
    <row r="826" spans="1:38" s="233" customFormat="1" ht="10.199999999999999" hidden="1">
      <c r="A826" s="196"/>
      <c r="B826" s="47" t="s">
        <v>306</v>
      </c>
      <c r="C826" s="681"/>
      <c r="D826" s="681"/>
      <c r="E826" s="683"/>
      <c r="F826" s="684"/>
      <c r="G826" s="296"/>
      <c r="H826" s="197"/>
      <c r="I826" s="196"/>
      <c r="J826" s="196"/>
      <c r="K826" s="196"/>
      <c r="L826" s="297"/>
      <c r="M826" s="758"/>
      <c r="N826" s="207"/>
      <c r="O826" s="250">
        <f t="shared" si="36"/>
        <v>0</v>
      </c>
      <c r="P826" s="196"/>
      <c r="Q826" s="196"/>
      <c r="R826" s="196"/>
      <c r="S826" s="196"/>
      <c r="Z826" s="324"/>
      <c r="AA826" s="318"/>
      <c r="AB826" s="324"/>
      <c r="AC826" s="324"/>
      <c r="AD826" s="324"/>
      <c r="AE826" s="324"/>
      <c r="AF826" s="324"/>
      <c r="AG826" s="324"/>
      <c r="AH826" s="324"/>
      <c r="AI826" s="324"/>
      <c r="AJ826" s="324"/>
      <c r="AK826" s="324"/>
      <c r="AL826" s="303"/>
    </row>
    <row r="827" spans="1:38" s="233" customFormat="1" ht="10.199999999999999" hidden="1">
      <c r="A827" s="196"/>
      <c r="B827" s="47" t="s">
        <v>409</v>
      </c>
      <c r="C827" s="681"/>
      <c r="D827" s="681"/>
      <c r="E827" s="683"/>
      <c r="F827" s="684"/>
      <c r="G827" s="296"/>
      <c r="H827" s="197"/>
      <c r="I827" s="196"/>
      <c r="J827" s="196"/>
      <c r="K827" s="196"/>
      <c r="L827" s="297"/>
      <c r="M827" s="758"/>
      <c r="N827" s="207"/>
      <c r="O827" s="250">
        <f t="shared" si="36"/>
        <v>0</v>
      </c>
      <c r="P827" s="196"/>
      <c r="Q827" s="196"/>
      <c r="R827" s="196"/>
      <c r="S827" s="196"/>
      <c r="Z827" s="324"/>
      <c r="AA827" s="318"/>
      <c r="AB827" s="324"/>
      <c r="AC827" s="324"/>
      <c r="AD827" s="324"/>
      <c r="AE827" s="324"/>
      <c r="AF827" s="324"/>
      <c r="AG827" s="324"/>
      <c r="AH827" s="324"/>
      <c r="AI827" s="324"/>
      <c r="AJ827" s="324"/>
      <c r="AK827" s="324"/>
      <c r="AL827" s="303"/>
    </row>
    <row r="828" spans="1:38" s="233" customFormat="1" ht="10.199999999999999" hidden="1">
      <c r="A828" s="196"/>
      <c r="B828" s="47" t="s">
        <v>410</v>
      </c>
      <c r="C828" s="681"/>
      <c r="D828" s="681"/>
      <c r="E828" s="683"/>
      <c r="F828" s="684"/>
      <c r="G828" s="296"/>
      <c r="H828" s="197"/>
      <c r="I828" s="196"/>
      <c r="J828" s="196"/>
      <c r="K828" s="196"/>
      <c r="L828" s="297"/>
      <c r="M828" s="758"/>
      <c r="N828" s="207"/>
      <c r="O828" s="250">
        <f t="shared" si="36"/>
        <v>0</v>
      </c>
      <c r="P828" s="196"/>
      <c r="Q828" s="196"/>
      <c r="R828" s="196"/>
      <c r="S828" s="196"/>
      <c r="Z828" s="324"/>
      <c r="AA828" s="318"/>
      <c r="AB828" s="324"/>
      <c r="AC828" s="324"/>
      <c r="AD828" s="324"/>
      <c r="AE828" s="324"/>
      <c r="AF828" s="324"/>
      <c r="AG828" s="324"/>
      <c r="AH828" s="324"/>
      <c r="AI828" s="324"/>
      <c r="AJ828" s="324"/>
      <c r="AK828" s="324"/>
      <c r="AL828" s="303"/>
    </row>
    <row r="829" spans="1:38" s="233" customFormat="1" ht="10.199999999999999" hidden="1">
      <c r="A829" s="196"/>
      <c r="B829" s="47" t="s">
        <v>411</v>
      </c>
      <c r="C829" s="681"/>
      <c r="D829" s="681"/>
      <c r="E829" s="683"/>
      <c r="F829" s="684"/>
      <c r="G829" s="296"/>
      <c r="H829" s="197"/>
      <c r="I829" s="196"/>
      <c r="J829" s="196"/>
      <c r="K829" s="196"/>
      <c r="L829" s="297"/>
      <c r="M829" s="758"/>
      <c r="N829" s="207"/>
      <c r="O829" s="250">
        <f t="shared" si="36"/>
        <v>0</v>
      </c>
      <c r="P829" s="196"/>
      <c r="Q829" s="196"/>
      <c r="R829" s="196"/>
      <c r="S829" s="196"/>
      <c r="Z829" s="324"/>
      <c r="AA829" s="318"/>
      <c r="AB829" s="324"/>
      <c r="AC829" s="324"/>
      <c r="AD829" s="324"/>
      <c r="AE829" s="324"/>
      <c r="AF829" s="324"/>
      <c r="AG829" s="324"/>
      <c r="AH829" s="324"/>
      <c r="AI829" s="324"/>
      <c r="AJ829" s="324"/>
      <c r="AK829" s="324"/>
      <c r="AL829" s="303"/>
    </row>
    <row r="830" spans="1:38" s="233" customFormat="1" ht="10.199999999999999" hidden="1">
      <c r="A830" s="196"/>
      <c r="B830" s="47" t="s">
        <v>221</v>
      </c>
      <c r="C830" s="681"/>
      <c r="D830" s="681"/>
      <c r="E830" s="683"/>
      <c r="F830" s="684"/>
      <c r="G830" s="296"/>
      <c r="H830" s="197"/>
      <c r="I830" s="196"/>
      <c r="J830" s="196"/>
      <c r="K830" s="196"/>
      <c r="L830" s="297"/>
      <c r="M830" s="758"/>
      <c r="N830" s="207"/>
      <c r="O830" s="250">
        <f t="shared" si="36"/>
        <v>0</v>
      </c>
      <c r="P830" s="196"/>
      <c r="Q830" s="196"/>
      <c r="R830" s="196"/>
      <c r="S830" s="196"/>
      <c r="Z830" s="324"/>
      <c r="AA830" s="318"/>
      <c r="AB830" s="324"/>
      <c r="AC830" s="324"/>
      <c r="AD830" s="324"/>
      <c r="AE830" s="324"/>
      <c r="AF830" s="324"/>
      <c r="AG830" s="324"/>
      <c r="AH830" s="324"/>
      <c r="AI830" s="324"/>
      <c r="AJ830" s="324"/>
      <c r="AK830" s="324"/>
      <c r="AL830" s="303"/>
    </row>
    <row r="831" spans="1:38" s="233" customFormat="1" ht="10.199999999999999" hidden="1">
      <c r="A831" s="196"/>
      <c r="B831" s="47" t="s">
        <v>138</v>
      </c>
      <c r="C831" s="681"/>
      <c r="D831" s="681"/>
      <c r="E831" s="683"/>
      <c r="F831" s="684"/>
      <c r="G831" s="296"/>
      <c r="H831" s="197"/>
      <c r="I831" s="196"/>
      <c r="J831" s="196"/>
      <c r="K831" s="196"/>
      <c r="L831" s="297"/>
      <c r="M831" s="758"/>
      <c r="N831" s="207"/>
      <c r="O831" s="250">
        <f t="shared" si="36"/>
        <v>0</v>
      </c>
      <c r="P831" s="196"/>
      <c r="Q831" s="196"/>
      <c r="R831" s="196"/>
      <c r="S831" s="196"/>
      <c r="Z831" s="324"/>
      <c r="AA831" s="318"/>
      <c r="AB831" s="324"/>
      <c r="AC831" s="324"/>
      <c r="AD831" s="324"/>
      <c r="AE831" s="324"/>
      <c r="AF831" s="324"/>
      <c r="AG831" s="324"/>
      <c r="AH831" s="324"/>
      <c r="AI831" s="324"/>
      <c r="AJ831" s="324"/>
      <c r="AK831" s="324"/>
      <c r="AL831" s="303"/>
    </row>
    <row r="832" spans="1:38" s="233" customFormat="1" ht="10.199999999999999" hidden="1">
      <c r="A832" s="196"/>
      <c r="B832" s="47" t="s">
        <v>139</v>
      </c>
      <c r="C832" s="681"/>
      <c r="D832" s="681"/>
      <c r="E832" s="683"/>
      <c r="F832" s="684"/>
      <c r="G832" s="296"/>
      <c r="H832" s="197"/>
      <c r="I832" s="196"/>
      <c r="J832" s="196"/>
      <c r="K832" s="196"/>
      <c r="L832" s="297"/>
      <c r="M832" s="758"/>
      <c r="N832" s="207"/>
      <c r="O832" s="250">
        <f t="shared" si="36"/>
        <v>0</v>
      </c>
      <c r="P832" s="196"/>
      <c r="Q832" s="196"/>
      <c r="R832" s="196"/>
      <c r="S832" s="196"/>
      <c r="Z832" s="324"/>
      <c r="AA832" s="318"/>
      <c r="AB832" s="324"/>
      <c r="AC832" s="324"/>
      <c r="AD832" s="324"/>
      <c r="AE832" s="324"/>
      <c r="AF832" s="324"/>
      <c r="AG832" s="324"/>
      <c r="AH832" s="324"/>
      <c r="AI832" s="324"/>
      <c r="AJ832" s="324"/>
      <c r="AK832" s="324"/>
      <c r="AL832" s="303"/>
    </row>
    <row r="833" spans="1:38" s="233" customFormat="1" ht="10.199999999999999" hidden="1">
      <c r="A833" s="196"/>
      <c r="B833" s="47" t="s">
        <v>269</v>
      </c>
      <c r="C833" s="681"/>
      <c r="D833" s="681"/>
      <c r="E833" s="683"/>
      <c r="F833" s="684"/>
      <c r="G833" s="296"/>
      <c r="H833" s="197"/>
      <c r="I833" s="196"/>
      <c r="J833" s="196"/>
      <c r="K833" s="196"/>
      <c r="L833" s="297"/>
      <c r="M833" s="758"/>
      <c r="N833" s="207"/>
      <c r="O833" s="250">
        <f t="shared" si="36"/>
        <v>0</v>
      </c>
      <c r="P833" s="196"/>
      <c r="Q833" s="196"/>
      <c r="R833" s="196"/>
      <c r="S833" s="196"/>
      <c r="Z833" s="324"/>
      <c r="AA833" s="318"/>
      <c r="AB833" s="324"/>
      <c r="AC833" s="324"/>
      <c r="AD833" s="324"/>
      <c r="AE833" s="324"/>
      <c r="AF833" s="324"/>
      <c r="AG833" s="324"/>
      <c r="AH833" s="324"/>
      <c r="AI833" s="324"/>
      <c r="AJ833" s="324"/>
      <c r="AK833" s="324"/>
      <c r="AL833" s="303"/>
    </row>
    <row r="834" spans="1:38" s="233" customFormat="1" ht="10.199999999999999" hidden="1">
      <c r="A834" s="196"/>
      <c r="B834" s="47" t="s">
        <v>366</v>
      </c>
      <c r="C834" s="681"/>
      <c r="D834" s="681"/>
      <c r="E834" s="683"/>
      <c r="F834" s="684"/>
      <c r="G834" s="296"/>
      <c r="H834" s="197"/>
      <c r="I834" s="196"/>
      <c r="J834" s="196"/>
      <c r="K834" s="196"/>
      <c r="L834" s="297"/>
      <c r="M834" s="758"/>
      <c r="N834" s="207"/>
      <c r="O834" s="250">
        <f t="shared" si="36"/>
        <v>0</v>
      </c>
      <c r="P834" s="196"/>
      <c r="Q834" s="196"/>
      <c r="R834" s="196"/>
      <c r="S834" s="196"/>
      <c r="Z834" s="324"/>
      <c r="AA834" s="318"/>
      <c r="AB834" s="324"/>
      <c r="AC834" s="324"/>
      <c r="AD834" s="324"/>
      <c r="AE834" s="324"/>
      <c r="AF834" s="324"/>
      <c r="AG834" s="324"/>
      <c r="AH834" s="324"/>
      <c r="AI834" s="324"/>
      <c r="AJ834" s="324"/>
      <c r="AK834" s="324"/>
      <c r="AL834" s="303"/>
    </row>
    <row r="835" spans="1:38" s="233" customFormat="1" ht="10.199999999999999" hidden="1">
      <c r="A835" s="196"/>
      <c r="B835" s="47" t="s">
        <v>465</v>
      </c>
      <c r="C835" s="681"/>
      <c r="D835" s="681"/>
      <c r="E835" s="683"/>
      <c r="F835" s="684"/>
      <c r="G835" s="296"/>
      <c r="H835" s="197"/>
      <c r="I835" s="196"/>
      <c r="J835" s="196"/>
      <c r="K835" s="196"/>
      <c r="L835" s="297"/>
      <c r="M835" s="758"/>
      <c r="N835" s="207"/>
      <c r="O835" s="250">
        <f t="shared" si="36"/>
        <v>0</v>
      </c>
      <c r="P835" s="196"/>
      <c r="Q835" s="196"/>
      <c r="R835" s="196"/>
      <c r="S835" s="196"/>
      <c r="Z835" s="324"/>
      <c r="AA835" s="318"/>
      <c r="AB835" s="324"/>
      <c r="AC835" s="324"/>
      <c r="AD835" s="324"/>
      <c r="AE835" s="324"/>
      <c r="AF835" s="324"/>
      <c r="AG835" s="324"/>
      <c r="AH835" s="324"/>
      <c r="AI835" s="324"/>
      <c r="AJ835" s="324"/>
      <c r="AK835" s="324"/>
      <c r="AL835" s="303"/>
    </row>
    <row r="836" spans="1:38" s="233" customFormat="1" ht="10.95" customHeight="1">
      <c r="A836" s="196"/>
      <c r="B836" s="747"/>
      <c r="C836" s="656"/>
      <c r="D836" s="656"/>
      <c r="E836" s="658"/>
      <c r="F836" s="746"/>
      <c r="G836" s="533"/>
      <c r="H836" s="258"/>
      <c r="I836" s="192"/>
      <c r="J836" s="192"/>
      <c r="K836" s="192"/>
      <c r="L836" s="534"/>
      <c r="M836" s="760" t="str">
        <f>IF(D836="","",AB836)</f>
        <v/>
      </c>
      <c r="N836" s="251">
        <f>IF(F836=0,0,SUM(O837:O848))</f>
        <v>0</v>
      </c>
      <c r="O836" s="215" t="str">
        <f>IF(N836/$O$1370=0,"",N836/$O$1370)</f>
        <v/>
      </c>
      <c r="P836" s="192"/>
      <c r="Q836" s="192"/>
      <c r="R836" s="196"/>
      <c r="S836" s="196"/>
      <c r="T836" s="182">
        <f>D836*E836</f>
        <v>0</v>
      </c>
      <c r="Z836" s="324"/>
      <c r="AA836" s="318">
        <f>IF(D836="",0,1)</f>
        <v>0</v>
      </c>
      <c r="AB836" s="318">
        <f>AB823+AA836</f>
        <v>0</v>
      </c>
      <c r="AC836" s="324"/>
      <c r="AD836" s="324"/>
      <c r="AE836" s="324"/>
      <c r="AF836" s="324"/>
      <c r="AG836" s="324"/>
      <c r="AH836" s="324"/>
      <c r="AI836" s="324"/>
      <c r="AJ836" s="324"/>
      <c r="AK836" s="324"/>
      <c r="AL836" s="303"/>
    </row>
    <row r="837" spans="1:38" s="233" customFormat="1" ht="10.199999999999999" hidden="1">
      <c r="A837" s="196"/>
      <c r="B837" s="47" t="s">
        <v>49</v>
      </c>
      <c r="C837" s="716"/>
      <c r="D837" s="681"/>
      <c r="E837" s="683"/>
      <c r="F837" s="684"/>
      <c r="G837" s="296"/>
      <c r="H837" s="738">
        <f>Nutzung!$G$29</f>
        <v>0</v>
      </c>
      <c r="I837" s="196"/>
      <c r="J837" s="196"/>
      <c r="K837" s="196"/>
      <c r="L837" s="297"/>
      <c r="M837" s="757"/>
      <c r="N837" s="207"/>
      <c r="O837" s="250">
        <f t="shared" ref="O837:O848" si="37">($H$837+Regelung-1-I720)*J720*$D$836*$E$836*$F$836*24/($N$720*1000)</f>
        <v>0</v>
      </c>
      <c r="P837" s="196"/>
      <c r="Q837" s="196"/>
      <c r="R837" s="196"/>
      <c r="S837" s="196"/>
      <c r="Z837" s="324"/>
      <c r="AA837" s="318"/>
      <c r="AB837" s="324"/>
      <c r="AC837" s="324"/>
      <c r="AD837" s="324"/>
      <c r="AE837" s="324"/>
      <c r="AF837" s="324"/>
      <c r="AG837" s="324"/>
      <c r="AH837" s="324"/>
      <c r="AI837" s="324"/>
      <c r="AJ837" s="324"/>
      <c r="AK837" s="324"/>
      <c r="AL837" s="303"/>
    </row>
    <row r="838" spans="1:38" s="233" customFormat="1" ht="10.199999999999999" hidden="1">
      <c r="A838" s="196"/>
      <c r="B838" s="47" t="s">
        <v>554</v>
      </c>
      <c r="C838" s="681"/>
      <c r="D838" s="681"/>
      <c r="E838" s="683"/>
      <c r="F838" s="684"/>
      <c r="G838" s="296"/>
      <c r="H838" s="197"/>
      <c r="I838" s="196"/>
      <c r="J838" s="196"/>
      <c r="K838" s="196"/>
      <c r="L838" s="297"/>
      <c r="M838" s="758"/>
      <c r="N838" s="207"/>
      <c r="O838" s="250">
        <f t="shared" si="37"/>
        <v>0</v>
      </c>
      <c r="P838" s="196"/>
      <c r="Q838" s="196"/>
      <c r="R838" s="196"/>
      <c r="S838" s="196"/>
      <c r="Z838" s="324"/>
      <c r="AA838" s="318"/>
      <c r="AB838" s="324"/>
      <c r="AC838" s="324"/>
      <c r="AD838" s="324"/>
      <c r="AE838" s="324"/>
      <c r="AF838" s="324"/>
      <c r="AG838" s="324"/>
      <c r="AH838" s="324"/>
      <c r="AI838" s="324"/>
      <c r="AJ838" s="324"/>
      <c r="AK838" s="324"/>
      <c r="AL838" s="303"/>
    </row>
    <row r="839" spans="1:38" s="233" customFormat="1" ht="10.199999999999999" hidden="1">
      <c r="A839" s="196"/>
      <c r="B839" s="47" t="s">
        <v>306</v>
      </c>
      <c r="C839" s="681"/>
      <c r="D839" s="681"/>
      <c r="E839" s="683"/>
      <c r="F839" s="684"/>
      <c r="G839" s="296"/>
      <c r="H839" s="197"/>
      <c r="I839" s="196"/>
      <c r="J839" s="196"/>
      <c r="K839" s="196"/>
      <c r="L839" s="297"/>
      <c r="M839" s="758"/>
      <c r="N839" s="207"/>
      <c r="O839" s="250">
        <f t="shared" si="37"/>
        <v>0</v>
      </c>
      <c r="P839" s="196"/>
      <c r="Q839" s="196"/>
      <c r="R839" s="196"/>
      <c r="S839" s="196"/>
      <c r="Z839" s="324"/>
      <c r="AA839" s="318"/>
      <c r="AB839" s="324"/>
      <c r="AC839" s="324"/>
      <c r="AD839" s="324"/>
      <c r="AE839" s="324"/>
      <c r="AF839" s="324"/>
      <c r="AG839" s="324"/>
      <c r="AH839" s="324"/>
      <c r="AI839" s="324"/>
      <c r="AJ839" s="324"/>
      <c r="AK839" s="324"/>
      <c r="AL839" s="303"/>
    </row>
    <row r="840" spans="1:38" s="233" customFormat="1" ht="10.199999999999999" hidden="1">
      <c r="A840" s="196"/>
      <c r="B840" s="47" t="s">
        <v>409</v>
      </c>
      <c r="C840" s="681"/>
      <c r="D840" s="681"/>
      <c r="E840" s="683"/>
      <c r="F840" s="684"/>
      <c r="G840" s="296"/>
      <c r="H840" s="197"/>
      <c r="I840" s="196"/>
      <c r="J840" s="196"/>
      <c r="K840" s="196"/>
      <c r="L840" s="297"/>
      <c r="M840" s="758"/>
      <c r="N840" s="207"/>
      <c r="O840" s="250">
        <f t="shared" si="37"/>
        <v>0</v>
      </c>
      <c r="P840" s="196"/>
      <c r="Q840" s="196"/>
      <c r="R840" s="196"/>
      <c r="S840" s="196"/>
      <c r="Z840" s="324"/>
      <c r="AA840" s="318"/>
      <c r="AB840" s="324"/>
      <c r="AC840" s="324"/>
      <c r="AD840" s="324"/>
      <c r="AE840" s="324"/>
      <c r="AF840" s="324"/>
      <c r="AG840" s="324"/>
      <c r="AH840" s="324"/>
      <c r="AI840" s="324"/>
      <c r="AJ840" s="324"/>
      <c r="AK840" s="324"/>
      <c r="AL840" s="303"/>
    </row>
    <row r="841" spans="1:38" s="233" customFormat="1" ht="10.199999999999999" hidden="1">
      <c r="A841" s="196"/>
      <c r="B841" s="47" t="s">
        <v>410</v>
      </c>
      <c r="C841" s="681"/>
      <c r="D841" s="681"/>
      <c r="E841" s="683"/>
      <c r="F841" s="684"/>
      <c r="G841" s="296"/>
      <c r="H841" s="197"/>
      <c r="I841" s="196"/>
      <c r="J841" s="196"/>
      <c r="K841" s="196"/>
      <c r="L841" s="297"/>
      <c r="M841" s="758"/>
      <c r="N841" s="207"/>
      <c r="O841" s="250">
        <f t="shared" si="37"/>
        <v>0</v>
      </c>
      <c r="P841" s="196"/>
      <c r="Q841" s="196"/>
      <c r="R841" s="196"/>
      <c r="S841" s="196"/>
      <c r="Z841" s="324"/>
      <c r="AA841" s="318"/>
      <c r="AB841" s="324"/>
      <c r="AC841" s="324"/>
      <c r="AD841" s="324"/>
      <c r="AE841" s="324"/>
      <c r="AF841" s="324"/>
      <c r="AG841" s="324"/>
      <c r="AH841" s="324"/>
      <c r="AI841" s="324"/>
      <c r="AJ841" s="324"/>
      <c r="AK841" s="324"/>
      <c r="AL841" s="303"/>
    </row>
    <row r="842" spans="1:38" s="233" customFormat="1" ht="10.199999999999999" hidden="1">
      <c r="A842" s="196"/>
      <c r="B842" s="47" t="s">
        <v>411</v>
      </c>
      <c r="C842" s="681"/>
      <c r="D842" s="681"/>
      <c r="E842" s="683"/>
      <c r="F842" s="684"/>
      <c r="G842" s="296"/>
      <c r="H842" s="197"/>
      <c r="I842" s="196"/>
      <c r="J842" s="196"/>
      <c r="K842" s="196"/>
      <c r="L842" s="297"/>
      <c r="M842" s="758"/>
      <c r="N842" s="207"/>
      <c r="O842" s="250">
        <f t="shared" si="37"/>
        <v>0</v>
      </c>
      <c r="P842" s="196"/>
      <c r="Q842" s="196"/>
      <c r="R842" s="196"/>
      <c r="S842" s="196"/>
      <c r="Z842" s="324"/>
      <c r="AA842" s="318"/>
      <c r="AB842" s="324"/>
      <c r="AC842" s="324"/>
      <c r="AD842" s="324"/>
      <c r="AE842" s="324"/>
      <c r="AF842" s="324"/>
      <c r="AG842" s="324"/>
      <c r="AH842" s="324"/>
      <c r="AI842" s="324"/>
      <c r="AJ842" s="324"/>
      <c r="AK842" s="324"/>
      <c r="AL842" s="303"/>
    </row>
    <row r="843" spans="1:38" s="233" customFormat="1" ht="10.199999999999999" hidden="1">
      <c r="A843" s="196"/>
      <c r="B843" s="47" t="s">
        <v>221</v>
      </c>
      <c r="C843" s="681"/>
      <c r="D843" s="681"/>
      <c r="E843" s="683"/>
      <c r="F843" s="684"/>
      <c r="G843" s="296"/>
      <c r="H843" s="197"/>
      <c r="I843" s="196"/>
      <c r="J843" s="196"/>
      <c r="K843" s="196"/>
      <c r="L843" s="297"/>
      <c r="M843" s="758"/>
      <c r="N843" s="207"/>
      <c r="O843" s="250">
        <f t="shared" si="37"/>
        <v>0</v>
      </c>
      <c r="P843" s="196"/>
      <c r="Q843" s="196"/>
      <c r="R843" s="196"/>
      <c r="S843" s="196"/>
      <c r="Z843" s="324"/>
      <c r="AA843" s="318"/>
      <c r="AB843" s="324"/>
      <c r="AC843" s="324"/>
      <c r="AD843" s="324"/>
      <c r="AE843" s="324"/>
      <c r="AF843" s="324"/>
      <c r="AG843" s="324"/>
      <c r="AH843" s="324"/>
      <c r="AI843" s="324"/>
      <c r="AJ843" s="324"/>
      <c r="AK843" s="324"/>
      <c r="AL843" s="303"/>
    </row>
    <row r="844" spans="1:38" s="233" customFormat="1" ht="10.199999999999999" hidden="1">
      <c r="A844" s="196"/>
      <c r="B844" s="47" t="s">
        <v>138</v>
      </c>
      <c r="C844" s="681"/>
      <c r="D844" s="681"/>
      <c r="E844" s="683"/>
      <c r="F844" s="684"/>
      <c r="G844" s="296"/>
      <c r="H844" s="197"/>
      <c r="I844" s="196"/>
      <c r="J844" s="196"/>
      <c r="K844" s="196"/>
      <c r="L844" s="297"/>
      <c r="M844" s="758"/>
      <c r="N844" s="207"/>
      <c r="O844" s="250">
        <f t="shared" si="37"/>
        <v>0</v>
      </c>
      <c r="P844" s="196"/>
      <c r="Q844" s="196"/>
      <c r="R844" s="196"/>
      <c r="S844" s="196"/>
      <c r="Z844" s="324"/>
      <c r="AA844" s="318"/>
      <c r="AB844" s="324"/>
      <c r="AC844" s="324"/>
      <c r="AD844" s="324"/>
      <c r="AE844" s="324"/>
      <c r="AF844" s="324"/>
      <c r="AG844" s="324"/>
      <c r="AH844" s="324"/>
      <c r="AI844" s="324"/>
      <c r="AJ844" s="324"/>
      <c r="AK844" s="324"/>
      <c r="AL844" s="303"/>
    </row>
    <row r="845" spans="1:38" s="233" customFormat="1" ht="10.199999999999999" hidden="1">
      <c r="A845" s="196"/>
      <c r="B845" s="47" t="s">
        <v>139</v>
      </c>
      <c r="C845" s="681"/>
      <c r="D845" s="681"/>
      <c r="E845" s="683"/>
      <c r="F845" s="684"/>
      <c r="G845" s="296"/>
      <c r="H845" s="197"/>
      <c r="I845" s="196"/>
      <c r="J845" s="196"/>
      <c r="K845" s="196"/>
      <c r="L845" s="297"/>
      <c r="M845" s="758"/>
      <c r="N845" s="207"/>
      <c r="O845" s="250">
        <f t="shared" si="37"/>
        <v>0</v>
      </c>
      <c r="P845" s="196"/>
      <c r="Q845" s="196"/>
      <c r="R845" s="196"/>
      <c r="S845" s="196"/>
      <c r="Z845" s="324"/>
      <c r="AA845" s="318"/>
      <c r="AB845" s="324"/>
      <c r="AC845" s="324"/>
      <c r="AD845" s="324"/>
      <c r="AE845" s="324"/>
      <c r="AF845" s="324"/>
      <c r="AG845" s="324"/>
      <c r="AH845" s="324"/>
      <c r="AI845" s="324"/>
      <c r="AJ845" s="324"/>
      <c r="AK845" s="324"/>
      <c r="AL845" s="303"/>
    </row>
    <row r="846" spans="1:38" s="233" customFormat="1" ht="10.199999999999999" hidden="1">
      <c r="A846" s="196"/>
      <c r="B846" s="47" t="s">
        <v>269</v>
      </c>
      <c r="C846" s="681"/>
      <c r="D846" s="681"/>
      <c r="E846" s="683"/>
      <c r="F846" s="684"/>
      <c r="G846" s="296"/>
      <c r="H846" s="197"/>
      <c r="I846" s="196"/>
      <c r="J846" s="196"/>
      <c r="K846" s="196"/>
      <c r="L846" s="297"/>
      <c r="M846" s="758"/>
      <c r="N846" s="207"/>
      <c r="O846" s="250">
        <f t="shared" si="37"/>
        <v>0</v>
      </c>
      <c r="P846" s="196"/>
      <c r="Q846" s="196"/>
      <c r="R846" s="196"/>
      <c r="S846" s="196"/>
      <c r="Z846" s="324"/>
      <c r="AA846" s="318"/>
      <c r="AB846" s="324"/>
      <c r="AC846" s="324"/>
      <c r="AD846" s="324"/>
      <c r="AE846" s="324"/>
      <c r="AF846" s="324"/>
      <c r="AG846" s="324"/>
      <c r="AH846" s="324"/>
      <c r="AI846" s="324"/>
      <c r="AJ846" s="324"/>
      <c r="AK846" s="324"/>
      <c r="AL846" s="303"/>
    </row>
    <row r="847" spans="1:38" s="233" customFormat="1" ht="10.199999999999999" hidden="1">
      <c r="A847" s="196"/>
      <c r="B847" s="47" t="s">
        <v>366</v>
      </c>
      <c r="C847" s="681"/>
      <c r="D847" s="681"/>
      <c r="E847" s="683"/>
      <c r="F847" s="684"/>
      <c r="G847" s="296"/>
      <c r="H847" s="197"/>
      <c r="I847" s="196"/>
      <c r="J847" s="196"/>
      <c r="K847" s="196"/>
      <c r="L847" s="297"/>
      <c r="M847" s="758"/>
      <c r="N847" s="207"/>
      <c r="O847" s="250">
        <f t="shared" si="37"/>
        <v>0</v>
      </c>
      <c r="P847" s="196"/>
      <c r="Q847" s="196"/>
      <c r="R847" s="196"/>
      <c r="S847" s="196"/>
      <c r="Z847" s="324"/>
      <c r="AA847" s="318"/>
      <c r="AB847" s="324"/>
      <c r="AC847" s="324"/>
      <c r="AD847" s="324"/>
      <c r="AE847" s="324"/>
      <c r="AF847" s="324"/>
      <c r="AG847" s="324"/>
      <c r="AH847" s="324"/>
      <c r="AI847" s="324"/>
      <c r="AJ847" s="324"/>
      <c r="AK847" s="324"/>
      <c r="AL847" s="303"/>
    </row>
    <row r="848" spans="1:38" s="233" customFormat="1" ht="10.199999999999999" hidden="1">
      <c r="A848" s="196"/>
      <c r="B848" s="47" t="s">
        <v>465</v>
      </c>
      <c r="C848" s="681"/>
      <c r="D848" s="681"/>
      <c r="E848" s="683"/>
      <c r="F848" s="684"/>
      <c r="G848" s="296"/>
      <c r="H848" s="197"/>
      <c r="I848" s="196"/>
      <c r="J848" s="196"/>
      <c r="K848" s="196"/>
      <c r="L848" s="297"/>
      <c r="M848" s="758"/>
      <c r="N848" s="207"/>
      <c r="O848" s="250">
        <f t="shared" si="37"/>
        <v>0</v>
      </c>
      <c r="P848" s="196"/>
      <c r="Q848" s="196"/>
      <c r="R848" s="196"/>
      <c r="S848" s="196"/>
      <c r="Z848" s="324"/>
      <c r="AA848" s="318"/>
      <c r="AB848" s="324"/>
      <c r="AC848" s="324"/>
      <c r="AD848" s="324"/>
      <c r="AE848" s="324"/>
      <c r="AF848" s="324"/>
      <c r="AG848" s="324"/>
      <c r="AH848" s="324"/>
      <c r="AI848" s="324"/>
      <c r="AJ848" s="324"/>
      <c r="AK848" s="324"/>
      <c r="AL848" s="303"/>
    </row>
    <row r="849" spans="1:38" s="233" customFormat="1" ht="10.95" customHeight="1">
      <c r="A849" s="196"/>
      <c r="B849" s="747"/>
      <c r="C849" s="656"/>
      <c r="D849" s="656"/>
      <c r="E849" s="658"/>
      <c r="F849" s="746"/>
      <c r="G849" s="533"/>
      <c r="H849" s="258"/>
      <c r="I849" s="192"/>
      <c r="J849" s="192"/>
      <c r="K849" s="192"/>
      <c r="L849" s="534"/>
      <c r="M849" s="760" t="str">
        <f>IF(D849="","",AB849)</f>
        <v/>
      </c>
      <c r="N849" s="251">
        <f>IF(F849=0,0,SUM(O850:O861))</f>
        <v>0</v>
      </c>
      <c r="O849" s="215" t="str">
        <f>IF(N849/$O$1370=0,"",N849/$O$1370)</f>
        <v/>
      </c>
      <c r="P849" s="192"/>
      <c r="Q849" s="192"/>
      <c r="R849" s="196"/>
      <c r="S849" s="196"/>
      <c r="T849" s="182">
        <f>D849*E849</f>
        <v>0</v>
      </c>
      <c r="Z849" s="324"/>
      <c r="AA849" s="318">
        <f>IF(D849="",0,1)</f>
        <v>0</v>
      </c>
      <c r="AB849" s="318">
        <f>AB836+AA849</f>
        <v>0</v>
      </c>
      <c r="AC849" s="324"/>
      <c r="AD849" s="324"/>
      <c r="AE849" s="324"/>
      <c r="AF849" s="324"/>
      <c r="AG849" s="324"/>
      <c r="AH849" s="324"/>
      <c r="AI849" s="324"/>
      <c r="AJ849" s="324"/>
      <c r="AK849" s="324"/>
      <c r="AL849" s="303"/>
    </row>
    <row r="850" spans="1:38" s="233" customFormat="1" ht="10.199999999999999" hidden="1">
      <c r="A850" s="196"/>
      <c r="B850" s="47" t="s">
        <v>49</v>
      </c>
      <c r="C850" s="716"/>
      <c r="D850" s="681"/>
      <c r="E850" s="683"/>
      <c r="F850" s="684"/>
      <c r="G850" s="296"/>
      <c r="H850" s="738">
        <f>Nutzung!$G$29</f>
        <v>0</v>
      </c>
      <c r="I850" s="196"/>
      <c r="J850" s="196"/>
      <c r="K850" s="196"/>
      <c r="L850" s="297"/>
      <c r="M850" s="757"/>
      <c r="N850" s="207"/>
      <c r="O850" s="250">
        <f t="shared" ref="O850:O861" si="38">($H$850+Regelung-1-I720)*J720*$D$849*$E$849*$F$849*24/($N$720*1000)</f>
        <v>0</v>
      </c>
      <c r="P850" s="196"/>
      <c r="Q850" s="196"/>
      <c r="R850" s="196"/>
      <c r="S850" s="196"/>
      <c r="Z850" s="324"/>
      <c r="AA850" s="318"/>
      <c r="AB850" s="324"/>
      <c r="AC850" s="324"/>
      <c r="AD850" s="324"/>
      <c r="AE850" s="324"/>
      <c r="AF850" s="324"/>
      <c r="AG850" s="324"/>
      <c r="AH850" s="324"/>
      <c r="AI850" s="324"/>
      <c r="AJ850" s="324"/>
      <c r="AK850" s="324"/>
      <c r="AL850" s="303"/>
    </row>
    <row r="851" spans="1:38" s="233" customFormat="1" ht="10.199999999999999" hidden="1">
      <c r="A851" s="196"/>
      <c r="B851" s="47" t="s">
        <v>554</v>
      </c>
      <c r="C851" s="681"/>
      <c r="D851" s="681"/>
      <c r="E851" s="683"/>
      <c r="F851" s="684"/>
      <c r="G851" s="296"/>
      <c r="H851" s="197"/>
      <c r="I851" s="196"/>
      <c r="J851" s="196"/>
      <c r="K851" s="196"/>
      <c r="L851" s="297"/>
      <c r="M851" s="758"/>
      <c r="N851" s="207"/>
      <c r="O851" s="250">
        <f t="shared" si="38"/>
        <v>0</v>
      </c>
      <c r="P851" s="196"/>
      <c r="Q851" s="196"/>
      <c r="R851" s="196"/>
      <c r="S851" s="196"/>
      <c r="Z851" s="324"/>
      <c r="AA851" s="318"/>
      <c r="AB851" s="324"/>
      <c r="AC851" s="324"/>
      <c r="AD851" s="324"/>
      <c r="AE851" s="324"/>
      <c r="AF851" s="324"/>
      <c r="AG851" s="324"/>
      <c r="AH851" s="324"/>
      <c r="AI851" s="324"/>
      <c r="AJ851" s="324"/>
      <c r="AK851" s="324"/>
      <c r="AL851" s="303"/>
    </row>
    <row r="852" spans="1:38" s="233" customFormat="1" ht="10.199999999999999" hidden="1">
      <c r="A852" s="196"/>
      <c r="B852" s="47" t="s">
        <v>306</v>
      </c>
      <c r="C852" s="681"/>
      <c r="D852" s="681"/>
      <c r="E852" s="683"/>
      <c r="F852" s="684"/>
      <c r="G852" s="296"/>
      <c r="H852" s="197"/>
      <c r="I852" s="196"/>
      <c r="J852" s="196"/>
      <c r="K852" s="196"/>
      <c r="L852" s="297"/>
      <c r="M852" s="758"/>
      <c r="N852" s="207"/>
      <c r="O852" s="250">
        <f t="shared" si="38"/>
        <v>0</v>
      </c>
      <c r="P852" s="196"/>
      <c r="Q852" s="196"/>
      <c r="R852" s="196"/>
      <c r="S852" s="196"/>
      <c r="Z852" s="324"/>
      <c r="AA852" s="318"/>
      <c r="AB852" s="324"/>
      <c r="AC852" s="324"/>
      <c r="AD852" s="324"/>
      <c r="AE852" s="324"/>
      <c r="AF852" s="324"/>
      <c r="AG852" s="324"/>
      <c r="AH852" s="324"/>
      <c r="AI852" s="324"/>
      <c r="AJ852" s="324"/>
      <c r="AK852" s="324"/>
      <c r="AL852" s="303"/>
    </row>
    <row r="853" spans="1:38" s="233" customFormat="1" ht="10.199999999999999" hidden="1">
      <c r="A853" s="196"/>
      <c r="B853" s="47" t="s">
        <v>409</v>
      </c>
      <c r="C853" s="681"/>
      <c r="D853" s="681"/>
      <c r="E853" s="683"/>
      <c r="F853" s="684"/>
      <c r="G853" s="296"/>
      <c r="H853" s="197"/>
      <c r="I853" s="196"/>
      <c r="J853" s="196"/>
      <c r="K853" s="196"/>
      <c r="L853" s="297"/>
      <c r="M853" s="758"/>
      <c r="N853" s="207"/>
      <c r="O853" s="250">
        <f t="shared" si="38"/>
        <v>0</v>
      </c>
      <c r="P853" s="196"/>
      <c r="Q853" s="196"/>
      <c r="R853" s="196"/>
      <c r="S853" s="196"/>
      <c r="Z853" s="324"/>
      <c r="AA853" s="318"/>
      <c r="AB853" s="324"/>
      <c r="AC853" s="324"/>
      <c r="AD853" s="324"/>
      <c r="AE853" s="324"/>
      <c r="AF853" s="324"/>
      <c r="AG853" s="324"/>
      <c r="AH853" s="324"/>
      <c r="AI853" s="324"/>
      <c r="AJ853" s="324"/>
      <c r="AK853" s="324"/>
      <c r="AL853" s="303"/>
    </row>
    <row r="854" spans="1:38" s="233" customFormat="1" ht="10.199999999999999" hidden="1">
      <c r="A854" s="196"/>
      <c r="B854" s="47" t="s">
        <v>410</v>
      </c>
      <c r="C854" s="681"/>
      <c r="D854" s="681"/>
      <c r="E854" s="683"/>
      <c r="F854" s="684"/>
      <c r="G854" s="296"/>
      <c r="H854" s="197"/>
      <c r="I854" s="196"/>
      <c r="J854" s="196"/>
      <c r="K854" s="196"/>
      <c r="L854" s="297"/>
      <c r="M854" s="758"/>
      <c r="N854" s="207"/>
      <c r="O854" s="250">
        <f t="shared" si="38"/>
        <v>0</v>
      </c>
      <c r="P854" s="196"/>
      <c r="Q854" s="196"/>
      <c r="R854" s="196"/>
      <c r="S854" s="196"/>
      <c r="Z854" s="324"/>
      <c r="AA854" s="318"/>
      <c r="AB854" s="324"/>
      <c r="AC854" s="324"/>
      <c r="AD854" s="324"/>
      <c r="AE854" s="324"/>
      <c r="AF854" s="324"/>
      <c r="AG854" s="324"/>
      <c r="AH854" s="324"/>
      <c r="AI854" s="324"/>
      <c r="AJ854" s="324"/>
      <c r="AK854" s="324"/>
      <c r="AL854" s="303"/>
    </row>
    <row r="855" spans="1:38" s="233" customFormat="1" ht="10.199999999999999" hidden="1">
      <c r="A855" s="196"/>
      <c r="B855" s="47" t="s">
        <v>411</v>
      </c>
      <c r="C855" s="681"/>
      <c r="D855" s="681"/>
      <c r="E855" s="683"/>
      <c r="F855" s="684"/>
      <c r="G855" s="296"/>
      <c r="H855" s="197"/>
      <c r="I855" s="196"/>
      <c r="J855" s="196"/>
      <c r="K855" s="196"/>
      <c r="L855" s="297"/>
      <c r="M855" s="758"/>
      <c r="N855" s="207"/>
      <c r="O855" s="250">
        <f t="shared" si="38"/>
        <v>0</v>
      </c>
      <c r="P855" s="196"/>
      <c r="Q855" s="196"/>
      <c r="R855" s="196"/>
      <c r="S855" s="196"/>
      <c r="Z855" s="324"/>
      <c r="AA855" s="318"/>
      <c r="AB855" s="324"/>
      <c r="AC855" s="324"/>
      <c r="AD855" s="324"/>
      <c r="AE855" s="324"/>
      <c r="AF855" s="324"/>
      <c r="AG855" s="324"/>
      <c r="AH855" s="324"/>
      <c r="AI855" s="324"/>
      <c r="AJ855" s="324"/>
      <c r="AK855" s="324"/>
      <c r="AL855" s="303"/>
    </row>
    <row r="856" spans="1:38" s="233" customFormat="1" ht="10.199999999999999" hidden="1">
      <c r="A856" s="196"/>
      <c r="B856" s="47" t="s">
        <v>221</v>
      </c>
      <c r="C856" s="681"/>
      <c r="D856" s="681"/>
      <c r="E856" s="683"/>
      <c r="F856" s="684"/>
      <c r="G856" s="296"/>
      <c r="H856" s="197"/>
      <c r="I856" s="196"/>
      <c r="J856" s="196"/>
      <c r="K856" s="196"/>
      <c r="L856" s="297"/>
      <c r="M856" s="758"/>
      <c r="N856" s="207"/>
      <c r="O856" s="250">
        <f t="shared" si="38"/>
        <v>0</v>
      </c>
      <c r="P856" s="196"/>
      <c r="Q856" s="196"/>
      <c r="R856" s="196"/>
      <c r="S856" s="196"/>
      <c r="Z856" s="324"/>
      <c r="AA856" s="318"/>
      <c r="AB856" s="324"/>
      <c r="AC856" s="324"/>
      <c r="AD856" s="324"/>
      <c r="AE856" s="324"/>
      <c r="AF856" s="324"/>
      <c r="AG856" s="324"/>
      <c r="AH856" s="324"/>
      <c r="AI856" s="324"/>
      <c r="AJ856" s="324"/>
      <c r="AK856" s="324"/>
      <c r="AL856" s="303"/>
    </row>
    <row r="857" spans="1:38" s="233" customFormat="1" ht="10.199999999999999" hidden="1">
      <c r="A857" s="196"/>
      <c r="B857" s="47" t="s">
        <v>138</v>
      </c>
      <c r="C857" s="681"/>
      <c r="D857" s="681"/>
      <c r="E857" s="683"/>
      <c r="F857" s="684"/>
      <c r="G857" s="296"/>
      <c r="H857" s="197"/>
      <c r="I857" s="196"/>
      <c r="J857" s="196"/>
      <c r="K857" s="196"/>
      <c r="L857" s="297"/>
      <c r="M857" s="758"/>
      <c r="N857" s="207"/>
      <c r="O857" s="250">
        <f t="shared" si="38"/>
        <v>0</v>
      </c>
      <c r="P857" s="196"/>
      <c r="Q857" s="196"/>
      <c r="R857" s="196"/>
      <c r="S857" s="196"/>
      <c r="Z857" s="324"/>
      <c r="AA857" s="318"/>
      <c r="AB857" s="324"/>
      <c r="AC857" s="324"/>
      <c r="AD857" s="324"/>
      <c r="AE857" s="324"/>
      <c r="AF857" s="324"/>
      <c r="AG857" s="324"/>
      <c r="AH857" s="324"/>
      <c r="AI857" s="324"/>
      <c r="AJ857" s="324"/>
      <c r="AK857" s="324"/>
      <c r="AL857" s="303"/>
    </row>
    <row r="858" spans="1:38" s="233" customFormat="1" ht="10.199999999999999" hidden="1">
      <c r="A858" s="196"/>
      <c r="B858" s="47" t="s">
        <v>139</v>
      </c>
      <c r="C858" s="681"/>
      <c r="D858" s="681"/>
      <c r="E858" s="683"/>
      <c r="F858" s="684"/>
      <c r="G858" s="296"/>
      <c r="H858" s="197"/>
      <c r="I858" s="196"/>
      <c r="J858" s="196"/>
      <c r="K858" s="196"/>
      <c r="L858" s="297"/>
      <c r="M858" s="758"/>
      <c r="N858" s="207"/>
      <c r="O858" s="250">
        <f t="shared" si="38"/>
        <v>0</v>
      </c>
      <c r="P858" s="196"/>
      <c r="Q858" s="196"/>
      <c r="R858" s="196"/>
      <c r="S858" s="196"/>
      <c r="Z858" s="324"/>
      <c r="AA858" s="318"/>
      <c r="AB858" s="324"/>
      <c r="AC858" s="324"/>
      <c r="AD858" s="324"/>
      <c r="AE858" s="324"/>
      <c r="AF858" s="324"/>
      <c r="AG858" s="324"/>
      <c r="AH858" s="324"/>
      <c r="AI858" s="324"/>
      <c r="AJ858" s="324"/>
      <c r="AK858" s="324"/>
      <c r="AL858" s="303"/>
    </row>
    <row r="859" spans="1:38" s="233" customFormat="1" ht="10.199999999999999" hidden="1">
      <c r="A859" s="196"/>
      <c r="B859" s="47" t="s">
        <v>269</v>
      </c>
      <c r="C859" s="681"/>
      <c r="D859" s="681"/>
      <c r="E859" s="683"/>
      <c r="F859" s="684"/>
      <c r="G859" s="296"/>
      <c r="H859" s="197"/>
      <c r="I859" s="196"/>
      <c r="J859" s="196"/>
      <c r="K859" s="196"/>
      <c r="L859" s="297"/>
      <c r="M859" s="758"/>
      <c r="N859" s="207"/>
      <c r="O859" s="250">
        <f t="shared" si="38"/>
        <v>0</v>
      </c>
      <c r="P859" s="196"/>
      <c r="Q859" s="196"/>
      <c r="R859" s="196"/>
      <c r="S859" s="196"/>
      <c r="Z859" s="324"/>
      <c r="AA859" s="318"/>
      <c r="AB859" s="324"/>
      <c r="AC859" s="324"/>
      <c r="AD859" s="324"/>
      <c r="AE859" s="324"/>
      <c r="AF859" s="324"/>
      <c r="AG859" s="324"/>
      <c r="AH859" s="324"/>
      <c r="AI859" s="324"/>
      <c r="AJ859" s="324"/>
      <c r="AK859" s="324"/>
      <c r="AL859" s="303"/>
    </row>
    <row r="860" spans="1:38" s="233" customFormat="1" ht="10.199999999999999" hidden="1">
      <c r="A860" s="196"/>
      <c r="B860" s="47" t="s">
        <v>366</v>
      </c>
      <c r="C860" s="681"/>
      <c r="D860" s="681"/>
      <c r="E860" s="683"/>
      <c r="F860" s="684"/>
      <c r="G860" s="296"/>
      <c r="H860" s="197"/>
      <c r="I860" s="196"/>
      <c r="J860" s="196"/>
      <c r="K860" s="196"/>
      <c r="L860" s="297"/>
      <c r="M860" s="758"/>
      <c r="N860" s="207"/>
      <c r="O860" s="250">
        <f t="shared" si="38"/>
        <v>0</v>
      </c>
      <c r="P860" s="196"/>
      <c r="Q860" s="196"/>
      <c r="R860" s="196"/>
      <c r="S860" s="196"/>
      <c r="Z860" s="324"/>
      <c r="AA860" s="318"/>
      <c r="AB860" s="324"/>
      <c r="AC860" s="324"/>
      <c r="AD860" s="324"/>
      <c r="AE860" s="324"/>
      <c r="AF860" s="324"/>
      <c r="AG860" s="324"/>
      <c r="AH860" s="324"/>
      <c r="AI860" s="324"/>
      <c r="AJ860" s="324"/>
      <c r="AK860" s="324"/>
      <c r="AL860" s="303"/>
    </row>
    <row r="861" spans="1:38" s="233" customFormat="1" ht="10.199999999999999" hidden="1">
      <c r="A861" s="196"/>
      <c r="B861" s="47" t="s">
        <v>465</v>
      </c>
      <c r="C861" s="681"/>
      <c r="D861" s="681"/>
      <c r="E861" s="683"/>
      <c r="F861" s="684"/>
      <c r="G861" s="296"/>
      <c r="H861" s="197"/>
      <c r="I861" s="196"/>
      <c r="J861" s="196"/>
      <c r="K861" s="196"/>
      <c r="L861" s="297"/>
      <c r="M861" s="758"/>
      <c r="N861" s="207"/>
      <c r="O861" s="250">
        <f t="shared" si="38"/>
        <v>0</v>
      </c>
      <c r="P861" s="196"/>
      <c r="Q861" s="196"/>
      <c r="R861" s="196"/>
      <c r="S861" s="196"/>
      <c r="Z861" s="324"/>
      <c r="AA861" s="318"/>
      <c r="AB861" s="324"/>
      <c r="AC861" s="324"/>
      <c r="AD861" s="324"/>
      <c r="AE861" s="324"/>
      <c r="AF861" s="324"/>
      <c r="AG861" s="324"/>
      <c r="AH861" s="324"/>
      <c r="AI861" s="324"/>
      <c r="AJ861" s="324"/>
      <c r="AK861" s="324"/>
      <c r="AL861" s="303"/>
    </row>
    <row r="862" spans="1:38" s="233" customFormat="1" ht="10.95" customHeight="1">
      <c r="A862" s="196"/>
      <c r="B862" s="747"/>
      <c r="C862" s="656"/>
      <c r="D862" s="656"/>
      <c r="E862" s="658"/>
      <c r="F862" s="746"/>
      <c r="G862" s="533"/>
      <c r="H862" s="258"/>
      <c r="I862" s="192"/>
      <c r="J862" s="192"/>
      <c r="K862" s="192"/>
      <c r="L862" s="534"/>
      <c r="M862" s="760" t="str">
        <f>IF(D862="","",AB862)</f>
        <v/>
      </c>
      <c r="N862" s="251">
        <f>IF(F862=0,0,SUM(O863:O874))</f>
        <v>0</v>
      </c>
      <c r="O862" s="215" t="str">
        <f>IF(N862/$O$1370=0,"",N862/$O$1370)</f>
        <v/>
      </c>
      <c r="P862" s="192"/>
      <c r="Q862" s="192"/>
      <c r="R862" s="196"/>
      <c r="S862" s="196"/>
      <c r="T862" s="182">
        <f>D862*E862</f>
        <v>0</v>
      </c>
      <c r="Z862" s="324"/>
      <c r="AA862" s="318">
        <f>IF(D862="",0,1)</f>
        <v>0</v>
      </c>
      <c r="AB862" s="318">
        <f>AB849+AA862</f>
        <v>0</v>
      </c>
      <c r="AC862" s="324"/>
      <c r="AD862" s="324"/>
      <c r="AE862" s="324"/>
      <c r="AF862" s="324"/>
      <c r="AG862" s="324"/>
      <c r="AH862" s="324"/>
      <c r="AI862" s="324"/>
      <c r="AJ862" s="324"/>
      <c r="AK862" s="324"/>
      <c r="AL862" s="303"/>
    </row>
    <row r="863" spans="1:38" s="233" customFormat="1" ht="10.199999999999999" hidden="1">
      <c r="A863" s="196"/>
      <c r="B863" s="47" t="s">
        <v>49</v>
      </c>
      <c r="C863" s="716"/>
      <c r="D863" s="681"/>
      <c r="E863" s="683"/>
      <c r="F863" s="684"/>
      <c r="G863" s="296"/>
      <c r="H863" s="738">
        <f>Nutzung!$G$29</f>
        <v>0</v>
      </c>
      <c r="I863" s="196"/>
      <c r="J863" s="196"/>
      <c r="K863" s="196"/>
      <c r="L863" s="297"/>
      <c r="M863" s="757"/>
      <c r="N863" s="207"/>
      <c r="O863" s="250">
        <f t="shared" ref="O863:O874" si="39">($H$863+Regelung-1-I720)*J720*$D$862*$E$862*$F$862*24/($N$720*1000)</f>
        <v>0</v>
      </c>
      <c r="P863" s="196"/>
      <c r="Q863" s="196"/>
      <c r="R863" s="196"/>
      <c r="S863" s="196"/>
      <c r="Z863" s="324"/>
      <c r="AA863" s="318"/>
      <c r="AB863" s="324"/>
      <c r="AC863" s="324"/>
      <c r="AD863" s="324"/>
      <c r="AE863" s="324"/>
      <c r="AF863" s="324"/>
      <c r="AG863" s="324"/>
      <c r="AH863" s="324"/>
      <c r="AI863" s="324"/>
      <c r="AJ863" s="324"/>
      <c r="AK863" s="324"/>
      <c r="AL863" s="303"/>
    </row>
    <row r="864" spans="1:38" s="233" customFormat="1" ht="10.199999999999999" hidden="1">
      <c r="A864" s="196"/>
      <c r="B864" s="47" t="s">
        <v>554</v>
      </c>
      <c r="C864" s="681"/>
      <c r="D864" s="681"/>
      <c r="E864" s="683"/>
      <c r="F864" s="684"/>
      <c r="G864" s="296"/>
      <c r="H864" s="197"/>
      <c r="I864" s="196"/>
      <c r="J864" s="196"/>
      <c r="K864" s="196"/>
      <c r="L864" s="297"/>
      <c r="M864" s="758"/>
      <c r="N864" s="207"/>
      <c r="O864" s="250">
        <f t="shared" si="39"/>
        <v>0</v>
      </c>
      <c r="P864" s="196"/>
      <c r="Q864" s="196"/>
      <c r="R864" s="196"/>
      <c r="S864" s="196"/>
      <c r="Z864" s="324"/>
      <c r="AA864" s="318"/>
      <c r="AB864" s="324"/>
      <c r="AC864" s="324"/>
      <c r="AD864" s="324"/>
      <c r="AE864" s="324"/>
      <c r="AF864" s="324"/>
      <c r="AG864" s="324"/>
      <c r="AH864" s="324"/>
      <c r="AI864" s="324"/>
      <c r="AJ864" s="324"/>
      <c r="AK864" s="324"/>
      <c r="AL864" s="303"/>
    </row>
    <row r="865" spans="1:38" s="233" customFormat="1" ht="10.199999999999999" hidden="1">
      <c r="A865" s="196"/>
      <c r="B865" s="47" t="s">
        <v>306</v>
      </c>
      <c r="C865" s="681"/>
      <c r="D865" s="681"/>
      <c r="E865" s="683"/>
      <c r="F865" s="684"/>
      <c r="G865" s="296"/>
      <c r="H865" s="197"/>
      <c r="I865" s="196"/>
      <c r="J865" s="196"/>
      <c r="K865" s="196"/>
      <c r="L865" s="297"/>
      <c r="M865" s="758"/>
      <c r="N865" s="207"/>
      <c r="O865" s="250">
        <f t="shared" si="39"/>
        <v>0</v>
      </c>
      <c r="P865" s="196"/>
      <c r="Q865" s="196"/>
      <c r="R865" s="196"/>
      <c r="S865" s="196"/>
      <c r="Z865" s="324"/>
      <c r="AA865" s="318"/>
      <c r="AB865" s="324"/>
      <c r="AC865" s="324"/>
      <c r="AD865" s="324"/>
      <c r="AE865" s="324"/>
      <c r="AF865" s="324"/>
      <c r="AG865" s="324"/>
      <c r="AH865" s="324"/>
      <c r="AI865" s="324"/>
      <c r="AJ865" s="324"/>
      <c r="AK865" s="324"/>
      <c r="AL865" s="303"/>
    </row>
    <row r="866" spans="1:38" s="233" customFormat="1" ht="10.199999999999999" hidden="1">
      <c r="A866" s="196"/>
      <c r="B866" s="47" t="s">
        <v>409</v>
      </c>
      <c r="C866" s="681"/>
      <c r="D866" s="681"/>
      <c r="E866" s="683"/>
      <c r="F866" s="684"/>
      <c r="G866" s="296"/>
      <c r="H866" s="197"/>
      <c r="I866" s="196"/>
      <c r="J866" s="196"/>
      <c r="K866" s="196"/>
      <c r="L866" s="297"/>
      <c r="M866" s="758"/>
      <c r="N866" s="207"/>
      <c r="O866" s="250">
        <f t="shared" si="39"/>
        <v>0</v>
      </c>
      <c r="P866" s="196"/>
      <c r="Q866" s="196"/>
      <c r="R866" s="196"/>
      <c r="S866" s="196"/>
      <c r="Z866" s="324"/>
      <c r="AA866" s="318"/>
      <c r="AB866" s="324"/>
      <c r="AC866" s="324"/>
      <c r="AD866" s="324"/>
      <c r="AE866" s="324"/>
      <c r="AF866" s="324"/>
      <c r="AG866" s="324"/>
      <c r="AH866" s="324"/>
      <c r="AI866" s="324"/>
      <c r="AJ866" s="324"/>
      <c r="AK866" s="324"/>
      <c r="AL866" s="303"/>
    </row>
    <row r="867" spans="1:38" s="233" customFormat="1" ht="10.199999999999999" hidden="1">
      <c r="A867" s="196"/>
      <c r="B867" s="47" t="s">
        <v>410</v>
      </c>
      <c r="C867" s="681"/>
      <c r="D867" s="681"/>
      <c r="E867" s="683"/>
      <c r="F867" s="684"/>
      <c r="G867" s="296"/>
      <c r="H867" s="197"/>
      <c r="I867" s="196"/>
      <c r="J867" s="196"/>
      <c r="K867" s="196"/>
      <c r="L867" s="297"/>
      <c r="M867" s="758"/>
      <c r="N867" s="207"/>
      <c r="O867" s="250">
        <f t="shared" si="39"/>
        <v>0</v>
      </c>
      <c r="P867" s="196"/>
      <c r="Q867" s="196"/>
      <c r="R867" s="196"/>
      <c r="S867" s="196"/>
      <c r="Z867" s="324"/>
      <c r="AA867" s="318"/>
      <c r="AB867" s="324"/>
      <c r="AC867" s="324"/>
      <c r="AD867" s="324"/>
      <c r="AE867" s="324"/>
      <c r="AF867" s="324"/>
      <c r="AG867" s="324"/>
      <c r="AH867" s="324"/>
      <c r="AI867" s="324"/>
      <c r="AJ867" s="324"/>
      <c r="AK867" s="324"/>
      <c r="AL867" s="303"/>
    </row>
    <row r="868" spans="1:38" s="233" customFormat="1" ht="10.199999999999999" hidden="1">
      <c r="A868" s="196"/>
      <c r="B868" s="47" t="s">
        <v>411</v>
      </c>
      <c r="C868" s="681"/>
      <c r="D868" s="681"/>
      <c r="E868" s="683"/>
      <c r="F868" s="684"/>
      <c r="G868" s="296"/>
      <c r="H868" s="197"/>
      <c r="I868" s="196"/>
      <c r="J868" s="196"/>
      <c r="K868" s="196"/>
      <c r="L868" s="297"/>
      <c r="M868" s="758"/>
      <c r="N868" s="207"/>
      <c r="O868" s="250">
        <f t="shared" si="39"/>
        <v>0</v>
      </c>
      <c r="P868" s="196"/>
      <c r="Q868" s="196"/>
      <c r="R868" s="196"/>
      <c r="S868" s="196"/>
      <c r="Z868" s="324"/>
      <c r="AA868" s="318"/>
      <c r="AB868" s="324"/>
      <c r="AC868" s="324"/>
      <c r="AD868" s="324"/>
      <c r="AE868" s="324"/>
      <c r="AF868" s="324"/>
      <c r="AG868" s="324"/>
      <c r="AH868" s="324"/>
      <c r="AI868" s="324"/>
      <c r="AJ868" s="324"/>
      <c r="AK868" s="324"/>
      <c r="AL868" s="303"/>
    </row>
    <row r="869" spans="1:38" s="233" customFormat="1" ht="10.199999999999999" hidden="1">
      <c r="A869" s="196"/>
      <c r="B869" s="47" t="s">
        <v>221</v>
      </c>
      <c r="C869" s="681"/>
      <c r="D869" s="681"/>
      <c r="E869" s="683"/>
      <c r="F869" s="684"/>
      <c r="G869" s="296"/>
      <c r="H869" s="197"/>
      <c r="I869" s="196"/>
      <c r="J869" s="196"/>
      <c r="K869" s="196"/>
      <c r="L869" s="297"/>
      <c r="M869" s="758"/>
      <c r="N869" s="207"/>
      <c r="O869" s="250">
        <f t="shared" si="39"/>
        <v>0</v>
      </c>
      <c r="P869" s="196"/>
      <c r="Q869" s="196"/>
      <c r="R869" s="196"/>
      <c r="S869" s="196"/>
      <c r="Z869" s="324"/>
      <c r="AA869" s="318"/>
      <c r="AB869" s="324"/>
      <c r="AC869" s="324"/>
      <c r="AD869" s="324"/>
      <c r="AE869" s="324"/>
      <c r="AF869" s="324"/>
      <c r="AG869" s="324"/>
      <c r="AH869" s="324"/>
      <c r="AI869" s="324"/>
      <c r="AJ869" s="324"/>
      <c r="AK869" s="324"/>
      <c r="AL869" s="303"/>
    </row>
    <row r="870" spans="1:38" s="233" customFormat="1" ht="10.199999999999999" hidden="1">
      <c r="A870" s="196"/>
      <c r="B870" s="47" t="s">
        <v>138</v>
      </c>
      <c r="C870" s="681"/>
      <c r="D870" s="681"/>
      <c r="E870" s="683"/>
      <c r="F870" s="684"/>
      <c r="G870" s="296"/>
      <c r="H870" s="197"/>
      <c r="I870" s="196"/>
      <c r="J870" s="196"/>
      <c r="K870" s="196"/>
      <c r="L870" s="297"/>
      <c r="M870" s="758"/>
      <c r="N870" s="207"/>
      <c r="O870" s="250">
        <f t="shared" si="39"/>
        <v>0</v>
      </c>
      <c r="P870" s="196"/>
      <c r="Q870" s="196"/>
      <c r="R870" s="196"/>
      <c r="S870" s="196"/>
      <c r="Z870" s="324"/>
      <c r="AA870" s="318"/>
      <c r="AB870" s="324"/>
      <c r="AC870" s="324"/>
      <c r="AD870" s="324"/>
      <c r="AE870" s="324"/>
      <c r="AF870" s="324"/>
      <c r="AG870" s="324"/>
      <c r="AH870" s="324"/>
      <c r="AI870" s="324"/>
      <c r="AJ870" s="324"/>
      <c r="AK870" s="324"/>
      <c r="AL870" s="303"/>
    </row>
    <row r="871" spans="1:38" s="233" customFormat="1" ht="10.199999999999999" hidden="1">
      <c r="A871" s="196"/>
      <c r="B871" s="47" t="s">
        <v>139</v>
      </c>
      <c r="C871" s="681"/>
      <c r="D871" s="681"/>
      <c r="E871" s="683"/>
      <c r="F871" s="684"/>
      <c r="G871" s="296"/>
      <c r="H871" s="197"/>
      <c r="I871" s="196"/>
      <c r="J871" s="196"/>
      <c r="K871" s="196"/>
      <c r="L871" s="297"/>
      <c r="M871" s="758"/>
      <c r="N871" s="207"/>
      <c r="O871" s="250">
        <f t="shared" si="39"/>
        <v>0</v>
      </c>
      <c r="P871" s="196"/>
      <c r="Q871" s="196"/>
      <c r="R871" s="196"/>
      <c r="S871" s="196"/>
      <c r="Z871" s="324"/>
      <c r="AA871" s="318"/>
      <c r="AB871" s="324"/>
      <c r="AC871" s="324"/>
      <c r="AD871" s="324"/>
      <c r="AE871" s="324"/>
      <c r="AF871" s="324"/>
      <c r="AG871" s="324"/>
      <c r="AH871" s="324"/>
      <c r="AI871" s="324"/>
      <c r="AJ871" s="324"/>
      <c r="AK871" s="324"/>
      <c r="AL871" s="303"/>
    </row>
    <row r="872" spans="1:38" s="233" customFormat="1" ht="10.199999999999999" hidden="1">
      <c r="A872" s="196"/>
      <c r="B872" s="47" t="s">
        <v>269</v>
      </c>
      <c r="C872" s="681"/>
      <c r="D872" s="681"/>
      <c r="E872" s="683"/>
      <c r="F872" s="684"/>
      <c r="G872" s="296"/>
      <c r="H872" s="197"/>
      <c r="I872" s="196"/>
      <c r="J872" s="196"/>
      <c r="K872" s="196"/>
      <c r="L872" s="297"/>
      <c r="M872" s="758"/>
      <c r="N872" s="207"/>
      <c r="O872" s="250">
        <f t="shared" si="39"/>
        <v>0</v>
      </c>
      <c r="P872" s="196"/>
      <c r="Q872" s="196"/>
      <c r="R872" s="196"/>
      <c r="S872" s="196"/>
      <c r="Z872" s="324"/>
      <c r="AA872" s="318"/>
      <c r="AB872" s="324"/>
      <c r="AC872" s="324"/>
      <c r="AD872" s="324"/>
      <c r="AE872" s="324"/>
      <c r="AF872" s="324"/>
      <c r="AG872" s="324"/>
      <c r="AH872" s="324"/>
      <c r="AI872" s="324"/>
      <c r="AJ872" s="324"/>
      <c r="AK872" s="324"/>
      <c r="AL872" s="303"/>
    </row>
    <row r="873" spans="1:38" s="233" customFormat="1" ht="10.199999999999999" hidden="1">
      <c r="A873" s="196"/>
      <c r="B873" s="47" t="s">
        <v>366</v>
      </c>
      <c r="C873" s="681"/>
      <c r="D873" s="681"/>
      <c r="E873" s="683"/>
      <c r="F873" s="684"/>
      <c r="G873" s="296"/>
      <c r="H873" s="197"/>
      <c r="I873" s="196"/>
      <c r="J873" s="196"/>
      <c r="K873" s="196"/>
      <c r="L873" s="297"/>
      <c r="M873" s="758"/>
      <c r="N873" s="207"/>
      <c r="O873" s="250">
        <f t="shared" si="39"/>
        <v>0</v>
      </c>
      <c r="P873" s="196"/>
      <c r="Q873" s="196"/>
      <c r="R873" s="196"/>
      <c r="S873" s="196"/>
      <c r="Z873" s="324"/>
      <c r="AA873" s="318"/>
      <c r="AB873" s="324"/>
      <c r="AC873" s="324"/>
      <c r="AD873" s="324"/>
      <c r="AE873" s="324"/>
      <c r="AF873" s="324"/>
      <c r="AG873" s="324"/>
      <c r="AH873" s="324"/>
      <c r="AI873" s="324"/>
      <c r="AJ873" s="324"/>
      <c r="AK873" s="324"/>
      <c r="AL873" s="303"/>
    </row>
    <row r="874" spans="1:38" s="233" customFormat="1" ht="10.199999999999999" hidden="1">
      <c r="A874" s="196"/>
      <c r="B874" s="47" t="s">
        <v>465</v>
      </c>
      <c r="C874" s="681"/>
      <c r="D874" s="681"/>
      <c r="E874" s="683"/>
      <c r="F874" s="684"/>
      <c r="G874" s="296"/>
      <c r="H874" s="197"/>
      <c r="I874" s="196"/>
      <c r="J874" s="196"/>
      <c r="K874" s="196"/>
      <c r="L874" s="297"/>
      <c r="M874" s="758"/>
      <c r="N874" s="207"/>
      <c r="O874" s="250">
        <f t="shared" si="39"/>
        <v>0</v>
      </c>
      <c r="P874" s="196"/>
      <c r="Q874" s="196"/>
      <c r="R874" s="196"/>
      <c r="S874" s="196"/>
      <c r="Z874" s="324"/>
      <c r="AA874" s="318"/>
      <c r="AB874" s="324"/>
      <c r="AC874" s="324"/>
      <c r="AD874" s="324"/>
      <c r="AE874" s="324"/>
      <c r="AF874" s="324"/>
      <c r="AG874" s="324"/>
      <c r="AH874" s="324"/>
      <c r="AI874" s="324"/>
      <c r="AJ874" s="324"/>
      <c r="AK874" s="324"/>
      <c r="AL874" s="303"/>
    </row>
    <row r="875" spans="1:38" s="233" customFormat="1" ht="10.95" customHeight="1">
      <c r="A875" s="196"/>
      <c r="B875" s="747"/>
      <c r="C875" s="656"/>
      <c r="D875" s="656"/>
      <c r="E875" s="658"/>
      <c r="F875" s="746"/>
      <c r="G875" s="533"/>
      <c r="H875" s="258"/>
      <c r="I875" s="192"/>
      <c r="J875" s="192"/>
      <c r="K875" s="192"/>
      <c r="L875" s="534"/>
      <c r="M875" s="760" t="str">
        <f>IF(D875="","",AB875)</f>
        <v/>
      </c>
      <c r="N875" s="251">
        <f>IF(F875=0,0,SUM(O876:O887))</f>
        <v>0</v>
      </c>
      <c r="O875" s="215" t="str">
        <f>IF(N875/$O$1370=0,"",N875/$O$1370)</f>
        <v/>
      </c>
      <c r="P875" s="192"/>
      <c r="Q875" s="192"/>
      <c r="R875" s="196"/>
      <c r="S875" s="196"/>
      <c r="T875" s="182">
        <f>D875*E875</f>
        <v>0</v>
      </c>
      <c r="Z875" s="324"/>
      <c r="AA875" s="318">
        <f>IF(D875="",0,1)</f>
        <v>0</v>
      </c>
      <c r="AB875" s="318">
        <f>AB862+AA875</f>
        <v>0</v>
      </c>
      <c r="AC875" s="324"/>
      <c r="AD875" s="324"/>
      <c r="AE875" s="324"/>
      <c r="AF875" s="324"/>
      <c r="AG875" s="324"/>
      <c r="AH875" s="324"/>
      <c r="AI875" s="324"/>
      <c r="AJ875" s="324"/>
      <c r="AK875" s="324"/>
      <c r="AL875" s="303"/>
    </row>
    <row r="876" spans="1:38" s="233" customFormat="1" ht="10.199999999999999" hidden="1">
      <c r="A876" s="196"/>
      <c r="B876" s="47" t="s">
        <v>49</v>
      </c>
      <c r="C876" s="716"/>
      <c r="D876" s="681"/>
      <c r="E876" s="683"/>
      <c r="F876" s="684"/>
      <c r="G876" s="296"/>
      <c r="H876" s="738">
        <f>Nutzung!$G$29</f>
        <v>0</v>
      </c>
      <c r="I876" s="196"/>
      <c r="J876" s="196"/>
      <c r="K876" s="196"/>
      <c r="L876" s="297"/>
      <c r="M876" s="757"/>
      <c r="N876" s="207"/>
      <c r="O876" s="250">
        <f t="shared" ref="O876:O887" si="40">($H$876+Regelung-1-I720)*J720*$D$875*$E$875*$F$875*24/($N$720*1000)</f>
        <v>0</v>
      </c>
      <c r="P876" s="196"/>
      <c r="Q876" s="196"/>
      <c r="R876" s="196"/>
      <c r="S876" s="196"/>
      <c r="Z876" s="324"/>
      <c r="AA876" s="318"/>
      <c r="AB876" s="324"/>
      <c r="AC876" s="324"/>
      <c r="AD876" s="324"/>
      <c r="AE876" s="324"/>
      <c r="AF876" s="324"/>
      <c r="AG876" s="324"/>
      <c r="AH876" s="324"/>
      <c r="AI876" s="324"/>
      <c r="AJ876" s="324"/>
      <c r="AK876" s="324"/>
      <c r="AL876" s="303"/>
    </row>
    <row r="877" spans="1:38" s="233" customFormat="1" ht="10.199999999999999" hidden="1">
      <c r="A877" s="196"/>
      <c r="B877" s="47" t="s">
        <v>554</v>
      </c>
      <c r="C877" s="681"/>
      <c r="D877" s="681"/>
      <c r="E877" s="683"/>
      <c r="F877" s="684"/>
      <c r="G877" s="296"/>
      <c r="H877" s="197"/>
      <c r="I877" s="196"/>
      <c r="J877" s="196"/>
      <c r="K877" s="196"/>
      <c r="L877" s="297"/>
      <c r="M877" s="758"/>
      <c r="N877" s="207"/>
      <c r="O877" s="250">
        <f t="shared" si="40"/>
        <v>0</v>
      </c>
      <c r="P877" s="196"/>
      <c r="Q877" s="196"/>
      <c r="R877" s="196"/>
      <c r="S877" s="196"/>
      <c r="Z877" s="324"/>
      <c r="AA877" s="318"/>
      <c r="AB877" s="324"/>
      <c r="AC877" s="324"/>
      <c r="AD877" s="324"/>
      <c r="AE877" s="324"/>
      <c r="AF877" s="324"/>
      <c r="AG877" s="324"/>
      <c r="AH877" s="324"/>
      <c r="AI877" s="324"/>
      <c r="AJ877" s="324"/>
      <c r="AK877" s="324"/>
      <c r="AL877" s="303"/>
    </row>
    <row r="878" spans="1:38" s="233" customFormat="1" ht="10.199999999999999" hidden="1">
      <c r="A878" s="196"/>
      <c r="B878" s="47" t="s">
        <v>306</v>
      </c>
      <c r="C878" s="681"/>
      <c r="D878" s="681"/>
      <c r="E878" s="683"/>
      <c r="F878" s="684"/>
      <c r="G878" s="296"/>
      <c r="H878" s="197"/>
      <c r="I878" s="196"/>
      <c r="J878" s="196"/>
      <c r="K878" s="196"/>
      <c r="L878" s="297"/>
      <c r="M878" s="758"/>
      <c r="N878" s="207"/>
      <c r="O878" s="250">
        <f t="shared" si="40"/>
        <v>0</v>
      </c>
      <c r="P878" s="196"/>
      <c r="Q878" s="196"/>
      <c r="R878" s="196"/>
      <c r="S878" s="196"/>
      <c r="Z878" s="324"/>
      <c r="AA878" s="318"/>
      <c r="AB878" s="324"/>
      <c r="AC878" s="324"/>
      <c r="AD878" s="324"/>
      <c r="AE878" s="324"/>
      <c r="AF878" s="324"/>
      <c r="AG878" s="324"/>
      <c r="AH878" s="324"/>
      <c r="AI878" s="324"/>
      <c r="AJ878" s="324"/>
      <c r="AK878" s="324"/>
      <c r="AL878" s="303"/>
    </row>
    <row r="879" spans="1:38" s="233" customFormat="1" ht="10.199999999999999" hidden="1">
      <c r="A879" s="196"/>
      <c r="B879" s="47" t="s">
        <v>409</v>
      </c>
      <c r="C879" s="681"/>
      <c r="D879" s="681"/>
      <c r="E879" s="683"/>
      <c r="F879" s="684"/>
      <c r="G879" s="296"/>
      <c r="H879" s="197"/>
      <c r="I879" s="196"/>
      <c r="J879" s="196"/>
      <c r="K879" s="196"/>
      <c r="L879" s="297"/>
      <c r="M879" s="758"/>
      <c r="N879" s="207"/>
      <c r="O879" s="250">
        <f t="shared" si="40"/>
        <v>0</v>
      </c>
      <c r="P879" s="196"/>
      <c r="Q879" s="196"/>
      <c r="R879" s="196"/>
      <c r="S879" s="196"/>
      <c r="Z879" s="324"/>
      <c r="AA879" s="318"/>
      <c r="AB879" s="324"/>
      <c r="AC879" s="324"/>
      <c r="AD879" s="324"/>
      <c r="AE879" s="324"/>
      <c r="AF879" s="324"/>
      <c r="AG879" s="324"/>
      <c r="AH879" s="324"/>
      <c r="AI879" s="324"/>
      <c r="AJ879" s="324"/>
      <c r="AK879" s="324"/>
      <c r="AL879" s="303"/>
    </row>
    <row r="880" spans="1:38" s="233" customFormat="1" ht="10.199999999999999" hidden="1">
      <c r="A880" s="196"/>
      <c r="B880" s="47" t="s">
        <v>410</v>
      </c>
      <c r="C880" s="681"/>
      <c r="D880" s="681"/>
      <c r="E880" s="683"/>
      <c r="F880" s="684"/>
      <c r="G880" s="296"/>
      <c r="H880" s="197"/>
      <c r="I880" s="196"/>
      <c r="J880" s="196"/>
      <c r="K880" s="196"/>
      <c r="L880" s="297"/>
      <c r="M880" s="758"/>
      <c r="N880" s="207"/>
      <c r="O880" s="250">
        <f t="shared" si="40"/>
        <v>0</v>
      </c>
      <c r="P880" s="196"/>
      <c r="Q880" s="196"/>
      <c r="R880" s="196"/>
      <c r="S880" s="196"/>
      <c r="Z880" s="324"/>
      <c r="AA880" s="318"/>
      <c r="AB880" s="324"/>
      <c r="AC880" s="324"/>
      <c r="AD880" s="324"/>
      <c r="AE880" s="324"/>
      <c r="AF880" s="324"/>
      <c r="AG880" s="324"/>
      <c r="AH880" s="324"/>
      <c r="AI880" s="324"/>
      <c r="AJ880" s="324"/>
      <c r="AK880" s="324"/>
      <c r="AL880" s="303"/>
    </row>
    <row r="881" spans="1:38" s="233" customFormat="1" ht="10.199999999999999" hidden="1">
      <c r="A881" s="196"/>
      <c r="B881" s="47" t="s">
        <v>411</v>
      </c>
      <c r="C881" s="681"/>
      <c r="D881" s="681"/>
      <c r="E881" s="683"/>
      <c r="F881" s="684"/>
      <c r="G881" s="296"/>
      <c r="H881" s="197"/>
      <c r="I881" s="196"/>
      <c r="J881" s="196"/>
      <c r="K881" s="196"/>
      <c r="L881" s="297"/>
      <c r="M881" s="758"/>
      <c r="N881" s="207"/>
      <c r="O881" s="250">
        <f t="shared" si="40"/>
        <v>0</v>
      </c>
      <c r="P881" s="196"/>
      <c r="Q881" s="196"/>
      <c r="R881" s="196"/>
      <c r="S881" s="196"/>
      <c r="Z881" s="324"/>
      <c r="AA881" s="318"/>
      <c r="AB881" s="324"/>
      <c r="AC881" s="324"/>
      <c r="AD881" s="324"/>
      <c r="AE881" s="324"/>
      <c r="AF881" s="324"/>
      <c r="AG881" s="324"/>
      <c r="AH881" s="324"/>
      <c r="AI881" s="324"/>
      <c r="AJ881" s="324"/>
      <c r="AK881" s="324"/>
      <c r="AL881" s="303"/>
    </row>
    <row r="882" spans="1:38" s="233" customFormat="1" ht="10.199999999999999" hidden="1">
      <c r="A882" s="196"/>
      <c r="B882" s="47" t="s">
        <v>221</v>
      </c>
      <c r="C882" s="681"/>
      <c r="D882" s="681"/>
      <c r="E882" s="683"/>
      <c r="F882" s="684"/>
      <c r="G882" s="296"/>
      <c r="H882" s="197"/>
      <c r="I882" s="196"/>
      <c r="J882" s="196"/>
      <c r="K882" s="196"/>
      <c r="L882" s="297"/>
      <c r="M882" s="758"/>
      <c r="N882" s="207"/>
      <c r="O882" s="250">
        <f t="shared" si="40"/>
        <v>0</v>
      </c>
      <c r="P882" s="196"/>
      <c r="Q882" s="196"/>
      <c r="R882" s="196"/>
      <c r="S882" s="196"/>
      <c r="Z882" s="324"/>
      <c r="AA882" s="318"/>
      <c r="AB882" s="324"/>
      <c r="AC882" s="324"/>
      <c r="AD882" s="324"/>
      <c r="AE882" s="324"/>
      <c r="AF882" s="324"/>
      <c r="AG882" s="324"/>
      <c r="AH882" s="324"/>
      <c r="AI882" s="324"/>
      <c r="AJ882" s="324"/>
      <c r="AK882" s="324"/>
      <c r="AL882" s="303"/>
    </row>
    <row r="883" spans="1:38" s="233" customFormat="1" ht="10.199999999999999" hidden="1">
      <c r="A883" s="196"/>
      <c r="B883" s="47" t="s">
        <v>138</v>
      </c>
      <c r="C883" s="681"/>
      <c r="D883" s="681"/>
      <c r="E883" s="683"/>
      <c r="F883" s="684"/>
      <c r="G883" s="296"/>
      <c r="H883" s="197"/>
      <c r="I883" s="196"/>
      <c r="J883" s="196"/>
      <c r="K883" s="196"/>
      <c r="L883" s="297"/>
      <c r="M883" s="758"/>
      <c r="N883" s="207"/>
      <c r="O883" s="250">
        <f t="shared" si="40"/>
        <v>0</v>
      </c>
      <c r="P883" s="196"/>
      <c r="Q883" s="196"/>
      <c r="R883" s="196"/>
      <c r="S883" s="196"/>
      <c r="Z883" s="324"/>
      <c r="AA883" s="318"/>
      <c r="AB883" s="324"/>
      <c r="AC883" s="324"/>
      <c r="AD883" s="324"/>
      <c r="AE883" s="324"/>
      <c r="AF883" s="324"/>
      <c r="AG883" s="324"/>
      <c r="AH883" s="324"/>
      <c r="AI883" s="324"/>
      <c r="AJ883" s="324"/>
      <c r="AK883" s="324"/>
      <c r="AL883" s="303"/>
    </row>
    <row r="884" spans="1:38" s="233" customFormat="1" ht="10.199999999999999" hidden="1">
      <c r="A884" s="196"/>
      <c r="B884" s="47" t="s">
        <v>139</v>
      </c>
      <c r="C884" s="681"/>
      <c r="D884" s="681"/>
      <c r="E884" s="683"/>
      <c r="F884" s="684"/>
      <c r="G884" s="296"/>
      <c r="H884" s="197"/>
      <c r="I884" s="196"/>
      <c r="J884" s="196"/>
      <c r="K884" s="196"/>
      <c r="L884" s="297"/>
      <c r="M884" s="758"/>
      <c r="N884" s="207"/>
      <c r="O884" s="250">
        <f t="shared" si="40"/>
        <v>0</v>
      </c>
      <c r="P884" s="196"/>
      <c r="Q884" s="196"/>
      <c r="R884" s="196"/>
      <c r="S884" s="196"/>
      <c r="Z884" s="324"/>
      <c r="AA884" s="318"/>
      <c r="AB884" s="324"/>
      <c r="AC884" s="324"/>
      <c r="AD884" s="324"/>
      <c r="AE884" s="324"/>
      <c r="AF884" s="324"/>
      <c r="AG884" s="324"/>
      <c r="AH884" s="324"/>
      <c r="AI884" s="324"/>
      <c r="AJ884" s="324"/>
      <c r="AK884" s="324"/>
      <c r="AL884" s="303"/>
    </row>
    <row r="885" spans="1:38" s="233" customFormat="1" ht="10.199999999999999" hidden="1">
      <c r="A885" s="196"/>
      <c r="B885" s="47" t="s">
        <v>269</v>
      </c>
      <c r="C885" s="681"/>
      <c r="D885" s="681"/>
      <c r="E885" s="683"/>
      <c r="F885" s="684"/>
      <c r="G885" s="296"/>
      <c r="H885" s="197"/>
      <c r="I885" s="196"/>
      <c r="J885" s="196"/>
      <c r="K885" s="196"/>
      <c r="L885" s="297"/>
      <c r="M885" s="758"/>
      <c r="N885" s="207"/>
      <c r="O885" s="250">
        <f t="shared" si="40"/>
        <v>0</v>
      </c>
      <c r="P885" s="196"/>
      <c r="Q885" s="196"/>
      <c r="R885" s="196"/>
      <c r="S885" s="196"/>
      <c r="Z885" s="324"/>
      <c r="AA885" s="318"/>
      <c r="AB885" s="324"/>
      <c r="AC885" s="324"/>
      <c r="AD885" s="324"/>
      <c r="AE885" s="324"/>
      <c r="AF885" s="324"/>
      <c r="AG885" s="324"/>
      <c r="AH885" s="324"/>
      <c r="AI885" s="324"/>
      <c r="AJ885" s="324"/>
      <c r="AK885" s="324"/>
      <c r="AL885" s="303"/>
    </row>
    <row r="886" spans="1:38" s="233" customFormat="1" ht="10.199999999999999" hidden="1">
      <c r="A886" s="196"/>
      <c r="B886" s="47" t="s">
        <v>366</v>
      </c>
      <c r="C886" s="681"/>
      <c r="D886" s="681"/>
      <c r="E886" s="683"/>
      <c r="F886" s="684"/>
      <c r="G886" s="296"/>
      <c r="H886" s="197"/>
      <c r="I886" s="196"/>
      <c r="J886" s="196"/>
      <c r="K886" s="196"/>
      <c r="L886" s="297"/>
      <c r="M886" s="758"/>
      <c r="N886" s="207"/>
      <c r="O886" s="250">
        <f t="shared" si="40"/>
        <v>0</v>
      </c>
      <c r="P886" s="196"/>
      <c r="Q886" s="196"/>
      <c r="R886" s="196"/>
      <c r="S886" s="196"/>
      <c r="Z886" s="324"/>
      <c r="AA886" s="318"/>
      <c r="AB886" s="324"/>
      <c r="AC886" s="324"/>
      <c r="AD886" s="324"/>
      <c r="AE886" s="324"/>
      <c r="AF886" s="324"/>
      <c r="AG886" s="324"/>
      <c r="AH886" s="324"/>
      <c r="AI886" s="324"/>
      <c r="AJ886" s="324"/>
      <c r="AK886" s="324"/>
      <c r="AL886" s="303"/>
    </row>
    <row r="887" spans="1:38" s="233" customFormat="1" ht="10.199999999999999" hidden="1">
      <c r="A887" s="196"/>
      <c r="B887" s="47" t="s">
        <v>465</v>
      </c>
      <c r="C887" s="681"/>
      <c r="D887" s="681"/>
      <c r="E887" s="683"/>
      <c r="F887" s="684"/>
      <c r="G887" s="296"/>
      <c r="H887" s="197"/>
      <c r="I887" s="196"/>
      <c r="J887" s="196"/>
      <c r="K887" s="196"/>
      <c r="L887" s="297"/>
      <c r="M887" s="758"/>
      <c r="N887" s="207"/>
      <c r="O887" s="250">
        <f t="shared" si="40"/>
        <v>0</v>
      </c>
      <c r="P887" s="196"/>
      <c r="Q887" s="196"/>
      <c r="R887" s="196"/>
      <c r="S887" s="196"/>
      <c r="Z887" s="324"/>
      <c r="AA887" s="318"/>
      <c r="AB887" s="324"/>
      <c r="AC887" s="324"/>
      <c r="AD887" s="324"/>
      <c r="AE887" s="324"/>
      <c r="AF887" s="324"/>
      <c r="AG887" s="324"/>
      <c r="AH887" s="324"/>
      <c r="AI887" s="324"/>
      <c r="AJ887" s="324"/>
      <c r="AK887" s="324"/>
      <c r="AL887" s="303"/>
    </row>
    <row r="888" spans="1:38" s="233" customFormat="1" ht="10.95" customHeight="1">
      <c r="A888" s="196"/>
      <c r="B888" s="747"/>
      <c r="C888" s="656"/>
      <c r="D888" s="656"/>
      <c r="E888" s="658"/>
      <c r="F888" s="746"/>
      <c r="G888" s="533"/>
      <c r="H888" s="258"/>
      <c r="I888" s="192"/>
      <c r="J888" s="192"/>
      <c r="K888" s="192"/>
      <c r="L888" s="534"/>
      <c r="M888" s="760" t="str">
        <f>IF(D888="","",AB888)</f>
        <v/>
      </c>
      <c r="N888" s="251">
        <f>IF(F888=0,0,SUM(O889:O900))</f>
        <v>0</v>
      </c>
      <c r="O888" s="215" t="str">
        <f>IF(N888/$O$1370=0,"",N888/$O$1370)</f>
        <v/>
      </c>
      <c r="P888" s="192"/>
      <c r="Q888" s="192"/>
      <c r="R888" s="196"/>
      <c r="S888" s="196"/>
      <c r="T888" s="182">
        <f>D888*E888</f>
        <v>0</v>
      </c>
      <c r="Z888" s="324"/>
      <c r="AA888" s="318">
        <f>IF(D888="",0,1)</f>
        <v>0</v>
      </c>
      <c r="AB888" s="318">
        <f>AB875+AA888</f>
        <v>0</v>
      </c>
      <c r="AC888" s="324"/>
      <c r="AD888" s="324"/>
      <c r="AE888" s="324"/>
      <c r="AF888" s="324"/>
      <c r="AG888" s="324"/>
      <c r="AH888" s="324"/>
      <c r="AI888" s="324"/>
      <c r="AJ888" s="324"/>
      <c r="AK888" s="324"/>
      <c r="AL888" s="303"/>
    </row>
    <row r="889" spans="1:38" s="233" customFormat="1" ht="10.199999999999999" hidden="1">
      <c r="A889" s="196"/>
      <c r="B889" s="47" t="s">
        <v>49</v>
      </c>
      <c r="C889" s="716"/>
      <c r="D889" s="681"/>
      <c r="E889" s="683"/>
      <c r="F889" s="684"/>
      <c r="G889" s="296"/>
      <c r="H889" s="738">
        <f>Nutzung!$G$29</f>
        <v>0</v>
      </c>
      <c r="I889" s="196"/>
      <c r="J889" s="196"/>
      <c r="K889" s="196"/>
      <c r="L889" s="297"/>
      <c r="M889" s="757"/>
      <c r="N889" s="207"/>
      <c r="O889" s="250">
        <f t="shared" ref="O889:O900" si="41">($H$889+Regelung-1-I720)*J720*$D$888*$E$888*$F$888*24/($N$720*1000)</f>
        <v>0</v>
      </c>
      <c r="P889" s="196"/>
      <c r="Q889" s="196"/>
      <c r="R889" s="196"/>
      <c r="S889" s="196"/>
      <c r="Z889" s="324"/>
      <c r="AA889" s="318"/>
      <c r="AB889" s="324"/>
      <c r="AC889" s="324"/>
      <c r="AD889" s="324"/>
      <c r="AE889" s="324"/>
      <c r="AF889" s="324"/>
      <c r="AG889" s="324"/>
      <c r="AH889" s="324"/>
      <c r="AI889" s="324"/>
      <c r="AJ889" s="324"/>
      <c r="AK889" s="324"/>
      <c r="AL889" s="303"/>
    </row>
    <row r="890" spans="1:38" s="233" customFormat="1" ht="10.199999999999999" hidden="1">
      <c r="A890" s="196"/>
      <c r="B890" s="47" t="s">
        <v>554</v>
      </c>
      <c r="C890" s="681"/>
      <c r="D890" s="681"/>
      <c r="E890" s="683"/>
      <c r="F890" s="684"/>
      <c r="G890" s="296"/>
      <c r="H890" s="197"/>
      <c r="I890" s="196"/>
      <c r="J890" s="196"/>
      <c r="K890" s="196"/>
      <c r="L890" s="297"/>
      <c r="M890" s="758"/>
      <c r="N890" s="207"/>
      <c r="O890" s="250">
        <f t="shared" si="41"/>
        <v>0</v>
      </c>
      <c r="P890" s="196"/>
      <c r="Q890" s="196"/>
      <c r="R890" s="196"/>
      <c r="S890" s="196"/>
      <c r="Z890" s="324"/>
      <c r="AA890" s="318"/>
      <c r="AB890" s="324"/>
      <c r="AC890" s="324"/>
      <c r="AD890" s="324"/>
      <c r="AE890" s="324"/>
      <c r="AF890" s="324"/>
      <c r="AG890" s="324"/>
      <c r="AH890" s="324"/>
      <c r="AI890" s="324"/>
      <c r="AJ890" s="324"/>
      <c r="AK890" s="324"/>
      <c r="AL890" s="303"/>
    </row>
    <row r="891" spans="1:38" s="233" customFormat="1" ht="10.199999999999999" hidden="1">
      <c r="A891" s="196"/>
      <c r="B891" s="47" t="s">
        <v>306</v>
      </c>
      <c r="C891" s="681"/>
      <c r="D891" s="681"/>
      <c r="E891" s="683"/>
      <c r="F891" s="684"/>
      <c r="G891" s="296"/>
      <c r="H891" s="197"/>
      <c r="I891" s="196"/>
      <c r="J891" s="196"/>
      <c r="K891" s="196"/>
      <c r="L891" s="297"/>
      <c r="M891" s="758"/>
      <c r="N891" s="207"/>
      <c r="O891" s="250">
        <f t="shared" si="41"/>
        <v>0</v>
      </c>
      <c r="P891" s="196"/>
      <c r="Q891" s="196"/>
      <c r="R891" s="196"/>
      <c r="S891" s="196"/>
      <c r="Z891" s="324"/>
      <c r="AA891" s="318"/>
      <c r="AB891" s="324"/>
      <c r="AC891" s="324"/>
      <c r="AD891" s="324"/>
      <c r="AE891" s="324"/>
      <c r="AF891" s="324"/>
      <c r="AG891" s="324"/>
      <c r="AH891" s="324"/>
      <c r="AI891" s="324"/>
      <c r="AJ891" s="324"/>
      <c r="AK891" s="324"/>
      <c r="AL891" s="303"/>
    </row>
    <row r="892" spans="1:38" s="233" customFormat="1" ht="10.199999999999999" hidden="1">
      <c r="A892" s="196"/>
      <c r="B892" s="47" t="s">
        <v>409</v>
      </c>
      <c r="C892" s="681"/>
      <c r="D892" s="681"/>
      <c r="E892" s="683"/>
      <c r="F892" s="684"/>
      <c r="G892" s="296"/>
      <c r="H892" s="197"/>
      <c r="I892" s="196"/>
      <c r="J892" s="196"/>
      <c r="K892" s="196"/>
      <c r="L892" s="297"/>
      <c r="M892" s="758"/>
      <c r="N892" s="207"/>
      <c r="O892" s="250">
        <f t="shared" si="41"/>
        <v>0</v>
      </c>
      <c r="P892" s="196"/>
      <c r="Q892" s="196"/>
      <c r="R892" s="196"/>
      <c r="S892" s="196"/>
      <c r="Z892" s="324"/>
      <c r="AA892" s="318"/>
      <c r="AB892" s="324"/>
      <c r="AC892" s="324"/>
      <c r="AD892" s="324"/>
      <c r="AE892" s="324"/>
      <c r="AF892" s="324"/>
      <c r="AG892" s="324"/>
      <c r="AH892" s="324"/>
      <c r="AI892" s="324"/>
      <c r="AJ892" s="324"/>
      <c r="AK892" s="324"/>
      <c r="AL892" s="303"/>
    </row>
    <row r="893" spans="1:38" s="233" customFormat="1" ht="10.199999999999999" hidden="1">
      <c r="A893" s="196"/>
      <c r="B893" s="47" t="s">
        <v>410</v>
      </c>
      <c r="C893" s="681"/>
      <c r="D893" s="681"/>
      <c r="E893" s="683"/>
      <c r="F893" s="684"/>
      <c r="G893" s="296"/>
      <c r="H893" s="197"/>
      <c r="I893" s="196"/>
      <c r="J893" s="196"/>
      <c r="K893" s="196"/>
      <c r="L893" s="297"/>
      <c r="M893" s="758"/>
      <c r="N893" s="207"/>
      <c r="O893" s="250">
        <f t="shared" si="41"/>
        <v>0</v>
      </c>
      <c r="P893" s="196"/>
      <c r="Q893" s="196"/>
      <c r="R893" s="196"/>
      <c r="S893" s="196"/>
      <c r="Z893" s="324"/>
      <c r="AA893" s="318"/>
      <c r="AB893" s="324"/>
      <c r="AC893" s="324"/>
      <c r="AD893" s="324"/>
      <c r="AE893" s="324"/>
      <c r="AF893" s="324"/>
      <c r="AG893" s="324"/>
      <c r="AH893" s="324"/>
      <c r="AI893" s="324"/>
      <c r="AJ893" s="324"/>
      <c r="AK893" s="324"/>
      <c r="AL893" s="303"/>
    </row>
    <row r="894" spans="1:38" s="233" customFormat="1" ht="10.199999999999999" hidden="1">
      <c r="A894" s="196"/>
      <c r="B894" s="47" t="s">
        <v>411</v>
      </c>
      <c r="C894" s="681"/>
      <c r="D894" s="681"/>
      <c r="E894" s="683"/>
      <c r="F894" s="684"/>
      <c r="G894" s="296"/>
      <c r="H894" s="197"/>
      <c r="I894" s="196"/>
      <c r="J894" s="196"/>
      <c r="K894" s="196"/>
      <c r="L894" s="297"/>
      <c r="M894" s="758"/>
      <c r="N894" s="207"/>
      <c r="O894" s="250">
        <f t="shared" si="41"/>
        <v>0</v>
      </c>
      <c r="P894" s="196"/>
      <c r="Q894" s="196"/>
      <c r="R894" s="196"/>
      <c r="S894" s="196"/>
      <c r="Z894" s="324"/>
      <c r="AA894" s="318"/>
      <c r="AB894" s="324"/>
      <c r="AC894" s="324"/>
      <c r="AD894" s="324"/>
      <c r="AE894" s="324"/>
      <c r="AF894" s="324"/>
      <c r="AG894" s="324"/>
      <c r="AH894" s="324"/>
      <c r="AI894" s="324"/>
      <c r="AJ894" s="324"/>
      <c r="AK894" s="324"/>
      <c r="AL894" s="303"/>
    </row>
    <row r="895" spans="1:38" s="233" customFormat="1" ht="10.199999999999999" hidden="1">
      <c r="A895" s="196"/>
      <c r="B895" s="47" t="s">
        <v>221</v>
      </c>
      <c r="C895" s="681"/>
      <c r="D895" s="681"/>
      <c r="E895" s="683"/>
      <c r="F895" s="684"/>
      <c r="G895" s="296"/>
      <c r="H895" s="197"/>
      <c r="I895" s="196"/>
      <c r="J895" s="196"/>
      <c r="K895" s="196"/>
      <c r="L895" s="297"/>
      <c r="M895" s="758"/>
      <c r="N895" s="207"/>
      <c r="O895" s="250">
        <f t="shared" si="41"/>
        <v>0</v>
      </c>
      <c r="P895" s="196"/>
      <c r="Q895" s="196"/>
      <c r="R895" s="196"/>
      <c r="S895" s="196"/>
      <c r="Z895" s="324"/>
      <c r="AA895" s="318"/>
      <c r="AB895" s="324"/>
      <c r="AC895" s="324"/>
      <c r="AD895" s="324"/>
      <c r="AE895" s="324"/>
      <c r="AF895" s="324"/>
      <c r="AG895" s="324"/>
      <c r="AH895" s="324"/>
      <c r="AI895" s="324"/>
      <c r="AJ895" s="324"/>
      <c r="AK895" s="324"/>
      <c r="AL895" s="303"/>
    </row>
    <row r="896" spans="1:38" s="233" customFormat="1" ht="10.199999999999999" hidden="1">
      <c r="A896" s="196"/>
      <c r="B896" s="47" t="s">
        <v>138</v>
      </c>
      <c r="C896" s="681"/>
      <c r="D896" s="681"/>
      <c r="E896" s="683"/>
      <c r="F896" s="684"/>
      <c r="G896" s="296"/>
      <c r="H896" s="197"/>
      <c r="I896" s="196"/>
      <c r="J896" s="196"/>
      <c r="K896" s="196"/>
      <c r="L896" s="297"/>
      <c r="M896" s="758"/>
      <c r="N896" s="207"/>
      <c r="O896" s="250">
        <f t="shared" si="41"/>
        <v>0</v>
      </c>
      <c r="P896" s="196"/>
      <c r="Q896" s="196"/>
      <c r="R896" s="196"/>
      <c r="S896" s="196"/>
      <c r="Z896" s="324"/>
      <c r="AA896" s="318"/>
      <c r="AB896" s="324"/>
      <c r="AC896" s="324"/>
      <c r="AD896" s="324"/>
      <c r="AE896" s="324"/>
      <c r="AF896" s="324"/>
      <c r="AG896" s="324"/>
      <c r="AH896" s="324"/>
      <c r="AI896" s="324"/>
      <c r="AJ896" s="324"/>
      <c r="AK896" s="324"/>
      <c r="AL896" s="303"/>
    </row>
    <row r="897" spans="1:38" s="233" customFormat="1" ht="10.199999999999999" hidden="1">
      <c r="A897" s="196"/>
      <c r="B897" s="47" t="s">
        <v>139</v>
      </c>
      <c r="C897" s="681"/>
      <c r="D897" s="681"/>
      <c r="E897" s="683"/>
      <c r="F897" s="684"/>
      <c r="G897" s="296"/>
      <c r="H897" s="197"/>
      <c r="I897" s="196"/>
      <c r="J897" s="196"/>
      <c r="K897" s="196"/>
      <c r="L897" s="297"/>
      <c r="M897" s="758"/>
      <c r="N897" s="207"/>
      <c r="O897" s="250">
        <f t="shared" si="41"/>
        <v>0</v>
      </c>
      <c r="P897" s="196"/>
      <c r="Q897" s="196"/>
      <c r="R897" s="196"/>
      <c r="S897" s="196"/>
      <c r="Z897" s="324"/>
      <c r="AA897" s="318"/>
      <c r="AB897" s="324"/>
      <c r="AC897" s="324"/>
      <c r="AD897" s="324"/>
      <c r="AE897" s="324"/>
      <c r="AF897" s="324"/>
      <c r="AG897" s="324"/>
      <c r="AH897" s="324"/>
      <c r="AI897" s="324"/>
      <c r="AJ897" s="324"/>
      <c r="AK897" s="324"/>
      <c r="AL897" s="303"/>
    </row>
    <row r="898" spans="1:38" s="233" customFormat="1" ht="10.199999999999999" hidden="1">
      <c r="A898" s="196"/>
      <c r="B898" s="47" t="s">
        <v>269</v>
      </c>
      <c r="C898" s="681"/>
      <c r="D898" s="681"/>
      <c r="E898" s="683"/>
      <c r="F898" s="684"/>
      <c r="G898" s="296"/>
      <c r="H898" s="197"/>
      <c r="I898" s="196"/>
      <c r="J898" s="196"/>
      <c r="K898" s="196"/>
      <c r="L898" s="297"/>
      <c r="M898" s="758"/>
      <c r="N898" s="207"/>
      <c r="O898" s="250">
        <f t="shared" si="41"/>
        <v>0</v>
      </c>
      <c r="P898" s="196"/>
      <c r="Q898" s="196"/>
      <c r="R898" s="196"/>
      <c r="S898" s="196"/>
      <c r="Z898" s="324"/>
      <c r="AA898" s="318"/>
      <c r="AB898" s="324"/>
      <c r="AC898" s="324"/>
      <c r="AD898" s="324"/>
      <c r="AE898" s="324"/>
      <c r="AF898" s="324"/>
      <c r="AG898" s="324"/>
      <c r="AH898" s="324"/>
      <c r="AI898" s="324"/>
      <c r="AJ898" s="324"/>
      <c r="AK898" s="324"/>
      <c r="AL898" s="303"/>
    </row>
    <row r="899" spans="1:38" s="233" customFormat="1" ht="10.199999999999999" hidden="1">
      <c r="A899" s="196"/>
      <c r="B899" s="47" t="s">
        <v>366</v>
      </c>
      <c r="C899" s="681"/>
      <c r="D899" s="681"/>
      <c r="E899" s="683"/>
      <c r="F899" s="684"/>
      <c r="G899" s="296"/>
      <c r="H899" s="197"/>
      <c r="I899" s="196"/>
      <c r="J899" s="196"/>
      <c r="K899" s="196"/>
      <c r="L899" s="297"/>
      <c r="M899" s="758"/>
      <c r="N899" s="207"/>
      <c r="O899" s="250">
        <f t="shared" si="41"/>
        <v>0</v>
      </c>
      <c r="P899" s="196"/>
      <c r="Q899" s="196"/>
      <c r="R899" s="196"/>
      <c r="S899" s="196"/>
      <c r="Z899" s="324"/>
      <c r="AA899" s="318"/>
      <c r="AB899" s="324"/>
      <c r="AC899" s="324"/>
      <c r="AD899" s="324"/>
      <c r="AE899" s="324"/>
      <c r="AF899" s="324"/>
      <c r="AG899" s="324"/>
      <c r="AH899" s="324"/>
      <c r="AI899" s="324"/>
      <c r="AJ899" s="324"/>
      <c r="AK899" s="324"/>
      <c r="AL899" s="303"/>
    </row>
    <row r="900" spans="1:38" s="233" customFormat="1" ht="10.199999999999999" hidden="1">
      <c r="A900" s="196"/>
      <c r="B900" s="47" t="s">
        <v>465</v>
      </c>
      <c r="C900" s="681"/>
      <c r="D900" s="681"/>
      <c r="E900" s="683"/>
      <c r="F900" s="684"/>
      <c r="G900" s="296"/>
      <c r="H900" s="197"/>
      <c r="I900" s="196"/>
      <c r="J900" s="196"/>
      <c r="K900" s="196"/>
      <c r="L900" s="297"/>
      <c r="M900" s="758"/>
      <c r="N900" s="207"/>
      <c r="O900" s="250">
        <f t="shared" si="41"/>
        <v>0</v>
      </c>
      <c r="P900" s="196"/>
      <c r="Q900" s="196"/>
      <c r="R900" s="196"/>
      <c r="S900" s="196"/>
      <c r="Z900" s="324"/>
      <c r="AA900" s="318"/>
      <c r="AB900" s="324"/>
      <c r="AC900" s="324"/>
      <c r="AD900" s="324"/>
      <c r="AE900" s="324"/>
      <c r="AF900" s="324"/>
      <c r="AG900" s="324"/>
      <c r="AH900" s="324"/>
      <c r="AI900" s="324"/>
      <c r="AJ900" s="324"/>
      <c r="AK900" s="324"/>
      <c r="AL900" s="303"/>
    </row>
    <row r="901" spans="1:38" s="233" customFormat="1" ht="10.95" customHeight="1">
      <c r="A901" s="196"/>
      <c r="B901" s="747"/>
      <c r="C901" s="656"/>
      <c r="D901" s="656"/>
      <c r="E901" s="658"/>
      <c r="F901" s="746"/>
      <c r="G901" s="533"/>
      <c r="H901" s="258"/>
      <c r="I901" s="192"/>
      <c r="J901" s="192"/>
      <c r="K901" s="192"/>
      <c r="L901" s="534"/>
      <c r="M901" s="760" t="str">
        <f>IF(D901="","",AB901)</f>
        <v/>
      </c>
      <c r="N901" s="251">
        <f>IF(F901=0,0,SUM(O902:O913))</f>
        <v>0</v>
      </c>
      <c r="O901" s="215" t="str">
        <f>IF(N901/$O$1370=0,"",N901/$O$1370)</f>
        <v/>
      </c>
      <c r="P901" s="192"/>
      <c r="Q901" s="192"/>
      <c r="R901" s="196"/>
      <c r="S901" s="196"/>
      <c r="T901" s="182">
        <f>D901*E901</f>
        <v>0</v>
      </c>
      <c r="Z901" s="324"/>
      <c r="AA901" s="318">
        <f>IF(D901="",0,1)</f>
        <v>0</v>
      </c>
      <c r="AB901" s="318">
        <f>AB888+AA901</f>
        <v>0</v>
      </c>
      <c r="AC901" s="324"/>
      <c r="AD901" s="324"/>
      <c r="AE901" s="324"/>
      <c r="AF901" s="324"/>
      <c r="AG901" s="324"/>
      <c r="AH901" s="324"/>
      <c r="AI901" s="324"/>
      <c r="AJ901" s="324"/>
      <c r="AK901" s="324"/>
      <c r="AL901" s="303"/>
    </row>
    <row r="902" spans="1:38" s="233" customFormat="1" ht="10.199999999999999" hidden="1">
      <c r="A902" s="196"/>
      <c r="B902" s="47" t="s">
        <v>49</v>
      </c>
      <c r="C902" s="716"/>
      <c r="D902" s="681"/>
      <c r="E902" s="683"/>
      <c r="F902" s="684"/>
      <c r="G902" s="296"/>
      <c r="H902" s="738">
        <f>Nutzung!$G$29</f>
        <v>0</v>
      </c>
      <c r="I902" s="196"/>
      <c r="J902" s="196"/>
      <c r="K902" s="196"/>
      <c r="L902" s="297"/>
      <c r="M902" s="757"/>
      <c r="N902" s="207"/>
      <c r="O902" s="250">
        <f t="shared" ref="O902:O913" si="42">($H$902+Regelung-1-I720)*J720*$D$901*$E$901*$F$901*24/($N$720*1000)</f>
        <v>0</v>
      </c>
      <c r="P902" s="196"/>
      <c r="Q902" s="196"/>
      <c r="R902" s="196"/>
      <c r="S902" s="196"/>
      <c r="Z902" s="324"/>
      <c r="AA902" s="318"/>
      <c r="AB902" s="324"/>
      <c r="AC902" s="324"/>
      <c r="AD902" s="324"/>
      <c r="AE902" s="324"/>
      <c r="AF902" s="324"/>
      <c r="AG902" s="324"/>
      <c r="AH902" s="324"/>
      <c r="AI902" s="324"/>
      <c r="AJ902" s="324"/>
      <c r="AK902" s="324"/>
      <c r="AL902" s="303"/>
    </row>
    <row r="903" spans="1:38" s="233" customFormat="1" ht="10.199999999999999" hidden="1">
      <c r="A903" s="196"/>
      <c r="B903" s="47" t="s">
        <v>554</v>
      </c>
      <c r="C903" s="681"/>
      <c r="D903" s="681"/>
      <c r="E903" s="683"/>
      <c r="F903" s="684"/>
      <c r="G903" s="296"/>
      <c r="H903" s="197"/>
      <c r="I903" s="196"/>
      <c r="J903" s="196"/>
      <c r="K903" s="196"/>
      <c r="L903" s="297"/>
      <c r="M903" s="758"/>
      <c r="N903" s="207"/>
      <c r="O903" s="250">
        <f t="shared" si="42"/>
        <v>0</v>
      </c>
      <c r="P903" s="196"/>
      <c r="Q903" s="196"/>
      <c r="R903" s="196"/>
      <c r="S903" s="196"/>
      <c r="Z903" s="324"/>
      <c r="AA903" s="318"/>
      <c r="AB903" s="324"/>
      <c r="AC903" s="324"/>
      <c r="AD903" s="324"/>
      <c r="AE903" s="324"/>
      <c r="AF903" s="324"/>
      <c r="AG903" s="324"/>
      <c r="AH903" s="324"/>
      <c r="AI903" s="324"/>
      <c r="AJ903" s="324"/>
      <c r="AK903" s="324"/>
      <c r="AL903" s="303"/>
    </row>
    <row r="904" spans="1:38" s="233" customFormat="1" ht="10.199999999999999" hidden="1">
      <c r="A904" s="196"/>
      <c r="B904" s="47" t="s">
        <v>306</v>
      </c>
      <c r="C904" s="681"/>
      <c r="D904" s="681"/>
      <c r="E904" s="683"/>
      <c r="F904" s="684"/>
      <c r="G904" s="296"/>
      <c r="H904" s="197"/>
      <c r="I904" s="196"/>
      <c r="J904" s="196"/>
      <c r="K904" s="196"/>
      <c r="L904" s="297"/>
      <c r="M904" s="758"/>
      <c r="N904" s="207"/>
      <c r="O904" s="250">
        <f t="shared" si="42"/>
        <v>0</v>
      </c>
      <c r="P904" s="196"/>
      <c r="Q904" s="196"/>
      <c r="R904" s="196"/>
      <c r="S904" s="196"/>
      <c r="Z904" s="324"/>
      <c r="AA904" s="318"/>
      <c r="AB904" s="324"/>
      <c r="AC904" s="324"/>
      <c r="AD904" s="324"/>
      <c r="AE904" s="324"/>
      <c r="AF904" s="324"/>
      <c r="AG904" s="324"/>
      <c r="AH904" s="324"/>
      <c r="AI904" s="324"/>
      <c r="AJ904" s="324"/>
      <c r="AK904" s="324"/>
      <c r="AL904" s="303"/>
    </row>
    <row r="905" spans="1:38" s="233" customFormat="1" ht="10.199999999999999" hidden="1">
      <c r="A905" s="196"/>
      <c r="B905" s="47" t="s">
        <v>409</v>
      </c>
      <c r="C905" s="681"/>
      <c r="D905" s="681"/>
      <c r="E905" s="683"/>
      <c r="F905" s="684"/>
      <c r="G905" s="296"/>
      <c r="H905" s="197"/>
      <c r="I905" s="196"/>
      <c r="J905" s="196"/>
      <c r="K905" s="196"/>
      <c r="L905" s="297"/>
      <c r="M905" s="758"/>
      <c r="N905" s="207"/>
      <c r="O905" s="250">
        <f t="shared" si="42"/>
        <v>0</v>
      </c>
      <c r="P905" s="196"/>
      <c r="Q905" s="196"/>
      <c r="R905" s="196"/>
      <c r="S905" s="196"/>
      <c r="Z905" s="324"/>
      <c r="AA905" s="318"/>
      <c r="AB905" s="324"/>
      <c r="AC905" s="324"/>
      <c r="AD905" s="324"/>
      <c r="AE905" s="324"/>
      <c r="AF905" s="324"/>
      <c r="AG905" s="324"/>
      <c r="AH905" s="324"/>
      <c r="AI905" s="324"/>
      <c r="AJ905" s="324"/>
      <c r="AK905" s="324"/>
      <c r="AL905" s="303"/>
    </row>
    <row r="906" spans="1:38" s="233" customFormat="1" ht="10.199999999999999" hidden="1">
      <c r="A906" s="196"/>
      <c r="B906" s="47" t="s">
        <v>410</v>
      </c>
      <c r="C906" s="681"/>
      <c r="D906" s="681"/>
      <c r="E906" s="683"/>
      <c r="F906" s="684"/>
      <c r="G906" s="296"/>
      <c r="H906" s="197"/>
      <c r="I906" s="196"/>
      <c r="J906" s="196"/>
      <c r="K906" s="196"/>
      <c r="L906" s="297"/>
      <c r="M906" s="758"/>
      <c r="N906" s="207"/>
      <c r="O906" s="250">
        <f t="shared" si="42"/>
        <v>0</v>
      </c>
      <c r="P906" s="196"/>
      <c r="Q906" s="196"/>
      <c r="R906" s="196"/>
      <c r="S906" s="196"/>
      <c r="Z906" s="324"/>
      <c r="AA906" s="318"/>
      <c r="AB906" s="324"/>
      <c r="AC906" s="324"/>
      <c r="AD906" s="324"/>
      <c r="AE906" s="324"/>
      <c r="AF906" s="324"/>
      <c r="AG906" s="324"/>
      <c r="AH906" s="324"/>
      <c r="AI906" s="324"/>
      <c r="AJ906" s="324"/>
      <c r="AK906" s="324"/>
      <c r="AL906" s="303"/>
    </row>
    <row r="907" spans="1:38" s="233" customFormat="1" ht="10.199999999999999" hidden="1">
      <c r="A907" s="196"/>
      <c r="B907" s="47" t="s">
        <v>411</v>
      </c>
      <c r="C907" s="681"/>
      <c r="D907" s="681"/>
      <c r="E907" s="683"/>
      <c r="F907" s="684"/>
      <c r="G907" s="296"/>
      <c r="H907" s="197"/>
      <c r="I907" s="196"/>
      <c r="J907" s="196"/>
      <c r="K907" s="196"/>
      <c r="L907" s="297"/>
      <c r="M907" s="758"/>
      <c r="N907" s="207"/>
      <c r="O907" s="250">
        <f t="shared" si="42"/>
        <v>0</v>
      </c>
      <c r="P907" s="196"/>
      <c r="Q907" s="196"/>
      <c r="R907" s="196"/>
      <c r="S907" s="196"/>
      <c r="Z907" s="324"/>
      <c r="AA907" s="318"/>
      <c r="AB907" s="324"/>
      <c r="AC907" s="324"/>
      <c r="AD907" s="324"/>
      <c r="AE907" s="324"/>
      <c r="AF907" s="324"/>
      <c r="AG907" s="324"/>
      <c r="AH907" s="324"/>
      <c r="AI907" s="324"/>
      <c r="AJ907" s="324"/>
      <c r="AK907" s="324"/>
      <c r="AL907" s="303"/>
    </row>
    <row r="908" spans="1:38" s="233" customFormat="1" ht="10.199999999999999" hidden="1">
      <c r="A908" s="196"/>
      <c r="B908" s="47" t="s">
        <v>221</v>
      </c>
      <c r="C908" s="681"/>
      <c r="D908" s="681"/>
      <c r="E908" s="683"/>
      <c r="F908" s="684"/>
      <c r="G908" s="296"/>
      <c r="H908" s="197"/>
      <c r="I908" s="196"/>
      <c r="J908" s="196"/>
      <c r="K908" s="196"/>
      <c r="L908" s="297"/>
      <c r="M908" s="758"/>
      <c r="N908" s="207"/>
      <c r="O908" s="250">
        <f t="shared" si="42"/>
        <v>0</v>
      </c>
      <c r="P908" s="196"/>
      <c r="Q908" s="196"/>
      <c r="R908" s="196"/>
      <c r="S908" s="196"/>
      <c r="Z908" s="324"/>
      <c r="AA908" s="318"/>
      <c r="AB908" s="324"/>
      <c r="AC908" s="324"/>
      <c r="AD908" s="324"/>
      <c r="AE908" s="324"/>
      <c r="AF908" s="324"/>
      <c r="AG908" s="324"/>
      <c r="AH908" s="324"/>
      <c r="AI908" s="324"/>
      <c r="AJ908" s="324"/>
      <c r="AK908" s="324"/>
      <c r="AL908" s="303"/>
    </row>
    <row r="909" spans="1:38" s="233" customFormat="1" ht="10.199999999999999" hidden="1">
      <c r="A909" s="196"/>
      <c r="B909" s="47" t="s">
        <v>138</v>
      </c>
      <c r="C909" s="681"/>
      <c r="D909" s="681"/>
      <c r="E909" s="683"/>
      <c r="F909" s="684"/>
      <c r="G909" s="296"/>
      <c r="H909" s="197"/>
      <c r="I909" s="196"/>
      <c r="J909" s="196"/>
      <c r="K909" s="196"/>
      <c r="L909" s="297"/>
      <c r="M909" s="758"/>
      <c r="N909" s="207"/>
      <c r="O909" s="250">
        <f t="shared" si="42"/>
        <v>0</v>
      </c>
      <c r="P909" s="196"/>
      <c r="Q909" s="196"/>
      <c r="R909" s="196"/>
      <c r="S909" s="196"/>
      <c r="Z909" s="324"/>
      <c r="AA909" s="318"/>
      <c r="AB909" s="324"/>
      <c r="AC909" s="324"/>
      <c r="AD909" s="324"/>
      <c r="AE909" s="324"/>
      <c r="AF909" s="324"/>
      <c r="AG909" s="324"/>
      <c r="AH909" s="324"/>
      <c r="AI909" s="324"/>
      <c r="AJ909" s="324"/>
      <c r="AK909" s="324"/>
      <c r="AL909" s="303"/>
    </row>
    <row r="910" spans="1:38" s="233" customFormat="1" ht="10.199999999999999" hidden="1">
      <c r="A910" s="196"/>
      <c r="B910" s="47" t="s">
        <v>139</v>
      </c>
      <c r="C910" s="681"/>
      <c r="D910" s="681"/>
      <c r="E910" s="683"/>
      <c r="F910" s="684"/>
      <c r="G910" s="296"/>
      <c r="H910" s="197"/>
      <c r="I910" s="196"/>
      <c r="J910" s="196"/>
      <c r="K910" s="196"/>
      <c r="L910" s="297"/>
      <c r="M910" s="758"/>
      <c r="N910" s="207"/>
      <c r="O910" s="250">
        <f t="shared" si="42"/>
        <v>0</v>
      </c>
      <c r="P910" s="196"/>
      <c r="Q910" s="196"/>
      <c r="R910" s="196"/>
      <c r="S910" s="196"/>
      <c r="Z910" s="324"/>
      <c r="AA910" s="318"/>
      <c r="AB910" s="324"/>
      <c r="AC910" s="324"/>
      <c r="AD910" s="324"/>
      <c r="AE910" s="324"/>
      <c r="AF910" s="324"/>
      <c r="AG910" s="324"/>
      <c r="AH910" s="324"/>
      <c r="AI910" s="324"/>
      <c r="AJ910" s="324"/>
      <c r="AK910" s="324"/>
      <c r="AL910" s="303"/>
    </row>
    <row r="911" spans="1:38" s="233" customFormat="1" ht="10.199999999999999" hidden="1">
      <c r="A911" s="196"/>
      <c r="B911" s="47" t="s">
        <v>269</v>
      </c>
      <c r="C911" s="681"/>
      <c r="D911" s="681"/>
      <c r="E911" s="683"/>
      <c r="F911" s="684"/>
      <c r="G911" s="296"/>
      <c r="H911" s="197"/>
      <c r="I911" s="196"/>
      <c r="J911" s="196"/>
      <c r="K911" s="196"/>
      <c r="L911" s="297"/>
      <c r="M911" s="758"/>
      <c r="N911" s="207"/>
      <c r="O911" s="250">
        <f t="shared" si="42"/>
        <v>0</v>
      </c>
      <c r="P911" s="196"/>
      <c r="Q911" s="196"/>
      <c r="R911" s="196"/>
      <c r="S911" s="196"/>
      <c r="Z911" s="324"/>
      <c r="AA911" s="318"/>
      <c r="AB911" s="324"/>
      <c r="AC911" s="324"/>
      <c r="AD911" s="324"/>
      <c r="AE911" s="324"/>
      <c r="AF911" s="324"/>
      <c r="AG911" s="324"/>
      <c r="AH911" s="324"/>
      <c r="AI911" s="324"/>
      <c r="AJ911" s="324"/>
      <c r="AK911" s="324"/>
      <c r="AL911" s="303"/>
    </row>
    <row r="912" spans="1:38" s="233" customFormat="1" ht="10.199999999999999" hidden="1">
      <c r="A912" s="196"/>
      <c r="B912" s="47" t="s">
        <v>366</v>
      </c>
      <c r="C912" s="681"/>
      <c r="D912" s="681"/>
      <c r="E912" s="683"/>
      <c r="F912" s="684"/>
      <c r="G912" s="296"/>
      <c r="H912" s="197"/>
      <c r="I912" s="196"/>
      <c r="J912" s="196"/>
      <c r="K912" s="196"/>
      <c r="L912" s="297"/>
      <c r="M912" s="758"/>
      <c r="N912" s="207"/>
      <c r="O912" s="250">
        <f t="shared" si="42"/>
        <v>0</v>
      </c>
      <c r="P912" s="196"/>
      <c r="Q912" s="196"/>
      <c r="R912" s="196"/>
      <c r="S912" s="196"/>
      <c r="Z912" s="324"/>
      <c r="AA912" s="318"/>
      <c r="AB912" s="324"/>
      <c r="AC912" s="324"/>
      <c r="AD912" s="324"/>
      <c r="AE912" s="324"/>
      <c r="AF912" s="324"/>
      <c r="AG912" s="324"/>
      <c r="AH912" s="324"/>
      <c r="AI912" s="324"/>
      <c r="AJ912" s="324"/>
      <c r="AK912" s="324"/>
      <c r="AL912" s="303"/>
    </row>
    <row r="913" spans="1:38" s="233" customFormat="1" ht="10.199999999999999" hidden="1">
      <c r="A913" s="196"/>
      <c r="B913" s="47" t="s">
        <v>465</v>
      </c>
      <c r="C913" s="681"/>
      <c r="D913" s="681"/>
      <c r="E913" s="683"/>
      <c r="F913" s="684"/>
      <c r="G913" s="296"/>
      <c r="H913" s="197"/>
      <c r="I913" s="196"/>
      <c r="J913" s="196"/>
      <c r="K913" s="196"/>
      <c r="L913" s="297"/>
      <c r="M913" s="758"/>
      <c r="N913" s="207"/>
      <c r="O913" s="250">
        <f t="shared" si="42"/>
        <v>0</v>
      </c>
      <c r="P913" s="196"/>
      <c r="Q913" s="196"/>
      <c r="R913" s="196"/>
      <c r="S913" s="196"/>
      <c r="Z913" s="324"/>
      <c r="AA913" s="318"/>
      <c r="AB913" s="324"/>
      <c r="AC913" s="324"/>
      <c r="AD913" s="324"/>
      <c r="AE913" s="324"/>
      <c r="AF913" s="324"/>
      <c r="AG913" s="324"/>
      <c r="AH913" s="324"/>
      <c r="AI913" s="324"/>
      <c r="AJ913" s="324"/>
      <c r="AK913" s="324"/>
      <c r="AL913" s="303"/>
    </row>
    <row r="914" spans="1:38" s="233" customFormat="1" ht="10.95" customHeight="1">
      <c r="A914" s="196"/>
      <c r="B914" s="750"/>
      <c r="C914" s="660"/>
      <c r="D914" s="660"/>
      <c r="E914" s="662"/>
      <c r="F914" s="751"/>
      <c r="G914" s="533"/>
      <c r="H914" s="258"/>
      <c r="I914" s="192"/>
      <c r="J914" s="192"/>
      <c r="K914" s="192"/>
      <c r="L914" s="534"/>
      <c r="M914" s="759" t="str">
        <f>IF(D914="","",AB914)</f>
        <v/>
      </c>
      <c r="N914" s="251">
        <f>IF(F914=0,0,SUM(O915:O926))</f>
        <v>0</v>
      </c>
      <c r="O914" s="215" t="str">
        <f>IF(N914/$O$1370=0,"",N914/$O$1370)</f>
        <v/>
      </c>
      <c r="P914" s="192"/>
      <c r="Q914" s="192"/>
      <c r="R914" s="196"/>
      <c r="S914" s="196"/>
      <c r="T914" s="182">
        <f>D914*E914</f>
        <v>0</v>
      </c>
      <c r="U914" s="182">
        <f>SUM(T718:T914)</f>
        <v>0</v>
      </c>
      <c r="Z914" s="324"/>
      <c r="AA914" s="318">
        <f>IF(D914="",0,1)</f>
        <v>0</v>
      </c>
      <c r="AB914" s="318">
        <f>AB901+AA914</f>
        <v>0</v>
      </c>
      <c r="AC914" s="324"/>
      <c r="AD914" s="324"/>
      <c r="AE914" s="324"/>
      <c r="AF914" s="324"/>
      <c r="AG914" s="324"/>
      <c r="AH914" s="324"/>
      <c r="AI914" s="324"/>
      <c r="AJ914" s="324"/>
      <c r="AK914" s="324"/>
      <c r="AL914" s="303"/>
    </row>
    <row r="915" spans="1:38" s="233" customFormat="1" ht="10.199999999999999" hidden="1">
      <c r="A915" s="196"/>
      <c r="B915" s="691" t="s">
        <v>49</v>
      </c>
      <c r="C915" s="716"/>
      <c r="D915" s="717"/>
      <c r="E915" s="692"/>
      <c r="F915" s="717"/>
      <c r="G915" s="296"/>
      <c r="H915" s="738">
        <f>Nutzung!$G$29</f>
        <v>0</v>
      </c>
      <c r="I915" s="196"/>
      <c r="J915" s="196"/>
      <c r="K915" s="196"/>
      <c r="L915" s="297"/>
      <c r="M915" s="716"/>
      <c r="N915" s="207"/>
      <c r="O915" s="250">
        <f t="shared" ref="O915:O926" si="43">($H$915+Regelung-1-I720)*J720*$D$914*$E$914*$F$914*24/($N$720*1000)</f>
        <v>0</v>
      </c>
      <c r="P915" s="196"/>
      <c r="Q915" s="196"/>
      <c r="R915" s="196"/>
      <c r="S915" s="196"/>
      <c r="Z915" s="324"/>
      <c r="AA915" s="318"/>
      <c r="AB915" s="324"/>
      <c r="AC915" s="324"/>
      <c r="AD915" s="324"/>
      <c r="AE915" s="324"/>
      <c r="AF915" s="324"/>
      <c r="AG915" s="324"/>
      <c r="AH915" s="324"/>
      <c r="AI915" s="324"/>
      <c r="AJ915" s="324"/>
      <c r="AK915" s="324"/>
      <c r="AL915" s="303"/>
    </row>
    <row r="916" spans="1:38" s="233" customFormat="1" ht="10.199999999999999" hidden="1">
      <c r="A916" s="196"/>
      <c r="B916" s="691" t="s">
        <v>554</v>
      </c>
      <c r="C916" s="717"/>
      <c r="D916" s="717"/>
      <c r="E916" s="692"/>
      <c r="F916" s="717"/>
      <c r="G916" s="296"/>
      <c r="H916" s="197"/>
      <c r="I916" s="196"/>
      <c r="J916" s="196"/>
      <c r="K916" s="196"/>
      <c r="L916" s="297"/>
      <c r="M916" s="716"/>
      <c r="N916" s="207"/>
      <c r="O916" s="250">
        <f t="shared" si="43"/>
        <v>0</v>
      </c>
      <c r="P916" s="196"/>
      <c r="Q916" s="196"/>
      <c r="R916" s="196"/>
      <c r="S916" s="196"/>
      <c r="Z916" s="324"/>
      <c r="AA916" s="318"/>
      <c r="AB916" s="324"/>
      <c r="AC916" s="324"/>
      <c r="AD916" s="324"/>
      <c r="AE916" s="324"/>
      <c r="AF916" s="324"/>
      <c r="AG916" s="324"/>
      <c r="AH916" s="324"/>
      <c r="AI916" s="324"/>
      <c r="AJ916" s="324"/>
      <c r="AK916" s="324"/>
      <c r="AL916" s="303"/>
    </row>
    <row r="917" spans="1:38" s="233" customFormat="1" ht="10.199999999999999" hidden="1">
      <c r="A917" s="196"/>
      <c r="B917" s="691" t="s">
        <v>306</v>
      </c>
      <c r="C917" s="717"/>
      <c r="D917" s="717"/>
      <c r="E917" s="692"/>
      <c r="F917" s="717"/>
      <c r="G917" s="296"/>
      <c r="H917" s="197"/>
      <c r="I917" s="196"/>
      <c r="J917" s="196"/>
      <c r="K917" s="196"/>
      <c r="L917" s="297"/>
      <c r="M917" s="716"/>
      <c r="N917" s="207"/>
      <c r="O917" s="250">
        <f t="shared" si="43"/>
        <v>0</v>
      </c>
      <c r="P917" s="196"/>
      <c r="Q917" s="196"/>
      <c r="R917" s="196"/>
      <c r="S917" s="196"/>
      <c r="Z917" s="324"/>
      <c r="AA917" s="318"/>
      <c r="AB917" s="324"/>
      <c r="AC917" s="324"/>
      <c r="AD917" s="324"/>
      <c r="AE917" s="324"/>
      <c r="AF917" s="324"/>
      <c r="AG917" s="324"/>
      <c r="AH917" s="324"/>
      <c r="AI917" s="324"/>
      <c r="AJ917" s="324"/>
      <c r="AK917" s="324"/>
      <c r="AL917" s="303"/>
    </row>
    <row r="918" spans="1:38" s="233" customFormat="1" ht="10.199999999999999" hidden="1">
      <c r="A918" s="196"/>
      <c r="B918" s="691" t="s">
        <v>409</v>
      </c>
      <c r="C918" s="717"/>
      <c r="D918" s="717"/>
      <c r="E918" s="692"/>
      <c r="F918" s="717"/>
      <c r="G918" s="296"/>
      <c r="H918" s="197"/>
      <c r="I918" s="196"/>
      <c r="J918" s="196"/>
      <c r="K918" s="196"/>
      <c r="L918" s="297"/>
      <c r="M918" s="716"/>
      <c r="N918" s="207"/>
      <c r="O918" s="250">
        <f t="shared" si="43"/>
        <v>0</v>
      </c>
      <c r="P918" s="196"/>
      <c r="Q918" s="196"/>
      <c r="R918" s="196"/>
      <c r="S918" s="196"/>
      <c r="Z918" s="324"/>
      <c r="AA918" s="318"/>
      <c r="AB918" s="324"/>
      <c r="AC918" s="324"/>
      <c r="AD918" s="324"/>
      <c r="AE918" s="324"/>
      <c r="AF918" s="324"/>
      <c r="AG918" s="324"/>
      <c r="AH918" s="324"/>
      <c r="AI918" s="324"/>
      <c r="AJ918" s="324"/>
      <c r="AK918" s="324"/>
      <c r="AL918" s="303"/>
    </row>
    <row r="919" spans="1:38" s="233" customFormat="1" ht="10.199999999999999" hidden="1">
      <c r="A919" s="196"/>
      <c r="B919" s="691" t="s">
        <v>410</v>
      </c>
      <c r="C919" s="717"/>
      <c r="D919" s="717"/>
      <c r="E919" s="692"/>
      <c r="F919" s="717"/>
      <c r="G919" s="296"/>
      <c r="H919" s="197"/>
      <c r="I919" s="196"/>
      <c r="J919" s="196"/>
      <c r="K919" s="196"/>
      <c r="L919" s="297"/>
      <c r="M919" s="716"/>
      <c r="N919" s="207"/>
      <c r="O919" s="250">
        <f t="shared" si="43"/>
        <v>0</v>
      </c>
      <c r="P919" s="196"/>
      <c r="Q919" s="196"/>
      <c r="R919" s="196"/>
      <c r="S919" s="196"/>
      <c r="Z919" s="324"/>
      <c r="AA919" s="318"/>
      <c r="AB919" s="324"/>
      <c r="AC919" s="324"/>
      <c r="AD919" s="324"/>
      <c r="AE919" s="324"/>
      <c r="AF919" s="324"/>
      <c r="AG919" s="324"/>
      <c r="AH919" s="324"/>
      <c r="AI919" s="324"/>
      <c r="AJ919" s="324"/>
      <c r="AK919" s="324"/>
      <c r="AL919" s="303"/>
    </row>
    <row r="920" spans="1:38" s="233" customFormat="1" ht="10.199999999999999" hidden="1">
      <c r="A920" s="196"/>
      <c r="B920" s="691" t="s">
        <v>411</v>
      </c>
      <c r="C920" s="717"/>
      <c r="D920" s="717"/>
      <c r="E920" s="692"/>
      <c r="F920" s="717"/>
      <c r="G920" s="296"/>
      <c r="H920" s="197"/>
      <c r="I920" s="196"/>
      <c r="J920" s="196"/>
      <c r="K920" s="196"/>
      <c r="L920" s="297"/>
      <c r="M920" s="716"/>
      <c r="N920" s="207"/>
      <c r="O920" s="250">
        <f t="shared" si="43"/>
        <v>0</v>
      </c>
      <c r="P920" s="196"/>
      <c r="Q920" s="196"/>
      <c r="R920" s="196"/>
      <c r="S920" s="196"/>
      <c r="Z920" s="324"/>
      <c r="AA920" s="318"/>
      <c r="AB920" s="324"/>
      <c r="AC920" s="324"/>
      <c r="AD920" s="324"/>
      <c r="AE920" s="324"/>
      <c r="AF920" s="324"/>
      <c r="AG920" s="324"/>
      <c r="AH920" s="324"/>
      <c r="AI920" s="324"/>
      <c r="AJ920" s="324"/>
      <c r="AK920" s="324"/>
      <c r="AL920" s="303"/>
    </row>
    <row r="921" spans="1:38" s="233" customFormat="1" ht="10.199999999999999" hidden="1">
      <c r="A921" s="196"/>
      <c r="B921" s="691" t="s">
        <v>221</v>
      </c>
      <c r="C921" s="717"/>
      <c r="D921" s="717"/>
      <c r="E921" s="692"/>
      <c r="F921" s="717"/>
      <c r="G921" s="296"/>
      <c r="H921" s="197"/>
      <c r="I921" s="196"/>
      <c r="J921" s="196"/>
      <c r="K921" s="196"/>
      <c r="L921" s="297"/>
      <c r="M921" s="716"/>
      <c r="N921" s="207"/>
      <c r="O921" s="250">
        <f t="shared" si="43"/>
        <v>0</v>
      </c>
      <c r="P921" s="196"/>
      <c r="Q921" s="196"/>
      <c r="R921" s="196"/>
      <c r="S921" s="196"/>
      <c r="Z921" s="324"/>
      <c r="AA921" s="318"/>
      <c r="AB921" s="324"/>
      <c r="AC921" s="324"/>
      <c r="AD921" s="324"/>
      <c r="AE921" s="324"/>
      <c r="AF921" s="324"/>
      <c r="AG921" s="324"/>
      <c r="AH921" s="324"/>
      <c r="AI921" s="324"/>
      <c r="AJ921" s="324"/>
      <c r="AK921" s="324"/>
      <c r="AL921" s="303"/>
    </row>
    <row r="922" spans="1:38" s="233" customFormat="1" ht="10.199999999999999" hidden="1">
      <c r="A922" s="196"/>
      <c r="B922" s="691" t="s">
        <v>138</v>
      </c>
      <c r="C922" s="717"/>
      <c r="D922" s="717"/>
      <c r="E922" s="692"/>
      <c r="F922" s="717"/>
      <c r="G922" s="296"/>
      <c r="H922" s="197"/>
      <c r="I922" s="196"/>
      <c r="J922" s="196"/>
      <c r="K922" s="196"/>
      <c r="L922" s="297"/>
      <c r="M922" s="716"/>
      <c r="N922" s="207"/>
      <c r="O922" s="250">
        <f t="shared" si="43"/>
        <v>0</v>
      </c>
      <c r="P922" s="196"/>
      <c r="Q922" s="196"/>
      <c r="R922" s="196"/>
      <c r="S922" s="196"/>
      <c r="Z922" s="324"/>
      <c r="AA922" s="318"/>
      <c r="AB922" s="324"/>
      <c r="AC922" s="324"/>
      <c r="AD922" s="324"/>
      <c r="AE922" s="324"/>
      <c r="AF922" s="324"/>
      <c r="AG922" s="324"/>
      <c r="AH922" s="324"/>
      <c r="AI922" s="324"/>
      <c r="AJ922" s="324"/>
      <c r="AK922" s="324"/>
      <c r="AL922" s="303"/>
    </row>
    <row r="923" spans="1:38" s="233" customFormat="1" ht="10.199999999999999" hidden="1">
      <c r="A923" s="196"/>
      <c r="B923" s="691" t="s">
        <v>139</v>
      </c>
      <c r="C923" s="717"/>
      <c r="D923" s="717"/>
      <c r="E923" s="692"/>
      <c r="F923" s="717"/>
      <c r="G923" s="296"/>
      <c r="H923" s="197"/>
      <c r="I923" s="196"/>
      <c r="J923" s="196"/>
      <c r="K923" s="196"/>
      <c r="L923" s="297"/>
      <c r="M923" s="716"/>
      <c r="N923" s="207"/>
      <c r="O923" s="250">
        <f t="shared" si="43"/>
        <v>0</v>
      </c>
      <c r="P923" s="196"/>
      <c r="Q923" s="196"/>
      <c r="R923" s="196"/>
      <c r="S923" s="196"/>
      <c r="Z923" s="324"/>
      <c r="AA923" s="318"/>
      <c r="AB923" s="324"/>
      <c r="AC923" s="324"/>
      <c r="AD923" s="324"/>
      <c r="AE923" s="324"/>
      <c r="AF923" s="324"/>
      <c r="AG923" s="324"/>
      <c r="AH923" s="324"/>
      <c r="AI923" s="324"/>
      <c r="AJ923" s="324"/>
      <c r="AK923" s="324"/>
      <c r="AL923" s="303"/>
    </row>
    <row r="924" spans="1:38" s="233" customFormat="1" ht="10.199999999999999" hidden="1">
      <c r="A924" s="196"/>
      <c r="B924" s="691" t="s">
        <v>269</v>
      </c>
      <c r="C924" s="717"/>
      <c r="D924" s="717"/>
      <c r="E924" s="692"/>
      <c r="F924" s="717"/>
      <c r="G924" s="296"/>
      <c r="H924" s="197"/>
      <c r="I924" s="196"/>
      <c r="J924" s="196"/>
      <c r="K924" s="196"/>
      <c r="L924" s="297"/>
      <c r="M924" s="716"/>
      <c r="N924" s="207"/>
      <c r="O924" s="250">
        <f t="shared" si="43"/>
        <v>0</v>
      </c>
      <c r="P924" s="196"/>
      <c r="Q924" s="196"/>
      <c r="R924" s="196"/>
      <c r="S924" s="196"/>
      <c r="Z924" s="324"/>
      <c r="AA924" s="318"/>
      <c r="AB924" s="324"/>
      <c r="AC924" s="324"/>
      <c r="AD924" s="324"/>
      <c r="AE924" s="324"/>
      <c r="AF924" s="324"/>
      <c r="AG924" s="324"/>
      <c r="AH924" s="324"/>
      <c r="AI924" s="324"/>
      <c r="AJ924" s="324"/>
      <c r="AK924" s="324"/>
      <c r="AL924" s="303"/>
    </row>
    <row r="925" spans="1:38" s="233" customFormat="1" ht="10.199999999999999" hidden="1">
      <c r="A925" s="196"/>
      <c r="B925" s="691" t="s">
        <v>366</v>
      </c>
      <c r="C925" s="717"/>
      <c r="D925" s="717"/>
      <c r="E925" s="692"/>
      <c r="F925" s="717"/>
      <c r="G925" s="296"/>
      <c r="H925" s="197"/>
      <c r="I925" s="196"/>
      <c r="J925" s="196"/>
      <c r="K925" s="196"/>
      <c r="L925" s="297"/>
      <c r="M925" s="716"/>
      <c r="N925" s="207"/>
      <c r="O925" s="250">
        <f t="shared" si="43"/>
        <v>0</v>
      </c>
      <c r="P925" s="196"/>
      <c r="Q925" s="196"/>
      <c r="R925" s="196"/>
      <c r="S925" s="196"/>
      <c r="Z925" s="324"/>
      <c r="AA925" s="318"/>
      <c r="AB925" s="324"/>
      <c r="AC925" s="324"/>
      <c r="AD925" s="324"/>
      <c r="AE925" s="324"/>
      <c r="AF925" s="324"/>
      <c r="AG925" s="324"/>
      <c r="AH925" s="324"/>
      <c r="AI925" s="324"/>
      <c r="AJ925" s="324"/>
      <c r="AK925" s="324"/>
      <c r="AL925" s="303"/>
    </row>
    <row r="926" spans="1:38" s="233" customFormat="1" ht="10.199999999999999" hidden="1">
      <c r="A926" s="196"/>
      <c r="B926" s="691" t="s">
        <v>465</v>
      </c>
      <c r="C926" s="717"/>
      <c r="D926" s="717"/>
      <c r="E926" s="692"/>
      <c r="F926" s="717"/>
      <c r="G926" s="296"/>
      <c r="H926" s="197"/>
      <c r="I926" s="196"/>
      <c r="J926" s="196"/>
      <c r="K926" s="196"/>
      <c r="L926" s="297"/>
      <c r="M926" s="716"/>
      <c r="N926" s="207"/>
      <c r="O926" s="250">
        <f t="shared" si="43"/>
        <v>0</v>
      </c>
      <c r="P926" s="196"/>
      <c r="Q926" s="196"/>
      <c r="R926" s="196"/>
      <c r="S926" s="196"/>
      <c r="Z926" s="324"/>
      <c r="AA926" s="318"/>
      <c r="AB926" s="324"/>
      <c r="AC926" s="324"/>
      <c r="AD926" s="324"/>
      <c r="AE926" s="324"/>
      <c r="AF926" s="324"/>
      <c r="AG926" s="324"/>
      <c r="AH926" s="324"/>
      <c r="AI926" s="324"/>
      <c r="AJ926" s="324"/>
      <c r="AK926" s="324"/>
      <c r="AL926" s="303"/>
    </row>
    <row r="927" spans="1:38">
      <c r="A927" s="192"/>
      <c r="B927" s="196"/>
      <c r="C927" s="197"/>
      <c r="D927" s="197"/>
      <c r="E927" s="197"/>
      <c r="F927" s="197"/>
      <c r="G927" s="197"/>
      <c r="H927" s="207"/>
      <c r="I927" s="208"/>
      <c r="J927" s="192"/>
      <c r="K927" s="192"/>
      <c r="L927" s="192"/>
      <c r="M927" s="192"/>
      <c r="N927" s="192"/>
      <c r="O927" s="192"/>
      <c r="P927" s="192"/>
      <c r="Q927" s="192"/>
      <c r="R927" s="192"/>
      <c r="S927" s="192"/>
    </row>
    <row r="928" spans="1:38" s="233" customFormat="1" ht="12" customHeight="1">
      <c r="A928" s="192"/>
      <c r="B928" s="893" t="s">
        <v>323</v>
      </c>
      <c r="C928" s="890" t="s">
        <v>424</v>
      </c>
      <c r="D928" s="890" t="s">
        <v>119</v>
      </c>
      <c r="E928" s="890" t="s">
        <v>335</v>
      </c>
      <c r="F928" s="890" t="s">
        <v>496</v>
      </c>
      <c r="G928" s="890"/>
      <c r="H928" s="890"/>
      <c r="I928" s="890"/>
      <c r="J928" s="890"/>
      <c r="K928" s="894"/>
      <c r="L928" s="895"/>
      <c r="M928" s="890" t="s">
        <v>349</v>
      </c>
      <c r="N928" s="890" t="s">
        <v>166</v>
      </c>
      <c r="O928" s="890" t="s">
        <v>520</v>
      </c>
      <c r="P928" s="194"/>
      <c r="Q928" s="194"/>
      <c r="R928" s="196"/>
      <c r="S928" s="196"/>
      <c r="Z928" s="324"/>
      <c r="AA928" s="318"/>
      <c r="AB928" s="324"/>
      <c r="AC928" s="324"/>
      <c r="AD928" s="324"/>
      <c r="AE928" s="324"/>
      <c r="AF928" s="324"/>
      <c r="AG928" s="324"/>
      <c r="AH928" s="324"/>
      <c r="AI928" s="324"/>
      <c r="AJ928" s="324"/>
      <c r="AK928" s="324"/>
      <c r="AL928" s="303"/>
    </row>
    <row r="929" spans="1:38" s="233" customFormat="1" ht="12" customHeight="1">
      <c r="A929" s="192"/>
      <c r="B929" s="893"/>
      <c r="C929" s="890"/>
      <c r="D929" s="890" t="s">
        <v>452</v>
      </c>
      <c r="E929" s="890" t="s">
        <v>501</v>
      </c>
      <c r="F929" s="890" t="s">
        <v>372</v>
      </c>
      <c r="G929" s="890"/>
      <c r="H929" s="890"/>
      <c r="I929" s="890"/>
      <c r="J929" s="890"/>
      <c r="K929" s="894"/>
      <c r="L929" s="895"/>
      <c r="M929" s="890"/>
      <c r="N929" s="890" t="s">
        <v>621</v>
      </c>
      <c r="O929" s="890"/>
      <c r="P929" s="194"/>
      <c r="Q929" s="194"/>
      <c r="R929" s="196"/>
      <c r="S929" s="196"/>
      <c r="Z929" s="324"/>
      <c r="AA929" s="318"/>
      <c r="AB929" s="324"/>
      <c r="AC929" s="324"/>
      <c r="AD929" s="324"/>
      <c r="AE929" s="324"/>
      <c r="AF929" s="324"/>
      <c r="AG929" s="324"/>
      <c r="AH929" s="324"/>
      <c r="AI929" s="324"/>
      <c r="AJ929" s="324"/>
      <c r="AK929" s="324"/>
      <c r="AL929" s="303"/>
    </row>
    <row r="930" spans="1:38" s="231" customFormat="1" ht="4.95" customHeight="1">
      <c r="A930" s="195"/>
      <c r="B930" s="196"/>
      <c r="C930" s="197"/>
      <c r="D930" s="197"/>
      <c r="E930" s="197"/>
      <c r="F930" s="197"/>
      <c r="G930" s="197"/>
      <c r="H930" s="195"/>
      <c r="I930" s="197"/>
      <c r="J930" s="197"/>
      <c r="K930" s="195"/>
      <c r="L930" s="195"/>
      <c r="M930" s="195"/>
      <c r="N930" s="195"/>
      <c r="O930" s="195"/>
      <c r="P930" s="195"/>
      <c r="Q930" s="195"/>
      <c r="R930" s="195"/>
      <c r="S930" s="195"/>
      <c r="Z930" s="320"/>
      <c r="AA930" s="320"/>
      <c r="AB930" s="320"/>
      <c r="AC930" s="320"/>
      <c r="AD930" s="320"/>
      <c r="AE930" s="320"/>
      <c r="AF930" s="320"/>
      <c r="AG930" s="320"/>
      <c r="AH930" s="320"/>
      <c r="AI930" s="320"/>
      <c r="AJ930" s="320"/>
      <c r="AK930" s="320"/>
      <c r="AL930" s="299"/>
    </row>
    <row r="931" spans="1:38" ht="10.95" customHeight="1">
      <c r="A931" s="192"/>
      <c r="B931" s="646"/>
      <c r="C931" s="652"/>
      <c r="D931" s="653"/>
      <c r="E931" s="654"/>
      <c r="F931" s="677"/>
      <c r="G931" s="244"/>
      <c r="H931" s="247"/>
      <c r="I931" s="198"/>
      <c r="J931" s="241"/>
      <c r="K931" s="198"/>
      <c r="L931" s="248"/>
      <c r="M931" s="218" t="str">
        <f>IF(D931="","",AB931)</f>
        <v/>
      </c>
      <c r="N931" s="214">
        <f>IF(F931=0,0,SUM(O932:O943))</f>
        <v>0</v>
      </c>
      <c r="O931" s="215" t="str">
        <f>IF(N931/$O$1370=0,"",N931/$O$1370)</f>
        <v/>
      </c>
      <c r="P931" s="198"/>
      <c r="Q931" s="198"/>
      <c r="R931" s="198"/>
      <c r="S931" s="192"/>
      <c r="T931" s="182">
        <f>D931*E931</f>
        <v>0</v>
      </c>
      <c r="AA931" s="318">
        <f>IF(D931="",0,1)</f>
        <v>0</v>
      </c>
      <c r="AB931" s="318">
        <f>AB914+AA931</f>
        <v>0</v>
      </c>
    </row>
    <row r="932" spans="1:38" s="235" customFormat="1" ht="9" hidden="1" customHeight="1">
      <c r="A932" s="202"/>
      <c r="B932" s="690" t="s">
        <v>49</v>
      </c>
      <c r="C932" s="721"/>
      <c r="D932" s="721"/>
      <c r="E932" s="721"/>
      <c r="F932" s="546"/>
      <c r="G932" s="254"/>
      <c r="H932" s="694">
        <f>Nutzung!$G$29</f>
        <v>0</v>
      </c>
      <c r="I932" s="263">
        <f>Klima!$C136</f>
        <v>0</v>
      </c>
      <c r="J932" s="694">
        <v>31</v>
      </c>
      <c r="K932" s="239"/>
      <c r="L932" s="249"/>
      <c r="M932" s="130"/>
      <c r="N932" s="217">
        <f>EBF!$F$39</f>
        <v>1.0000000000000001E-31</v>
      </c>
      <c r="O932" s="250">
        <f t="shared" ref="O932:O943" si="44">($H$932+Regelung-1-I932)*J932*$D$931*$E$931*$F$931*24/($N$932*1000)</f>
        <v>0</v>
      </c>
      <c r="P932" s="239"/>
      <c r="Q932" s="239"/>
      <c r="R932" s="239"/>
      <c r="S932" s="202"/>
      <c r="Z932" s="323"/>
      <c r="AA932" s="318"/>
      <c r="AB932" s="323"/>
      <c r="AC932" s="323"/>
      <c r="AD932" s="323"/>
      <c r="AE932" s="323"/>
      <c r="AF932" s="323"/>
      <c r="AG932" s="323"/>
      <c r="AH932" s="323"/>
      <c r="AI932" s="323"/>
      <c r="AJ932" s="323"/>
      <c r="AK932" s="323"/>
      <c r="AL932" s="302"/>
    </row>
    <row r="933" spans="1:38" s="235" customFormat="1" ht="9" hidden="1" customHeight="1">
      <c r="A933" s="202"/>
      <c r="B933" s="690" t="s">
        <v>554</v>
      </c>
      <c r="C933" s="721"/>
      <c r="D933" s="721"/>
      <c r="E933" s="721"/>
      <c r="F933" s="546"/>
      <c r="G933" s="254"/>
      <c r="H933" s="694"/>
      <c r="I933" s="263">
        <f>Klima!$C137</f>
        <v>0</v>
      </c>
      <c r="J933" s="694">
        <v>28</v>
      </c>
      <c r="K933" s="239"/>
      <c r="L933" s="249"/>
      <c r="M933" s="130"/>
      <c r="N933" s="217"/>
      <c r="O933" s="250">
        <f t="shared" si="44"/>
        <v>0</v>
      </c>
      <c r="P933" s="239"/>
      <c r="Q933" s="239"/>
      <c r="R933" s="239"/>
      <c r="S933" s="202"/>
      <c r="Z933" s="323"/>
      <c r="AA933" s="318"/>
      <c r="AB933" s="323"/>
      <c r="AC933" s="323"/>
      <c r="AD933" s="323"/>
      <c r="AE933" s="323"/>
      <c r="AF933" s="323"/>
      <c r="AG933" s="323"/>
      <c r="AH933" s="323"/>
      <c r="AI933" s="323"/>
      <c r="AJ933" s="323"/>
      <c r="AK933" s="323"/>
      <c r="AL933" s="302"/>
    </row>
    <row r="934" spans="1:38" s="235" customFormat="1" ht="9" hidden="1" customHeight="1">
      <c r="A934" s="202"/>
      <c r="B934" s="690" t="s">
        <v>306</v>
      </c>
      <c r="C934" s="721"/>
      <c r="D934" s="721"/>
      <c r="E934" s="721"/>
      <c r="F934" s="546"/>
      <c r="G934" s="254"/>
      <c r="H934" s="694"/>
      <c r="I934" s="263">
        <f>Klima!$C138</f>
        <v>0</v>
      </c>
      <c r="J934" s="694">
        <v>31</v>
      </c>
      <c r="K934" s="239"/>
      <c r="L934" s="249"/>
      <c r="M934" s="130"/>
      <c r="N934" s="217"/>
      <c r="O934" s="250">
        <f t="shared" si="44"/>
        <v>0</v>
      </c>
      <c r="P934" s="239"/>
      <c r="Q934" s="239"/>
      <c r="R934" s="239"/>
      <c r="S934" s="202"/>
      <c r="Z934" s="323"/>
      <c r="AA934" s="318"/>
      <c r="AB934" s="323"/>
      <c r="AC934" s="323"/>
      <c r="AD934" s="323"/>
      <c r="AE934" s="323"/>
      <c r="AF934" s="323"/>
      <c r="AG934" s="323"/>
      <c r="AH934" s="323"/>
      <c r="AI934" s="323"/>
      <c r="AJ934" s="323"/>
      <c r="AK934" s="323"/>
      <c r="AL934" s="302"/>
    </row>
    <row r="935" spans="1:38" s="235" customFormat="1" ht="9" hidden="1" customHeight="1">
      <c r="A935" s="202"/>
      <c r="B935" s="690" t="s">
        <v>409</v>
      </c>
      <c r="C935" s="721"/>
      <c r="D935" s="721"/>
      <c r="E935" s="721"/>
      <c r="F935" s="546"/>
      <c r="G935" s="254"/>
      <c r="H935" s="694"/>
      <c r="I935" s="263">
        <f>Klima!$C139</f>
        <v>0</v>
      </c>
      <c r="J935" s="694">
        <v>30</v>
      </c>
      <c r="K935" s="239"/>
      <c r="L935" s="249"/>
      <c r="M935" s="130"/>
      <c r="N935" s="217"/>
      <c r="O935" s="250">
        <f t="shared" si="44"/>
        <v>0</v>
      </c>
      <c r="P935" s="239"/>
      <c r="Q935" s="239"/>
      <c r="R935" s="239"/>
      <c r="S935" s="202"/>
      <c r="Z935" s="323"/>
      <c r="AA935" s="318"/>
      <c r="AB935" s="323"/>
      <c r="AC935" s="323"/>
      <c r="AD935" s="323"/>
      <c r="AE935" s="323"/>
      <c r="AF935" s="323"/>
      <c r="AG935" s="323"/>
      <c r="AH935" s="323"/>
      <c r="AI935" s="323"/>
      <c r="AJ935" s="323"/>
      <c r="AK935" s="323"/>
      <c r="AL935" s="302"/>
    </row>
    <row r="936" spans="1:38" s="235" customFormat="1" ht="9" hidden="1" customHeight="1">
      <c r="A936" s="202"/>
      <c r="B936" s="690" t="s">
        <v>410</v>
      </c>
      <c r="C936" s="721"/>
      <c r="D936" s="721"/>
      <c r="E936" s="721"/>
      <c r="F936" s="546"/>
      <c r="G936" s="254"/>
      <c r="H936" s="694"/>
      <c r="I936" s="263">
        <f>Klima!$C140</f>
        <v>0</v>
      </c>
      <c r="J936" s="694">
        <v>31</v>
      </c>
      <c r="K936" s="239"/>
      <c r="L936" s="249"/>
      <c r="M936" s="130"/>
      <c r="N936" s="217"/>
      <c r="O936" s="250">
        <f t="shared" si="44"/>
        <v>0</v>
      </c>
      <c r="P936" s="239"/>
      <c r="Q936" s="239"/>
      <c r="R936" s="239"/>
      <c r="S936" s="202"/>
      <c r="Z936" s="323"/>
      <c r="AA936" s="318"/>
      <c r="AB936" s="323"/>
      <c r="AC936" s="323"/>
      <c r="AD936" s="323"/>
      <c r="AE936" s="323"/>
      <c r="AF936" s="323"/>
      <c r="AG936" s="323"/>
      <c r="AH936" s="323"/>
      <c r="AI936" s="323"/>
      <c r="AJ936" s="323"/>
      <c r="AK936" s="323"/>
      <c r="AL936" s="302"/>
    </row>
    <row r="937" spans="1:38" s="235" customFormat="1" ht="9" hidden="1" customHeight="1">
      <c r="A937" s="202"/>
      <c r="B937" s="690" t="s">
        <v>411</v>
      </c>
      <c r="C937" s="721"/>
      <c r="D937" s="721"/>
      <c r="E937" s="721"/>
      <c r="F937" s="546"/>
      <c r="G937" s="254"/>
      <c r="H937" s="694"/>
      <c r="I937" s="263">
        <f>Klima!$C141</f>
        <v>0</v>
      </c>
      <c r="J937" s="694">
        <v>30</v>
      </c>
      <c r="K937" s="239"/>
      <c r="L937" s="249"/>
      <c r="M937" s="130"/>
      <c r="N937" s="217"/>
      <c r="O937" s="250">
        <f t="shared" si="44"/>
        <v>0</v>
      </c>
      <c r="P937" s="239"/>
      <c r="Q937" s="239"/>
      <c r="R937" s="239"/>
      <c r="S937" s="202"/>
      <c r="Z937" s="323"/>
      <c r="AA937" s="318"/>
      <c r="AB937" s="323"/>
      <c r="AC937" s="323"/>
      <c r="AD937" s="323"/>
      <c r="AE937" s="323"/>
      <c r="AF937" s="323"/>
      <c r="AG937" s="323"/>
      <c r="AH937" s="323"/>
      <c r="AI937" s="323"/>
      <c r="AJ937" s="323"/>
      <c r="AK937" s="323"/>
      <c r="AL937" s="302"/>
    </row>
    <row r="938" spans="1:38" s="235" customFormat="1" ht="9" hidden="1" customHeight="1">
      <c r="A938" s="202"/>
      <c r="B938" s="690" t="s">
        <v>221</v>
      </c>
      <c r="C938" s="721"/>
      <c r="D938" s="721"/>
      <c r="E938" s="721"/>
      <c r="F938" s="546"/>
      <c r="G938" s="254"/>
      <c r="H938" s="694"/>
      <c r="I938" s="263">
        <f>Klima!$C142</f>
        <v>0</v>
      </c>
      <c r="J938" s="694">
        <v>31</v>
      </c>
      <c r="K938" s="239"/>
      <c r="L938" s="249"/>
      <c r="M938" s="130"/>
      <c r="N938" s="217"/>
      <c r="O938" s="250">
        <f t="shared" si="44"/>
        <v>0</v>
      </c>
      <c r="P938" s="239"/>
      <c r="Q938" s="239"/>
      <c r="R938" s="239"/>
      <c r="S938" s="202"/>
      <c r="Z938" s="323"/>
      <c r="AA938" s="318"/>
      <c r="AB938" s="323"/>
      <c r="AC938" s="323"/>
      <c r="AD938" s="323"/>
      <c r="AE938" s="323"/>
      <c r="AF938" s="323"/>
      <c r="AG938" s="323"/>
      <c r="AH938" s="323"/>
      <c r="AI938" s="323"/>
      <c r="AJ938" s="323"/>
      <c r="AK938" s="323"/>
      <c r="AL938" s="302"/>
    </row>
    <row r="939" spans="1:38" s="235" customFormat="1" ht="9" hidden="1" customHeight="1">
      <c r="A939" s="202"/>
      <c r="B939" s="690" t="s">
        <v>138</v>
      </c>
      <c r="C939" s="721"/>
      <c r="D939" s="721"/>
      <c r="E939" s="721"/>
      <c r="F939" s="546"/>
      <c r="G939" s="254"/>
      <c r="H939" s="694"/>
      <c r="I939" s="263">
        <f>Klima!$C143</f>
        <v>0</v>
      </c>
      <c r="J939" s="694">
        <v>31</v>
      </c>
      <c r="K939" s="239"/>
      <c r="L939" s="249"/>
      <c r="M939" s="130"/>
      <c r="N939" s="217"/>
      <c r="O939" s="250">
        <f t="shared" si="44"/>
        <v>0</v>
      </c>
      <c r="P939" s="239"/>
      <c r="Q939" s="239"/>
      <c r="R939" s="239"/>
      <c r="S939" s="202"/>
      <c r="Z939" s="323"/>
      <c r="AA939" s="318"/>
      <c r="AB939" s="323"/>
      <c r="AC939" s="323"/>
      <c r="AD939" s="323"/>
      <c r="AE939" s="323"/>
      <c r="AF939" s="323"/>
      <c r="AG939" s="323"/>
      <c r="AH939" s="323"/>
      <c r="AI939" s="323"/>
      <c r="AJ939" s="323"/>
      <c r="AK939" s="323"/>
      <c r="AL939" s="302"/>
    </row>
    <row r="940" spans="1:38" s="235" customFormat="1" ht="9" hidden="1" customHeight="1">
      <c r="A940" s="202"/>
      <c r="B940" s="690" t="s">
        <v>139</v>
      </c>
      <c r="C940" s="721"/>
      <c r="D940" s="721"/>
      <c r="E940" s="721"/>
      <c r="F940" s="546"/>
      <c r="G940" s="254"/>
      <c r="H940" s="694"/>
      <c r="I940" s="263">
        <f>Klima!$C144</f>
        <v>0</v>
      </c>
      <c r="J940" s="694">
        <v>30</v>
      </c>
      <c r="K940" s="239"/>
      <c r="L940" s="249"/>
      <c r="M940" s="130"/>
      <c r="N940" s="217"/>
      <c r="O940" s="250">
        <f t="shared" si="44"/>
        <v>0</v>
      </c>
      <c r="P940" s="239"/>
      <c r="Q940" s="239"/>
      <c r="R940" s="239"/>
      <c r="S940" s="202"/>
      <c r="Z940" s="323"/>
      <c r="AA940" s="318"/>
      <c r="AB940" s="323"/>
      <c r="AC940" s="323"/>
      <c r="AD940" s="323"/>
      <c r="AE940" s="323"/>
      <c r="AF940" s="323"/>
      <c r="AG940" s="323"/>
      <c r="AH940" s="323"/>
      <c r="AI940" s="323"/>
      <c r="AJ940" s="323"/>
      <c r="AK940" s="323"/>
      <c r="AL940" s="302"/>
    </row>
    <row r="941" spans="1:38" s="235" customFormat="1" ht="9" hidden="1" customHeight="1">
      <c r="A941" s="202"/>
      <c r="B941" s="690" t="s">
        <v>269</v>
      </c>
      <c r="C941" s="721"/>
      <c r="D941" s="721"/>
      <c r="E941" s="721"/>
      <c r="F941" s="546"/>
      <c r="G941" s="254"/>
      <c r="H941" s="694"/>
      <c r="I941" s="263">
        <f>Klima!$C145</f>
        <v>0</v>
      </c>
      <c r="J941" s="694">
        <v>31</v>
      </c>
      <c r="K941" s="239"/>
      <c r="L941" s="249"/>
      <c r="M941" s="130"/>
      <c r="N941" s="217"/>
      <c r="O941" s="250">
        <f t="shared" si="44"/>
        <v>0</v>
      </c>
      <c r="P941" s="239"/>
      <c r="Q941" s="239"/>
      <c r="R941" s="239"/>
      <c r="S941" s="202"/>
      <c r="Z941" s="323"/>
      <c r="AA941" s="318"/>
      <c r="AB941" s="323"/>
      <c r="AC941" s="323"/>
      <c r="AD941" s="323"/>
      <c r="AE941" s="323"/>
      <c r="AF941" s="323"/>
      <c r="AG941" s="323"/>
      <c r="AH941" s="323"/>
      <c r="AI941" s="323"/>
      <c r="AJ941" s="323"/>
      <c r="AK941" s="323"/>
      <c r="AL941" s="302"/>
    </row>
    <row r="942" spans="1:38" s="235" customFormat="1" ht="9" hidden="1" customHeight="1">
      <c r="A942" s="202"/>
      <c r="B942" s="690" t="s">
        <v>366</v>
      </c>
      <c r="C942" s="721"/>
      <c r="D942" s="721"/>
      <c r="E942" s="721"/>
      <c r="F942" s="546"/>
      <c r="G942" s="254"/>
      <c r="H942" s="694"/>
      <c r="I942" s="263">
        <f>Klima!$C146</f>
        <v>0</v>
      </c>
      <c r="J942" s="694">
        <v>30</v>
      </c>
      <c r="K942" s="239"/>
      <c r="L942" s="249"/>
      <c r="M942" s="130"/>
      <c r="N942" s="217"/>
      <c r="O942" s="250">
        <f t="shared" si="44"/>
        <v>0</v>
      </c>
      <c r="P942" s="239"/>
      <c r="Q942" s="239"/>
      <c r="R942" s="239"/>
      <c r="S942" s="202"/>
      <c r="Z942" s="323"/>
      <c r="AA942" s="318"/>
      <c r="AB942" s="323"/>
      <c r="AC942" s="323"/>
      <c r="AD942" s="323"/>
      <c r="AE942" s="323"/>
      <c r="AF942" s="323"/>
      <c r="AG942" s="323"/>
      <c r="AH942" s="323"/>
      <c r="AI942" s="323"/>
      <c r="AJ942" s="323"/>
      <c r="AK942" s="323"/>
      <c r="AL942" s="302"/>
    </row>
    <row r="943" spans="1:38" s="235" customFormat="1" ht="9" hidden="1" customHeight="1">
      <c r="A943" s="202"/>
      <c r="B943" s="690" t="s">
        <v>465</v>
      </c>
      <c r="C943" s="721"/>
      <c r="D943" s="721"/>
      <c r="E943" s="721"/>
      <c r="F943" s="546"/>
      <c r="G943" s="254"/>
      <c r="H943" s="694"/>
      <c r="I943" s="263">
        <f>Klima!$C147</f>
        <v>0</v>
      </c>
      <c r="J943" s="694">
        <v>31</v>
      </c>
      <c r="K943" s="239"/>
      <c r="L943" s="249"/>
      <c r="M943" s="130"/>
      <c r="N943" s="217"/>
      <c r="O943" s="250">
        <f t="shared" si="44"/>
        <v>0</v>
      </c>
      <c r="P943" s="239"/>
      <c r="Q943" s="239"/>
      <c r="R943" s="239"/>
      <c r="S943" s="202"/>
      <c r="Z943" s="323"/>
      <c r="AA943" s="318"/>
      <c r="AB943" s="323"/>
      <c r="AC943" s="323"/>
      <c r="AD943" s="323"/>
      <c r="AE943" s="323"/>
      <c r="AF943" s="323"/>
      <c r="AG943" s="323"/>
      <c r="AH943" s="323"/>
      <c r="AI943" s="323"/>
      <c r="AJ943" s="323"/>
      <c r="AK943" s="323"/>
      <c r="AL943" s="302"/>
    </row>
    <row r="944" spans="1:38" ht="10.95" customHeight="1">
      <c r="A944" s="203" t="str">
        <f>A771</f>
        <v>0</v>
      </c>
      <c r="B944" s="648"/>
      <c r="C944" s="656"/>
      <c r="D944" s="657"/>
      <c r="E944" s="658"/>
      <c r="F944" s="676"/>
      <c r="G944" s="244"/>
      <c r="H944" s="247"/>
      <c r="I944" s="198"/>
      <c r="J944" s="241"/>
      <c r="K944" s="198"/>
      <c r="L944" s="256"/>
      <c r="M944" s="760" t="str">
        <f>IF(D944="","",AB944)</f>
        <v/>
      </c>
      <c r="N944" s="214">
        <f>IF(F944=0,0,SUM(O945:O956))</f>
        <v>0</v>
      </c>
      <c r="O944" s="215" t="str">
        <f>IF(N944/$O$1370=0,"",N944/$O$1370)</f>
        <v/>
      </c>
      <c r="P944" s="198"/>
      <c r="Q944" s="198"/>
      <c r="R944" s="198"/>
      <c r="S944" s="192"/>
      <c r="T944" s="182">
        <f>D944*E944</f>
        <v>0</v>
      </c>
      <c r="AA944" s="318">
        <f>IF(D944="",0,1)</f>
        <v>0</v>
      </c>
      <c r="AB944" s="318">
        <f>AB931+AA944</f>
        <v>0</v>
      </c>
    </row>
    <row r="945" spans="1:38" s="235" customFormat="1" ht="10.199999999999999" hidden="1">
      <c r="A945" s="202"/>
      <c r="B945" s="690" t="s">
        <v>49</v>
      </c>
      <c r="C945" s="721"/>
      <c r="D945" s="130"/>
      <c r="E945" s="745"/>
      <c r="F945" s="762"/>
      <c r="G945" s="709"/>
      <c r="H945" s="694">
        <f>Nutzung!$G$29</f>
        <v>0</v>
      </c>
      <c r="I945" s="239"/>
      <c r="J945" s="239"/>
      <c r="K945" s="239"/>
      <c r="L945" s="249"/>
      <c r="M945" s="130"/>
      <c r="N945" s="217"/>
      <c r="O945" s="250">
        <f t="shared" ref="O945:O956" si="45">($H$945+Regelung-1-I932)*J932*$D$944*$E$944*$F$944*24/($N$932*1000)</f>
        <v>0</v>
      </c>
      <c r="P945" s="239"/>
      <c r="Q945" s="239"/>
      <c r="R945" s="239"/>
      <c r="S945" s="202"/>
      <c r="Z945" s="323"/>
      <c r="AA945" s="318"/>
      <c r="AB945" s="323"/>
      <c r="AC945" s="323"/>
      <c r="AD945" s="323"/>
      <c r="AE945" s="323"/>
      <c r="AF945" s="323"/>
      <c r="AG945" s="323"/>
      <c r="AH945" s="323"/>
      <c r="AI945" s="323"/>
      <c r="AJ945" s="323"/>
      <c r="AK945" s="323"/>
      <c r="AL945" s="302"/>
    </row>
    <row r="946" spans="1:38" s="235" customFormat="1" ht="10.199999999999999" hidden="1">
      <c r="A946" s="202"/>
      <c r="B946" s="690" t="s">
        <v>554</v>
      </c>
      <c r="C946" s="130"/>
      <c r="D946" s="130"/>
      <c r="E946" s="26"/>
      <c r="F946" s="763"/>
      <c r="G946" s="709"/>
      <c r="H946" s="246"/>
      <c r="I946" s="239"/>
      <c r="J946" s="239"/>
      <c r="K946" s="239"/>
      <c r="L946" s="249"/>
      <c r="M946" s="130"/>
      <c r="N946" s="217"/>
      <c r="O946" s="250">
        <f t="shared" si="45"/>
        <v>0</v>
      </c>
      <c r="P946" s="239"/>
      <c r="Q946" s="239"/>
      <c r="R946" s="239"/>
      <c r="S946" s="202"/>
      <c r="Z946" s="323"/>
      <c r="AA946" s="318"/>
      <c r="AB946" s="323"/>
      <c r="AC946" s="323"/>
      <c r="AD946" s="323"/>
      <c r="AE946" s="323"/>
      <c r="AF946" s="323"/>
      <c r="AG946" s="323"/>
      <c r="AH946" s="323"/>
      <c r="AI946" s="323"/>
      <c r="AJ946" s="323"/>
      <c r="AK946" s="323"/>
      <c r="AL946" s="302"/>
    </row>
    <row r="947" spans="1:38" s="235" customFormat="1" ht="10.199999999999999" hidden="1">
      <c r="A947" s="202"/>
      <c r="B947" s="690" t="s">
        <v>306</v>
      </c>
      <c r="C947" s="130"/>
      <c r="D947" s="130"/>
      <c r="E947" s="26"/>
      <c r="F947" s="763"/>
      <c r="G947" s="709"/>
      <c r="H947" s="246"/>
      <c r="I947" s="239"/>
      <c r="J947" s="239"/>
      <c r="K947" s="239"/>
      <c r="L947" s="249"/>
      <c r="M947" s="130"/>
      <c r="N947" s="217"/>
      <c r="O947" s="250">
        <f t="shared" si="45"/>
        <v>0</v>
      </c>
      <c r="P947" s="239"/>
      <c r="Q947" s="239"/>
      <c r="R947" s="239"/>
      <c r="S947" s="202"/>
      <c r="Z947" s="323"/>
      <c r="AA947" s="318"/>
      <c r="AB947" s="323"/>
      <c r="AC947" s="323"/>
      <c r="AD947" s="323"/>
      <c r="AE947" s="323"/>
      <c r="AF947" s="323"/>
      <c r="AG947" s="323"/>
      <c r="AH947" s="323"/>
      <c r="AI947" s="323"/>
      <c r="AJ947" s="323"/>
      <c r="AK947" s="323"/>
      <c r="AL947" s="302"/>
    </row>
    <row r="948" spans="1:38" s="235" customFormat="1" ht="10.199999999999999" hidden="1">
      <c r="A948" s="202"/>
      <c r="B948" s="690" t="s">
        <v>409</v>
      </c>
      <c r="C948" s="130"/>
      <c r="D948" s="130"/>
      <c r="E948" s="26"/>
      <c r="F948" s="763"/>
      <c r="G948" s="709"/>
      <c r="H948" s="246"/>
      <c r="I948" s="239"/>
      <c r="J948" s="239"/>
      <c r="K948" s="239"/>
      <c r="L948" s="249"/>
      <c r="M948" s="130"/>
      <c r="N948" s="217"/>
      <c r="O948" s="250">
        <f t="shared" si="45"/>
        <v>0</v>
      </c>
      <c r="P948" s="239"/>
      <c r="Q948" s="239"/>
      <c r="R948" s="239"/>
      <c r="S948" s="202"/>
      <c r="Z948" s="323"/>
      <c r="AA948" s="318"/>
      <c r="AB948" s="323"/>
      <c r="AC948" s="323"/>
      <c r="AD948" s="323"/>
      <c r="AE948" s="323"/>
      <c r="AF948" s="323"/>
      <c r="AG948" s="323"/>
      <c r="AH948" s="323"/>
      <c r="AI948" s="323"/>
      <c r="AJ948" s="323"/>
      <c r="AK948" s="323"/>
      <c r="AL948" s="302"/>
    </row>
    <row r="949" spans="1:38" s="235" customFormat="1" ht="10.199999999999999" hidden="1">
      <c r="A949" s="202"/>
      <c r="B949" s="690" t="s">
        <v>410</v>
      </c>
      <c r="C949" s="130"/>
      <c r="D949" s="130"/>
      <c r="E949" s="26"/>
      <c r="F949" s="763"/>
      <c r="G949" s="709"/>
      <c r="H949" s="246"/>
      <c r="I949" s="239"/>
      <c r="J949" s="239"/>
      <c r="K949" s="239"/>
      <c r="L949" s="249"/>
      <c r="M949" s="130"/>
      <c r="N949" s="217"/>
      <c r="O949" s="250">
        <f t="shared" si="45"/>
        <v>0</v>
      </c>
      <c r="P949" s="239"/>
      <c r="Q949" s="239"/>
      <c r="R949" s="239"/>
      <c r="S949" s="202"/>
      <c r="Z949" s="323"/>
      <c r="AA949" s="318"/>
      <c r="AB949" s="323"/>
      <c r="AC949" s="323"/>
      <c r="AD949" s="323"/>
      <c r="AE949" s="323"/>
      <c r="AF949" s="323"/>
      <c r="AG949" s="323"/>
      <c r="AH949" s="323"/>
      <c r="AI949" s="323"/>
      <c r="AJ949" s="323"/>
      <c r="AK949" s="323"/>
      <c r="AL949" s="302"/>
    </row>
    <row r="950" spans="1:38" s="235" customFormat="1" ht="10.199999999999999" hidden="1">
      <c r="A950" s="202"/>
      <c r="B950" s="690" t="s">
        <v>411</v>
      </c>
      <c r="C950" s="130"/>
      <c r="D950" s="130"/>
      <c r="E950" s="26"/>
      <c r="F950" s="763"/>
      <c r="G950" s="709"/>
      <c r="H950" s="246"/>
      <c r="I950" s="239"/>
      <c r="J950" s="239"/>
      <c r="K950" s="239"/>
      <c r="L950" s="249"/>
      <c r="M950" s="130"/>
      <c r="N950" s="217"/>
      <c r="O950" s="250">
        <f t="shared" si="45"/>
        <v>0</v>
      </c>
      <c r="P950" s="239"/>
      <c r="Q950" s="239"/>
      <c r="R950" s="239"/>
      <c r="S950" s="202"/>
      <c r="Z950" s="323"/>
      <c r="AA950" s="318"/>
      <c r="AB950" s="323"/>
      <c r="AC950" s="323"/>
      <c r="AD950" s="323"/>
      <c r="AE950" s="323"/>
      <c r="AF950" s="323"/>
      <c r="AG950" s="323"/>
      <c r="AH950" s="323"/>
      <c r="AI950" s="323"/>
      <c r="AJ950" s="323"/>
      <c r="AK950" s="323"/>
      <c r="AL950" s="302"/>
    </row>
    <row r="951" spans="1:38" s="235" customFormat="1" ht="10.199999999999999" hidden="1">
      <c r="A951" s="202"/>
      <c r="B951" s="690" t="s">
        <v>221</v>
      </c>
      <c r="C951" s="130"/>
      <c r="D951" s="130"/>
      <c r="E951" s="26"/>
      <c r="F951" s="763"/>
      <c r="G951" s="709"/>
      <c r="H951" s="246"/>
      <c r="I951" s="239"/>
      <c r="J951" s="239"/>
      <c r="K951" s="239"/>
      <c r="L951" s="249"/>
      <c r="M951" s="130"/>
      <c r="N951" s="217"/>
      <c r="O951" s="250">
        <f t="shared" si="45"/>
        <v>0</v>
      </c>
      <c r="P951" s="239"/>
      <c r="Q951" s="239"/>
      <c r="R951" s="239"/>
      <c r="S951" s="202"/>
      <c r="Z951" s="323"/>
      <c r="AA951" s="318"/>
      <c r="AB951" s="323"/>
      <c r="AC951" s="323"/>
      <c r="AD951" s="323"/>
      <c r="AE951" s="323"/>
      <c r="AF951" s="323"/>
      <c r="AG951" s="323"/>
      <c r="AH951" s="323"/>
      <c r="AI951" s="323"/>
      <c r="AJ951" s="323"/>
      <c r="AK951" s="323"/>
      <c r="AL951" s="302"/>
    </row>
    <row r="952" spans="1:38" s="235" customFormat="1" ht="10.199999999999999" hidden="1">
      <c r="A952" s="202"/>
      <c r="B952" s="690" t="s">
        <v>138</v>
      </c>
      <c r="C952" s="130"/>
      <c r="D952" s="130"/>
      <c r="E952" s="26"/>
      <c r="F952" s="763"/>
      <c r="G952" s="709"/>
      <c r="H952" s="246"/>
      <c r="I952" s="239"/>
      <c r="J952" s="239"/>
      <c r="K952" s="239"/>
      <c r="L952" s="249"/>
      <c r="M952" s="130"/>
      <c r="N952" s="217"/>
      <c r="O952" s="250">
        <f t="shared" si="45"/>
        <v>0</v>
      </c>
      <c r="P952" s="239"/>
      <c r="Q952" s="239"/>
      <c r="R952" s="239"/>
      <c r="S952" s="202"/>
      <c r="Z952" s="323"/>
      <c r="AA952" s="318"/>
      <c r="AB952" s="323"/>
      <c r="AC952" s="323"/>
      <c r="AD952" s="323"/>
      <c r="AE952" s="323"/>
      <c r="AF952" s="323"/>
      <c r="AG952" s="323"/>
      <c r="AH952" s="323"/>
      <c r="AI952" s="323"/>
      <c r="AJ952" s="323"/>
      <c r="AK952" s="323"/>
      <c r="AL952" s="302"/>
    </row>
    <row r="953" spans="1:38" s="235" customFormat="1" ht="10.199999999999999" hidden="1">
      <c r="A953" s="202"/>
      <c r="B953" s="690" t="s">
        <v>139</v>
      </c>
      <c r="C953" s="130"/>
      <c r="D953" s="130"/>
      <c r="E953" s="26"/>
      <c r="F953" s="763"/>
      <c r="G953" s="709"/>
      <c r="H953" s="246"/>
      <c r="I953" s="239"/>
      <c r="J953" s="239"/>
      <c r="K953" s="239"/>
      <c r="L953" s="249"/>
      <c r="M953" s="130"/>
      <c r="N953" s="217"/>
      <c r="O953" s="250">
        <f t="shared" si="45"/>
        <v>0</v>
      </c>
      <c r="P953" s="239"/>
      <c r="Q953" s="239"/>
      <c r="R953" s="239"/>
      <c r="S953" s="202"/>
      <c r="Z953" s="323"/>
      <c r="AA953" s="318"/>
      <c r="AB953" s="323"/>
      <c r="AC953" s="323"/>
      <c r="AD953" s="323"/>
      <c r="AE953" s="323"/>
      <c r="AF953" s="323"/>
      <c r="AG953" s="323"/>
      <c r="AH953" s="323"/>
      <c r="AI953" s="323"/>
      <c r="AJ953" s="323"/>
      <c r="AK953" s="323"/>
      <c r="AL953" s="302"/>
    </row>
    <row r="954" spans="1:38" s="235" customFormat="1" ht="10.199999999999999" hidden="1">
      <c r="A954" s="202"/>
      <c r="B954" s="690" t="s">
        <v>269</v>
      </c>
      <c r="C954" s="130"/>
      <c r="D954" s="130"/>
      <c r="E954" s="26"/>
      <c r="F954" s="763"/>
      <c r="G954" s="709"/>
      <c r="H954" s="246"/>
      <c r="I954" s="239"/>
      <c r="J954" s="239"/>
      <c r="K954" s="239"/>
      <c r="L954" s="249"/>
      <c r="M954" s="130"/>
      <c r="N954" s="217"/>
      <c r="O954" s="250">
        <f t="shared" si="45"/>
        <v>0</v>
      </c>
      <c r="P954" s="239"/>
      <c r="Q954" s="239"/>
      <c r="R954" s="239"/>
      <c r="S954" s="202"/>
      <c r="Z954" s="323"/>
      <c r="AA954" s="318"/>
      <c r="AB954" s="323"/>
      <c r="AC954" s="323"/>
      <c r="AD954" s="323"/>
      <c r="AE954" s="323"/>
      <c r="AF954" s="323"/>
      <c r="AG954" s="323"/>
      <c r="AH954" s="323"/>
      <c r="AI954" s="323"/>
      <c r="AJ954" s="323"/>
      <c r="AK954" s="323"/>
      <c r="AL954" s="302"/>
    </row>
    <row r="955" spans="1:38" s="235" customFormat="1" ht="10.199999999999999" hidden="1">
      <c r="A955" s="202"/>
      <c r="B955" s="690" t="s">
        <v>366</v>
      </c>
      <c r="C955" s="130"/>
      <c r="D955" s="130"/>
      <c r="E955" s="26"/>
      <c r="F955" s="763"/>
      <c r="G955" s="709"/>
      <c r="H955" s="246"/>
      <c r="I955" s="239"/>
      <c r="J955" s="239"/>
      <c r="K955" s="239"/>
      <c r="L955" s="249"/>
      <c r="M955" s="130"/>
      <c r="N955" s="217"/>
      <c r="O955" s="250">
        <f t="shared" si="45"/>
        <v>0</v>
      </c>
      <c r="P955" s="239"/>
      <c r="Q955" s="239"/>
      <c r="R955" s="239"/>
      <c r="S955" s="202"/>
      <c r="Z955" s="323"/>
      <c r="AA955" s="318"/>
      <c r="AB955" s="323"/>
      <c r="AC955" s="323"/>
      <c r="AD955" s="323"/>
      <c r="AE955" s="323"/>
      <c r="AF955" s="323"/>
      <c r="AG955" s="323"/>
      <c r="AH955" s="323"/>
      <c r="AI955" s="323"/>
      <c r="AJ955" s="323"/>
      <c r="AK955" s="323"/>
      <c r="AL955" s="302"/>
    </row>
    <row r="956" spans="1:38" s="235" customFormat="1" ht="10.199999999999999" hidden="1">
      <c r="A956" s="202"/>
      <c r="B956" s="690" t="s">
        <v>465</v>
      </c>
      <c r="C956" s="130"/>
      <c r="D956" s="130"/>
      <c r="E956" s="26"/>
      <c r="F956" s="763"/>
      <c r="G956" s="709"/>
      <c r="H956" s="246"/>
      <c r="I956" s="239"/>
      <c r="J956" s="239"/>
      <c r="K956" s="239"/>
      <c r="L956" s="249"/>
      <c r="M956" s="130"/>
      <c r="N956" s="217"/>
      <c r="O956" s="250">
        <f t="shared" si="45"/>
        <v>0</v>
      </c>
      <c r="P956" s="239"/>
      <c r="Q956" s="239"/>
      <c r="R956" s="239"/>
      <c r="S956" s="202"/>
      <c r="Z956" s="323"/>
      <c r="AA956" s="318"/>
      <c r="AB956" s="323"/>
      <c r="AC956" s="323"/>
      <c r="AD956" s="323"/>
      <c r="AE956" s="323"/>
      <c r="AF956" s="323"/>
      <c r="AG956" s="323"/>
      <c r="AH956" s="323"/>
      <c r="AI956" s="323"/>
      <c r="AJ956" s="323"/>
      <c r="AK956" s="323"/>
      <c r="AL956" s="302"/>
    </row>
    <row r="957" spans="1:38" ht="10.95" customHeight="1">
      <c r="A957" s="192"/>
      <c r="B957" s="648"/>
      <c r="C957" s="656"/>
      <c r="D957" s="657"/>
      <c r="E957" s="658"/>
      <c r="F957" s="676"/>
      <c r="G957" s="244"/>
      <c r="H957" s="247"/>
      <c r="I957" s="198"/>
      <c r="J957" s="241"/>
      <c r="K957" s="198"/>
      <c r="L957" s="256"/>
      <c r="M957" s="760" t="str">
        <f>IF(D957="","",AB957)</f>
        <v/>
      </c>
      <c r="N957" s="214">
        <f>IF(F957=0,0,SUM(O958:O969))</f>
        <v>0</v>
      </c>
      <c r="O957" s="215" t="str">
        <f>IF(N957/$O$1370=0,"",N957/$O$1370)</f>
        <v/>
      </c>
      <c r="P957" s="198"/>
      <c r="Q957" s="198"/>
      <c r="R957" s="198"/>
      <c r="S957" s="192"/>
      <c r="T957" s="182">
        <f>D957*E957</f>
        <v>0</v>
      </c>
      <c r="AA957" s="318">
        <f>IF(D957="",0,1)</f>
        <v>0</v>
      </c>
      <c r="AB957" s="318">
        <f>AB944+AA957</f>
        <v>0</v>
      </c>
    </row>
    <row r="958" spans="1:38" s="233" customFormat="1" ht="10.199999999999999" hidden="1">
      <c r="A958" s="196"/>
      <c r="B958" s="756" t="s">
        <v>49</v>
      </c>
      <c r="C958" s="716"/>
      <c r="D958" s="181"/>
      <c r="E958" s="181"/>
      <c r="F958" s="764"/>
      <c r="G958" s="296"/>
      <c r="H958" s="761">
        <f>Nutzung!$G$29</f>
        <v>0</v>
      </c>
      <c r="I958" s="196"/>
      <c r="J958" s="196"/>
      <c r="K958" s="196"/>
      <c r="L958" s="297"/>
      <c r="M958" s="757"/>
      <c r="N958" s="207"/>
      <c r="O958" s="208">
        <f t="shared" ref="O958:O969" si="46">($H$958+Regelung-1-I932)*J932*$D$957*$E$957*$F$957*24/($N$932*1000)</f>
        <v>0</v>
      </c>
      <c r="P958" s="196"/>
      <c r="Q958" s="196"/>
      <c r="R958" s="196"/>
      <c r="S958" s="196"/>
      <c r="Z958" s="324"/>
      <c r="AA958" s="318"/>
      <c r="AB958" s="324"/>
      <c r="AC958" s="324"/>
      <c r="AD958" s="324"/>
      <c r="AE958" s="324"/>
      <c r="AF958" s="324"/>
      <c r="AG958" s="324"/>
      <c r="AH958" s="324"/>
      <c r="AI958" s="324"/>
      <c r="AJ958" s="324"/>
      <c r="AK958" s="324"/>
      <c r="AL958" s="303"/>
    </row>
    <row r="959" spans="1:38" s="233" customFormat="1" ht="10.199999999999999" hidden="1">
      <c r="A959" s="196"/>
      <c r="B959" s="47" t="s">
        <v>554</v>
      </c>
      <c r="C959" s="181"/>
      <c r="D959" s="181"/>
      <c r="E959" s="181"/>
      <c r="F959" s="765"/>
      <c r="G959" s="296"/>
      <c r="H959" s="197"/>
      <c r="I959" s="196"/>
      <c r="J959" s="196"/>
      <c r="K959" s="196"/>
      <c r="L959" s="297"/>
      <c r="M959" s="758"/>
      <c r="N959" s="207"/>
      <c r="O959" s="208">
        <f t="shared" si="46"/>
        <v>0</v>
      </c>
      <c r="P959" s="196"/>
      <c r="Q959" s="196"/>
      <c r="R959" s="196"/>
      <c r="S959" s="196"/>
      <c r="Z959" s="324"/>
      <c r="AA959" s="318"/>
      <c r="AB959" s="324"/>
      <c r="AC959" s="324"/>
      <c r="AD959" s="324"/>
      <c r="AE959" s="324"/>
      <c r="AF959" s="324"/>
      <c r="AG959" s="324"/>
      <c r="AH959" s="324"/>
      <c r="AI959" s="324"/>
      <c r="AJ959" s="324"/>
      <c r="AK959" s="324"/>
      <c r="AL959" s="303"/>
    </row>
    <row r="960" spans="1:38" s="233" customFormat="1" ht="10.199999999999999" hidden="1">
      <c r="A960" s="196"/>
      <c r="B960" s="47" t="s">
        <v>306</v>
      </c>
      <c r="C960" s="181"/>
      <c r="D960" s="181"/>
      <c r="E960" s="181"/>
      <c r="F960" s="765"/>
      <c r="G960" s="296"/>
      <c r="H960" s="197"/>
      <c r="I960" s="196"/>
      <c r="J960" s="196"/>
      <c r="K960" s="196"/>
      <c r="L960" s="297"/>
      <c r="M960" s="758"/>
      <c r="N960" s="207"/>
      <c r="O960" s="208">
        <f t="shared" si="46"/>
        <v>0</v>
      </c>
      <c r="P960" s="196"/>
      <c r="Q960" s="196"/>
      <c r="R960" s="196"/>
      <c r="S960" s="196"/>
      <c r="Z960" s="324"/>
      <c r="AA960" s="318"/>
      <c r="AB960" s="324"/>
      <c r="AC960" s="324"/>
      <c r="AD960" s="324"/>
      <c r="AE960" s="324"/>
      <c r="AF960" s="324"/>
      <c r="AG960" s="324"/>
      <c r="AH960" s="324"/>
      <c r="AI960" s="324"/>
      <c r="AJ960" s="324"/>
      <c r="AK960" s="324"/>
      <c r="AL960" s="303"/>
    </row>
    <row r="961" spans="1:38" s="233" customFormat="1" ht="10.199999999999999" hidden="1">
      <c r="A961" s="196"/>
      <c r="B961" s="47" t="s">
        <v>409</v>
      </c>
      <c r="C961" s="181"/>
      <c r="D961" s="181"/>
      <c r="E961" s="181"/>
      <c r="F961" s="765"/>
      <c r="G961" s="296"/>
      <c r="H961" s="197"/>
      <c r="I961" s="196"/>
      <c r="J961" s="196"/>
      <c r="K961" s="196"/>
      <c r="L961" s="297"/>
      <c r="M961" s="758"/>
      <c r="N961" s="207"/>
      <c r="O961" s="208">
        <f t="shared" si="46"/>
        <v>0</v>
      </c>
      <c r="P961" s="196"/>
      <c r="Q961" s="196"/>
      <c r="R961" s="196"/>
      <c r="S961" s="196"/>
      <c r="Z961" s="324"/>
      <c r="AA961" s="318"/>
      <c r="AB961" s="324"/>
      <c r="AC961" s="324"/>
      <c r="AD961" s="324"/>
      <c r="AE961" s="324"/>
      <c r="AF961" s="324"/>
      <c r="AG961" s="324"/>
      <c r="AH961" s="324"/>
      <c r="AI961" s="324"/>
      <c r="AJ961" s="324"/>
      <c r="AK961" s="324"/>
      <c r="AL961" s="303"/>
    </row>
    <row r="962" spans="1:38" s="233" customFormat="1" ht="10.199999999999999" hidden="1">
      <c r="A962" s="196"/>
      <c r="B962" s="47" t="s">
        <v>410</v>
      </c>
      <c r="C962" s="181"/>
      <c r="D962" s="181"/>
      <c r="E962" s="181"/>
      <c r="F962" s="765"/>
      <c r="G962" s="296"/>
      <c r="H962" s="197"/>
      <c r="I962" s="196"/>
      <c r="J962" s="196"/>
      <c r="K962" s="196"/>
      <c r="L962" s="297"/>
      <c r="M962" s="758"/>
      <c r="N962" s="207"/>
      <c r="O962" s="208">
        <f t="shared" si="46"/>
        <v>0</v>
      </c>
      <c r="P962" s="196"/>
      <c r="Q962" s="196"/>
      <c r="R962" s="196"/>
      <c r="S962" s="196"/>
      <c r="Z962" s="324"/>
      <c r="AA962" s="318"/>
      <c r="AB962" s="324"/>
      <c r="AC962" s="324"/>
      <c r="AD962" s="324"/>
      <c r="AE962" s="324"/>
      <c r="AF962" s="324"/>
      <c r="AG962" s="324"/>
      <c r="AH962" s="324"/>
      <c r="AI962" s="324"/>
      <c r="AJ962" s="324"/>
      <c r="AK962" s="324"/>
      <c r="AL962" s="303"/>
    </row>
    <row r="963" spans="1:38" s="233" customFormat="1" ht="10.199999999999999" hidden="1">
      <c r="A963" s="196"/>
      <c r="B963" s="47" t="s">
        <v>411</v>
      </c>
      <c r="C963" s="181"/>
      <c r="D963" s="181"/>
      <c r="E963" s="181"/>
      <c r="F963" s="765"/>
      <c r="G963" s="296"/>
      <c r="H963" s="197"/>
      <c r="I963" s="196"/>
      <c r="J963" s="196"/>
      <c r="K963" s="196"/>
      <c r="L963" s="297"/>
      <c r="M963" s="758"/>
      <c r="N963" s="207"/>
      <c r="O963" s="208">
        <f t="shared" si="46"/>
        <v>0</v>
      </c>
      <c r="P963" s="196"/>
      <c r="Q963" s="196"/>
      <c r="R963" s="196"/>
      <c r="S963" s="196"/>
      <c r="Z963" s="324"/>
      <c r="AA963" s="318"/>
      <c r="AB963" s="324"/>
      <c r="AC963" s="324"/>
      <c r="AD963" s="324"/>
      <c r="AE963" s="324"/>
      <c r="AF963" s="324"/>
      <c r="AG963" s="324"/>
      <c r="AH963" s="324"/>
      <c r="AI963" s="324"/>
      <c r="AJ963" s="324"/>
      <c r="AK963" s="324"/>
      <c r="AL963" s="303"/>
    </row>
    <row r="964" spans="1:38" s="233" customFormat="1" ht="10.199999999999999" hidden="1">
      <c r="A964" s="196"/>
      <c r="B964" s="47" t="s">
        <v>221</v>
      </c>
      <c r="C964" s="181"/>
      <c r="D964" s="181"/>
      <c r="E964" s="181"/>
      <c r="F964" s="765"/>
      <c r="G964" s="296"/>
      <c r="H964" s="197"/>
      <c r="I964" s="196"/>
      <c r="J964" s="196"/>
      <c r="K964" s="196"/>
      <c r="L964" s="297"/>
      <c r="M964" s="758"/>
      <c r="N964" s="207"/>
      <c r="O964" s="208">
        <f t="shared" si="46"/>
        <v>0</v>
      </c>
      <c r="P964" s="196"/>
      <c r="Q964" s="196"/>
      <c r="R964" s="196"/>
      <c r="S964" s="196"/>
      <c r="Z964" s="324"/>
      <c r="AA964" s="318"/>
      <c r="AB964" s="324"/>
      <c r="AC964" s="324"/>
      <c r="AD964" s="324"/>
      <c r="AE964" s="324"/>
      <c r="AF964" s="324"/>
      <c r="AG964" s="324"/>
      <c r="AH964" s="324"/>
      <c r="AI964" s="324"/>
      <c r="AJ964" s="324"/>
      <c r="AK964" s="324"/>
      <c r="AL964" s="303"/>
    </row>
    <row r="965" spans="1:38" s="233" customFormat="1" ht="10.199999999999999" hidden="1">
      <c r="A965" s="196"/>
      <c r="B965" s="47" t="s">
        <v>138</v>
      </c>
      <c r="C965" s="181"/>
      <c r="D965" s="181"/>
      <c r="E965" s="181"/>
      <c r="F965" s="765"/>
      <c r="G965" s="296"/>
      <c r="H965" s="197"/>
      <c r="I965" s="196"/>
      <c r="J965" s="196"/>
      <c r="K965" s="196"/>
      <c r="L965" s="297"/>
      <c r="M965" s="758"/>
      <c r="N965" s="207"/>
      <c r="O965" s="208">
        <f t="shared" si="46"/>
        <v>0</v>
      </c>
      <c r="P965" s="196"/>
      <c r="Q965" s="196"/>
      <c r="R965" s="196"/>
      <c r="S965" s="196"/>
      <c r="Z965" s="324"/>
      <c r="AA965" s="318"/>
      <c r="AB965" s="324"/>
      <c r="AC965" s="324"/>
      <c r="AD965" s="324"/>
      <c r="AE965" s="324"/>
      <c r="AF965" s="324"/>
      <c r="AG965" s="324"/>
      <c r="AH965" s="324"/>
      <c r="AI965" s="324"/>
      <c r="AJ965" s="324"/>
      <c r="AK965" s="324"/>
      <c r="AL965" s="303"/>
    </row>
    <row r="966" spans="1:38" s="233" customFormat="1" ht="10.199999999999999" hidden="1">
      <c r="A966" s="196"/>
      <c r="B966" s="47" t="s">
        <v>139</v>
      </c>
      <c r="C966" s="181"/>
      <c r="D966" s="181"/>
      <c r="E966" s="181"/>
      <c r="F966" s="765"/>
      <c r="G966" s="296"/>
      <c r="H966" s="197"/>
      <c r="I966" s="196"/>
      <c r="J966" s="196"/>
      <c r="K966" s="196"/>
      <c r="L966" s="297"/>
      <c r="M966" s="758"/>
      <c r="N966" s="207"/>
      <c r="O966" s="208">
        <f t="shared" si="46"/>
        <v>0</v>
      </c>
      <c r="P966" s="196"/>
      <c r="Q966" s="196"/>
      <c r="R966" s="196"/>
      <c r="S966" s="196"/>
      <c r="Z966" s="324"/>
      <c r="AA966" s="318"/>
      <c r="AB966" s="324"/>
      <c r="AC966" s="324"/>
      <c r="AD966" s="324"/>
      <c r="AE966" s="324"/>
      <c r="AF966" s="324"/>
      <c r="AG966" s="324"/>
      <c r="AH966" s="324"/>
      <c r="AI966" s="324"/>
      <c r="AJ966" s="324"/>
      <c r="AK966" s="324"/>
      <c r="AL966" s="303"/>
    </row>
    <row r="967" spans="1:38" s="233" customFormat="1" ht="10.199999999999999" hidden="1">
      <c r="A967" s="196"/>
      <c r="B967" s="47" t="s">
        <v>269</v>
      </c>
      <c r="C967" s="181"/>
      <c r="D967" s="181"/>
      <c r="E967" s="181"/>
      <c r="F967" s="765"/>
      <c r="G967" s="296"/>
      <c r="H967" s="197"/>
      <c r="I967" s="196"/>
      <c r="J967" s="196"/>
      <c r="K967" s="196"/>
      <c r="L967" s="297"/>
      <c r="M967" s="758"/>
      <c r="N967" s="207"/>
      <c r="O967" s="208">
        <f t="shared" si="46"/>
        <v>0</v>
      </c>
      <c r="P967" s="196"/>
      <c r="Q967" s="196"/>
      <c r="R967" s="196"/>
      <c r="S967" s="196"/>
      <c r="Z967" s="324"/>
      <c r="AA967" s="318"/>
      <c r="AB967" s="324"/>
      <c r="AC967" s="324"/>
      <c r="AD967" s="324"/>
      <c r="AE967" s="324"/>
      <c r="AF967" s="324"/>
      <c r="AG967" s="324"/>
      <c r="AH967" s="324"/>
      <c r="AI967" s="324"/>
      <c r="AJ967" s="324"/>
      <c r="AK967" s="324"/>
      <c r="AL967" s="303"/>
    </row>
    <row r="968" spans="1:38" s="233" customFormat="1" ht="10.199999999999999" hidden="1">
      <c r="A968" s="196"/>
      <c r="B968" s="47" t="s">
        <v>366</v>
      </c>
      <c r="C968" s="181"/>
      <c r="D968" s="181"/>
      <c r="E968" s="181"/>
      <c r="F968" s="765"/>
      <c r="G968" s="296"/>
      <c r="H968" s="197"/>
      <c r="I968" s="196"/>
      <c r="J968" s="196"/>
      <c r="K968" s="196"/>
      <c r="L968" s="297"/>
      <c r="M968" s="758"/>
      <c r="N968" s="207"/>
      <c r="O968" s="208">
        <f t="shared" si="46"/>
        <v>0</v>
      </c>
      <c r="P968" s="196"/>
      <c r="Q968" s="196"/>
      <c r="R968" s="196"/>
      <c r="S968" s="196"/>
      <c r="Z968" s="324"/>
      <c r="AA968" s="318"/>
      <c r="AB968" s="324"/>
      <c r="AC968" s="324"/>
      <c r="AD968" s="324"/>
      <c r="AE968" s="324"/>
      <c r="AF968" s="324"/>
      <c r="AG968" s="324"/>
      <c r="AH968" s="324"/>
      <c r="AI968" s="324"/>
      <c r="AJ968" s="324"/>
      <c r="AK968" s="324"/>
      <c r="AL968" s="303"/>
    </row>
    <row r="969" spans="1:38" s="233" customFormat="1" ht="10.199999999999999" hidden="1">
      <c r="A969" s="196"/>
      <c r="B969" s="47" t="s">
        <v>465</v>
      </c>
      <c r="C969" s="181"/>
      <c r="D969" s="181"/>
      <c r="E969" s="181"/>
      <c r="F969" s="765"/>
      <c r="G969" s="296"/>
      <c r="H969" s="197"/>
      <c r="I969" s="196"/>
      <c r="J969" s="196"/>
      <c r="K969" s="196"/>
      <c r="L969" s="297"/>
      <c r="M969" s="758"/>
      <c r="N969" s="207"/>
      <c r="O969" s="208">
        <f t="shared" si="46"/>
        <v>0</v>
      </c>
      <c r="P969" s="196"/>
      <c r="Q969" s="196"/>
      <c r="R969" s="196"/>
      <c r="S969" s="196"/>
      <c r="Z969" s="324"/>
      <c r="AA969" s="318"/>
      <c r="AB969" s="324"/>
      <c r="AC969" s="324"/>
      <c r="AD969" s="324"/>
      <c r="AE969" s="324"/>
      <c r="AF969" s="324"/>
      <c r="AG969" s="324"/>
      <c r="AH969" s="324"/>
      <c r="AI969" s="324"/>
      <c r="AJ969" s="324"/>
      <c r="AK969" s="324"/>
      <c r="AL969" s="303"/>
    </row>
    <row r="970" spans="1:38" s="233" customFormat="1" ht="10.95" customHeight="1">
      <c r="A970" s="196"/>
      <c r="B970" s="649"/>
      <c r="C970" s="660"/>
      <c r="D970" s="660"/>
      <c r="E970" s="662"/>
      <c r="F970" s="736"/>
      <c r="G970" s="296"/>
      <c r="H970" s="197"/>
      <c r="I970" s="196"/>
      <c r="J970" s="196"/>
      <c r="K970" s="196"/>
      <c r="L970" s="297"/>
      <c r="M970" s="759" t="str">
        <f>IF(D970="","",AB970)</f>
        <v/>
      </c>
      <c r="N970" s="214">
        <f>IF(F970=0,0,SUM(O971:O982))</f>
        <v>0</v>
      </c>
      <c r="O970" s="215" t="str">
        <f>IF(N970/$O$1370=0,"",N970/$O$1370)</f>
        <v/>
      </c>
      <c r="P970" s="196"/>
      <c r="Q970" s="196"/>
      <c r="R970" s="196"/>
      <c r="S970" s="196"/>
      <c r="T970" s="182">
        <f>D970*E970</f>
        <v>0</v>
      </c>
      <c r="U970" s="182">
        <f>SUM(T931:T970)</f>
        <v>0</v>
      </c>
      <c r="Z970" s="324"/>
      <c r="AA970" s="318">
        <f>IF(D970="",0,1)</f>
        <v>0</v>
      </c>
      <c r="AB970" s="318">
        <f>AB957+AA970</f>
        <v>0</v>
      </c>
      <c r="AC970" s="324"/>
      <c r="AD970" s="324"/>
      <c r="AE970" s="324"/>
      <c r="AF970" s="324"/>
      <c r="AG970" s="324"/>
      <c r="AH970" s="324"/>
      <c r="AI970" s="324"/>
      <c r="AJ970" s="324"/>
      <c r="AK970" s="324"/>
      <c r="AL970" s="303"/>
    </row>
    <row r="971" spans="1:38" s="233" customFormat="1" ht="10.199999999999999" hidden="1">
      <c r="A971" s="196"/>
      <c r="B971" s="691" t="s">
        <v>49</v>
      </c>
      <c r="C971" s="716"/>
      <c r="D971" s="717"/>
      <c r="E971" s="717"/>
      <c r="F971" s="717"/>
      <c r="G971" s="296"/>
      <c r="H971" s="197">
        <f>Nutzung!$G$29</f>
        <v>0</v>
      </c>
      <c r="I971" s="196"/>
      <c r="J971" s="196"/>
      <c r="K971" s="196"/>
      <c r="L971" s="297"/>
      <c r="M971" s="716"/>
      <c r="N971" s="207"/>
      <c r="O971" s="208">
        <f t="shared" ref="O971:O982" si="47">($H$971+Regelung-1-I932)*J932*$D$970*$E$970*$F$970*24/($N$932*1000)</f>
        <v>0</v>
      </c>
      <c r="P971" s="196"/>
      <c r="Q971" s="196"/>
      <c r="R971" s="196"/>
      <c r="S971" s="196"/>
      <c r="Z971" s="324"/>
      <c r="AA971" s="318"/>
      <c r="AB971" s="324"/>
      <c r="AC971" s="324"/>
      <c r="AD971" s="324"/>
      <c r="AE971" s="324"/>
      <c r="AF971" s="324"/>
      <c r="AG971" s="324"/>
      <c r="AH971" s="324"/>
      <c r="AI971" s="324"/>
      <c r="AJ971" s="324"/>
      <c r="AK971" s="324"/>
      <c r="AL971" s="303"/>
    </row>
    <row r="972" spans="1:38" s="233" customFormat="1" ht="10.199999999999999" hidden="1">
      <c r="A972" s="196"/>
      <c r="B972" s="691" t="s">
        <v>554</v>
      </c>
      <c r="C972" s="717"/>
      <c r="D972" s="717"/>
      <c r="E972" s="717"/>
      <c r="F972" s="717"/>
      <c r="G972" s="296"/>
      <c r="H972" s="197"/>
      <c r="I972" s="196"/>
      <c r="J972" s="196"/>
      <c r="K972" s="196"/>
      <c r="L972" s="297"/>
      <c r="M972" s="716"/>
      <c r="N972" s="207"/>
      <c r="O972" s="208">
        <f t="shared" si="47"/>
        <v>0</v>
      </c>
      <c r="P972" s="196"/>
      <c r="Q972" s="196"/>
      <c r="R972" s="196"/>
      <c r="S972" s="196"/>
      <c r="Z972" s="324"/>
      <c r="AA972" s="318"/>
      <c r="AB972" s="324"/>
      <c r="AC972" s="324"/>
      <c r="AD972" s="324"/>
      <c r="AE972" s="324"/>
      <c r="AF972" s="324"/>
      <c r="AG972" s="324"/>
      <c r="AH972" s="324"/>
      <c r="AI972" s="324"/>
      <c r="AJ972" s="324"/>
      <c r="AK972" s="324"/>
      <c r="AL972" s="303"/>
    </row>
    <row r="973" spans="1:38" s="233" customFormat="1" ht="10.199999999999999" hidden="1">
      <c r="A973" s="196"/>
      <c r="B973" s="691" t="s">
        <v>306</v>
      </c>
      <c r="C973" s="717"/>
      <c r="D973" s="717"/>
      <c r="E973" s="717"/>
      <c r="F973" s="717"/>
      <c r="G973" s="296"/>
      <c r="H973" s="197"/>
      <c r="I973" s="196"/>
      <c r="J973" s="196"/>
      <c r="K973" s="196"/>
      <c r="L973" s="297"/>
      <c r="M973" s="716"/>
      <c r="N973" s="207"/>
      <c r="O973" s="208">
        <f t="shared" si="47"/>
        <v>0</v>
      </c>
      <c r="P973" s="196"/>
      <c r="Q973" s="196"/>
      <c r="R973" s="196"/>
      <c r="S973" s="196"/>
      <c r="Z973" s="324"/>
      <c r="AA973" s="318"/>
      <c r="AB973" s="324"/>
      <c r="AC973" s="324"/>
      <c r="AD973" s="324"/>
      <c r="AE973" s="324"/>
      <c r="AF973" s="324"/>
      <c r="AG973" s="324"/>
      <c r="AH973" s="324"/>
      <c r="AI973" s="324"/>
      <c r="AJ973" s="324"/>
      <c r="AK973" s="324"/>
      <c r="AL973" s="303"/>
    </row>
    <row r="974" spans="1:38" s="233" customFormat="1" ht="10.199999999999999" hidden="1">
      <c r="A974" s="196"/>
      <c r="B974" s="691" t="s">
        <v>409</v>
      </c>
      <c r="C974" s="717"/>
      <c r="D974" s="717"/>
      <c r="E974" s="717"/>
      <c r="F974" s="717"/>
      <c r="G974" s="296"/>
      <c r="H974" s="197"/>
      <c r="I974" s="196"/>
      <c r="J974" s="196"/>
      <c r="K974" s="196"/>
      <c r="L974" s="297"/>
      <c r="M974" s="716"/>
      <c r="N974" s="207"/>
      <c r="O974" s="208">
        <f t="shared" si="47"/>
        <v>0</v>
      </c>
      <c r="P974" s="196"/>
      <c r="Q974" s="196"/>
      <c r="R974" s="196"/>
      <c r="S974" s="196"/>
      <c r="Z974" s="324"/>
      <c r="AA974" s="318"/>
      <c r="AB974" s="324"/>
      <c r="AC974" s="324"/>
      <c r="AD974" s="324"/>
      <c r="AE974" s="324"/>
      <c r="AF974" s="324"/>
      <c r="AG974" s="324"/>
      <c r="AH974" s="324"/>
      <c r="AI974" s="324"/>
      <c r="AJ974" s="324"/>
      <c r="AK974" s="324"/>
      <c r="AL974" s="303"/>
    </row>
    <row r="975" spans="1:38" s="233" customFormat="1" ht="10.199999999999999" hidden="1">
      <c r="A975" s="196"/>
      <c r="B975" s="691" t="s">
        <v>410</v>
      </c>
      <c r="C975" s="717"/>
      <c r="D975" s="717"/>
      <c r="E975" s="717"/>
      <c r="F975" s="717"/>
      <c r="G975" s="296"/>
      <c r="H975" s="197"/>
      <c r="I975" s="196"/>
      <c r="J975" s="196"/>
      <c r="K975" s="196"/>
      <c r="L975" s="297"/>
      <c r="M975" s="716"/>
      <c r="N975" s="207"/>
      <c r="O975" s="208">
        <f t="shared" si="47"/>
        <v>0</v>
      </c>
      <c r="P975" s="196"/>
      <c r="Q975" s="196"/>
      <c r="R975" s="196"/>
      <c r="S975" s="196"/>
      <c r="Z975" s="324"/>
      <c r="AA975" s="318"/>
      <c r="AB975" s="324"/>
      <c r="AC975" s="324"/>
      <c r="AD975" s="324"/>
      <c r="AE975" s="324"/>
      <c r="AF975" s="324"/>
      <c r="AG975" s="324"/>
      <c r="AH975" s="324"/>
      <c r="AI975" s="324"/>
      <c r="AJ975" s="324"/>
      <c r="AK975" s="324"/>
      <c r="AL975" s="303"/>
    </row>
    <row r="976" spans="1:38" s="233" customFormat="1" ht="10.199999999999999" hidden="1">
      <c r="A976" s="196"/>
      <c r="B976" s="691" t="s">
        <v>411</v>
      </c>
      <c r="C976" s="717"/>
      <c r="D976" s="717"/>
      <c r="E976" s="717"/>
      <c r="F976" s="717"/>
      <c r="G976" s="296"/>
      <c r="H976" s="197"/>
      <c r="I976" s="196"/>
      <c r="J976" s="196"/>
      <c r="K976" s="196"/>
      <c r="L976" s="297"/>
      <c r="M976" s="716"/>
      <c r="N976" s="207"/>
      <c r="O976" s="208">
        <f t="shared" si="47"/>
        <v>0</v>
      </c>
      <c r="P976" s="196"/>
      <c r="Q976" s="196"/>
      <c r="R976" s="196"/>
      <c r="S976" s="196"/>
      <c r="Z976" s="324"/>
      <c r="AA976" s="318"/>
      <c r="AB976" s="324"/>
      <c r="AC976" s="324"/>
      <c r="AD976" s="324"/>
      <c r="AE976" s="324"/>
      <c r="AF976" s="324"/>
      <c r="AG976" s="324"/>
      <c r="AH976" s="324"/>
      <c r="AI976" s="324"/>
      <c r="AJ976" s="324"/>
      <c r="AK976" s="324"/>
      <c r="AL976" s="303"/>
    </row>
    <row r="977" spans="1:38" s="233" customFormat="1" ht="10.199999999999999" hidden="1">
      <c r="A977" s="196"/>
      <c r="B977" s="691" t="s">
        <v>221</v>
      </c>
      <c r="C977" s="717"/>
      <c r="D977" s="717"/>
      <c r="E977" s="717"/>
      <c r="F977" s="717"/>
      <c r="G977" s="296"/>
      <c r="H977" s="197"/>
      <c r="I977" s="196"/>
      <c r="J977" s="196"/>
      <c r="K977" s="196"/>
      <c r="L977" s="297"/>
      <c r="M977" s="716"/>
      <c r="N977" s="207"/>
      <c r="O977" s="208">
        <f t="shared" si="47"/>
        <v>0</v>
      </c>
      <c r="P977" s="196"/>
      <c r="Q977" s="196"/>
      <c r="R977" s="196"/>
      <c r="S977" s="196"/>
      <c r="Z977" s="324"/>
      <c r="AA977" s="318"/>
      <c r="AB977" s="324"/>
      <c r="AC977" s="324"/>
      <c r="AD977" s="324"/>
      <c r="AE977" s="324"/>
      <c r="AF977" s="324"/>
      <c r="AG977" s="324"/>
      <c r="AH977" s="324"/>
      <c r="AI977" s="324"/>
      <c r="AJ977" s="324"/>
      <c r="AK977" s="324"/>
      <c r="AL977" s="303"/>
    </row>
    <row r="978" spans="1:38" s="233" customFormat="1" ht="10.199999999999999" hidden="1">
      <c r="A978" s="196"/>
      <c r="B978" s="691" t="s">
        <v>138</v>
      </c>
      <c r="C978" s="717"/>
      <c r="D978" s="717"/>
      <c r="E978" s="717"/>
      <c r="F978" s="717"/>
      <c r="G978" s="296"/>
      <c r="H978" s="197"/>
      <c r="I978" s="196"/>
      <c r="J978" s="196"/>
      <c r="K978" s="196"/>
      <c r="L978" s="297"/>
      <c r="M978" s="716"/>
      <c r="N978" s="207"/>
      <c r="O978" s="208">
        <f t="shared" si="47"/>
        <v>0</v>
      </c>
      <c r="P978" s="196"/>
      <c r="Q978" s="196"/>
      <c r="R978" s="196"/>
      <c r="S978" s="196"/>
      <c r="Z978" s="324"/>
      <c r="AA978" s="318"/>
      <c r="AB978" s="324"/>
      <c r="AC978" s="324"/>
      <c r="AD978" s="324"/>
      <c r="AE978" s="324"/>
      <c r="AF978" s="324"/>
      <c r="AG978" s="324"/>
      <c r="AH978" s="324"/>
      <c r="AI978" s="324"/>
      <c r="AJ978" s="324"/>
      <c r="AK978" s="324"/>
      <c r="AL978" s="303"/>
    </row>
    <row r="979" spans="1:38" s="233" customFormat="1" ht="10.199999999999999" hidden="1">
      <c r="A979" s="196"/>
      <c r="B979" s="691" t="s">
        <v>139</v>
      </c>
      <c r="C979" s="717"/>
      <c r="D979" s="717"/>
      <c r="E979" s="717"/>
      <c r="F979" s="717"/>
      <c r="G979" s="296"/>
      <c r="H979" s="197"/>
      <c r="I979" s="196"/>
      <c r="J979" s="196"/>
      <c r="K979" s="196"/>
      <c r="L979" s="297"/>
      <c r="M979" s="716"/>
      <c r="N979" s="207"/>
      <c r="O979" s="208">
        <f t="shared" si="47"/>
        <v>0</v>
      </c>
      <c r="P979" s="196"/>
      <c r="Q979" s="196"/>
      <c r="R979" s="196"/>
      <c r="S979" s="196"/>
      <c r="Z979" s="324"/>
      <c r="AA979" s="318"/>
      <c r="AB979" s="324"/>
      <c r="AC979" s="324"/>
      <c r="AD979" s="324"/>
      <c r="AE979" s="324"/>
      <c r="AF979" s="324"/>
      <c r="AG979" s="324"/>
      <c r="AH979" s="324"/>
      <c r="AI979" s="324"/>
      <c r="AJ979" s="324"/>
      <c r="AK979" s="324"/>
      <c r="AL979" s="303"/>
    </row>
    <row r="980" spans="1:38" s="233" customFormat="1" ht="10.199999999999999" hidden="1">
      <c r="A980" s="196"/>
      <c r="B980" s="691" t="s">
        <v>269</v>
      </c>
      <c r="C980" s="717"/>
      <c r="D980" s="717"/>
      <c r="E980" s="717"/>
      <c r="F980" s="717"/>
      <c r="G980" s="296"/>
      <c r="H980" s="197"/>
      <c r="I980" s="196"/>
      <c r="J980" s="196"/>
      <c r="K980" s="196"/>
      <c r="L980" s="297"/>
      <c r="M980" s="716"/>
      <c r="N980" s="207"/>
      <c r="O980" s="208">
        <f t="shared" si="47"/>
        <v>0</v>
      </c>
      <c r="P980" s="196"/>
      <c r="Q980" s="196"/>
      <c r="R980" s="196"/>
      <c r="S980" s="196"/>
      <c r="Z980" s="324"/>
      <c r="AA980" s="318"/>
      <c r="AB980" s="324"/>
      <c r="AC980" s="324"/>
      <c r="AD980" s="324"/>
      <c r="AE980" s="324"/>
      <c r="AF980" s="324"/>
      <c r="AG980" s="324"/>
      <c r="AH980" s="324"/>
      <c r="AI980" s="324"/>
      <c r="AJ980" s="324"/>
      <c r="AK980" s="324"/>
      <c r="AL980" s="303"/>
    </row>
    <row r="981" spans="1:38" s="233" customFormat="1" ht="10.199999999999999" hidden="1">
      <c r="A981" s="196"/>
      <c r="B981" s="691" t="s">
        <v>366</v>
      </c>
      <c r="C981" s="717"/>
      <c r="D981" s="717"/>
      <c r="E981" s="717"/>
      <c r="F981" s="717"/>
      <c r="G981" s="296"/>
      <c r="H981" s="197"/>
      <c r="I981" s="196"/>
      <c r="J981" s="196"/>
      <c r="K981" s="196"/>
      <c r="L981" s="297"/>
      <c r="M981" s="716"/>
      <c r="N981" s="207"/>
      <c r="O981" s="208">
        <f t="shared" si="47"/>
        <v>0</v>
      </c>
      <c r="P981" s="196"/>
      <c r="Q981" s="196"/>
      <c r="R981" s="196"/>
      <c r="S981" s="196"/>
      <c r="Z981" s="324"/>
      <c r="AA981" s="318"/>
      <c r="AB981" s="324"/>
      <c r="AC981" s="324"/>
      <c r="AD981" s="324"/>
      <c r="AE981" s="324"/>
      <c r="AF981" s="324"/>
      <c r="AG981" s="324"/>
      <c r="AH981" s="324"/>
      <c r="AI981" s="324"/>
      <c r="AJ981" s="324"/>
      <c r="AK981" s="324"/>
      <c r="AL981" s="303"/>
    </row>
    <row r="982" spans="1:38" s="233" customFormat="1" ht="10.199999999999999" hidden="1">
      <c r="A982" s="196"/>
      <c r="B982" s="691" t="s">
        <v>465</v>
      </c>
      <c r="C982" s="717"/>
      <c r="D982" s="717"/>
      <c r="E982" s="717"/>
      <c r="F982" s="717"/>
      <c r="G982" s="296"/>
      <c r="H982" s="197"/>
      <c r="I982" s="196"/>
      <c r="J982" s="196"/>
      <c r="K982" s="196"/>
      <c r="L982" s="297"/>
      <c r="M982" s="716"/>
      <c r="N982" s="207"/>
      <c r="O982" s="208">
        <f t="shared" si="47"/>
        <v>0</v>
      </c>
      <c r="P982" s="196"/>
      <c r="Q982" s="196"/>
      <c r="R982" s="196"/>
      <c r="S982" s="196"/>
      <c r="Z982" s="324"/>
      <c r="AA982" s="318"/>
      <c r="AB982" s="324"/>
      <c r="AC982" s="324"/>
      <c r="AD982" s="324"/>
      <c r="AE982" s="324"/>
      <c r="AF982" s="324"/>
      <c r="AG982" s="324"/>
      <c r="AH982" s="324"/>
      <c r="AI982" s="324"/>
      <c r="AJ982" s="324"/>
      <c r="AK982" s="324"/>
      <c r="AL982" s="303"/>
    </row>
    <row r="983" spans="1:38">
      <c r="A983" s="192"/>
      <c r="B983" s="192"/>
      <c r="C983" s="258"/>
      <c r="D983" s="192"/>
      <c r="E983" s="192"/>
      <c r="F983" s="192"/>
      <c r="G983" s="192"/>
      <c r="H983" s="192"/>
      <c r="I983" s="192"/>
      <c r="J983" s="192"/>
      <c r="K983" s="192"/>
      <c r="L983" s="192"/>
      <c r="M983" s="192"/>
      <c r="N983" s="192"/>
      <c r="O983" s="192"/>
      <c r="P983" s="192"/>
      <c r="Q983" s="192"/>
      <c r="R983" s="192"/>
      <c r="S983" s="192"/>
    </row>
    <row r="984" spans="1:38" ht="21" customHeight="1">
      <c r="A984" s="192"/>
      <c r="B984" s="961" t="s">
        <v>31</v>
      </c>
      <c r="C984" s="883"/>
      <c r="D984" s="884"/>
      <c r="E984" s="884"/>
      <c r="F984" s="884"/>
      <c r="G984" s="884"/>
      <c r="H984" s="884"/>
      <c r="I984" s="884"/>
      <c r="J984" s="884"/>
      <c r="K984" s="884"/>
      <c r="L984" s="884"/>
      <c r="M984" s="884"/>
      <c r="N984" s="884"/>
      <c r="O984" s="884"/>
      <c r="P984" s="194"/>
      <c r="Q984" s="194"/>
      <c r="R984" s="192"/>
      <c r="S984" s="192"/>
    </row>
    <row r="985" spans="1:38" ht="3" customHeight="1">
      <c r="A985" s="192"/>
      <c r="B985" s="192"/>
      <c r="C985" s="258"/>
      <c r="D985" s="192"/>
      <c r="E985" s="192"/>
      <c r="F985" s="192"/>
      <c r="G985" s="192"/>
      <c r="H985" s="192"/>
      <c r="I985" s="192"/>
      <c r="J985" s="192"/>
      <c r="K985" s="192"/>
      <c r="L985" s="192"/>
      <c r="M985" s="192"/>
      <c r="N985" s="192"/>
      <c r="O985" s="192"/>
      <c r="P985" s="194"/>
      <c r="Q985" s="194"/>
      <c r="R985" s="192"/>
      <c r="S985" s="192"/>
    </row>
    <row r="986" spans="1:38" ht="12" customHeight="1">
      <c r="A986" s="192"/>
      <c r="B986" s="885" t="s">
        <v>324</v>
      </c>
      <c r="C986" s="886" t="s">
        <v>47</v>
      </c>
      <c r="D986" s="886" t="s">
        <v>119</v>
      </c>
      <c r="E986" s="886" t="s">
        <v>464</v>
      </c>
      <c r="F986" s="886" t="s">
        <v>496</v>
      </c>
      <c r="G986" s="886"/>
      <c r="H986" s="885"/>
      <c r="I986" s="886"/>
      <c r="J986" s="886"/>
      <c r="K986" s="884"/>
      <c r="L986" s="887" t="s">
        <v>442</v>
      </c>
      <c r="M986" s="886" t="s">
        <v>349</v>
      </c>
      <c r="N986" s="886" t="s">
        <v>166</v>
      </c>
      <c r="O986" s="886" t="s">
        <v>520</v>
      </c>
      <c r="P986" s="194"/>
      <c r="Q986" s="194"/>
      <c r="R986" s="192"/>
      <c r="S986" s="192"/>
    </row>
    <row r="987" spans="1:38" ht="12" customHeight="1">
      <c r="A987" s="192"/>
      <c r="B987" s="885"/>
      <c r="C987" s="886" t="s">
        <v>206</v>
      </c>
      <c r="D987" s="886" t="s">
        <v>552</v>
      </c>
      <c r="E987" s="886" t="s">
        <v>181</v>
      </c>
      <c r="F987" s="886" t="s">
        <v>372</v>
      </c>
      <c r="G987" s="886"/>
      <c r="H987" s="885"/>
      <c r="I987" s="886"/>
      <c r="J987" s="886"/>
      <c r="K987" s="884"/>
      <c r="L987" s="886" t="s">
        <v>228</v>
      </c>
      <c r="M987" s="886"/>
      <c r="N987" s="886" t="s">
        <v>621</v>
      </c>
      <c r="O987" s="886"/>
      <c r="P987" s="194"/>
      <c r="Q987" s="194"/>
      <c r="R987" s="192"/>
      <c r="S987" s="192"/>
    </row>
    <row r="988" spans="1:38" ht="4.95" customHeight="1">
      <c r="A988" s="192"/>
      <c r="B988" s="196"/>
      <c r="C988" s="197"/>
      <c r="D988" s="197"/>
      <c r="E988" s="197"/>
      <c r="F988" s="197"/>
      <c r="G988" s="197"/>
      <c r="H988" s="195"/>
      <c r="I988" s="197"/>
      <c r="J988" s="197"/>
      <c r="K988" s="192"/>
      <c r="L988" s="192"/>
      <c r="M988" s="192"/>
      <c r="N988" s="192"/>
      <c r="O988" s="192"/>
      <c r="P988" s="192"/>
      <c r="Q988" s="192"/>
      <c r="R988" s="192"/>
      <c r="S988" s="192"/>
    </row>
    <row r="989" spans="1:38" ht="10.95" customHeight="1">
      <c r="A989" s="192"/>
      <c r="B989" s="646"/>
      <c r="C989" s="652"/>
      <c r="D989" s="653"/>
      <c r="E989" s="654"/>
      <c r="F989" s="677"/>
      <c r="G989" s="210"/>
      <c r="H989" s="198"/>
      <c r="I989" s="198"/>
      <c r="J989" s="241"/>
      <c r="K989" s="211"/>
      <c r="L989" s="219" t="str">
        <f>IF(F989="","",Nutzung!$G$29)</f>
        <v/>
      </c>
      <c r="M989" s="218" t="str">
        <f>IF(D989="","",AB989)</f>
        <v/>
      </c>
      <c r="N989" s="214">
        <f>IF(F989=0,0,SUM(N990:N1001))</f>
        <v>0</v>
      </c>
      <c r="O989" s="215" t="str">
        <f>IF(N989/$O$1370=0,"",N989/$O$1370)</f>
        <v/>
      </c>
      <c r="P989" s="198"/>
      <c r="Q989" s="198"/>
      <c r="R989" s="198"/>
      <c r="S989" s="192"/>
      <c r="T989" s="182">
        <f>D989*E989*F989</f>
        <v>0</v>
      </c>
      <c r="AA989" s="318">
        <f>IF(D989="",0,1)</f>
        <v>0</v>
      </c>
      <c r="AB989" s="318">
        <f>AB970+AA989</f>
        <v>0</v>
      </c>
    </row>
    <row r="990" spans="1:38" s="234" customFormat="1" ht="10.199999999999999" hidden="1">
      <c r="A990" s="199"/>
      <c r="B990" s="47" t="s">
        <v>49</v>
      </c>
      <c r="C990" s="20"/>
      <c r="D990" s="20"/>
      <c r="E990" s="20"/>
      <c r="F990" s="683"/>
      <c r="G990" s="245"/>
      <c r="H990" s="739" t="str">
        <f>IF($L$989&lt;Nutzung!$G$29,Nutzung!$G$29,$L$989)</f>
        <v/>
      </c>
      <c r="I990" s="740">
        <f>Klima!$C136</f>
        <v>0</v>
      </c>
      <c r="J990" s="739">
        <v>31</v>
      </c>
      <c r="K990" s="265">
        <f>IF(L989="",Nutzung!$G$29,Bauteile!L989)</f>
        <v>0</v>
      </c>
      <c r="L990" s="769"/>
      <c r="M990" s="548"/>
      <c r="N990" s="269">
        <f>IF($F$989="",0,((Nutzung!$G$29+Regelung-1)+(($H$990-Nutzung!$G$29)/4)-I990)*J990*$D$989*$E$989*$F$989*24/($O$990*1000))</f>
        <v>0</v>
      </c>
      <c r="O990" s="264">
        <f>EBF!$F$39</f>
        <v>1.0000000000000001E-31</v>
      </c>
      <c r="P990" s="201"/>
      <c r="Q990" s="201"/>
      <c r="R990" s="201"/>
      <c r="S990" s="199"/>
      <c r="Z990" s="321"/>
      <c r="AA990" s="318"/>
      <c r="AB990" s="321"/>
      <c r="AC990" s="321"/>
      <c r="AD990" s="321"/>
      <c r="AE990" s="321"/>
      <c r="AF990" s="321"/>
      <c r="AG990" s="321"/>
      <c r="AH990" s="321"/>
      <c r="AI990" s="321"/>
      <c r="AJ990" s="321"/>
      <c r="AK990" s="321"/>
      <c r="AL990" s="300"/>
    </row>
    <row r="991" spans="1:38" s="234" customFormat="1" ht="10.199999999999999" hidden="1">
      <c r="A991" s="199"/>
      <c r="B991" s="47" t="s">
        <v>554</v>
      </c>
      <c r="C991" s="20"/>
      <c r="D991" s="20"/>
      <c r="E991" s="20"/>
      <c r="F991" s="683"/>
      <c r="G991" s="245"/>
      <c r="H991" s="739"/>
      <c r="I991" s="740">
        <f>Klima!$C137</f>
        <v>0</v>
      </c>
      <c r="J991" s="739">
        <v>28</v>
      </c>
      <c r="K991" s="212"/>
      <c r="L991" s="770"/>
      <c r="M991" s="548"/>
      <c r="N991" s="269">
        <f>IF($F$989="",0,((Nutzung!$G$29+Regelung-1)+(($H$990-Nutzung!$G$29)/4)-I991)*J991*$D$989*$E$989*$F$989*24/($O$990*1000))</f>
        <v>0</v>
      </c>
      <c r="O991" s="253"/>
      <c r="P991" s="201"/>
      <c r="Q991" s="201"/>
      <c r="R991" s="201"/>
      <c r="S991" s="199"/>
      <c r="Z991" s="321"/>
      <c r="AA991" s="318"/>
      <c r="AB991" s="321"/>
      <c r="AC991" s="321"/>
      <c r="AD991" s="321"/>
      <c r="AE991" s="321"/>
      <c r="AF991" s="321"/>
      <c r="AG991" s="321"/>
      <c r="AH991" s="321"/>
      <c r="AI991" s="321"/>
      <c r="AJ991" s="321"/>
      <c r="AK991" s="321"/>
      <c r="AL991" s="300"/>
    </row>
    <row r="992" spans="1:38" s="234" customFormat="1" ht="10.199999999999999" hidden="1">
      <c r="A992" s="199"/>
      <c r="B992" s="47" t="s">
        <v>306</v>
      </c>
      <c r="C992" s="20"/>
      <c r="D992" s="20"/>
      <c r="E992" s="20"/>
      <c r="F992" s="683"/>
      <c r="G992" s="245"/>
      <c r="H992" s="739"/>
      <c r="I992" s="740">
        <f>Klima!$C138</f>
        <v>0</v>
      </c>
      <c r="J992" s="739">
        <v>31</v>
      </c>
      <c r="K992" s="212"/>
      <c r="L992" s="770"/>
      <c r="M992" s="548"/>
      <c r="N992" s="269">
        <f>IF($F$989="",0,((Nutzung!$G$29+Regelung-1)+(($H$990-Nutzung!$G$29)/4)-I992)*J992*$D$989*$E$989*$F$989*24/($O$990*1000))</f>
        <v>0</v>
      </c>
      <c r="O992" s="253"/>
      <c r="P992" s="201"/>
      <c r="Q992" s="201"/>
      <c r="R992" s="201"/>
      <c r="S992" s="199"/>
      <c r="Z992" s="321"/>
      <c r="AA992" s="318"/>
      <c r="AB992" s="321"/>
      <c r="AC992" s="321"/>
      <c r="AD992" s="321"/>
      <c r="AE992" s="321"/>
      <c r="AF992" s="321"/>
      <c r="AG992" s="321"/>
      <c r="AH992" s="321"/>
      <c r="AI992" s="321"/>
      <c r="AJ992" s="321"/>
      <c r="AK992" s="321"/>
      <c r="AL992" s="300"/>
    </row>
    <row r="993" spans="1:38" s="234" customFormat="1" ht="10.199999999999999" hidden="1">
      <c r="A993" s="199"/>
      <c r="B993" s="47" t="s">
        <v>409</v>
      </c>
      <c r="C993" s="20"/>
      <c r="D993" s="20"/>
      <c r="E993" s="20"/>
      <c r="F993" s="683"/>
      <c r="G993" s="245"/>
      <c r="H993" s="739"/>
      <c r="I993" s="740">
        <f>Klima!$C139</f>
        <v>0</v>
      </c>
      <c r="J993" s="739">
        <v>30</v>
      </c>
      <c r="K993" s="212"/>
      <c r="L993" s="770"/>
      <c r="M993" s="548"/>
      <c r="N993" s="269">
        <f>IF($F$989="",0,((Nutzung!$G$29+Regelung-1)+(($H$990-Nutzung!$G$29)/4)-I993)*J993*$D$989*$E$989*$F$989*24/($O$990*1000))</f>
        <v>0</v>
      </c>
      <c r="O993" s="253"/>
      <c r="P993" s="201"/>
      <c r="Q993" s="201"/>
      <c r="R993" s="201"/>
      <c r="S993" s="199"/>
      <c r="Z993" s="321"/>
      <c r="AA993" s="318"/>
      <c r="AB993" s="321"/>
      <c r="AC993" s="321"/>
      <c r="AD993" s="321"/>
      <c r="AE993" s="321"/>
      <c r="AF993" s="321"/>
      <c r="AG993" s="321"/>
      <c r="AH993" s="321"/>
      <c r="AI993" s="321"/>
      <c r="AJ993" s="321"/>
      <c r="AK993" s="321"/>
      <c r="AL993" s="300"/>
    </row>
    <row r="994" spans="1:38" s="234" customFormat="1" ht="10.199999999999999" hidden="1">
      <c r="A994" s="199"/>
      <c r="B994" s="47" t="s">
        <v>410</v>
      </c>
      <c r="C994" s="20"/>
      <c r="D994" s="20"/>
      <c r="E994" s="20"/>
      <c r="F994" s="683"/>
      <c r="G994" s="245"/>
      <c r="H994" s="739"/>
      <c r="I994" s="740">
        <f>Klima!$C140</f>
        <v>0</v>
      </c>
      <c r="J994" s="739">
        <v>31</v>
      </c>
      <c r="K994" s="212"/>
      <c r="L994" s="770"/>
      <c r="M994" s="548"/>
      <c r="N994" s="269">
        <f>IF($F$989="",0,((Nutzung!$G$29+Regelung-1)+(($H$990-Nutzung!$G$29)/4)-I994)*J994*$D$989*$E$989*$F$989*24/($O$990*1000))</f>
        <v>0</v>
      </c>
      <c r="O994" s="253"/>
      <c r="P994" s="201"/>
      <c r="Q994" s="201"/>
      <c r="R994" s="201"/>
      <c r="S994" s="199"/>
      <c r="Z994" s="321"/>
      <c r="AA994" s="318"/>
      <c r="AB994" s="321"/>
      <c r="AC994" s="321"/>
      <c r="AD994" s="321"/>
      <c r="AE994" s="321"/>
      <c r="AF994" s="321"/>
      <c r="AG994" s="321"/>
      <c r="AH994" s="321"/>
      <c r="AI994" s="321"/>
      <c r="AJ994" s="321"/>
      <c r="AK994" s="321"/>
      <c r="AL994" s="300"/>
    </row>
    <row r="995" spans="1:38" s="234" customFormat="1" ht="10.199999999999999" hidden="1">
      <c r="A995" s="199"/>
      <c r="B995" s="47" t="s">
        <v>411</v>
      </c>
      <c r="C995" s="20"/>
      <c r="D995" s="20"/>
      <c r="E995" s="20"/>
      <c r="F995" s="683"/>
      <c r="G995" s="245"/>
      <c r="H995" s="739"/>
      <c r="I995" s="740">
        <f>Klima!$C141</f>
        <v>0</v>
      </c>
      <c r="J995" s="739">
        <v>30</v>
      </c>
      <c r="K995" s="212"/>
      <c r="L995" s="770"/>
      <c r="M995" s="548"/>
      <c r="N995" s="269">
        <f>IF($F$989="",0,((Nutzung!$G$29+Regelung-1)+(($H$990-Nutzung!$G$29)/4)-I995)*J995*$D$989*$E$989*$F$989*24/($O$990*1000))</f>
        <v>0</v>
      </c>
      <c r="O995" s="253"/>
      <c r="P995" s="201"/>
      <c r="Q995" s="201"/>
      <c r="R995" s="201"/>
      <c r="S995" s="199"/>
      <c r="Z995" s="321"/>
      <c r="AA995" s="318"/>
      <c r="AB995" s="321"/>
      <c r="AC995" s="321"/>
      <c r="AD995" s="321"/>
      <c r="AE995" s="321"/>
      <c r="AF995" s="321"/>
      <c r="AG995" s="321"/>
      <c r="AH995" s="321"/>
      <c r="AI995" s="321"/>
      <c r="AJ995" s="321"/>
      <c r="AK995" s="321"/>
      <c r="AL995" s="300"/>
    </row>
    <row r="996" spans="1:38" s="234" customFormat="1" ht="10.199999999999999" hidden="1">
      <c r="A996" s="199"/>
      <c r="B996" s="47" t="s">
        <v>221</v>
      </c>
      <c r="C996" s="20"/>
      <c r="D996" s="20"/>
      <c r="E996" s="20"/>
      <c r="F996" s="683"/>
      <c r="G996" s="245"/>
      <c r="H996" s="739"/>
      <c r="I996" s="740">
        <f>Klima!$C142</f>
        <v>0</v>
      </c>
      <c r="J996" s="739">
        <v>31</v>
      </c>
      <c r="K996" s="212"/>
      <c r="L996" s="770"/>
      <c r="M996" s="548"/>
      <c r="N996" s="269">
        <f>IF($F$989="",0,((Nutzung!$G$29+Regelung-1)+(($H$990-Nutzung!$G$29)/4)-I996)*J996*$D$989*$E$989*$F$989*24/($O$990*1000))</f>
        <v>0</v>
      </c>
      <c r="O996" s="253"/>
      <c r="P996" s="201"/>
      <c r="Q996" s="201"/>
      <c r="R996" s="201"/>
      <c r="S996" s="199"/>
      <c r="Z996" s="321"/>
      <c r="AA996" s="318"/>
      <c r="AB996" s="321"/>
      <c r="AC996" s="321"/>
      <c r="AD996" s="321"/>
      <c r="AE996" s="321"/>
      <c r="AF996" s="321"/>
      <c r="AG996" s="321"/>
      <c r="AH996" s="321"/>
      <c r="AI996" s="321"/>
      <c r="AJ996" s="321"/>
      <c r="AK996" s="321"/>
      <c r="AL996" s="300"/>
    </row>
    <row r="997" spans="1:38" s="234" customFormat="1" ht="10.199999999999999" hidden="1">
      <c r="A997" s="199"/>
      <c r="B997" s="47" t="s">
        <v>138</v>
      </c>
      <c r="C997" s="20"/>
      <c r="D997" s="20"/>
      <c r="E997" s="20"/>
      <c r="F997" s="683"/>
      <c r="G997" s="245"/>
      <c r="H997" s="739"/>
      <c r="I997" s="740">
        <f>Klima!$C143</f>
        <v>0</v>
      </c>
      <c r="J997" s="739">
        <v>31</v>
      </c>
      <c r="K997" s="212"/>
      <c r="L997" s="770"/>
      <c r="M997" s="548"/>
      <c r="N997" s="269">
        <f>IF($F$989="",0,((Nutzung!$G$29+Regelung-1)+(($H$990-Nutzung!$G$29)/4)-I997)*J997*$D$989*$E$989*$F$989*24/($O$990*1000))</f>
        <v>0</v>
      </c>
      <c r="O997" s="253"/>
      <c r="P997" s="201"/>
      <c r="Q997" s="201"/>
      <c r="R997" s="201"/>
      <c r="S997" s="199"/>
      <c r="Z997" s="321"/>
      <c r="AA997" s="318"/>
      <c r="AB997" s="321"/>
      <c r="AC997" s="321"/>
      <c r="AD997" s="321"/>
      <c r="AE997" s="321"/>
      <c r="AF997" s="321"/>
      <c r="AG997" s="321"/>
      <c r="AH997" s="321"/>
      <c r="AI997" s="321"/>
      <c r="AJ997" s="321"/>
      <c r="AK997" s="321"/>
      <c r="AL997" s="300"/>
    </row>
    <row r="998" spans="1:38" s="234" customFormat="1" ht="10.199999999999999" hidden="1">
      <c r="A998" s="199"/>
      <c r="B998" s="47" t="s">
        <v>139</v>
      </c>
      <c r="C998" s="20"/>
      <c r="D998" s="20"/>
      <c r="E998" s="20"/>
      <c r="F998" s="683"/>
      <c r="G998" s="245"/>
      <c r="H998" s="739"/>
      <c r="I998" s="740">
        <f>Klima!$C144</f>
        <v>0</v>
      </c>
      <c r="J998" s="739">
        <v>30</v>
      </c>
      <c r="K998" s="212"/>
      <c r="L998" s="770"/>
      <c r="M998" s="548"/>
      <c r="N998" s="269">
        <f>IF($F$989="",0,((Nutzung!$G$29+Regelung-1)+(($H$990-Nutzung!$G$29)/4)-I998)*J998*$D$989*$E$989*$F$989*24/($O$990*1000))</f>
        <v>0</v>
      </c>
      <c r="O998" s="253"/>
      <c r="P998" s="201"/>
      <c r="Q998" s="201"/>
      <c r="R998" s="201"/>
      <c r="S998" s="199"/>
      <c r="Z998" s="321"/>
      <c r="AA998" s="318"/>
      <c r="AB998" s="321"/>
      <c r="AC998" s="321"/>
      <c r="AD998" s="321"/>
      <c r="AE998" s="321"/>
      <c r="AF998" s="321"/>
      <c r="AG998" s="321"/>
      <c r="AH998" s="321"/>
      <c r="AI998" s="321"/>
      <c r="AJ998" s="321"/>
      <c r="AK998" s="321"/>
      <c r="AL998" s="300"/>
    </row>
    <row r="999" spans="1:38" s="234" customFormat="1" ht="10.199999999999999" hidden="1">
      <c r="A999" s="199"/>
      <c r="B999" s="47" t="s">
        <v>269</v>
      </c>
      <c r="C999" s="20"/>
      <c r="D999" s="20"/>
      <c r="E999" s="20"/>
      <c r="F999" s="683"/>
      <c r="G999" s="245"/>
      <c r="H999" s="739"/>
      <c r="I999" s="740">
        <f>Klima!$C145</f>
        <v>0</v>
      </c>
      <c r="J999" s="739">
        <v>31</v>
      </c>
      <c r="K999" s="212"/>
      <c r="L999" s="770"/>
      <c r="M999" s="548"/>
      <c r="N999" s="269">
        <f>IF($F$989="",0,((Nutzung!$G$29+Regelung-1)+(($H$990-Nutzung!$G$29)/4)-I999)*J999*$D$989*$E$989*$F$989*24/($O$990*1000))</f>
        <v>0</v>
      </c>
      <c r="O999" s="253"/>
      <c r="P999" s="201"/>
      <c r="Q999" s="201"/>
      <c r="R999" s="201"/>
      <c r="S999" s="199"/>
      <c r="Z999" s="321"/>
      <c r="AA999" s="318"/>
      <c r="AB999" s="321"/>
      <c r="AC999" s="321"/>
      <c r="AD999" s="321"/>
      <c r="AE999" s="321"/>
      <c r="AF999" s="321"/>
      <c r="AG999" s="321"/>
      <c r="AH999" s="321"/>
      <c r="AI999" s="321"/>
      <c r="AJ999" s="321"/>
      <c r="AK999" s="321"/>
      <c r="AL999" s="300"/>
    </row>
    <row r="1000" spans="1:38" s="234" customFormat="1" ht="10.199999999999999" hidden="1">
      <c r="A1000" s="199"/>
      <c r="B1000" s="47" t="s">
        <v>366</v>
      </c>
      <c r="C1000" s="20"/>
      <c r="D1000" s="20"/>
      <c r="E1000" s="20"/>
      <c r="F1000" s="683"/>
      <c r="G1000" s="245"/>
      <c r="H1000" s="739"/>
      <c r="I1000" s="740">
        <f>Klima!$C146</f>
        <v>0</v>
      </c>
      <c r="J1000" s="739">
        <v>30</v>
      </c>
      <c r="K1000" s="212"/>
      <c r="L1000" s="770"/>
      <c r="M1000" s="548"/>
      <c r="N1000" s="269">
        <f>IF($F$989="",0,((Nutzung!$G$29+Regelung-1)+(($H$990-Nutzung!$G$29)/4)-I1000)*J1000*$D$989*$E$989*$F$989*24/($O$990*1000))</f>
        <v>0</v>
      </c>
      <c r="O1000" s="253"/>
      <c r="P1000" s="201"/>
      <c r="Q1000" s="201"/>
      <c r="R1000" s="201"/>
      <c r="S1000" s="199"/>
      <c r="Z1000" s="321"/>
      <c r="AA1000" s="318"/>
      <c r="AB1000" s="321"/>
      <c r="AC1000" s="321"/>
      <c r="AD1000" s="321"/>
      <c r="AE1000" s="321"/>
      <c r="AF1000" s="321"/>
      <c r="AG1000" s="321"/>
      <c r="AH1000" s="321"/>
      <c r="AI1000" s="321"/>
      <c r="AJ1000" s="321"/>
      <c r="AK1000" s="321"/>
      <c r="AL1000" s="300"/>
    </row>
    <row r="1001" spans="1:38" s="234" customFormat="1" ht="10.199999999999999" hidden="1">
      <c r="A1001" s="199"/>
      <c r="B1001" s="47" t="s">
        <v>465</v>
      </c>
      <c r="C1001" s="20"/>
      <c r="D1001" s="20"/>
      <c r="E1001" s="20"/>
      <c r="F1001" s="683"/>
      <c r="G1001" s="245"/>
      <c r="H1001" s="739"/>
      <c r="I1001" s="740">
        <f>Klima!$C147</f>
        <v>0</v>
      </c>
      <c r="J1001" s="739">
        <v>31</v>
      </c>
      <c r="K1001" s="212"/>
      <c r="L1001" s="770"/>
      <c r="M1001" s="548"/>
      <c r="N1001" s="269">
        <f>IF($F$989="",0,((Nutzung!$G$29+Regelung-1)+(($H$990-Nutzung!$G$29)/4)-I1001)*J1001*$D$989*$E$989*$F$989*24/($O$990*1000))</f>
        <v>0</v>
      </c>
      <c r="O1001" s="253"/>
      <c r="P1001" s="201"/>
      <c r="Q1001" s="201"/>
      <c r="R1001" s="201"/>
      <c r="S1001" s="199"/>
      <c r="Z1001" s="321"/>
      <c r="AA1001" s="318"/>
      <c r="AB1001" s="321"/>
      <c r="AC1001" s="321"/>
      <c r="AD1001" s="321"/>
      <c r="AE1001" s="321"/>
      <c r="AF1001" s="321"/>
      <c r="AG1001" s="321"/>
      <c r="AH1001" s="321"/>
      <c r="AI1001" s="321"/>
      <c r="AJ1001" s="321"/>
      <c r="AK1001" s="321"/>
      <c r="AL1001" s="300"/>
    </row>
    <row r="1002" spans="1:38" ht="10.95" customHeight="1">
      <c r="A1002" s="192"/>
      <c r="B1002" s="648"/>
      <c r="C1002" s="656"/>
      <c r="D1002" s="657"/>
      <c r="E1002" s="658"/>
      <c r="F1002" s="676"/>
      <c r="G1002" s="210"/>
      <c r="H1002" s="198"/>
      <c r="I1002" s="198"/>
      <c r="J1002" s="241"/>
      <c r="K1002" s="211"/>
      <c r="L1002" s="220" t="str">
        <f>IF(F1002="","",Nutzung!$G$29)</f>
        <v/>
      </c>
      <c r="M1002" s="771" t="str">
        <f>IF(D1002="","",AB1002)</f>
        <v/>
      </c>
      <c r="N1002" s="214">
        <f>IF(F1002=0,0,SUM(N1003:N1014))</f>
        <v>0</v>
      </c>
      <c r="O1002" s="215" t="str">
        <f>IF(N1002/$O$1370=0,"",N1002/$O$1370)</f>
        <v/>
      </c>
      <c r="P1002" s="198"/>
      <c r="Q1002" s="198"/>
      <c r="R1002" s="198"/>
      <c r="S1002" s="192"/>
      <c r="T1002" s="182">
        <f>D1002*E1002*F1002</f>
        <v>0</v>
      </c>
      <c r="AA1002" s="318">
        <f>IF(D1002="",0,1)</f>
        <v>0</v>
      </c>
      <c r="AB1002" s="318">
        <f>AB989+AA1002</f>
        <v>0</v>
      </c>
    </row>
    <row r="1003" spans="1:38" hidden="1">
      <c r="A1003" s="192"/>
      <c r="B1003" s="47" t="s">
        <v>49</v>
      </c>
      <c r="C1003" s="14"/>
      <c r="D1003" s="681"/>
      <c r="E1003" s="745"/>
      <c r="F1003" s="685"/>
      <c r="G1003" s="266"/>
      <c r="H1003" s="739" t="str">
        <f>IF($L$1002&lt;Nutzung!$G$29,Nutzung!$G$29,$L$1002)</f>
        <v/>
      </c>
      <c r="I1003" s="264"/>
      <c r="J1003" s="192"/>
      <c r="K1003" s="265">
        <f>IF(L1002="",Nutzung!$G$29,Bauteile!L1002)</f>
        <v>0</v>
      </c>
      <c r="L1003" s="769"/>
      <c r="M1003" s="548"/>
      <c r="N1003" s="270">
        <f>IF($F$1002="",0,((Nutzung!$G$29+Regelung-1)+(($H$1003-Nutzung!$G$29)/4)-I990)*J990*$D$1002*$E$1002*$F$1002*24/($O$990*1000))</f>
        <v>0</v>
      </c>
      <c r="O1003" s="252"/>
      <c r="P1003" s="192"/>
      <c r="Q1003" s="192"/>
      <c r="R1003" s="192"/>
      <c r="S1003" s="192"/>
    </row>
    <row r="1004" spans="1:38" hidden="1">
      <c r="A1004" s="192"/>
      <c r="B1004" s="47" t="s">
        <v>554</v>
      </c>
      <c r="C1004" s="26"/>
      <c r="D1004" s="26"/>
      <c r="E1004" s="26"/>
      <c r="F1004" s="685"/>
      <c r="G1004" s="266"/>
      <c r="H1004" s="267"/>
      <c r="I1004" s="264"/>
      <c r="J1004" s="192"/>
      <c r="K1004" s="211"/>
      <c r="L1004" s="770"/>
      <c r="M1004" s="548"/>
      <c r="N1004" s="270">
        <f>IF($F$1002="",0,((Nutzung!$G$29+Regelung-1)+(($H$1003-Nutzung!$G$29)/4)-I991)*J991*$D$1002*$E$1002*$F$1002*24/($O$990*1000))</f>
        <v>0</v>
      </c>
      <c r="O1004" s="252"/>
      <c r="P1004" s="192"/>
      <c r="Q1004" s="192"/>
      <c r="R1004" s="192"/>
      <c r="S1004" s="192"/>
    </row>
    <row r="1005" spans="1:38" hidden="1">
      <c r="A1005" s="192"/>
      <c r="B1005" s="47" t="s">
        <v>306</v>
      </c>
      <c r="C1005" s="26"/>
      <c r="D1005" s="26"/>
      <c r="E1005" s="26"/>
      <c r="F1005" s="685"/>
      <c r="G1005" s="266"/>
      <c r="H1005" s="267"/>
      <c r="I1005" s="264"/>
      <c r="J1005" s="192"/>
      <c r="K1005" s="211"/>
      <c r="L1005" s="770"/>
      <c r="M1005" s="548"/>
      <c r="N1005" s="270">
        <f>IF($F$1002="",0,((Nutzung!$G$29+Regelung-1)+(($H$1003-Nutzung!$G$29)/4)-I992)*J992*$D$1002*$E$1002*$F$1002*24/($O$990*1000))</f>
        <v>0</v>
      </c>
      <c r="O1005" s="252"/>
      <c r="P1005" s="192"/>
      <c r="Q1005" s="192"/>
      <c r="R1005" s="192"/>
      <c r="S1005" s="192"/>
    </row>
    <row r="1006" spans="1:38" hidden="1">
      <c r="A1006" s="192"/>
      <c r="B1006" s="47" t="s">
        <v>409</v>
      </c>
      <c r="C1006" s="26"/>
      <c r="D1006" s="26"/>
      <c r="E1006" s="26"/>
      <c r="F1006" s="685"/>
      <c r="G1006" s="266"/>
      <c r="H1006" s="267"/>
      <c r="I1006" s="264"/>
      <c r="J1006" s="192"/>
      <c r="K1006" s="211"/>
      <c r="L1006" s="770"/>
      <c r="M1006" s="548"/>
      <c r="N1006" s="270">
        <f>IF($F$1002="",0,((Nutzung!$G$29+Regelung-1)+(($H$1003-Nutzung!$G$29)/4)-I993)*J993*$D$1002*$E$1002*$F$1002*24/($O$990*1000))</f>
        <v>0</v>
      </c>
      <c r="O1006" s="252"/>
      <c r="P1006" s="192"/>
      <c r="Q1006" s="192"/>
      <c r="R1006" s="192"/>
      <c r="S1006" s="192"/>
    </row>
    <row r="1007" spans="1:38" hidden="1">
      <c r="A1007" s="192"/>
      <c r="B1007" s="47" t="s">
        <v>410</v>
      </c>
      <c r="C1007" s="26"/>
      <c r="D1007" s="26"/>
      <c r="E1007" s="26"/>
      <c r="F1007" s="685"/>
      <c r="G1007" s="266"/>
      <c r="H1007" s="267"/>
      <c r="I1007" s="264"/>
      <c r="J1007" s="192"/>
      <c r="K1007" s="211"/>
      <c r="L1007" s="770"/>
      <c r="M1007" s="548"/>
      <c r="N1007" s="270">
        <f>IF($F$1002="",0,((Nutzung!$G$29+Regelung-1)+(($H$1003-Nutzung!$G$29)/4)-I994)*J994*$D$1002*$E$1002*$F$1002*24/($O$990*1000))</f>
        <v>0</v>
      </c>
      <c r="O1007" s="252"/>
      <c r="P1007" s="192"/>
      <c r="Q1007" s="192"/>
      <c r="R1007" s="192"/>
      <c r="S1007" s="192"/>
    </row>
    <row r="1008" spans="1:38" hidden="1">
      <c r="A1008" s="192"/>
      <c r="B1008" s="47" t="s">
        <v>411</v>
      </c>
      <c r="C1008" s="26"/>
      <c r="D1008" s="26"/>
      <c r="E1008" s="26"/>
      <c r="F1008" s="685"/>
      <c r="G1008" s="266"/>
      <c r="H1008" s="267"/>
      <c r="I1008" s="264"/>
      <c r="J1008" s="192"/>
      <c r="K1008" s="211"/>
      <c r="L1008" s="770"/>
      <c r="M1008" s="548"/>
      <c r="N1008" s="270">
        <f>IF($F$1002="",0,((Nutzung!$G$29+Regelung-1)+(($H$1003-Nutzung!$G$29)/4)-I995)*J995*$D$1002*$E$1002*$F$1002*24/($O$990*1000))</f>
        <v>0</v>
      </c>
      <c r="O1008" s="252"/>
      <c r="P1008" s="192"/>
      <c r="Q1008" s="192"/>
      <c r="R1008" s="192"/>
      <c r="S1008" s="192"/>
    </row>
    <row r="1009" spans="1:28" hidden="1">
      <c r="A1009" s="192"/>
      <c r="B1009" s="47" t="s">
        <v>221</v>
      </c>
      <c r="C1009" s="26"/>
      <c r="D1009" s="26"/>
      <c r="E1009" s="26"/>
      <c r="F1009" s="685"/>
      <c r="G1009" s="266"/>
      <c r="H1009" s="267"/>
      <c r="I1009" s="264"/>
      <c r="J1009" s="192"/>
      <c r="K1009" s="211"/>
      <c r="L1009" s="770"/>
      <c r="M1009" s="548"/>
      <c r="N1009" s="270">
        <f>IF($F$1002="",0,((Nutzung!$G$29+Regelung-1)+(($H$1003-Nutzung!$G$29)/4)-I996)*J996*$D$1002*$E$1002*$F$1002*24/($O$990*1000))</f>
        <v>0</v>
      </c>
      <c r="O1009" s="252"/>
      <c r="P1009" s="192"/>
      <c r="Q1009" s="192"/>
      <c r="R1009" s="192"/>
      <c r="S1009" s="192"/>
    </row>
    <row r="1010" spans="1:28" hidden="1">
      <c r="A1010" s="192"/>
      <c r="B1010" s="47" t="s">
        <v>138</v>
      </c>
      <c r="C1010" s="26"/>
      <c r="D1010" s="26"/>
      <c r="E1010" s="26"/>
      <c r="F1010" s="685"/>
      <c r="G1010" s="266"/>
      <c r="H1010" s="267"/>
      <c r="I1010" s="264"/>
      <c r="J1010" s="192"/>
      <c r="K1010" s="211"/>
      <c r="L1010" s="770"/>
      <c r="M1010" s="548"/>
      <c r="N1010" s="270">
        <f>IF($F$1002="",0,((Nutzung!$G$29+Regelung-1)+(($H$1003-Nutzung!$G$29)/4)-I997)*J997*$D$1002*$E$1002*$F$1002*24/($O$990*1000))</f>
        <v>0</v>
      </c>
      <c r="O1010" s="252"/>
      <c r="P1010" s="192"/>
      <c r="Q1010" s="192"/>
      <c r="R1010" s="192"/>
      <c r="S1010" s="192"/>
    </row>
    <row r="1011" spans="1:28" hidden="1">
      <c r="A1011" s="192"/>
      <c r="B1011" s="47" t="s">
        <v>139</v>
      </c>
      <c r="C1011" s="26"/>
      <c r="D1011" s="26"/>
      <c r="E1011" s="26"/>
      <c r="F1011" s="685"/>
      <c r="G1011" s="266"/>
      <c r="H1011" s="267"/>
      <c r="I1011" s="264"/>
      <c r="J1011" s="192"/>
      <c r="K1011" s="211"/>
      <c r="L1011" s="770"/>
      <c r="M1011" s="548"/>
      <c r="N1011" s="270">
        <f>IF($F$1002="",0,((Nutzung!$G$29+Regelung-1)+(($H$1003-Nutzung!$G$29)/4)-I998)*J998*$D$1002*$E$1002*$F$1002*24/($O$990*1000))</f>
        <v>0</v>
      </c>
      <c r="O1011" s="252"/>
      <c r="P1011" s="192"/>
      <c r="Q1011" s="192"/>
      <c r="R1011" s="192"/>
      <c r="S1011" s="192"/>
    </row>
    <row r="1012" spans="1:28" hidden="1">
      <c r="A1012" s="192"/>
      <c r="B1012" s="47" t="s">
        <v>269</v>
      </c>
      <c r="C1012" s="26"/>
      <c r="D1012" s="26"/>
      <c r="E1012" s="26"/>
      <c r="F1012" s="685"/>
      <c r="G1012" s="266"/>
      <c r="H1012" s="267"/>
      <c r="I1012" s="264"/>
      <c r="J1012" s="192"/>
      <c r="K1012" s="211"/>
      <c r="L1012" s="770"/>
      <c r="M1012" s="548"/>
      <c r="N1012" s="270">
        <f>IF($F$1002="",0,((Nutzung!$G$29+Regelung-1)+(($H$1003-Nutzung!$G$29)/4)-I999)*J999*$D$1002*$E$1002*$F$1002*24/($O$990*1000))</f>
        <v>0</v>
      </c>
      <c r="O1012" s="252"/>
      <c r="P1012" s="192"/>
      <c r="Q1012" s="192"/>
      <c r="R1012" s="192"/>
      <c r="S1012" s="192"/>
    </row>
    <row r="1013" spans="1:28" hidden="1">
      <c r="A1013" s="192"/>
      <c r="B1013" s="47" t="s">
        <v>366</v>
      </c>
      <c r="C1013" s="26"/>
      <c r="D1013" s="26"/>
      <c r="E1013" s="26"/>
      <c r="F1013" s="685"/>
      <c r="G1013" s="266"/>
      <c r="H1013" s="267"/>
      <c r="I1013" s="264"/>
      <c r="J1013" s="192"/>
      <c r="K1013" s="211"/>
      <c r="L1013" s="770"/>
      <c r="M1013" s="548"/>
      <c r="N1013" s="270">
        <f>IF($F$1002="",0,((Nutzung!$G$29+Regelung-1)+(($H$1003-Nutzung!$G$29)/4)-I1000)*J1000*$D$1002*$E$1002*$F$1002*24/($O$990*1000))</f>
        <v>0</v>
      </c>
      <c r="O1013" s="252"/>
      <c r="P1013" s="192"/>
      <c r="Q1013" s="192"/>
      <c r="R1013" s="192"/>
      <c r="S1013" s="192"/>
    </row>
    <row r="1014" spans="1:28" hidden="1">
      <c r="A1014" s="192"/>
      <c r="B1014" s="47" t="s">
        <v>465</v>
      </c>
      <c r="C1014" s="26"/>
      <c r="D1014" s="26"/>
      <c r="E1014" s="26"/>
      <c r="F1014" s="685"/>
      <c r="G1014" s="266"/>
      <c r="H1014" s="267"/>
      <c r="I1014" s="264"/>
      <c r="J1014" s="192"/>
      <c r="K1014" s="211"/>
      <c r="L1014" s="770"/>
      <c r="M1014" s="548"/>
      <c r="N1014" s="270">
        <f>IF($F$1002="",0,((Nutzung!$G$29+Regelung-1)+(($H$1003-Nutzung!$G$29)/4)-I1001)*J1001*$D$1002*$E$1002*$F$1002*24/($O$990*1000))</f>
        <v>0</v>
      </c>
      <c r="O1014" s="252"/>
      <c r="P1014" s="192"/>
      <c r="Q1014" s="192"/>
      <c r="R1014" s="192"/>
      <c r="S1014" s="192"/>
    </row>
    <row r="1015" spans="1:28" ht="10.95" customHeight="1">
      <c r="A1015" s="192"/>
      <c r="B1015" s="648"/>
      <c r="C1015" s="656"/>
      <c r="D1015" s="657"/>
      <c r="E1015" s="658"/>
      <c r="F1015" s="676"/>
      <c r="G1015" s="244"/>
      <c r="H1015" s="253"/>
      <c r="I1015" s="268"/>
      <c r="J1015" s="250"/>
      <c r="K1015" s="248"/>
      <c r="L1015" s="220" t="str">
        <f>IF(F1015="","",Nutzung!$G$29)</f>
        <v/>
      </c>
      <c r="M1015" s="771" t="str">
        <f>IF(D1015="","",AB1015)</f>
        <v/>
      </c>
      <c r="N1015" s="214">
        <f>IF(F1015=0,0,SUM(N1016:N1027))</f>
        <v>0</v>
      </c>
      <c r="O1015" s="215" t="str">
        <f>IF(N1015/$O$1370=0,"",N1015/$O$1370)</f>
        <v/>
      </c>
      <c r="P1015" s="192"/>
      <c r="Q1015" s="192"/>
      <c r="R1015" s="192"/>
      <c r="S1015" s="192"/>
      <c r="T1015" s="182">
        <f>D1015*E1015*F1015</f>
        <v>0</v>
      </c>
      <c r="AA1015" s="318">
        <f>IF(D1015="",0,1)</f>
        <v>0</v>
      </c>
      <c r="AB1015" s="318">
        <f>AB1002+AA1015</f>
        <v>0</v>
      </c>
    </row>
    <row r="1016" spans="1:28" hidden="1">
      <c r="A1016" s="192"/>
      <c r="B1016" s="756" t="s">
        <v>49</v>
      </c>
      <c r="C1016" s="14"/>
      <c r="D1016" s="26"/>
      <c r="E1016" s="26"/>
      <c r="F1016" s="766"/>
      <c r="G1016" s="197"/>
      <c r="H1016" s="740" t="str">
        <f>IF($L$1015&lt;Nutzung!$G$29,Nutzung!$G$29,$L$1015)</f>
        <v/>
      </c>
      <c r="I1016" s="207"/>
      <c r="J1016" s="192"/>
      <c r="K1016" s="246">
        <f>IF(L1015="",Nutzung!$G$29,Bauteile!L1015)</f>
        <v>0</v>
      </c>
      <c r="L1016" s="550"/>
      <c r="M1016" s="550"/>
      <c r="N1016" s="723">
        <f>IF($F$1015="",0,((Nutzung!$G$29+Regelung-1)+(($H$1016-Nutzung!$G$29)/4)-I990)*J990*$D$1015*$E$1015*$F$1015*24/($O$990*1000))</f>
        <v>0</v>
      </c>
      <c r="O1016" s="192"/>
      <c r="P1016" s="192"/>
      <c r="Q1016" s="192"/>
      <c r="R1016" s="192"/>
      <c r="S1016" s="192"/>
    </row>
    <row r="1017" spans="1:28" hidden="1">
      <c r="A1017" s="192"/>
      <c r="B1017" s="47" t="s">
        <v>554</v>
      </c>
      <c r="C1017" s="26"/>
      <c r="D1017" s="26"/>
      <c r="E1017" s="26"/>
      <c r="F1017" s="767"/>
      <c r="G1017" s="197"/>
      <c r="H1017" s="197"/>
      <c r="I1017" s="207"/>
      <c r="J1017" s="192"/>
      <c r="K1017" s="192"/>
      <c r="L1017" s="550"/>
      <c r="M1017" s="550"/>
      <c r="N1017" s="723">
        <f>IF($F$1015="",0,((Nutzung!$G$29+Regelung-1)+(($H$1016-Nutzung!$G$29)/4)-I991)*J991*$D$1015*$E$1015*$F$1015*24/($O$990*1000))</f>
        <v>0</v>
      </c>
      <c r="O1017" s="192"/>
      <c r="P1017" s="192"/>
      <c r="Q1017" s="192"/>
      <c r="R1017" s="192"/>
      <c r="S1017" s="192"/>
    </row>
    <row r="1018" spans="1:28" hidden="1">
      <c r="A1018" s="192"/>
      <c r="B1018" s="47" t="s">
        <v>306</v>
      </c>
      <c r="C1018" s="26"/>
      <c r="D1018" s="26"/>
      <c r="E1018" s="26"/>
      <c r="F1018" s="767"/>
      <c r="G1018" s="197"/>
      <c r="H1018" s="197"/>
      <c r="I1018" s="207"/>
      <c r="J1018" s="192"/>
      <c r="K1018" s="192"/>
      <c r="L1018" s="550"/>
      <c r="M1018" s="550"/>
      <c r="N1018" s="723">
        <f>IF($F$1015="",0,((Nutzung!$G$29+Regelung-1)+(($H$1016-Nutzung!$G$29)/4)-I992)*J992*$D$1015*$E$1015*$F$1015*24/($O$990*1000))</f>
        <v>0</v>
      </c>
      <c r="O1018" s="192"/>
      <c r="P1018" s="192"/>
      <c r="Q1018" s="192"/>
      <c r="R1018" s="192"/>
      <c r="S1018" s="192"/>
    </row>
    <row r="1019" spans="1:28" hidden="1">
      <c r="A1019" s="192"/>
      <c r="B1019" s="47" t="s">
        <v>409</v>
      </c>
      <c r="C1019" s="26"/>
      <c r="D1019" s="26"/>
      <c r="E1019" s="26"/>
      <c r="F1019" s="767"/>
      <c r="G1019" s="197"/>
      <c r="H1019" s="197"/>
      <c r="I1019" s="207"/>
      <c r="J1019" s="192"/>
      <c r="K1019" s="192"/>
      <c r="L1019" s="550"/>
      <c r="M1019" s="550"/>
      <c r="N1019" s="723">
        <f>IF($F$1015="",0,((Nutzung!$G$29+Regelung-1)+(($H$1016-Nutzung!$G$29)/4)-I993)*J993*$D$1015*$E$1015*$F$1015*24/($O$990*1000))</f>
        <v>0</v>
      </c>
      <c r="O1019" s="192"/>
      <c r="P1019" s="192"/>
      <c r="Q1019" s="192"/>
      <c r="R1019" s="192"/>
      <c r="S1019" s="192"/>
    </row>
    <row r="1020" spans="1:28" hidden="1">
      <c r="A1020" s="192"/>
      <c r="B1020" s="47" t="s">
        <v>410</v>
      </c>
      <c r="C1020" s="26"/>
      <c r="D1020" s="26"/>
      <c r="E1020" s="26"/>
      <c r="F1020" s="767"/>
      <c r="G1020" s="197"/>
      <c r="H1020" s="197"/>
      <c r="I1020" s="207"/>
      <c r="J1020" s="192"/>
      <c r="K1020" s="192"/>
      <c r="L1020" s="550"/>
      <c r="M1020" s="550"/>
      <c r="N1020" s="723">
        <f>IF($F$1015="",0,((Nutzung!$G$29+Regelung-1)+(($H$1016-Nutzung!$G$29)/4)-I994)*J994*$D$1015*$E$1015*$F$1015*24/($O$990*1000))</f>
        <v>0</v>
      </c>
      <c r="O1020" s="192"/>
      <c r="P1020" s="192"/>
      <c r="Q1020" s="192"/>
      <c r="R1020" s="192"/>
      <c r="S1020" s="192"/>
    </row>
    <row r="1021" spans="1:28" hidden="1">
      <c r="A1021" s="192"/>
      <c r="B1021" s="47" t="s">
        <v>411</v>
      </c>
      <c r="C1021" s="26"/>
      <c r="D1021" s="26"/>
      <c r="E1021" s="26"/>
      <c r="F1021" s="767"/>
      <c r="G1021" s="197"/>
      <c r="H1021" s="197"/>
      <c r="I1021" s="207"/>
      <c r="J1021" s="192"/>
      <c r="K1021" s="192"/>
      <c r="L1021" s="550"/>
      <c r="M1021" s="550"/>
      <c r="N1021" s="723">
        <f>IF($F$1015="",0,((Nutzung!$G$29+Regelung-1)+(($H$1016-Nutzung!$G$29)/4)-I995)*J995*$D$1015*$E$1015*$F$1015*24/($O$990*1000))</f>
        <v>0</v>
      </c>
      <c r="O1021" s="192"/>
      <c r="P1021" s="192"/>
      <c r="Q1021" s="192"/>
      <c r="R1021" s="192"/>
      <c r="S1021" s="192"/>
    </row>
    <row r="1022" spans="1:28" hidden="1">
      <c r="A1022" s="192"/>
      <c r="B1022" s="47" t="s">
        <v>221</v>
      </c>
      <c r="C1022" s="26"/>
      <c r="D1022" s="26"/>
      <c r="E1022" s="26"/>
      <c r="F1022" s="767"/>
      <c r="G1022" s="197"/>
      <c r="H1022" s="197"/>
      <c r="I1022" s="207"/>
      <c r="J1022" s="192"/>
      <c r="K1022" s="192"/>
      <c r="L1022" s="550"/>
      <c r="M1022" s="550"/>
      <c r="N1022" s="723">
        <f>IF($F$1015="",0,((Nutzung!$G$29+Regelung-1)+(($H$1016-Nutzung!$G$29)/4)-I996)*J996*$D$1015*$E$1015*$F$1015*24/($O$990*1000))</f>
        <v>0</v>
      </c>
      <c r="O1022" s="192"/>
      <c r="P1022" s="192"/>
      <c r="Q1022" s="192"/>
      <c r="R1022" s="192"/>
      <c r="S1022" s="192"/>
    </row>
    <row r="1023" spans="1:28" hidden="1">
      <c r="A1023" s="192"/>
      <c r="B1023" s="47" t="s">
        <v>138</v>
      </c>
      <c r="C1023" s="26"/>
      <c r="D1023" s="26"/>
      <c r="E1023" s="26"/>
      <c r="F1023" s="767"/>
      <c r="G1023" s="197"/>
      <c r="H1023" s="197"/>
      <c r="I1023" s="207"/>
      <c r="J1023" s="192"/>
      <c r="K1023" s="192"/>
      <c r="L1023" s="550"/>
      <c r="M1023" s="550"/>
      <c r="N1023" s="723">
        <f>IF($F$1015="",0,((Nutzung!$G$29+Regelung-1)+(($H$1016-Nutzung!$G$29)/4)-I997)*J997*$D$1015*$E$1015*$F$1015*24/($O$990*1000))</f>
        <v>0</v>
      </c>
      <c r="O1023" s="192"/>
      <c r="P1023" s="192"/>
      <c r="Q1023" s="192"/>
      <c r="R1023" s="192"/>
      <c r="S1023" s="192"/>
    </row>
    <row r="1024" spans="1:28" hidden="1">
      <c r="A1024" s="192"/>
      <c r="B1024" s="47" t="s">
        <v>139</v>
      </c>
      <c r="C1024" s="26"/>
      <c r="D1024" s="26"/>
      <c r="E1024" s="26"/>
      <c r="F1024" s="767"/>
      <c r="G1024" s="197"/>
      <c r="H1024" s="197"/>
      <c r="I1024" s="207"/>
      <c r="J1024" s="192"/>
      <c r="K1024" s="192"/>
      <c r="L1024" s="550"/>
      <c r="M1024" s="550"/>
      <c r="N1024" s="723">
        <f>IF($F$1015="",0,((Nutzung!$G$29+Regelung-1)+(($H$1016-Nutzung!$G$29)/4)-I998)*J998*$D$1015*$E$1015*$F$1015*24/($O$990*1000))</f>
        <v>0</v>
      </c>
      <c r="O1024" s="192"/>
      <c r="P1024" s="192"/>
      <c r="Q1024" s="192"/>
      <c r="R1024" s="192"/>
      <c r="S1024" s="192"/>
    </row>
    <row r="1025" spans="1:28" hidden="1">
      <c r="A1025" s="192"/>
      <c r="B1025" s="47" t="s">
        <v>269</v>
      </c>
      <c r="C1025" s="26"/>
      <c r="D1025" s="26"/>
      <c r="E1025" s="26"/>
      <c r="F1025" s="767"/>
      <c r="G1025" s="197"/>
      <c r="H1025" s="197"/>
      <c r="I1025" s="207"/>
      <c r="J1025" s="192"/>
      <c r="K1025" s="192"/>
      <c r="L1025" s="550"/>
      <c r="M1025" s="550"/>
      <c r="N1025" s="723">
        <f>IF($F$1015="",0,((Nutzung!$G$29+Regelung-1)+(($H$1016-Nutzung!$G$29)/4)-I999)*J999*$D$1015*$E$1015*$F$1015*24/($O$990*1000))</f>
        <v>0</v>
      </c>
      <c r="O1025" s="192"/>
      <c r="P1025" s="192"/>
      <c r="Q1025" s="192"/>
      <c r="R1025" s="192"/>
      <c r="S1025" s="192"/>
    </row>
    <row r="1026" spans="1:28" hidden="1">
      <c r="A1026" s="192"/>
      <c r="B1026" s="47" t="s">
        <v>366</v>
      </c>
      <c r="C1026" s="26"/>
      <c r="D1026" s="26"/>
      <c r="E1026" s="26"/>
      <c r="F1026" s="767"/>
      <c r="G1026" s="197"/>
      <c r="H1026" s="197"/>
      <c r="I1026" s="207"/>
      <c r="J1026" s="192"/>
      <c r="K1026" s="192"/>
      <c r="L1026" s="550"/>
      <c r="M1026" s="550"/>
      <c r="N1026" s="723">
        <f>IF($F$1015="",0,((Nutzung!$G$29+Regelung-1)+(($H$1016-Nutzung!$G$29)/4)-I1000)*J1000*$D$1015*$E$1015*$F$1015*24/($O$990*1000))</f>
        <v>0</v>
      </c>
      <c r="O1026" s="192"/>
      <c r="P1026" s="192"/>
      <c r="Q1026" s="192"/>
      <c r="R1026" s="192"/>
      <c r="S1026" s="192"/>
    </row>
    <row r="1027" spans="1:28" hidden="1">
      <c r="A1027" s="192"/>
      <c r="B1027" s="47" t="s">
        <v>465</v>
      </c>
      <c r="C1027" s="26"/>
      <c r="D1027" s="26"/>
      <c r="E1027" s="26"/>
      <c r="F1027" s="767"/>
      <c r="G1027" s="197"/>
      <c r="H1027" s="197"/>
      <c r="I1027" s="207"/>
      <c r="J1027" s="192"/>
      <c r="K1027" s="192"/>
      <c r="L1027" s="550"/>
      <c r="M1027" s="550"/>
      <c r="N1027" s="723">
        <f>IF($F$1015="",0,((Nutzung!$G$29+Regelung-1)+(($H$1016-Nutzung!$G$29)/4)-I1001)*J1001*$D$1015*$E$1015*$F$1015*24/($O$990*1000))</f>
        <v>0</v>
      </c>
      <c r="O1027" s="192"/>
      <c r="P1027" s="192"/>
      <c r="Q1027" s="192"/>
      <c r="R1027" s="192"/>
      <c r="S1027" s="192"/>
    </row>
    <row r="1028" spans="1:28" ht="10.95" customHeight="1">
      <c r="A1028" s="192"/>
      <c r="B1028" s="649"/>
      <c r="C1028" s="660"/>
      <c r="D1028" s="660"/>
      <c r="E1028" s="662"/>
      <c r="F1028" s="736"/>
      <c r="G1028" s="197"/>
      <c r="H1028" s="197"/>
      <c r="I1028" s="207"/>
      <c r="J1028" s="192"/>
      <c r="K1028" s="192"/>
      <c r="L1028" s="535" t="str">
        <f>IF(F1028="","",Nutzung!$G$29)</f>
        <v/>
      </c>
      <c r="M1028" s="768" t="str">
        <f>IF(D1028="","",AB1028)</f>
        <v/>
      </c>
      <c r="N1028" s="214">
        <f>IF(F1028=0,0,SUM(N1029:N1040))</f>
        <v>0</v>
      </c>
      <c r="O1028" s="215" t="str">
        <f>IF(N1028/$O$1370=0,"",N1028/$O$1370)</f>
        <v/>
      </c>
      <c r="P1028" s="192"/>
      <c r="Q1028" s="192"/>
      <c r="R1028" s="192"/>
      <c r="S1028" s="192"/>
      <c r="T1028" s="182">
        <f>D1028*E1028*F1028</f>
        <v>0</v>
      </c>
      <c r="U1028" s="182">
        <f>SUM(T989:T1028)</f>
        <v>0</v>
      </c>
      <c r="AA1028" s="318">
        <f>IF(D1028="",0,1)</f>
        <v>0</v>
      </c>
      <c r="AB1028" s="318">
        <f>AB1015+AA1028</f>
        <v>0</v>
      </c>
    </row>
    <row r="1029" spans="1:28" hidden="1">
      <c r="A1029" s="192"/>
      <c r="B1029" s="772" t="s">
        <v>49</v>
      </c>
      <c r="C1029" s="14"/>
      <c r="D1029" s="692"/>
      <c r="E1029" s="692"/>
      <c r="F1029" s="719"/>
      <c r="G1029" s="197"/>
      <c r="H1029" s="246" t="str">
        <f>IF($L$1028&lt;Nutzung!$G$29,Nutzung!$G$29,$L$1028)</f>
        <v/>
      </c>
      <c r="I1029" s="207"/>
      <c r="J1029" s="192"/>
      <c r="K1029" s="246">
        <f>IF(L1028="",Nutzung!$G$29,Bauteile!L1028)</f>
        <v>0</v>
      </c>
      <c r="L1029" s="13"/>
      <c r="M1029" s="13"/>
      <c r="N1029" s="723">
        <f>IF($F$1028="",0,((Nutzung!$G$29+Regelung-1)+(($H$1029-Nutzung!$G$29)/4)-I990)*J990*$D$1028*$E$1028*$F$1028*24/($O$990*1000))</f>
        <v>0</v>
      </c>
      <c r="O1029" s="192"/>
      <c r="P1029" s="192"/>
      <c r="Q1029" s="192"/>
      <c r="R1029" s="192"/>
      <c r="S1029" s="192"/>
    </row>
    <row r="1030" spans="1:28" hidden="1">
      <c r="A1030" s="192"/>
      <c r="B1030" s="772" t="s">
        <v>554</v>
      </c>
      <c r="C1030" s="692"/>
      <c r="D1030" s="692"/>
      <c r="E1030" s="692"/>
      <c r="F1030" s="719"/>
      <c r="G1030" s="197"/>
      <c r="H1030" s="197"/>
      <c r="I1030" s="207"/>
      <c r="J1030" s="192"/>
      <c r="K1030" s="192"/>
      <c r="L1030" s="13"/>
      <c r="M1030" s="13"/>
      <c r="N1030" s="723">
        <f>IF($F$1028="",0,((Nutzung!$G$29+Regelung-1)+(($H$1029-Nutzung!$G$29)/4)-I991)*J991*$D$1028*$E$1028*$F$1028*24/($O$990*1000))</f>
        <v>0</v>
      </c>
      <c r="O1030" s="192"/>
      <c r="P1030" s="192"/>
      <c r="Q1030" s="192"/>
      <c r="R1030" s="192"/>
      <c r="S1030" s="192"/>
    </row>
    <row r="1031" spans="1:28" hidden="1">
      <c r="A1031" s="192"/>
      <c r="B1031" s="772" t="s">
        <v>306</v>
      </c>
      <c r="C1031" s="692"/>
      <c r="D1031" s="692"/>
      <c r="E1031" s="692"/>
      <c r="F1031" s="719"/>
      <c r="G1031" s="197"/>
      <c r="H1031" s="197"/>
      <c r="I1031" s="207"/>
      <c r="J1031" s="192"/>
      <c r="K1031" s="192"/>
      <c r="L1031" s="13"/>
      <c r="M1031" s="13"/>
      <c r="N1031" s="723">
        <f>IF($F$1028="",0,((Nutzung!$G$29+Regelung-1)+(($H$1029-Nutzung!$G$29)/4)-I992)*J992*$D$1028*$E$1028*$F$1028*24/($O$990*1000))</f>
        <v>0</v>
      </c>
      <c r="O1031" s="192"/>
      <c r="P1031" s="192"/>
      <c r="Q1031" s="192"/>
      <c r="R1031" s="192"/>
      <c r="S1031" s="192"/>
    </row>
    <row r="1032" spans="1:28" hidden="1">
      <c r="A1032" s="192"/>
      <c r="B1032" s="772" t="s">
        <v>409</v>
      </c>
      <c r="C1032" s="692"/>
      <c r="D1032" s="692"/>
      <c r="E1032" s="692"/>
      <c r="F1032" s="719"/>
      <c r="G1032" s="197"/>
      <c r="H1032" s="197"/>
      <c r="I1032" s="207"/>
      <c r="J1032" s="192"/>
      <c r="K1032" s="192"/>
      <c r="L1032" s="13"/>
      <c r="M1032" s="13"/>
      <c r="N1032" s="723">
        <f>IF($F$1028="",0,((Nutzung!$G$29+Regelung-1)+(($H$1029-Nutzung!$G$29)/4)-I993)*J993*$D$1028*$E$1028*$F$1028*24/($O$990*1000))</f>
        <v>0</v>
      </c>
      <c r="O1032" s="192"/>
      <c r="P1032" s="192"/>
      <c r="Q1032" s="192"/>
      <c r="R1032" s="192"/>
      <c r="S1032" s="192"/>
    </row>
    <row r="1033" spans="1:28" hidden="1">
      <c r="A1033" s="192"/>
      <c r="B1033" s="772" t="s">
        <v>410</v>
      </c>
      <c r="C1033" s="692"/>
      <c r="D1033" s="692"/>
      <c r="E1033" s="692"/>
      <c r="F1033" s="719"/>
      <c r="G1033" s="197"/>
      <c r="H1033" s="197"/>
      <c r="I1033" s="207"/>
      <c r="J1033" s="192"/>
      <c r="K1033" s="192"/>
      <c r="L1033" s="13"/>
      <c r="M1033" s="13"/>
      <c r="N1033" s="723">
        <f>IF($F$1028="",0,((Nutzung!$G$29+Regelung-1)+(($H$1029-Nutzung!$G$29)/4)-I994)*J994*$D$1028*$E$1028*$F$1028*24/($O$990*1000))</f>
        <v>0</v>
      </c>
      <c r="O1033" s="192"/>
      <c r="P1033" s="192"/>
      <c r="Q1033" s="192"/>
      <c r="R1033" s="192"/>
      <c r="S1033" s="192"/>
    </row>
    <row r="1034" spans="1:28" hidden="1">
      <c r="A1034" s="192"/>
      <c r="B1034" s="772" t="s">
        <v>411</v>
      </c>
      <c r="C1034" s="692"/>
      <c r="D1034" s="692"/>
      <c r="E1034" s="692"/>
      <c r="F1034" s="719"/>
      <c r="G1034" s="197"/>
      <c r="H1034" s="197"/>
      <c r="I1034" s="207"/>
      <c r="J1034" s="192"/>
      <c r="K1034" s="192"/>
      <c r="L1034" s="13"/>
      <c r="M1034" s="13"/>
      <c r="N1034" s="723">
        <f>IF($F$1028="",0,((Nutzung!$G$29+Regelung-1)+(($H$1029-Nutzung!$G$29)/4)-I995)*J995*$D$1028*$E$1028*$F$1028*24/($O$990*1000))</f>
        <v>0</v>
      </c>
      <c r="O1034" s="192"/>
      <c r="P1034" s="192"/>
      <c r="Q1034" s="192"/>
      <c r="R1034" s="192"/>
      <c r="S1034" s="192"/>
    </row>
    <row r="1035" spans="1:28" hidden="1">
      <c r="A1035" s="192"/>
      <c r="B1035" s="772" t="s">
        <v>221</v>
      </c>
      <c r="C1035" s="692"/>
      <c r="D1035" s="692"/>
      <c r="E1035" s="692"/>
      <c r="F1035" s="719"/>
      <c r="G1035" s="197"/>
      <c r="H1035" s="197"/>
      <c r="I1035" s="207"/>
      <c r="J1035" s="192"/>
      <c r="K1035" s="192"/>
      <c r="L1035" s="13"/>
      <c r="M1035" s="13"/>
      <c r="N1035" s="723">
        <f>IF($F$1028="",0,((Nutzung!$G$29+Regelung-1)+(($H$1029-Nutzung!$G$29)/4)-I996)*J996*$D$1028*$E$1028*$F$1028*24/($O$990*1000))</f>
        <v>0</v>
      </c>
      <c r="O1035" s="192"/>
      <c r="P1035" s="192"/>
      <c r="Q1035" s="192"/>
      <c r="R1035" s="192"/>
      <c r="S1035" s="192"/>
    </row>
    <row r="1036" spans="1:28" hidden="1">
      <c r="A1036" s="192"/>
      <c r="B1036" s="772" t="s">
        <v>138</v>
      </c>
      <c r="C1036" s="692"/>
      <c r="D1036" s="692"/>
      <c r="E1036" s="692"/>
      <c r="F1036" s="719"/>
      <c r="G1036" s="197"/>
      <c r="H1036" s="197"/>
      <c r="I1036" s="207"/>
      <c r="J1036" s="192"/>
      <c r="K1036" s="192"/>
      <c r="L1036" s="13"/>
      <c r="M1036" s="13"/>
      <c r="N1036" s="723">
        <f>IF($F$1028="",0,((Nutzung!$G$29+Regelung-1)+(($H$1029-Nutzung!$G$29)/4)-I997)*J997*$D$1028*$E$1028*$F$1028*24/($O$990*1000))</f>
        <v>0</v>
      </c>
      <c r="O1036" s="192"/>
      <c r="P1036" s="192"/>
      <c r="Q1036" s="192"/>
      <c r="R1036" s="192"/>
      <c r="S1036" s="192"/>
    </row>
    <row r="1037" spans="1:28" hidden="1">
      <c r="A1037" s="192"/>
      <c r="B1037" s="772" t="s">
        <v>139</v>
      </c>
      <c r="C1037" s="692"/>
      <c r="D1037" s="692"/>
      <c r="E1037" s="692"/>
      <c r="F1037" s="719"/>
      <c r="G1037" s="197"/>
      <c r="H1037" s="197"/>
      <c r="I1037" s="207"/>
      <c r="J1037" s="192"/>
      <c r="K1037" s="192"/>
      <c r="L1037" s="13"/>
      <c r="M1037" s="13"/>
      <c r="N1037" s="723">
        <f>IF($F$1028="",0,((Nutzung!$G$29+Regelung-1)+(($H$1029-Nutzung!$G$29)/4)-I998)*J998*$D$1028*$E$1028*$F$1028*24/($O$990*1000))</f>
        <v>0</v>
      </c>
      <c r="O1037" s="192"/>
      <c r="P1037" s="192"/>
      <c r="Q1037" s="192"/>
      <c r="R1037" s="192"/>
      <c r="S1037" s="192"/>
    </row>
    <row r="1038" spans="1:28" hidden="1">
      <c r="A1038" s="192"/>
      <c r="B1038" s="772" t="s">
        <v>269</v>
      </c>
      <c r="C1038" s="692"/>
      <c r="D1038" s="692"/>
      <c r="E1038" s="692"/>
      <c r="F1038" s="719"/>
      <c r="G1038" s="197"/>
      <c r="H1038" s="197"/>
      <c r="I1038" s="207"/>
      <c r="J1038" s="192"/>
      <c r="K1038" s="192"/>
      <c r="L1038" s="13"/>
      <c r="M1038" s="13"/>
      <c r="N1038" s="723">
        <f>IF($F$1028="",0,((Nutzung!$G$29+Regelung-1)+(($H$1029-Nutzung!$G$29)/4)-I999)*J999*$D$1028*$E$1028*$F$1028*24/($O$990*1000))</f>
        <v>0</v>
      </c>
      <c r="O1038" s="192"/>
      <c r="P1038" s="192"/>
      <c r="Q1038" s="192"/>
      <c r="R1038" s="192"/>
      <c r="S1038" s="192"/>
    </row>
    <row r="1039" spans="1:28" hidden="1">
      <c r="A1039" s="192"/>
      <c r="B1039" s="772" t="s">
        <v>366</v>
      </c>
      <c r="C1039" s="692"/>
      <c r="D1039" s="692"/>
      <c r="E1039" s="692"/>
      <c r="F1039" s="719"/>
      <c r="G1039" s="197"/>
      <c r="H1039" s="197"/>
      <c r="I1039" s="207"/>
      <c r="J1039" s="192"/>
      <c r="K1039" s="192"/>
      <c r="L1039" s="13"/>
      <c r="M1039" s="13"/>
      <c r="N1039" s="723">
        <f>IF($F$1028="",0,((Nutzung!$G$29+Regelung-1)+(($H$1029-Nutzung!$G$29)/4)-I1000)*J1000*$D$1028*$E$1028*$F$1028*24/($O$990*1000))</f>
        <v>0</v>
      </c>
      <c r="O1039" s="192"/>
      <c r="P1039" s="192"/>
      <c r="Q1039" s="192"/>
      <c r="R1039" s="192"/>
      <c r="S1039" s="192"/>
    </row>
    <row r="1040" spans="1:28" hidden="1">
      <c r="A1040" s="192"/>
      <c r="B1040" s="772" t="s">
        <v>465</v>
      </c>
      <c r="C1040" s="692"/>
      <c r="D1040" s="692"/>
      <c r="E1040" s="692"/>
      <c r="F1040" s="719"/>
      <c r="G1040" s="197"/>
      <c r="H1040" s="197"/>
      <c r="I1040" s="207"/>
      <c r="J1040" s="192"/>
      <c r="K1040" s="192"/>
      <c r="L1040" s="13"/>
      <c r="M1040" s="13"/>
      <c r="N1040" s="723">
        <f>IF($F$1028="",0,((Nutzung!$G$29+Regelung-1)+(($H$1029-Nutzung!$G$29)/4)-I1001)*J1001*$D$1028*$E$1028*$F$1028*24/($O$990*1000))</f>
        <v>0</v>
      </c>
      <c r="O1040" s="192"/>
      <c r="P1040" s="192"/>
      <c r="Q1040" s="192"/>
      <c r="R1040" s="192"/>
      <c r="S1040" s="192"/>
    </row>
    <row r="1041" spans="1:28">
      <c r="A1041" s="192"/>
      <c r="B1041" s="196"/>
      <c r="C1041" s="197"/>
      <c r="D1041" s="197"/>
      <c r="E1041" s="197"/>
      <c r="F1041" s="197"/>
      <c r="G1041" s="197"/>
      <c r="H1041" s="207"/>
      <c r="I1041" s="208"/>
      <c r="J1041" s="192"/>
      <c r="K1041" s="192"/>
      <c r="L1041" s="192"/>
      <c r="M1041" s="192"/>
      <c r="N1041" s="192"/>
      <c r="O1041" s="192"/>
      <c r="P1041" s="192"/>
      <c r="Q1041" s="192"/>
      <c r="R1041" s="192"/>
      <c r="S1041" s="192"/>
    </row>
    <row r="1042" spans="1:28" ht="12" customHeight="1">
      <c r="A1042" s="192"/>
      <c r="B1042" s="885" t="s">
        <v>325</v>
      </c>
      <c r="C1042" s="886" t="s">
        <v>47</v>
      </c>
      <c r="D1042" s="886" t="s">
        <v>119</v>
      </c>
      <c r="E1042" s="886" t="s">
        <v>464</v>
      </c>
      <c r="F1042" s="886" t="s">
        <v>496</v>
      </c>
      <c r="G1042" s="886" t="s">
        <v>521</v>
      </c>
      <c r="H1042" s="885"/>
      <c r="I1042" s="886"/>
      <c r="J1042" s="886"/>
      <c r="K1042" s="884"/>
      <c r="L1042" s="888" t="s">
        <v>442</v>
      </c>
      <c r="M1042" s="886" t="s">
        <v>349</v>
      </c>
      <c r="N1042" s="886" t="s">
        <v>166</v>
      </c>
      <c r="O1042" s="886" t="s">
        <v>520</v>
      </c>
      <c r="P1042" s="194"/>
      <c r="Q1042" s="194"/>
      <c r="R1042" s="192"/>
      <c r="S1042" s="192"/>
    </row>
    <row r="1043" spans="1:28" ht="12" customHeight="1">
      <c r="A1043" s="192"/>
      <c r="B1043" s="885"/>
      <c r="C1043" s="886" t="s">
        <v>206</v>
      </c>
      <c r="D1043" s="886" t="s">
        <v>552</v>
      </c>
      <c r="E1043" s="886" t="s">
        <v>181</v>
      </c>
      <c r="F1043" s="886" t="s">
        <v>372</v>
      </c>
      <c r="G1043" s="886"/>
      <c r="H1043" s="885"/>
      <c r="I1043" s="886"/>
      <c r="J1043" s="886"/>
      <c r="K1043" s="884"/>
      <c r="L1043" s="886" t="s">
        <v>228</v>
      </c>
      <c r="M1043" s="886"/>
      <c r="N1043" s="886" t="s">
        <v>621</v>
      </c>
      <c r="O1043" s="886"/>
      <c r="P1043" s="194"/>
      <c r="Q1043" s="194"/>
      <c r="R1043" s="192"/>
      <c r="S1043" s="192"/>
    </row>
    <row r="1044" spans="1:28" ht="4.95" customHeight="1">
      <c r="A1044" s="192"/>
      <c r="B1044" s="196"/>
      <c r="C1044" s="197"/>
      <c r="D1044" s="197"/>
      <c r="E1044" s="197"/>
      <c r="F1044" s="197"/>
      <c r="G1044" s="197"/>
      <c r="H1044" s="195"/>
      <c r="I1044" s="197"/>
      <c r="J1044" s="197"/>
      <c r="K1044" s="192"/>
      <c r="L1044" s="192"/>
      <c r="M1044" s="192"/>
      <c r="N1044" s="192"/>
      <c r="O1044" s="192"/>
      <c r="P1044" s="192"/>
      <c r="Q1044" s="192"/>
      <c r="R1044" s="192"/>
      <c r="S1044" s="192"/>
    </row>
    <row r="1045" spans="1:28" ht="10.95" customHeight="1">
      <c r="A1045" s="192"/>
      <c r="B1045" s="646"/>
      <c r="C1045" s="652"/>
      <c r="D1045" s="653"/>
      <c r="E1045" s="654"/>
      <c r="F1045" s="663"/>
      <c r="G1045" s="655"/>
      <c r="H1045" s="210"/>
      <c r="I1045" s="198"/>
      <c r="J1045" s="241"/>
      <c r="K1045" s="211"/>
      <c r="L1045" s="219" t="str">
        <f>IF(F1045="","",Nutzung!$G$29)</f>
        <v/>
      </c>
      <c r="M1045" s="218" t="str">
        <f>IF(D1045="","",AB1045)</f>
        <v/>
      </c>
      <c r="N1045" s="214">
        <f>IF(F1045=0,0,SUM(N1046:N1057))</f>
        <v>0</v>
      </c>
      <c r="O1045" s="215" t="str">
        <f>IF(N1045/$O$1370=0,"",N1045/$O$1370)</f>
        <v/>
      </c>
      <c r="P1045" s="198"/>
      <c r="Q1045" s="198"/>
      <c r="R1045" s="198"/>
      <c r="S1045" s="192"/>
      <c r="T1045" s="182">
        <f>D1045*E1045*F1045</f>
        <v>0</v>
      </c>
      <c r="AA1045" s="318">
        <f>IF(D1045="",0,1)</f>
        <v>0</v>
      </c>
      <c r="AB1045" s="318">
        <f>AB1028+AA1045</f>
        <v>0</v>
      </c>
    </row>
    <row r="1046" spans="1:28" hidden="1">
      <c r="A1046" s="192"/>
      <c r="B1046" s="690" t="s">
        <v>49</v>
      </c>
      <c r="C1046" s="14"/>
      <c r="D1046" s="13"/>
      <c r="E1046" s="13"/>
      <c r="F1046" s="774"/>
      <c r="G1046" s="754"/>
      <c r="H1046" s="773" t="str">
        <f>IF($L$1045&lt;Nutzung!$G$29,Nutzung!$G$29,$L$1045)</f>
        <v/>
      </c>
      <c r="I1046" s="740">
        <f>Klima!$C136</f>
        <v>0</v>
      </c>
      <c r="J1046" s="739">
        <v>31</v>
      </c>
      <c r="K1046" s="272">
        <f>IF(L1045="",Nutzung!$G$29,Bauteile!L1045)</f>
        <v>0</v>
      </c>
      <c r="L1046" s="223"/>
      <c r="M1046" s="777"/>
      <c r="N1046" s="270">
        <f>IF($F$1045="",0,((Nutzung!$G$29+Regelung-1)+(($H$1046-Nutzung!$G$29)/4)-I1046)*J1046*$D$1045*$E$1045*$F$1045*24/($O$1046*1000))</f>
        <v>0</v>
      </c>
      <c r="O1046" s="268">
        <f>EBF!$F$39</f>
        <v>1.0000000000000001E-31</v>
      </c>
      <c r="P1046" s="198"/>
      <c r="Q1046" s="198"/>
      <c r="R1046" s="198"/>
      <c r="S1046" s="192"/>
    </row>
    <row r="1047" spans="1:28" hidden="1">
      <c r="A1047" s="192"/>
      <c r="B1047" s="690" t="s">
        <v>554</v>
      </c>
      <c r="C1047" s="14"/>
      <c r="D1047" s="13"/>
      <c r="E1047" s="13"/>
      <c r="F1047" s="689"/>
      <c r="G1047" s="755"/>
      <c r="H1047" s="773"/>
      <c r="I1047" s="740">
        <f>Klima!$C137</f>
        <v>0</v>
      </c>
      <c r="J1047" s="739">
        <v>28</v>
      </c>
      <c r="K1047" s="211"/>
      <c r="L1047" s="223"/>
      <c r="M1047" s="778"/>
      <c r="N1047" s="270">
        <f>IF($F$1045="",0,((Nutzung!$G$29+Regelung-1)+(($H$1046-Nutzung!$G$29)/4)-I1047)*J1047*$D$1045*$E$1045*$F$1045*24/($O$1046*1000))</f>
        <v>0</v>
      </c>
      <c r="O1047" s="253"/>
      <c r="P1047" s="198"/>
      <c r="Q1047" s="198"/>
      <c r="R1047" s="198"/>
      <c r="S1047" s="192"/>
    </row>
    <row r="1048" spans="1:28" hidden="1">
      <c r="A1048" s="192"/>
      <c r="B1048" s="690" t="s">
        <v>306</v>
      </c>
      <c r="C1048" s="14"/>
      <c r="D1048" s="13"/>
      <c r="E1048" s="13"/>
      <c r="F1048" s="689"/>
      <c r="G1048" s="755"/>
      <c r="H1048" s="773"/>
      <c r="I1048" s="740">
        <f>Klima!$C138</f>
        <v>0</v>
      </c>
      <c r="J1048" s="739">
        <v>31</v>
      </c>
      <c r="K1048" s="211"/>
      <c r="L1048" s="223"/>
      <c r="M1048" s="778"/>
      <c r="N1048" s="270">
        <f>IF($F$1045="",0,((Nutzung!$G$29+Regelung-1)+(($H$1046-Nutzung!$G$29)/4)-I1048)*J1048*$D$1045*$E$1045*$F$1045*24/($O$1046*1000))</f>
        <v>0</v>
      </c>
      <c r="O1048" s="253"/>
      <c r="P1048" s="198"/>
      <c r="Q1048" s="198"/>
      <c r="R1048" s="198"/>
      <c r="S1048" s="192"/>
    </row>
    <row r="1049" spans="1:28" hidden="1">
      <c r="A1049" s="192"/>
      <c r="B1049" s="690" t="s">
        <v>409</v>
      </c>
      <c r="C1049" s="14"/>
      <c r="D1049" s="13"/>
      <c r="E1049" s="13"/>
      <c r="F1049" s="689"/>
      <c r="G1049" s="755"/>
      <c r="H1049" s="773"/>
      <c r="I1049" s="740">
        <f>Klima!$C139</f>
        <v>0</v>
      </c>
      <c r="J1049" s="739">
        <v>30</v>
      </c>
      <c r="K1049" s="211"/>
      <c r="L1049" s="223"/>
      <c r="M1049" s="778"/>
      <c r="N1049" s="270">
        <f>IF($F$1045="",0,((Nutzung!$G$29+Regelung-1)+(($H$1046-Nutzung!$G$29)/4)-I1049)*J1049*$D$1045*$E$1045*$F$1045*24/($O$1046*1000))</f>
        <v>0</v>
      </c>
      <c r="O1049" s="253"/>
      <c r="P1049" s="198"/>
      <c r="Q1049" s="198"/>
      <c r="R1049" s="198"/>
      <c r="S1049" s="192"/>
    </row>
    <row r="1050" spans="1:28" hidden="1">
      <c r="A1050" s="192"/>
      <c r="B1050" s="690" t="s">
        <v>410</v>
      </c>
      <c r="C1050" s="14"/>
      <c r="D1050" s="13"/>
      <c r="E1050" s="13"/>
      <c r="F1050" s="689"/>
      <c r="G1050" s="755"/>
      <c r="H1050" s="773"/>
      <c r="I1050" s="740">
        <f>Klima!$C140</f>
        <v>0</v>
      </c>
      <c r="J1050" s="739">
        <v>31</v>
      </c>
      <c r="K1050" s="211"/>
      <c r="L1050" s="223"/>
      <c r="M1050" s="778"/>
      <c r="N1050" s="270">
        <f>IF($F$1045="",0,((Nutzung!$G$29+Regelung-1)+(($H$1046-Nutzung!$G$29)/4)-I1050)*J1050*$D$1045*$E$1045*$F$1045*24/($O$1046*1000))</f>
        <v>0</v>
      </c>
      <c r="O1050" s="253"/>
      <c r="P1050" s="198"/>
      <c r="Q1050" s="198"/>
      <c r="R1050" s="198"/>
      <c r="S1050" s="192"/>
    </row>
    <row r="1051" spans="1:28" hidden="1">
      <c r="A1051" s="192"/>
      <c r="B1051" s="690" t="s">
        <v>411</v>
      </c>
      <c r="C1051" s="14"/>
      <c r="D1051" s="13"/>
      <c r="E1051" s="13"/>
      <c r="F1051" s="689"/>
      <c r="G1051" s="755"/>
      <c r="H1051" s="773"/>
      <c r="I1051" s="740">
        <f>Klima!$C141</f>
        <v>0</v>
      </c>
      <c r="J1051" s="739">
        <v>30</v>
      </c>
      <c r="K1051" s="211"/>
      <c r="L1051" s="223"/>
      <c r="M1051" s="778"/>
      <c r="N1051" s="270">
        <f>IF($F$1045="",0,((Nutzung!$G$29+Regelung-1)+(($H$1046-Nutzung!$G$29)/4)-I1051)*J1051*$D$1045*$E$1045*$F$1045*24/($O$1046*1000))</f>
        <v>0</v>
      </c>
      <c r="O1051" s="253"/>
      <c r="P1051" s="198"/>
      <c r="Q1051" s="198"/>
      <c r="R1051" s="198"/>
      <c r="S1051" s="192"/>
    </row>
    <row r="1052" spans="1:28" hidden="1">
      <c r="A1052" s="192"/>
      <c r="B1052" s="690" t="s">
        <v>221</v>
      </c>
      <c r="C1052" s="14"/>
      <c r="D1052" s="13"/>
      <c r="E1052" s="13"/>
      <c r="F1052" s="689"/>
      <c r="G1052" s="755"/>
      <c r="H1052" s="773"/>
      <c r="I1052" s="740">
        <f>Klima!$C142</f>
        <v>0</v>
      </c>
      <c r="J1052" s="739">
        <v>31</v>
      </c>
      <c r="K1052" s="211"/>
      <c r="L1052" s="223"/>
      <c r="M1052" s="778"/>
      <c r="N1052" s="270">
        <f>IF($F$1045="",0,((Nutzung!$G$29+Regelung-1)+(($H$1046-Nutzung!$G$29)/4)-I1052)*J1052*$D$1045*$E$1045*$F$1045*24/($O$1046*1000))</f>
        <v>0</v>
      </c>
      <c r="O1052" s="253"/>
      <c r="P1052" s="198"/>
      <c r="Q1052" s="198"/>
      <c r="R1052" s="198"/>
      <c r="S1052" s="192"/>
    </row>
    <row r="1053" spans="1:28" hidden="1">
      <c r="A1053" s="192"/>
      <c r="B1053" s="690" t="s">
        <v>138</v>
      </c>
      <c r="C1053" s="14"/>
      <c r="D1053" s="13"/>
      <c r="E1053" s="13"/>
      <c r="F1053" s="689"/>
      <c r="G1053" s="755"/>
      <c r="H1053" s="773"/>
      <c r="I1053" s="740">
        <f>Klima!$C143</f>
        <v>0</v>
      </c>
      <c r="J1053" s="739">
        <v>31</v>
      </c>
      <c r="K1053" s="211"/>
      <c r="L1053" s="223"/>
      <c r="M1053" s="778"/>
      <c r="N1053" s="270">
        <f>IF($F$1045="",0,((Nutzung!$G$29+Regelung-1)+(($H$1046-Nutzung!$G$29)/4)-I1053)*J1053*$D$1045*$E$1045*$F$1045*24/($O$1046*1000))</f>
        <v>0</v>
      </c>
      <c r="O1053" s="253"/>
      <c r="P1053" s="198"/>
      <c r="Q1053" s="198"/>
      <c r="R1053" s="198"/>
      <c r="S1053" s="192"/>
    </row>
    <row r="1054" spans="1:28" hidden="1">
      <c r="A1054" s="192"/>
      <c r="B1054" s="690" t="s">
        <v>139</v>
      </c>
      <c r="C1054" s="14"/>
      <c r="D1054" s="13"/>
      <c r="E1054" s="13"/>
      <c r="F1054" s="689"/>
      <c r="G1054" s="755"/>
      <c r="H1054" s="773"/>
      <c r="I1054" s="740">
        <f>Klima!$C144</f>
        <v>0</v>
      </c>
      <c r="J1054" s="739">
        <v>30</v>
      </c>
      <c r="K1054" s="211"/>
      <c r="L1054" s="223"/>
      <c r="M1054" s="778"/>
      <c r="N1054" s="270">
        <f>IF($F$1045="",0,((Nutzung!$G$29+Regelung-1)+(($H$1046-Nutzung!$G$29)/4)-I1054)*J1054*$D$1045*$E$1045*$F$1045*24/($O$1046*1000))</f>
        <v>0</v>
      </c>
      <c r="O1054" s="253"/>
      <c r="P1054" s="198"/>
      <c r="Q1054" s="198"/>
      <c r="R1054" s="198"/>
      <c r="S1054" s="192"/>
    </row>
    <row r="1055" spans="1:28" hidden="1">
      <c r="A1055" s="192"/>
      <c r="B1055" s="690" t="s">
        <v>269</v>
      </c>
      <c r="C1055" s="14"/>
      <c r="D1055" s="13"/>
      <c r="E1055" s="13"/>
      <c r="F1055" s="689"/>
      <c r="G1055" s="755"/>
      <c r="H1055" s="773"/>
      <c r="I1055" s="740">
        <f>Klima!$C145</f>
        <v>0</v>
      </c>
      <c r="J1055" s="739">
        <v>31</v>
      </c>
      <c r="K1055" s="211"/>
      <c r="L1055" s="223"/>
      <c r="M1055" s="778"/>
      <c r="N1055" s="270">
        <f>IF($F$1045="",0,((Nutzung!$G$29+Regelung-1)+(($H$1046-Nutzung!$G$29)/4)-I1055)*J1055*$D$1045*$E$1045*$F$1045*24/($O$1046*1000))</f>
        <v>0</v>
      </c>
      <c r="O1055" s="253"/>
      <c r="P1055" s="198"/>
      <c r="Q1055" s="198"/>
      <c r="R1055" s="198"/>
      <c r="S1055" s="192"/>
    </row>
    <row r="1056" spans="1:28" hidden="1">
      <c r="A1056" s="192"/>
      <c r="B1056" s="690" t="s">
        <v>366</v>
      </c>
      <c r="C1056" s="14"/>
      <c r="D1056" s="13"/>
      <c r="E1056" s="13"/>
      <c r="F1056" s="689"/>
      <c r="G1056" s="755"/>
      <c r="H1056" s="773"/>
      <c r="I1056" s="740">
        <f>Klima!$C146</f>
        <v>0</v>
      </c>
      <c r="J1056" s="739">
        <v>30</v>
      </c>
      <c r="K1056" s="211"/>
      <c r="L1056" s="223"/>
      <c r="M1056" s="778"/>
      <c r="N1056" s="270">
        <f>IF($F$1045="",0,((Nutzung!$G$29+Regelung-1)+(($H$1046-Nutzung!$G$29)/4)-I1056)*J1056*$D$1045*$E$1045*$F$1045*24/($O$1046*1000))</f>
        <v>0</v>
      </c>
      <c r="O1056" s="253"/>
      <c r="P1056" s="198"/>
      <c r="Q1056" s="198"/>
      <c r="R1056" s="198"/>
      <c r="S1056" s="192"/>
    </row>
    <row r="1057" spans="1:38" hidden="1">
      <c r="A1057" s="192"/>
      <c r="B1057" s="690" t="s">
        <v>465</v>
      </c>
      <c r="C1057" s="14"/>
      <c r="D1057" s="13"/>
      <c r="E1057" s="13"/>
      <c r="F1057" s="689"/>
      <c r="G1057" s="755"/>
      <c r="H1057" s="773"/>
      <c r="I1057" s="740">
        <f>Klima!$C147</f>
        <v>0</v>
      </c>
      <c r="J1057" s="739">
        <v>31</v>
      </c>
      <c r="K1057" s="211"/>
      <c r="L1057" s="223"/>
      <c r="M1057" s="778"/>
      <c r="N1057" s="270">
        <f>IF($F$1045="",0,((Nutzung!$G$29+Regelung-1)+(($H$1046-Nutzung!$G$29)/4)-I1057)*J1057*$D$1045*$E$1045*$F$1045*24/($O$1046*1000))</f>
        <v>0</v>
      </c>
      <c r="O1057" s="253"/>
      <c r="P1057" s="198"/>
      <c r="Q1057" s="198"/>
      <c r="R1057" s="198"/>
      <c r="S1057" s="192"/>
    </row>
    <row r="1058" spans="1:38" ht="10.95" customHeight="1">
      <c r="A1058" s="203" t="str">
        <f>A944</f>
        <v>0</v>
      </c>
      <c r="B1058" s="648"/>
      <c r="C1058" s="656"/>
      <c r="D1058" s="657"/>
      <c r="E1058" s="658"/>
      <c r="F1058" s="664"/>
      <c r="G1058" s="659"/>
      <c r="H1058" s="210"/>
      <c r="I1058" s="198"/>
      <c r="J1058" s="241"/>
      <c r="K1058" s="211"/>
      <c r="L1058" s="220" t="str">
        <f>IF(F1058="","",Nutzung!$G$29)</f>
        <v/>
      </c>
      <c r="M1058" s="771" t="str">
        <f>IF(D1058="","",AB1058)</f>
        <v/>
      </c>
      <c r="N1058" s="214">
        <f>IF(F1058=0,0,SUM(N1059:N1070))</f>
        <v>0</v>
      </c>
      <c r="O1058" s="215" t="str">
        <f>IF(N1058/$O$1370=0,"",N1058/$O$1370)</f>
        <v/>
      </c>
      <c r="P1058" s="198"/>
      <c r="Q1058" s="198"/>
      <c r="R1058" s="198"/>
      <c r="S1058" s="192"/>
      <c r="T1058" s="182">
        <f>D1058*E1058*F1058</f>
        <v>0</v>
      </c>
      <c r="AA1058" s="318">
        <f>IF(D1058="",0,1)</f>
        <v>0</v>
      </c>
      <c r="AB1058" s="318">
        <f>AB1045+AA1058</f>
        <v>0</v>
      </c>
    </row>
    <row r="1059" spans="1:38" s="234" customFormat="1" ht="10.199999999999999" hidden="1">
      <c r="A1059" s="199"/>
      <c r="B1059" s="690" t="s">
        <v>49</v>
      </c>
      <c r="C1059" s="20"/>
      <c r="D1059" s="26"/>
      <c r="E1059" s="745"/>
      <c r="F1059" s="774"/>
      <c r="G1059" s="754"/>
      <c r="H1059" s="773" t="str">
        <f>IF($L$1058&lt;Nutzung!$G$29,Nutzung!$G$29,$L$1058)</f>
        <v/>
      </c>
      <c r="I1059" s="268"/>
      <c r="J1059" s="199"/>
      <c r="K1059" s="272">
        <f>IF(L1058="",Nutzung!$G$29,Bauteile!L1058)</f>
        <v>0</v>
      </c>
      <c r="L1059" s="223"/>
      <c r="M1059" s="777"/>
      <c r="N1059" s="269">
        <f>IF($F$1058="",0,((Nutzung!$G$29+Regelung-1)+(($H$1059-Nutzung!$G$29)/4)-I1046)*J1046*$D$1058*$E$1058*$F$1058*24/($O$1046*1000))</f>
        <v>0</v>
      </c>
      <c r="O1059" s="253"/>
      <c r="P1059" s="201"/>
      <c r="Q1059" s="201"/>
      <c r="R1059" s="201"/>
      <c r="S1059" s="199"/>
      <c r="Z1059" s="321"/>
      <c r="AA1059" s="318"/>
      <c r="AB1059" s="321"/>
      <c r="AC1059" s="321"/>
      <c r="AD1059" s="321"/>
      <c r="AE1059" s="321"/>
      <c r="AF1059" s="321"/>
      <c r="AG1059" s="321"/>
      <c r="AH1059" s="321"/>
      <c r="AI1059" s="321"/>
      <c r="AJ1059" s="321"/>
      <c r="AK1059" s="321"/>
      <c r="AL1059" s="300"/>
    </row>
    <row r="1060" spans="1:38" s="234" customFormat="1" ht="10.199999999999999" hidden="1">
      <c r="A1060" s="199"/>
      <c r="B1060" s="690" t="s">
        <v>554</v>
      </c>
      <c r="C1060" s="26"/>
      <c r="D1060" s="26"/>
      <c r="E1060" s="26"/>
      <c r="F1060" s="689"/>
      <c r="G1060" s="26"/>
      <c r="H1060" s="271"/>
      <c r="I1060" s="268"/>
      <c r="J1060" s="199"/>
      <c r="K1060" s="212"/>
      <c r="L1060" s="223"/>
      <c r="M1060" s="778"/>
      <c r="N1060" s="269">
        <f>IF($F$1058="",0,((Nutzung!$G$29+Regelung-1)+(($H$1059-Nutzung!$G$29)/4)-I1047)*J1047*$D$1058*$E$1058*$F$1058*24/($O$1046*1000))</f>
        <v>0</v>
      </c>
      <c r="O1060" s="253"/>
      <c r="P1060" s="201"/>
      <c r="Q1060" s="201"/>
      <c r="R1060" s="201"/>
      <c r="S1060" s="199"/>
      <c r="Z1060" s="321"/>
      <c r="AA1060" s="318"/>
      <c r="AB1060" s="321"/>
      <c r="AC1060" s="321"/>
      <c r="AD1060" s="321"/>
      <c r="AE1060" s="321"/>
      <c r="AF1060" s="321"/>
      <c r="AG1060" s="321"/>
      <c r="AH1060" s="321"/>
      <c r="AI1060" s="321"/>
      <c r="AJ1060" s="321"/>
      <c r="AK1060" s="321"/>
      <c r="AL1060" s="300"/>
    </row>
    <row r="1061" spans="1:38" s="234" customFormat="1" ht="10.199999999999999" hidden="1">
      <c r="A1061" s="199"/>
      <c r="B1061" s="690" t="s">
        <v>306</v>
      </c>
      <c r="C1061" s="26"/>
      <c r="D1061" s="26"/>
      <c r="E1061" s="26"/>
      <c r="F1061" s="689"/>
      <c r="G1061" s="26"/>
      <c r="H1061" s="271"/>
      <c r="I1061" s="268"/>
      <c r="J1061" s="199"/>
      <c r="K1061" s="212"/>
      <c r="L1061" s="223"/>
      <c r="M1061" s="778"/>
      <c r="N1061" s="269">
        <f>IF($F$1058="",0,((Nutzung!$G$29+Regelung-1)+(($H$1059-Nutzung!$G$29)/4)-I1048)*J1048*$D$1058*$E$1058*$F$1058*24/($O$1046*1000))</f>
        <v>0</v>
      </c>
      <c r="O1061" s="253"/>
      <c r="P1061" s="201"/>
      <c r="Q1061" s="201"/>
      <c r="R1061" s="201"/>
      <c r="S1061" s="199"/>
      <c r="Z1061" s="321"/>
      <c r="AA1061" s="318"/>
      <c r="AB1061" s="321"/>
      <c r="AC1061" s="321"/>
      <c r="AD1061" s="321"/>
      <c r="AE1061" s="321"/>
      <c r="AF1061" s="321"/>
      <c r="AG1061" s="321"/>
      <c r="AH1061" s="321"/>
      <c r="AI1061" s="321"/>
      <c r="AJ1061" s="321"/>
      <c r="AK1061" s="321"/>
      <c r="AL1061" s="300"/>
    </row>
    <row r="1062" spans="1:38" s="234" customFormat="1" ht="10.199999999999999" hidden="1">
      <c r="A1062" s="199"/>
      <c r="B1062" s="690" t="s">
        <v>409</v>
      </c>
      <c r="C1062" s="26"/>
      <c r="D1062" s="26"/>
      <c r="E1062" s="26"/>
      <c r="F1062" s="689"/>
      <c r="G1062" s="26"/>
      <c r="H1062" s="271"/>
      <c r="I1062" s="268"/>
      <c r="J1062" s="199"/>
      <c r="K1062" s="212"/>
      <c r="L1062" s="223"/>
      <c r="M1062" s="778"/>
      <c r="N1062" s="269">
        <f>IF($F$1058="",0,((Nutzung!$G$29+Regelung-1)+(($H$1059-Nutzung!$G$29)/4)-I1049)*J1049*$D$1058*$E$1058*$F$1058*24/($O$1046*1000))</f>
        <v>0</v>
      </c>
      <c r="O1062" s="253"/>
      <c r="P1062" s="201"/>
      <c r="Q1062" s="201"/>
      <c r="R1062" s="201"/>
      <c r="S1062" s="199"/>
      <c r="Z1062" s="321"/>
      <c r="AA1062" s="318"/>
      <c r="AB1062" s="321"/>
      <c r="AC1062" s="321"/>
      <c r="AD1062" s="321"/>
      <c r="AE1062" s="321"/>
      <c r="AF1062" s="321"/>
      <c r="AG1062" s="321"/>
      <c r="AH1062" s="321"/>
      <c r="AI1062" s="321"/>
      <c r="AJ1062" s="321"/>
      <c r="AK1062" s="321"/>
      <c r="AL1062" s="300"/>
    </row>
    <row r="1063" spans="1:38" s="234" customFormat="1" ht="10.199999999999999" hidden="1">
      <c r="A1063" s="199"/>
      <c r="B1063" s="690" t="s">
        <v>410</v>
      </c>
      <c r="C1063" s="26"/>
      <c r="D1063" s="26"/>
      <c r="E1063" s="26"/>
      <c r="F1063" s="689"/>
      <c r="G1063" s="26"/>
      <c r="H1063" s="271"/>
      <c r="I1063" s="268"/>
      <c r="J1063" s="199"/>
      <c r="K1063" s="212"/>
      <c r="L1063" s="223"/>
      <c r="M1063" s="778"/>
      <c r="N1063" s="269">
        <f>IF($F$1058="",0,((Nutzung!$G$29+Regelung-1)+(($H$1059-Nutzung!$G$29)/4)-I1050)*J1050*$D$1058*$E$1058*$F$1058*24/($O$1046*1000))</f>
        <v>0</v>
      </c>
      <c r="O1063" s="253"/>
      <c r="P1063" s="201"/>
      <c r="Q1063" s="201"/>
      <c r="R1063" s="201"/>
      <c r="S1063" s="199"/>
      <c r="Z1063" s="321"/>
      <c r="AA1063" s="318"/>
      <c r="AB1063" s="321"/>
      <c r="AC1063" s="321"/>
      <c r="AD1063" s="321"/>
      <c r="AE1063" s="321"/>
      <c r="AF1063" s="321"/>
      <c r="AG1063" s="321"/>
      <c r="AH1063" s="321"/>
      <c r="AI1063" s="321"/>
      <c r="AJ1063" s="321"/>
      <c r="AK1063" s="321"/>
      <c r="AL1063" s="300"/>
    </row>
    <row r="1064" spans="1:38" s="234" customFormat="1" ht="10.199999999999999" hidden="1">
      <c r="A1064" s="199"/>
      <c r="B1064" s="690" t="s">
        <v>411</v>
      </c>
      <c r="C1064" s="26"/>
      <c r="D1064" s="26"/>
      <c r="E1064" s="26"/>
      <c r="F1064" s="689"/>
      <c r="G1064" s="26"/>
      <c r="H1064" s="271"/>
      <c r="I1064" s="268"/>
      <c r="J1064" s="199"/>
      <c r="K1064" s="212"/>
      <c r="L1064" s="223"/>
      <c r="M1064" s="778"/>
      <c r="N1064" s="269">
        <f>IF($F$1058="",0,((Nutzung!$G$29+Regelung-1)+(($H$1059-Nutzung!$G$29)/4)-I1051)*J1051*$D$1058*$E$1058*$F$1058*24/($O$1046*1000))</f>
        <v>0</v>
      </c>
      <c r="O1064" s="253"/>
      <c r="P1064" s="201"/>
      <c r="Q1064" s="201"/>
      <c r="R1064" s="201"/>
      <c r="S1064" s="199"/>
      <c r="Z1064" s="321"/>
      <c r="AA1064" s="318"/>
      <c r="AB1064" s="321"/>
      <c r="AC1064" s="321"/>
      <c r="AD1064" s="321"/>
      <c r="AE1064" s="321"/>
      <c r="AF1064" s="321"/>
      <c r="AG1064" s="321"/>
      <c r="AH1064" s="321"/>
      <c r="AI1064" s="321"/>
      <c r="AJ1064" s="321"/>
      <c r="AK1064" s="321"/>
      <c r="AL1064" s="300"/>
    </row>
    <row r="1065" spans="1:38" s="234" customFormat="1" ht="10.199999999999999" hidden="1">
      <c r="A1065" s="199"/>
      <c r="B1065" s="690" t="s">
        <v>221</v>
      </c>
      <c r="C1065" s="26"/>
      <c r="D1065" s="26"/>
      <c r="E1065" s="26"/>
      <c r="F1065" s="689"/>
      <c r="G1065" s="26"/>
      <c r="H1065" s="271"/>
      <c r="I1065" s="268"/>
      <c r="J1065" s="199"/>
      <c r="K1065" s="212"/>
      <c r="L1065" s="223"/>
      <c r="M1065" s="778"/>
      <c r="N1065" s="269">
        <f>IF($F$1058="",0,((Nutzung!$G$29+Regelung-1)+(($H$1059-Nutzung!$G$29)/4)-I1052)*J1052*$D$1058*$E$1058*$F$1058*24/($O$1046*1000))</f>
        <v>0</v>
      </c>
      <c r="O1065" s="253"/>
      <c r="P1065" s="201"/>
      <c r="Q1065" s="201"/>
      <c r="R1065" s="201"/>
      <c r="S1065" s="199"/>
      <c r="Z1065" s="321"/>
      <c r="AA1065" s="318"/>
      <c r="AB1065" s="321"/>
      <c r="AC1065" s="321"/>
      <c r="AD1065" s="321"/>
      <c r="AE1065" s="321"/>
      <c r="AF1065" s="321"/>
      <c r="AG1065" s="321"/>
      <c r="AH1065" s="321"/>
      <c r="AI1065" s="321"/>
      <c r="AJ1065" s="321"/>
      <c r="AK1065" s="321"/>
      <c r="AL1065" s="300"/>
    </row>
    <row r="1066" spans="1:38" s="234" customFormat="1" ht="10.199999999999999" hidden="1">
      <c r="A1066" s="199"/>
      <c r="B1066" s="690" t="s">
        <v>138</v>
      </c>
      <c r="C1066" s="26"/>
      <c r="D1066" s="26"/>
      <c r="E1066" s="26"/>
      <c r="F1066" s="689"/>
      <c r="G1066" s="26"/>
      <c r="H1066" s="271"/>
      <c r="I1066" s="268"/>
      <c r="J1066" s="199"/>
      <c r="K1066" s="212"/>
      <c r="L1066" s="223"/>
      <c r="M1066" s="778"/>
      <c r="N1066" s="269">
        <f>IF($F$1058="",0,((Nutzung!$G$29+Regelung-1)+(($H$1059-Nutzung!$G$29)/4)-I1053)*J1053*$D$1058*$E$1058*$F$1058*24/($O$1046*1000))</f>
        <v>0</v>
      </c>
      <c r="O1066" s="253"/>
      <c r="P1066" s="201"/>
      <c r="Q1066" s="201"/>
      <c r="R1066" s="201"/>
      <c r="S1066" s="199"/>
      <c r="Z1066" s="321"/>
      <c r="AA1066" s="318"/>
      <c r="AB1066" s="321"/>
      <c r="AC1066" s="321"/>
      <c r="AD1066" s="321"/>
      <c r="AE1066" s="321"/>
      <c r="AF1066" s="321"/>
      <c r="AG1066" s="321"/>
      <c r="AH1066" s="321"/>
      <c r="AI1066" s="321"/>
      <c r="AJ1066" s="321"/>
      <c r="AK1066" s="321"/>
      <c r="AL1066" s="300"/>
    </row>
    <row r="1067" spans="1:38" s="234" customFormat="1" ht="10.199999999999999" hidden="1">
      <c r="A1067" s="199"/>
      <c r="B1067" s="690" t="s">
        <v>139</v>
      </c>
      <c r="C1067" s="26"/>
      <c r="D1067" s="26"/>
      <c r="E1067" s="26"/>
      <c r="F1067" s="689"/>
      <c r="G1067" s="26"/>
      <c r="H1067" s="271"/>
      <c r="I1067" s="268"/>
      <c r="J1067" s="199"/>
      <c r="K1067" s="212"/>
      <c r="L1067" s="223"/>
      <c r="M1067" s="778"/>
      <c r="N1067" s="269">
        <f>IF($F$1058="",0,((Nutzung!$G$29+Regelung-1)+(($H$1059-Nutzung!$G$29)/4)-I1054)*J1054*$D$1058*$E$1058*$F$1058*24/($O$1046*1000))</f>
        <v>0</v>
      </c>
      <c r="O1067" s="253"/>
      <c r="P1067" s="201"/>
      <c r="Q1067" s="201"/>
      <c r="R1067" s="201"/>
      <c r="S1067" s="199"/>
      <c r="Z1067" s="321"/>
      <c r="AA1067" s="318"/>
      <c r="AB1067" s="321"/>
      <c r="AC1067" s="321"/>
      <c r="AD1067" s="321"/>
      <c r="AE1067" s="321"/>
      <c r="AF1067" s="321"/>
      <c r="AG1067" s="321"/>
      <c r="AH1067" s="321"/>
      <c r="AI1067" s="321"/>
      <c r="AJ1067" s="321"/>
      <c r="AK1067" s="321"/>
      <c r="AL1067" s="300"/>
    </row>
    <row r="1068" spans="1:38" s="234" customFormat="1" ht="10.199999999999999" hidden="1">
      <c r="A1068" s="199"/>
      <c r="B1068" s="690" t="s">
        <v>269</v>
      </c>
      <c r="C1068" s="26"/>
      <c r="D1068" s="26"/>
      <c r="E1068" s="26"/>
      <c r="F1068" s="689"/>
      <c r="G1068" s="26"/>
      <c r="H1068" s="271"/>
      <c r="I1068" s="268"/>
      <c r="J1068" s="199"/>
      <c r="K1068" s="212"/>
      <c r="L1068" s="223"/>
      <c r="M1068" s="778"/>
      <c r="N1068" s="269">
        <f>IF($F$1058="",0,((Nutzung!$G$29+Regelung-1)+(($H$1059-Nutzung!$G$29)/4)-I1055)*J1055*$D$1058*$E$1058*$F$1058*24/($O$1046*1000))</f>
        <v>0</v>
      </c>
      <c r="O1068" s="253"/>
      <c r="P1068" s="201"/>
      <c r="Q1068" s="201"/>
      <c r="R1068" s="201"/>
      <c r="S1068" s="199"/>
      <c r="Z1068" s="321"/>
      <c r="AA1068" s="318"/>
      <c r="AB1068" s="321"/>
      <c r="AC1068" s="321"/>
      <c r="AD1068" s="321"/>
      <c r="AE1068" s="321"/>
      <c r="AF1068" s="321"/>
      <c r="AG1068" s="321"/>
      <c r="AH1068" s="321"/>
      <c r="AI1068" s="321"/>
      <c r="AJ1068" s="321"/>
      <c r="AK1068" s="321"/>
      <c r="AL1068" s="300"/>
    </row>
    <row r="1069" spans="1:38" s="234" customFormat="1" ht="10.199999999999999" hidden="1">
      <c r="A1069" s="199"/>
      <c r="B1069" s="690" t="s">
        <v>366</v>
      </c>
      <c r="C1069" s="26"/>
      <c r="D1069" s="26"/>
      <c r="E1069" s="26"/>
      <c r="F1069" s="689"/>
      <c r="G1069" s="26"/>
      <c r="H1069" s="271"/>
      <c r="I1069" s="268"/>
      <c r="J1069" s="199"/>
      <c r="K1069" s="212"/>
      <c r="L1069" s="223"/>
      <c r="M1069" s="778"/>
      <c r="N1069" s="269">
        <f>IF($F$1058="",0,((Nutzung!$G$29+Regelung-1)+(($H$1059-Nutzung!$G$29)/4)-I1056)*J1056*$D$1058*$E$1058*$F$1058*24/($O$1046*1000))</f>
        <v>0</v>
      </c>
      <c r="O1069" s="253"/>
      <c r="P1069" s="201"/>
      <c r="Q1069" s="201"/>
      <c r="R1069" s="201"/>
      <c r="S1069" s="199"/>
      <c r="Z1069" s="321"/>
      <c r="AA1069" s="318"/>
      <c r="AB1069" s="321"/>
      <c r="AC1069" s="321"/>
      <c r="AD1069" s="321"/>
      <c r="AE1069" s="321"/>
      <c r="AF1069" s="321"/>
      <c r="AG1069" s="321"/>
      <c r="AH1069" s="321"/>
      <c r="AI1069" s="321"/>
      <c r="AJ1069" s="321"/>
      <c r="AK1069" s="321"/>
      <c r="AL1069" s="300"/>
    </row>
    <row r="1070" spans="1:38" s="234" customFormat="1" ht="10.199999999999999" hidden="1">
      <c r="A1070" s="199"/>
      <c r="B1070" s="690" t="s">
        <v>465</v>
      </c>
      <c r="C1070" s="26"/>
      <c r="D1070" s="26"/>
      <c r="E1070" s="26"/>
      <c r="F1070" s="689"/>
      <c r="G1070" s="26"/>
      <c r="H1070" s="271"/>
      <c r="I1070" s="268"/>
      <c r="J1070" s="199"/>
      <c r="K1070" s="212"/>
      <c r="L1070" s="223"/>
      <c r="M1070" s="778"/>
      <c r="N1070" s="269">
        <f>IF($F$1058="",0,((Nutzung!$G$29+Regelung-1)+(($H$1059-Nutzung!$G$29)/4)-I1057)*J1057*$D$1058*$E$1058*$F$1058*24/($O$1046*1000))</f>
        <v>0</v>
      </c>
      <c r="O1070" s="253"/>
      <c r="P1070" s="201"/>
      <c r="Q1070" s="201"/>
      <c r="R1070" s="201"/>
      <c r="S1070" s="199"/>
      <c r="Z1070" s="321"/>
      <c r="AA1070" s="318"/>
      <c r="AB1070" s="321"/>
      <c r="AC1070" s="321"/>
      <c r="AD1070" s="321"/>
      <c r="AE1070" s="321"/>
      <c r="AF1070" s="321"/>
      <c r="AG1070" s="321"/>
      <c r="AH1070" s="321"/>
      <c r="AI1070" s="321"/>
      <c r="AJ1070" s="321"/>
      <c r="AK1070" s="321"/>
      <c r="AL1070" s="300"/>
    </row>
    <row r="1071" spans="1:38" ht="10.95" customHeight="1">
      <c r="A1071" s="192"/>
      <c r="B1071" s="648"/>
      <c r="C1071" s="656"/>
      <c r="D1071" s="657"/>
      <c r="E1071" s="658"/>
      <c r="F1071" s="664"/>
      <c r="G1071" s="659"/>
      <c r="H1071" s="210"/>
      <c r="I1071" s="198"/>
      <c r="J1071" s="241"/>
      <c r="K1071" s="211"/>
      <c r="L1071" s="220" t="str">
        <f>IF(F1071="","",Nutzung!$G$29)</f>
        <v/>
      </c>
      <c r="M1071" s="771" t="str">
        <f>IF(D1071="","",AB1071)</f>
        <v/>
      </c>
      <c r="N1071" s="214">
        <f>IF(F1071=0,0,SUM(N1072:N1083))</f>
        <v>0</v>
      </c>
      <c r="O1071" s="215" t="str">
        <f>IF(N1071/$O$1370=0,"",N1071/$O$1370)</f>
        <v/>
      </c>
      <c r="P1071" s="198"/>
      <c r="Q1071" s="198"/>
      <c r="R1071" s="198"/>
      <c r="S1071" s="192"/>
      <c r="T1071" s="182">
        <f>D1071*E1071*F1071</f>
        <v>0</v>
      </c>
      <c r="AA1071" s="318">
        <f>IF(D1071="",0,1)</f>
        <v>0</v>
      </c>
      <c r="AB1071" s="318">
        <f>AB1058+AA1071</f>
        <v>0</v>
      </c>
    </row>
    <row r="1072" spans="1:38" s="234" customFormat="1" ht="10.199999999999999" hidden="1">
      <c r="A1072" s="199"/>
      <c r="B1072" s="690" t="s">
        <v>49</v>
      </c>
      <c r="C1072" s="20"/>
      <c r="D1072" s="26"/>
      <c r="E1072" s="745"/>
      <c r="F1072" s="774"/>
      <c r="G1072" s="754"/>
      <c r="H1072" s="773" t="str">
        <f>IF($L$1071&lt;Nutzung!$G$29,Nutzung!$G$29,$L$1071)</f>
        <v/>
      </c>
      <c r="I1072" s="268"/>
      <c r="J1072" s="199"/>
      <c r="K1072" s="272">
        <f>IF(L1071="",Nutzung!$G$29,Bauteile!L1071)</f>
        <v>0</v>
      </c>
      <c r="L1072" s="223"/>
      <c r="M1072" s="777"/>
      <c r="N1072" s="269">
        <f>IF($F$1071="",0,((Nutzung!$G$29+Regelung-1)+(($H$1072-Nutzung!$G$29)/4)-I1046)*J1046*$D$1071*$E$1071*$F$1071*24/($O$1046*1000))</f>
        <v>0</v>
      </c>
      <c r="O1072" s="253"/>
      <c r="P1072" s="201"/>
      <c r="Q1072" s="201"/>
      <c r="R1072" s="201"/>
      <c r="S1072" s="199"/>
      <c r="Z1072" s="321"/>
      <c r="AA1072" s="318"/>
      <c r="AB1072" s="321"/>
      <c r="AC1072" s="321"/>
      <c r="AD1072" s="321"/>
      <c r="AE1072" s="321"/>
      <c r="AF1072" s="321"/>
      <c r="AG1072" s="321"/>
      <c r="AH1072" s="321"/>
      <c r="AI1072" s="321"/>
      <c r="AJ1072" s="321"/>
      <c r="AK1072" s="321"/>
      <c r="AL1072" s="300"/>
    </row>
    <row r="1073" spans="1:38" s="234" customFormat="1" ht="10.199999999999999" hidden="1">
      <c r="A1073" s="199"/>
      <c r="B1073" s="690" t="s">
        <v>554</v>
      </c>
      <c r="C1073" s="26"/>
      <c r="D1073" s="26"/>
      <c r="E1073" s="26"/>
      <c r="F1073" s="689"/>
      <c r="G1073" s="26"/>
      <c r="H1073" s="271"/>
      <c r="I1073" s="268"/>
      <c r="J1073" s="199"/>
      <c r="K1073" s="212"/>
      <c r="L1073" s="223"/>
      <c r="M1073" s="778"/>
      <c r="N1073" s="269">
        <f>IF($F$1071="",0,((Nutzung!$G$29+Regelung-1)+(($H$1072-Nutzung!$G$29)/4)-I1047)*J1047*$D$1071*$E$1071*$F$1071*24/($O$1046*1000))</f>
        <v>0</v>
      </c>
      <c r="O1073" s="253"/>
      <c r="P1073" s="201"/>
      <c r="Q1073" s="201"/>
      <c r="R1073" s="201"/>
      <c r="S1073" s="199"/>
      <c r="Z1073" s="321"/>
      <c r="AA1073" s="318"/>
      <c r="AB1073" s="321"/>
      <c r="AC1073" s="321"/>
      <c r="AD1073" s="321"/>
      <c r="AE1073" s="321"/>
      <c r="AF1073" s="321"/>
      <c r="AG1073" s="321"/>
      <c r="AH1073" s="321"/>
      <c r="AI1073" s="321"/>
      <c r="AJ1073" s="321"/>
      <c r="AK1073" s="321"/>
      <c r="AL1073" s="300"/>
    </row>
    <row r="1074" spans="1:38" s="234" customFormat="1" ht="10.199999999999999" hidden="1">
      <c r="A1074" s="199"/>
      <c r="B1074" s="690" t="s">
        <v>306</v>
      </c>
      <c r="C1074" s="26"/>
      <c r="D1074" s="26"/>
      <c r="E1074" s="26"/>
      <c r="F1074" s="689"/>
      <c r="G1074" s="26"/>
      <c r="H1074" s="271"/>
      <c r="I1074" s="268"/>
      <c r="J1074" s="199"/>
      <c r="K1074" s="212"/>
      <c r="L1074" s="223"/>
      <c r="M1074" s="778"/>
      <c r="N1074" s="269">
        <f>IF($F$1071="",0,((Nutzung!$G$29+Regelung-1)+(($H$1072-Nutzung!$G$29)/4)-I1048)*J1048*$D$1071*$E$1071*$F$1071*24/($O$1046*1000))</f>
        <v>0</v>
      </c>
      <c r="O1074" s="253"/>
      <c r="P1074" s="201"/>
      <c r="Q1074" s="201"/>
      <c r="R1074" s="201"/>
      <c r="S1074" s="199"/>
      <c r="Z1074" s="321"/>
      <c r="AA1074" s="318"/>
      <c r="AB1074" s="321"/>
      <c r="AC1074" s="321"/>
      <c r="AD1074" s="321"/>
      <c r="AE1074" s="321"/>
      <c r="AF1074" s="321"/>
      <c r="AG1074" s="321"/>
      <c r="AH1074" s="321"/>
      <c r="AI1074" s="321"/>
      <c r="AJ1074" s="321"/>
      <c r="AK1074" s="321"/>
      <c r="AL1074" s="300"/>
    </row>
    <row r="1075" spans="1:38" s="234" customFormat="1" ht="10.199999999999999" hidden="1">
      <c r="A1075" s="199"/>
      <c r="B1075" s="690" t="s">
        <v>409</v>
      </c>
      <c r="C1075" s="26"/>
      <c r="D1075" s="26"/>
      <c r="E1075" s="26"/>
      <c r="F1075" s="689"/>
      <c r="G1075" s="26"/>
      <c r="H1075" s="271"/>
      <c r="I1075" s="268"/>
      <c r="J1075" s="199"/>
      <c r="K1075" s="212"/>
      <c r="L1075" s="223"/>
      <c r="M1075" s="778"/>
      <c r="N1075" s="269">
        <f>IF($F$1071="",0,((Nutzung!$G$29+Regelung-1)+(($H$1072-Nutzung!$G$29)/4)-I1049)*J1049*$D$1071*$E$1071*$F$1071*24/($O$1046*1000))</f>
        <v>0</v>
      </c>
      <c r="O1075" s="253"/>
      <c r="P1075" s="201"/>
      <c r="Q1075" s="201"/>
      <c r="R1075" s="201"/>
      <c r="S1075" s="199"/>
      <c r="Z1075" s="321"/>
      <c r="AA1075" s="318"/>
      <c r="AB1075" s="321"/>
      <c r="AC1075" s="321"/>
      <c r="AD1075" s="321"/>
      <c r="AE1075" s="321"/>
      <c r="AF1075" s="321"/>
      <c r="AG1075" s="321"/>
      <c r="AH1075" s="321"/>
      <c r="AI1075" s="321"/>
      <c r="AJ1075" s="321"/>
      <c r="AK1075" s="321"/>
      <c r="AL1075" s="300"/>
    </row>
    <row r="1076" spans="1:38" s="234" customFormat="1" ht="10.199999999999999" hidden="1">
      <c r="A1076" s="199"/>
      <c r="B1076" s="690" t="s">
        <v>410</v>
      </c>
      <c r="C1076" s="26"/>
      <c r="D1076" s="26"/>
      <c r="E1076" s="26"/>
      <c r="F1076" s="689"/>
      <c r="G1076" s="26"/>
      <c r="H1076" s="271"/>
      <c r="I1076" s="268"/>
      <c r="J1076" s="199"/>
      <c r="K1076" s="212"/>
      <c r="L1076" s="223"/>
      <c r="M1076" s="778"/>
      <c r="N1076" s="269">
        <f>IF($F$1071="",0,((Nutzung!$G$29+Regelung-1)+(($H$1072-Nutzung!$G$29)/4)-I1050)*J1050*$D$1071*$E$1071*$F$1071*24/($O$1046*1000))</f>
        <v>0</v>
      </c>
      <c r="O1076" s="253"/>
      <c r="P1076" s="201"/>
      <c r="Q1076" s="201"/>
      <c r="R1076" s="201"/>
      <c r="S1076" s="199"/>
      <c r="Z1076" s="321"/>
      <c r="AA1076" s="318"/>
      <c r="AB1076" s="321"/>
      <c r="AC1076" s="321"/>
      <c r="AD1076" s="321"/>
      <c r="AE1076" s="321"/>
      <c r="AF1076" s="321"/>
      <c r="AG1076" s="321"/>
      <c r="AH1076" s="321"/>
      <c r="AI1076" s="321"/>
      <c r="AJ1076" s="321"/>
      <c r="AK1076" s="321"/>
      <c r="AL1076" s="300"/>
    </row>
    <row r="1077" spans="1:38" s="234" customFormat="1" ht="10.199999999999999" hidden="1">
      <c r="A1077" s="199"/>
      <c r="B1077" s="690" t="s">
        <v>411</v>
      </c>
      <c r="C1077" s="26"/>
      <c r="D1077" s="26"/>
      <c r="E1077" s="26"/>
      <c r="F1077" s="689"/>
      <c r="G1077" s="26"/>
      <c r="H1077" s="271"/>
      <c r="I1077" s="268"/>
      <c r="J1077" s="199"/>
      <c r="K1077" s="212"/>
      <c r="L1077" s="223"/>
      <c r="M1077" s="778"/>
      <c r="N1077" s="269">
        <f>IF($F$1071="",0,((Nutzung!$G$29+Regelung-1)+(($H$1072-Nutzung!$G$29)/4)-I1051)*J1051*$D$1071*$E$1071*$F$1071*24/($O$1046*1000))</f>
        <v>0</v>
      </c>
      <c r="O1077" s="253"/>
      <c r="P1077" s="201"/>
      <c r="Q1077" s="201"/>
      <c r="R1077" s="201"/>
      <c r="S1077" s="199"/>
      <c r="Z1077" s="321"/>
      <c r="AA1077" s="318"/>
      <c r="AB1077" s="321"/>
      <c r="AC1077" s="321"/>
      <c r="AD1077" s="321"/>
      <c r="AE1077" s="321"/>
      <c r="AF1077" s="321"/>
      <c r="AG1077" s="321"/>
      <c r="AH1077" s="321"/>
      <c r="AI1077" s="321"/>
      <c r="AJ1077" s="321"/>
      <c r="AK1077" s="321"/>
      <c r="AL1077" s="300"/>
    </row>
    <row r="1078" spans="1:38" s="234" customFormat="1" ht="10.199999999999999" hidden="1">
      <c r="A1078" s="199"/>
      <c r="B1078" s="690" t="s">
        <v>221</v>
      </c>
      <c r="C1078" s="26"/>
      <c r="D1078" s="26"/>
      <c r="E1078" s="26"/>
      <c r="F1078" s="689"/>
      <c r="G1078" s="26"/>
      <c r="H1078" s="271"/>
      <c r="I1078" s="268"/>
      <c r="J1078" s="199"/>
      <c r="K1078" s="212"/>
      <c r="L1078" s="223"/>
      <c r="M1078" s="778"/>
      <c r="N1078" s="269">
        <f>IF($F$1071="",0,((Nutzung!$G$29+Regelung-1)+(($H$1072-Nutzung!$G$29)/4)-I1052)*J1052*$D$1071*$E$1071*$F$1071*24/($O$1046*1000))</f>
        <v>0</v>
      </c>
      <c r="O1078" s="253"/>
      <c r="P1078" s="201"/>
      <c r="Q1078" s="201"/>
      <c r="R1078" s="201"/>
      <c r="S1078" s="199"/>
      <c r="Z1078" s="321"/>
      <c r="AA1078" s="318"/>
      <c r="AB1078" s="321"/>
      <c r="AC1078" s="321"/>
      <c r="AD1078" s="321"/>
      <c r="AE1078" s="321"/>
      <c r="AF1078" s="321"/>
      <c r="AG1078" s="321"/>
      <c r="AH1078" s="321"/>
      <c r="AI1078" s="321"/>
      <c r="AJ1078" s="321"/>
      <c r="AK1078" s="321"/>
      <c r="AL1078" s="300"/>
    </row>
    <row r="1079" spans="1:38" s="234" customFormat="1" ht="10.199999999999999" hidden="1">
      <c r="A1079" s="199"/>
      <c r="B1079" s="690" t="s">
        <v>138</v>
      </c>
      <c r="C1079" s="26"/>
      <c r="D1079" s="26"/>
      <c r="E1079" s="26"/>
      <c r="F1079" s="689"/>
      <c r="G1079" s="26"/>
      <c r="H1079" s="271"/>
      <c r="I1079" s="268"/>
      <c r="J1079" s="199"/>
      <c r="K1079" s="212"/>
      <c r="L1079" s="223"/>
      <c r="M1079" s="778"/>
      <c r="N1079" s="269">
        <f>IF($F$1071="",0,((Nutzung!$G$29+Regelung-1)+(($H$1072-Nutzung!$G$29)/4)-I1053)*J1053*$D$1071*$E$1071*$F$1071*24/($O$1046*1000))</f>
        <v>0</v>
      </c>
      <c r="O1079" s="253"/>
      <c r="P1079" s="201"/>
      <c r="Q1079" s="201"/>
      <c r="R1079" s="201"/>
      <c r="S1079" s="199"/>
      <c r="Z1079" s="321"/>
      <c r="AA1079" s="318"/>
      <c r="AB1079" s="321"/>
      <c r="AC1079" s="321"/>
      <c r="AD1079" s="321"/>
      <c r="AE1079" s="321"/>
      <c r="AF1079" s="321"/>
      <c r="AG1079" s="321"/>
      <c r="AH1079" s="321"/>
      <c r="AI1079" s="321"/>
      <c r="AJ1079" s="321"/>
      <c r="AK1079" s="321"/>
      <c r="AL1079" s="300"/>
    </row>
    <row r="1080" spans="1:38" s="234" customFormat="1" ht="10.199999999999999" hidden="1">
      <c r="A1080" s="199"/>
      <c r="B1080" s="690" t="s">
        <v>139</v>
      </c>
      <c r="C1080" s="26"/>
      <c r="D1080" s="26"/>
      <c r="E1080" s="26"/>
      <c r="F1080" s="689"/>
      <c r="G1080" s="26"/>
      <c r="H1080" s="271"/>
      <c r="I1080" s="268"/>
      <c r="J1080" s="199"/>
      <c r="K1080" s="212"/>
      <c r="L1080" s="223"/>
      <c r="M1080" s="778"/>
      <c r="N1080" s="269">
        <f>IF($F$1071="",0,((Nutzung!$G$29+Regelung-1)+(($H$1072-Nutzung!$G$29)/4)-I1054)*J1054*$D$1071*$E$1071*$F$1071*24/($O$1046*1000))</f>
        <v>0</v>
      </c>
      <c r="O1080" s="253"/>
      <c r="P1080" s="201"/>
      <c r="Q1080" s="201"/>
      <c r="R1080" s="201"/>
      <c r="S1080" s="199"/>
      <c r="Z1080" s="321"/>
      <c r="AA1080" s="318"/>
      <c r="AB1080" s="321"/>
      <c r="AC1080" s="321"/>
      <c r="AD1080" s="321"/>
      <c r="AE1080" s="321"/>
      <c r="AF1080" s="321"/>
      <c r="AG1080" s="321"/>
      <c r="AH1080" s="321"/>
      <c r="AI1080" s="321"/>
      <c r="AJ1080" s="321"/>
      <c r="AK1080" s="321"/>
      <c r="AL1080" s="300"/>
    </row>
    <row r="1081" spans="1:38" s="234" customFormat="1" ht="10.199999999999999" hidden="1">
      <c r="A1081" s="199"/>
      <c r="B1081" s="690" t="s">
        <v>269</v>
      </c>
      <c r="C1081" s="26"/>
      <c r="D1081" s="26"/>
      <c r="E1081" s="26"/>
      <c r="F1081" s="689"/>
      <c r="G1081" s="26"/>
      <c r="H1081" s="271"/>
      <c r="I1081" s="268"/>
      <c r="J1081" s="199"/>
      <c r="K1081" s="212"/>
      <c r="L1081" s="223"/>
      <c r="M1081" s="778"/>
      <c r="N1081" s="269">
        <f>IF($F$1071="",0,((Nutzung!$G$29+Regelung-1)+(($H$1072-Nutzung!$G$29)/4)-I1055)*J1055*$D$1071*$E$1071*$F$1071*24/($O$1046*1000))</f>
        <v>0</v>
      </c>
      <c r="O1081" s="253"/>
      <c r="P1081" s="201"/>
      <c r="Q1081" s="201"/>
      <c r="R1081" s="201"/>
      <c r="S1081" s="199"/>
      <c r="Z1081" s="321"/>
      <c r="AA1081" s="318"/>
      <c r="AB1081" s="321"/>
      <c r="AC1081" s="321"/>
      <c r="AD1081" s="321"/>
      <c r="AE1081" s="321"/>
      <c r="AF1081" s="321"/>
      <c r="AG1081" s="321"/>
      <c r="AH1081" s="321"/>
      <c r="AI1081" s="321"/>
      <c r="AJ1081" s="321"/>
      <c r="AK1081" s="321"/>
      <c r="AL1081" s="300"/>
    </row>
    <row r="1082" spans="1:38" s="234" customFormat="1" ht="10.199999999999999" hidden="1">
      <c r="A1082" s="199"/>
      <c r="B1082" s="690" t="s">
        <v>366</v>
      </c>
      <c r="C1082" s="26"/>
      <c r="D1082" s="26"/>
      <c r="E1082" s="26"/>
      <c r="F1082" s="689"/>
      <c r="G1082" s="26"/>
      <c r="H1082" s="271"/>
      <c r="I1082" s="268"/>
      <c r="J1082" s="199"/>
      <c r="K1082" s="212"/>
      <c r="L1082" s="223"/>
      <c r="M1082" s="778"/>
      <c r="N1082" s="269">
        <f>IF($F$1071="",0,((Nutzung!$G$29+Regelung-1)+(($H$1072-Nutzung!$G$29)/4)-I1056)*J1056*$D$1071*$E$1071*$F$1071*24/($O$1046*1000))</f>
        <v>0</v>
      </c>
      <c r="O1082" s="253"/>
      <c r="P1082" s="201"/>
      <c r="Q1082" s="201"/>
      <c r="R1082" s="201"/>
      <c r="S1082" s="199"/>
      <c r="Z1082" s="321"/>
      <c r="AA1082" s="318"/>
      <c r="AB1082" s="321"/>
      <c r="AC1082" s="321"/>
      <c r="AD1082" s="321"/>
      <c r="AE1082" s="321"/>
      <c r="AF1082" s="321"/>
      <c r="AG1082" s="321"/>
      <c r="AH1082" s="321"/>
      <c r="AI1082" s="321"/>
      <c r="AJ1082" s="321"/>
      <c r="AK1082" s="321"/>
      <c r="AL1082" s="300"/>
    </row>
    <row r="1083" spans="1:38" s="234" customFormat="1" ht="10.199999999999999" hidden="1">
      <c r="A1083" s="199"/>
      <c r="B1083" s="690" t="s">
        <v>465</v>
      </c>
      <c r="C1083" s="26"/>
      <c r="D1083" s="26"/>
      <c r="E1083" s="26"/>
      <c r="F1083" s="689"/>
      <c r="G1083" s="26"/>
      <c r="H1083" s="271"/>
      <c r="I1083" s="268"/>
      <c r="J1083" s="199"/>
      <c r="K1083" s="212"/>
      <c r="L1083" s="223"/>
      <c r="M1083" s="778"/>
      <c r="N1083" s="269">
        <f>IF($F$1071="",0,((Nutzung!$G$29+Regelung-1)+(($H$1072-Nutzung!$G$29)/4)-I1057)*J1057*$D$1071*$E$1071*$F$1071*24/($O$1046*1000))</f>
        <v>0</v>
      </c>
      <c r="O1083" s="253"/>
      <c r="P1083" s="201"/>
      <c r="Q1083" s="201"/>
      <c r="R1083" s="201"/>
      <c r="S1083" s="199"/>
      <c r="Z1083" s="321"/>
      <c r="AA1083" s="318"/>
      <c r="AB1083" s="321"/>
      <c r="AC1083" s="321"/>
      <c r="AD1083" s="321"/>
      <c r="AE1083" s="321"/>
      <c r="AF1083" s="321"/>
      <c r="AG1083" s="321"/>
      <c r="AH1083" s="321"/>
      <c r="AI1083" s="321"/>
      <c r="AJ1083" s="321"/>
      <c r="AK1083" s="321"/>
      <c r="AL1083" s="300"/>
    </row>
    <row r="1084" spans="1:38" ht="10.95" customHeight="1">
      <c r="A1084" s="192"/>
      <c r="B1084" s="648"/>
      <c r="C1084" s="656"/>
      <c r="D1084" s="657"/>
      <c r="E1084" s="658"/>
      <c r="F1084" s="664"/>
      <c r="G1084" s="659"/>
      <c r="H1084" s="210"/>
      <c r="I1084" s="198"/>
      <c r="J1084" s="241"/>
      <c r="K1084" s="211"/>
      <c r="L1084" s="220" t="str">
        <f>IF(F1084="","",Nutzung!$G$29)</f>
        <v/>
      </c>
      <c r="M1084" s="771" t="str">
        <f>IF(D1084="","",AB1084)</f>
        <v/>
      </c>
      <c r="N1084" s="214">
        <f>IF(F1084=0,0,SUM(N1085:N1096))</f>
        <v>0</v>
      </c>
      <c r="O1084" s="215" t="str">
        <f>IF(N1084/$O$1370=0,"",N1084/$O$1370)</f>
        <v/>
      </c>
      <c r="P1084" s="198"/>
      <c r="Q1084" s="198"/>
      <c r="R1084" s="198"/>
      <c r="S1084" s="192"/>
      <c r="T1084" s="182">
        <f>D1084*E1084*F1084</f>
        <v>0</v>
      </c>
      <c r="AA1084" s="318">
        <f>IF(D1084="",0,1)</f>
        <v>0</v>
      </c>
      <c r="AB1084" s="318">
        <f>AB1071+AA1084</f>
        <v>0</v>
      </c>
    </row>
    <row r="1085" spans="1:38" hidden="1">
      <c r="A1085" s="192"/>
      <c r="B1085" s="690" t="s">
        <v>49</v>
      </c>
      <c r="C1085" s="14"/>
      <c r="D1085" s="681"/>
      <c r="E1085" s="745"/>
      <c r="F1085" s="774"/>
      <c r="G1085" s="754"/>
      <c r="H1085" s="773" t="str">
        <f>IF($L$1084&lt;Nutzung!$G$29,Nutzung!$G$29,$L$1084)</f>
        <v/>
      </c>
      <c r="I1085" s="268"/>
      <c r="J1085" s="192"/>
      <c r="K1085" s="272">
        <f>IF(L1084="",Nutzung!$G$29,Bauteile!L1084)</f>
        <v>0</v>
      </c>
      <c r="L1085" s="223"/>
      <c r="M1085" s="777"/>
      <c r="N1085" s="270">
        <f>IF($F$1084="",0,((Nutzung!$G$29+Regelung-1)+(($H$1085-Nutzung!$G$29)/4)-I1046)*J1046*$D$1084*$E$1084*$F$1084*24/($O$1046*1000))</f>
        <v>0</v>
      </c>
      <c r="O1085" s="252"/>
      <c r="P1085" s="192"/>
      <c r="Q1085" s="192"/>
      <c r="R1085" s="192"/>
      <c r="S1085" s="192"/>
    </row>
    <row r="1086" spans="1:38" hidden="1">
      <c r="A1086" s="192"/>
      <c r="B1086" s="690" t="s">
        <v>554</v>
      </c>
      <c r="C1086" s="26"/>
      <c r="D1086" s="26"/>
      <c r="E1086" s="26"/>
      <c r="F1086" s="689"/>
      <c r="G1086" s="681"/>
      <c r="H1086" s="271"/>
      <c r="I1086" s="268"/>
      <c r="J1086" s="192"/>
      <c r="K1086" s="211"/>
      <c r="L1086" s="223"/>
      <c r="M1086" s="778"/>
      <c r="N1086" s="270">
        <f>IF($F$1084="",0,((Nutzung!$G$29+Regelung-1)+(($H$1085-Nutzung!$G$29)/4)-I1047)*J1047*$D$1084*$E$1084*$F$1084*24/($O$1046*1000))</f>
        <v>0</v>
      </c>
      <c r="O1086" s="252"/>
      <c r="P1086" s="192"/>
      <c r="Q1086" s="192"/>
      <c r="R1086" s="192"/>
      <c r="S1086" s="192"/>
    </row>
    <row r="1087" spans="1:38" hidden="1">
      <c r="A1087" s="192"/>
      <c r="B1087" s="690" t="s">
        <v>306</v>
      </c>
      <c r="C1087" s="26"/>
      <c r="D1087" s="26"/>
      <c r="E1087" s="26"/>
      <c r="F1087" s="689"/>
      <c r="G1087" s="681"/>
      <c r="H1087" s="271"/>
      <c r="I1087" s="268"/>
      <c r="J1087" s="192"/>
      <c r="K1087" s="211"/>
      <c r="L1087" s="223"/>
      <c r="M1087" s="778"/>
      <c r="N1087" s="270">
        <f>IF($F$1084="",0,((Nutzung!$G$29+Regelung-1)+(($H$1085-Nutzung!$G$29)/4)-I1048)*J1048*$D$1084*$E$1084*$F$1084*24/($O$1046*1000))</f>
        <v>0</v>
      </c>
      <c r="O1087" s="252"/>
      <c r="P1087" s="192"/>
      <c r="Q1087" s="192"/>
      <c r="R1087" s="192"/>
      <c r="S1087" s="192"/>
    </row>
    <row r="1088" spans="1:38" hidden="1">
      <c r="A1088" s="192"/>
      <c r="B1088" s="690" t="s">
        <v>409</v>
      </c>
      <c r="C1088" s="26"/>
      <c r="D1088" s="26"/>
      <c r="E1088" s="26"/>
      <c r="F1088" s="689"/>
      <c r="G1088" s="681"/>
      <c r="H1088" s="271"/>
      <c r="I1088" s="268"/>
      <c r="J1088" s="192"/>
      <c r="K1088" s="211"/>
      <c r="L1088" s="223"/>
      <c r="M1088" s="778"/>
      <c r="N1088" s="270">
        <f>IF($F$1084="",0,((Nutzung!$G$29+Regelung-1)+(($H$1085-Nutzung!$G$29)/4)-I1049)*J1049*$D$1084*$E$1084*$F$1084*24/($O$1046*1000))</f>
        <v>0</v>
      </c>
      <c r="O1088" s="252"/>
      <c r="P1088" s="192"/>
      <c r="Q1088" s="192"/>
      <c r="R1088" s="192"/>
      <c r="S1088" s="192"/>
    </row>
    <row r="1089" spans="1:28" hidden="1">
      <c r="A1089" s="192"/>
      <c r="B1089" s="690" t="s">
        <v>410</v>
      </c>
      <c r="C1089" s="26"/>
      <c r="D1089" s="26"/>
      <c r="E1089" s="26"/>
      <c r="F1089" s="689"/>
      <c r="G1089" s="681"/>
      <c r="H1089" s="271"/>
      <c r="I1089" s="268"/>
      <c r="J1089" s="192"/>
      <c r="K1089" s="211"/>
      <c r="L1089" s="223"/>
      <c r="M1089" s="778"/>
      <c r="N1089" s="270">
        <f>IF($F$1084="",0,((Nutzung!$G$29+Regelung-1)+(($H$1085-Nutzung!$G$29)/4)-I1050)*J1050*$D$1084*$E$1084*$F$1084*24/($O$1046*1000))</f>
        <v>0</v>
      </c>
      <c r="O1089" s="252"/>
      <c r="P1089" s="192"/>
      <c r="Q1089" s="192"/>
      <c r="R1089" s="192"/>
      <c r="S1089" s="192"/>
    </row>
    <row r="1090" spans="1:28" hidden="1">
      <c r="A1090" s="192"/>
      <c r="B1090" s="690" t="s">
        <v>411</v>
      </c>
      <c r="C1090" s="26"/>
      <c r="D1090" s="26"/>
      <c r="E1090" s="26"/>
      <c r="F1090" s="689"/>
      <c r="G1090" s="681"/>
      <c r="H1090" s="271"/>
      <c r="I1090" s="268"/>
      <c r="J1090" s="192"/>
      <c r="K1090" s="211"/>
      <c r="L1090" s="223"/>
      <c r="M1090" s="778"/>
      <c r="N1090" s="270">
        <f>IF($F$1084="",0,((Nutzung!$G$29+Regelung-1)+(($H$1085-Nutzung!$G$29)/4)-I1051)*J1051*$D$1084*$E$1084*$F$1084*24/($O$1046*1000))</f>
        <v>0</v>
      </c>
      <c r="O1090" s="252"/>
      <c r="P1090" s="192"/>
      <c r="Q1090" s="192"/>
      <c r="R1090" s="192"/>
      <c r="S1090" s="192"/>
    </row>
    <row r="1091" spans="1:28" hidden="1">
      <c r="A1091" s="192"/>
      <c r="B1091" s="690" t="s">
        <v>221</v>
      </c>
      <c r="C1091" s="26"/>
      <c r="D1091" s="26"/>
      <c r="E1091" s="26"/>
      <c r="F1091" s="689"/>
      <c r="G1091" s="681"/>
      <c r="H1091" s="271"/>
      <c r="I1091" s="268"/>
      <c r="J1091" s="192"/>
      <c r="K1091" s="211"/>
      <c r="L1091" s="223"/>
      <c r="M1091" s="778"/>
      <c r="N1091" s="270">
        <f>IF($F$1084="",0,((Nutzung!$G$29+Regelung-1)+(($H$1085-Nutzung!$G$29)/4)-I1052)*J1052*$D$1084*$E$1084*$F$1084*24/($O$1046*1000))</f>
        <v>0</v>
      </c>
      <c r="O1091" s="252"/>
      <c r="P1091" s="192"/>
      <c r="Q1091" s="192"/>
      <c r="R1091" s="192"/>
      <c r="S1091" s="192"/>
    </row>
    <row r="1092" spans="1:28" hidden="1">
      <c r="A1092" s="192"/>
      <c r="B1092" s="690" t="s">
        <v>138</v>
      </c>
      <c r="C1092" s="26"/>
      <c r="D1092" s="26"/>
      <c r="E1092" s="26"/>
      <c r="F1092" s="689"/>
      <c r="G1092" s="681"/>
      <c r="H1092" s="271"/>
      <c r="I1092" s="268"/>
      <c r="J1092" s="192"/>
      <c r="K1092" s="211"/>
      <c r="L1092" s="223"/>
      <c r="M1092" s="778"/>
      <c r="N1092" s="270">
        <f>IF($F$1084="",0,((Nutzung!$G$29+Regelung-1)+(($H$1085-Nutzung!$G$29)/4)-I1053)*J1053*$D$1084*$E$1084*$F$1084*24/($O$1046*1000))</f>
        <v>0</v>
      </c>
      <c r="O1092" s="252"/>
      <c r="P1092" s="192"/>
      <c r="Q1092" s="192"/>
      <c r="R1092" s="192"/>
      <c r="S1092" s="192"/>
    </row>
    <row r="1093" spans="1:28" hidden="1">
      <c r="A1093" s="192"/>
      <c r="B1093" s="690" t="s">
        <v>139</v>
      </c>
      <c r="C1093" s="26"/>
      <c r="D1093" s="26"/>
      <c r="E1093" s="26"/>
      <c r="F1093" s="689"/>
      <c r="G1093" s="681"/>
      <c r="H1093" s="271"/>
      <c r="I1093" s="268"/>
      <c r="J1093" s="192"/>
      <c r="K1093" s="211"/>
      <c r="L1093" s="223"/>
      <c r="M1093" s="778"/>
      <c r="N1093" s="270">
        <f>IF($F$1084="",0,((Nutzung!$G$29+Regelung-1)+(($H$1085-Nutzung!$G$29)/4)-I1054)*J1054*$D$1084*$E$1084*$F$1084*24/($O$1046*1000))</f>
        <v>0</v>
      </c>
      <c r="O1093" s="252"/>
      <c r="P1093" s="192"/>
      <c r="Q1093" s="192"/>
      <c r="R1093" s="192"/>
      <c r="S1093" s="192"/>
    </row>
    <row r="1094" spans="1:28" hidden="1">
      <c r="A1094" s="192"/>
      <c r="B1094" s="690" t="s">
        <v>269</v>
      </c>
      <c r="C1094" s="26"/>
      <c r="D1094" s="26"/>
      <c r="E1094" s="26"/>
      <c r="F1094" s="689"/>
      <c r="G1094" s="681"/>
      <c r="H1094" s="271"/>
      <c r="I1094" s="268"/>
      <c r="J1094" s="192"/>
      <c r="K1094" s="211"/>
      <c r="L1094" s="223"/>
      <c r="M1094" s="778"/>
      <c r="N1094" s="270">
        <f>IF($F$1084="",0,((Nutzung!$G$29+Regelung-1)+(($H$1085-Nutzung!$G$29)/4)-I1055)*J1055*$D$1084*$E$1084*$F$1084*24/($O$1046*1000))</f>
        <v>0</v>
      </c>
      <c r="O1094" s="252"/>
      <c r="P1094" s="192"/>
      <c r="Q1094" s="192"/>
      <c r="R1094" s="192"/>
      <c r="S1094" s="192"/>
    </row>
    <row r="1095" spans="1:28" hidden="1">
      <c r="A1095" s="192"/>
      <c r="B1095" s="690" t="s">
        <v>366</v>
      </c>
      <c r="C1095" s="26"/>
      <c r="D1095" s="26"/>
      <c r="E1095" s="26"/>
      <c r="F1095" s="689"/>
      <c r="G1095" s="681"/>
      <c r="H1095" s="271"/>
      <c r="I1095" s="268"/>
      <c r="J1095" s="192"/>
      <c r="K1095" s="211"/>
      <c r="L1095" s="223"/>
      <c r="M1095" s="778"/>
      <c r="N1095" s="270">
        <f>IF($F$1084="",0,((Nutzung!$G$29+Regelung-1)+(($H$1085-Nutzung!$G$29)/4)-I1056)*J1056*$D$1084*$E$1084*$F$1084*24/($O$1046*1000))</f>
        <v>0</v>
      </c>
      <c r="O1095" s="252"/>
      <c r="P1095" s="192"/>
      <c r="Q1095" s="192"/>
      <c r="R1095" s="192"/>
      <c r="S1095" s="192"/>
    </row>
    <row r="1096" spans="1:28" hidden="1">
      <c r="A1096" s="192"/>
      <c r="B1096" s="690" t="s">
        <v>465</v>
      </c>
      <c r="C1096" s="26"/>
      <c r="D1096" s="26"/>
      <c r="E1096" s="26"/>
      <c r="F1096" s="689"/>
      <c r="G1096" s="681"/>
      <c r="H1096" s="271"/>
      <c r="I1096" s="268"/>
      <c r="J1096" s="192"/>
      <c r="K1096" s="211"/>
      <c r="L1096" s="223"/>
      <c r="M1096" s="778"/>
      <c r="N1096" s="270">
        <f>IF($F$1084="",0,((Nutzung!$G$29+Regelung-1)+(($H$1085-Nutzung!$G$29)/4)-I1057)*J1057*$D$1084*$E$1084*$F$1084*24/($O$1046*1000))</f>
        <v>0</v>
      </c>
      <c r="O1096" s="252"/>
      <c r="P1096" s="192"/>
      <c r="Q1096" s="192"/>
      <c r="R1096" s="192"/>
      <c r="S1096" s="192"/>
    </row>
    <row r="1097" spans="1:28" ht="10.95" customHeight="1">
      <c r="A1097" s="192"/>
      <c r="B1097" s="648"/>
      <c r="C1097" s="656"/>
      <c r="D1097" s="657"/>
      <c r="E1097" s="658"/>
      <c r="F1097" s="664"/>
      <c r="G1097" s="659"/>
      <c r="H1097" s="244"/>
      <c r="I1097" s="273"/>
      <c r="J1097" s="274"/>
      <c r="K1097" s="248"/>
      <c r="L1097" s="220" t="str">
        <f>IF(F1097="","",Nutzung!$G$29)</f>
        <v/>
      </c>
      <c r="M1097" s="771" t="str">
        <f>IF(D1097="","",AB1097)</f>
        <v/>
      </c>
      <c r="N1097" s="214">
        <f>IF(F1097=0,0,SUM(N1098:N1109))</f>
        <v>0</v>
      </c>
      <c r="O1097" s="215" t="str">
        <f>IF(N1097/$O$1370=0,"",N1097/$O$1370)</f>
        <v/>
      </c>
      <c r="P1097" s="192"/>
      <c r="Q1097" s="192"/>
      <c r="R1097" s="192"/>
      <c r="S1097" s="192"/>
      <c r="T1097" s="182">
        <f>D1097*E1097*F1097</f>
        <v>0</v>
      </c>
      <c r="AA1097" s="318">
        <f>IF(D1097="",0,1)</f>
        <v>0</v>
      </c>
      <c r="AB1097" s="318">
        <f>AB1084+AA1097</f>
        <v>0</v>
      </c>
    </row>
    <row r="1098" spans="1:28" hidden="1">
      <c r="A1098" s="192"/>
      <c r="B1098" s="690" t="s">
        <v>49</v>
      </c>
      <c r="C1098" s="14"/>
      <c r="D1098" s="681"/>
      <c r="E1098" s="775"/>
      <c r="F1098" s="774"/>
      <c r="G1098" s="754"/>
      <c r="H1098" s="773" t="str">
        <f>IF($L$1097&lt;Nutzung!$G$29,Nutzung!$G$29,$L$1097)</f>
        <v/>
      </c>
      <c r="I1098" s="268"/>
      <c r="J1098" s="192"/>
      <c r="K1098" s="272">
        <f>IF(L1097="",Nutzung!$G$29,Bauteile!L1097)</f>
        <v>0</v>
      </c>
      <c r="L1098" s="223"/>
      <c r="M1098" s="777"/>
      <c r="N1098" s="270">
        <f>IF($F$1097="",0,((Nutzung!$G$29+Regelung-1)+(($H$1098-Nutzung!$G$29)/4)-I1046)*J1046*$D$1097*$E$1097*$F$1097*24/($O$1046*1000))</f>
        <v>0</v>
      </c>
      <c r="O1098" s="253"/>
      <c r="P1098" s="192"/>
      <c r="Q1098" s="192"/>
      <c r="R1098" s="192"/>
      <c r="S1098" s="192"/>
    </row>
    <row r="1099" spans="1:28" hidden="1">
      <c r="A1099" s="192"/>
      <c r="B1099" s="690" t="s">
        <v>554</v>
      </c>
      <c r="C1099" s="26"/>
      <c r="D1099" s="26"/>
      <c r="E1099" s="683"/>
      <c r="F1099" s="689"/>
      <c r="G1099" s="681"/>
      <c r="H1099" s="271"/>
      <c r="I1099" s="268"/>
      <c r="J1099" s="192"/>
      <c r="K1099" s="211"/>
      <c r="L1099" s="223"/>
      <c r="M1099" s="778"/>
      <c r="N1099" s="270">
        <f>IF($F$1097="",0,((Nutzung!$G$29+Regelung-1)+(($H$1098-Nutzung!$G$29)/4)-I1047)*J1047*$D$1097*$E$1097*$F$1097*24/($O$1046*1000))</f>
        <v>0</v>
      </c>
      <c r="O1099" s="253"/>
      <c r="P1099" s="192"/>
      <c r="Q1099" s="192"/>
      <c r="R1099" s="192"/>
      <c r="S1099" s="192"/>
    </row>
    <row r="1100" spans="1:28" hidden="1">
      <c r="A1100" s="192"/>
      <c r="B1100" s="690" t="s">
        <v>306</v>
      </c>
      <c r="C1100" s="26"/>
      <c r="D1100" s="26"/>
      <c r="E1100" s="683"/>
      <c r="F1100" s="689"/>
      <c r="G1100" s="681"/>
      <c r="H1100" s="271"/>
      <c r="I1100" s="268"/>
      <c r="J1100" s="192"/>
      <c r="K1100" s="211"/>
      <c r="L1100" s="223"/>
      <c r="M1100" s="778"/>
      <c r="N1100" s="270">
        <f>IF($F$1097="",0,((Nutzung!$G$29+Regelung-1)+(($H$1098-Nutzung!$G$29)/4)-I1048)*J1048*$D$1097*$E$1097*$F$1097*24/($O$1046*1000))</f>
        <v>0</v>
      </c>
      <c r="O1100" s="253"/>
      <c r="P1100" s="192"/>
      <c r="Q1100" s="192"/>
      <c r="R1100" s="192"/>
      <c r="S1100" s="192"/>
    </row>
    <row r="1101" spans="1:28" hidden="1">
      <c r="A1101" s="192"/>
      <c r="B1101" s="690" t="s">
        <v>409</v>
      </c>
      <c r="C1101" s="26"/>
      <c r="D1101" s="26"/>
      <c r="E1101" s="683"/>
      <c r="F1101" s="689"/>
      <c r="G1101" s="681"/>
      <c r="H1101" s="271"/>
      <c r="I1101" s="268"/>
      <c r="J1101" s="192"/>
      <c r="K1101" s="211"/>
      <c r="L1101" s="223"/>
      <c r="M1101" s="778"/>
      <c r="N1101" s="270">
        <f>IF($F$1097="",0,((Nutzung!$G$29+Regelung-1)+(($H$1098-Nutzung!$G$29)/4)-I1049)*J1049*$D$1097*$E$1097*$F$1097*24/($O$1046*1000))</f>
        <v>0</v>
      </c>
      <c r="O1101" s="253"/>
      <c r="P1101" s="192"/>
      <c r="Q1101" s="192"/>
      <c r="R1101" s="192"/>
      <c r="S1101" s="192"/>
    </row>
    <row r="1102" spans="1:28" hidden="1">
      <c r="A1102" s="192"/>
      <c r="B1102" s="690" t="s">
        <v>410</v>
      </c>
      <c r="C1102" s="26"/>
      <c r="D1102" s="26"/>
      <c r="E1102" s="683"/>
      <c r="F1102" s="689"/>
      <c r="G1102" s="681"/>
      <c r="H1102" s="271"/>
      <c r="I1102" s="268"/>
      <c r="J1102" s="192"/>
      <c r="K1102" s="211"/>
      <c r="L1102" s="223"/>
      <c r="M1102" s="778"/>
      <c r="N1102" s="270">
        <f>IF($F$1097="",0,((Nutzung!$G$29+Regelung-1)+(($H$1098-Nutzung!$G$29)/4)-I1050)*J1050*$D$1097*$E$1097*$F$1097*24/($O$1046*1000))</f>
        <v>0</v>
      </c>
      <c r="O1102" s="253"/>
      <c r="P1102" s="192"/>
      <c r="Q1102" s="192"/>
      <c r="R1102" s="192"/>
      <c r="S1102" s="192"/>
    </row>
    <row r="1103" spans="1:28" hidden="1">
      <c r="A1103" s="192"/>
      <c r="B1103" s="690" t="s">
        <v>411</v>
      </c>
      <c r="C1103" s="26"/>
      <c r="D1103" s="26"/>
      <c r="E1103" s="683"/>
      <c r="F1103" s="689"/>
      <c r="G1103" s="681"/>
      <c r="H1103" s="271"/>
      <c r="I1103" s="268"/>
      <c r="J1103" s="192"/>
      <c r="K1103" s="211"/>
      <c r="L1103" s="223"/>
      <c r="M1103" s="778"/>
      <c r="N1103" s="270">
        <f>IF($F$1097="",0,((Nutzung!$G$29+Regelung-1)+(($H$1098-Nutzung!$G$29)/4)-I1051)*J1051*$D$1097*$E$1097*$F$1097*24/($O$1046*1000))</f>
        <v>0</v>
      </c>
      <c r="O1103" s="253"/>
      <c r="P1103" s="192"/>
      <c r="Q1103" s="192"/>
      <c r="R1103" s="192"/>
      <c r="S1103" s="192"/>
    </row>
    <row r="1104" spans="1:28" hidden="1">
      <c r="A1104" s="192"/>
      <c r="B1104" s="690" t="s">
        <v>221</v>
      </c>
      <c r="C1104" s="26"/>
      <c r="D1104" s="26"/>
      <c r="E1104" s="683"/>
      <c r="F1104" s="689"/>
      <c r="G1104" s="681"/>
      <c r="H1104" s="271"/>
      <c r="I1104" s="268"/>
      <c r="J1104" s="192"/>
      <c r="K1104" s="211"/>
      <c r="L1104" s="223"/>
      <c r="M1104" s="778"/>
      <c r="N1104" s="270">
        <f>IF($F$1097="",0,((Nutzung!$G$29+Regelung-1)+(($H$1098-Nutzung!$G$29)/4)-I1052)*J1052*$D$1097*$E$1097*$F$1097*24/($O$1046*1000))</f>
        <v>0</v>
      </c>
      <c r="O1104" s="253"/>
      <c r="P1104" s="192"/>
      <c r="Q1104" s="192"/>
      <c r="R1104" s="192"/>
      <c r="S1104" s="192"/>
    </row>
    <row r="1105" spans="1:28" hidden="1">
      <c r="A1105" s="192"/>
      <c r="B1105" s="690" t="s">
        <v>138</v>
      </c>
      <c r="C1105" s="26"/>
      <c r="D1105" s="26"/>
      <c r="E1105" s="683"/>
      <c r="F1105" s="689"/>
      <c r="G1105" s="681"/>
      <c r="H1105" s="271"/>
      <c r="I1105" s="268"/>
      <c r="J1105" s="192"/>
      <c r="K1105" s="211"/>
      <c r="L1105" s="223"/>
      <c r="M1105" s="778"/>
      <c r="N1105" s="270">
        <f>IF($F$1097="",0,((Nutzung!$G$29+Regelung-1)+(($H$1098-Nutzung!$G$29)/4)-I1053)*J1053*$D$1097*$E$1097*$F$1097*24/($O$1046*1000))</f>
        <v>0</v>
      </c>
      <c r="O1105" s="253"/>
      <c r="P1105" s="192"/>
      <c r="Q1105" s="192"/>
      <c r="R1105" s="192"/>
      <c r="S1105" s="192"/>
    </row>
    <row r="1106" spans="1:28" hidden="1">
      <c r="A1106" s="192"/>
      <c r="B1106" s="690" t="s">
        <v>139</v>
      </c>
      <c r="C1106" s="26"/>
      <c r="D1106" s="26"/>
      <c r="E1106" s="683"/>
      <c r="F1106" s="689"/>
      <c r="G1106" s="681"/>
      <c r="H1106" s="271"/>
      <c r="I1106" s="268"/>
      <c r="J1106" s="192"/>
      <c r="K1106" s="211"/>
      <c r="L1106" s="223"/>
      <c r="M1106" s="778"/>
      <c r="N1106" s="270">
        <f>IF($F$1097="",0,((Nutzung!$G$29+Regelung-1)+(($H$1098-Nutzung!$G$29)/4)-I1054)*J1054*$D$1097*$E$1097*$F$1097*24/($O$1046*1000))</f>
        <v>0</v>
      </c>
      <c r="O1106" s="253"/>
      <c r="P1106" s="192"/>
      <c r="Q1106" s="192"/>
      <c r="R1106" s="192"/>
      <c r="S1106" s="192"/>
    </row>
    <row r="1107" spans="1:28" hidden="1">
      <c r="A1107" s="192"/>
      <c r="B1107" s="690" t="s">
        <v>269</v>
      </c>
      <c r="C1107" s="26"/>
      <c r="D1107" s="26"/>
      <c r="E1107" s="683"/>
      <c r="F1107" s="689"/>
      <c r="G1107" s="681"/>
      <c r="H1107" s="271"/>
      <c r="I1107" s="268"/>
      <c r="J1107" s="192"/>
      <c r="K1107" s="211"/>
      <c r="L1107" s="223"/>
      <c r="M1107" s="778"/>
      <c r="N1107" s="270">
        <f>IF($F$1097="",0,((Nutzung!$G$29+Regelung-1)+(($H$1098-Nutzung!$G$29)/4)-I1055)*J1055*$D$1097*$E$1097*$F$1097*24/($O$1046*1000))</f>
        <v>0</v>
      </c>
      <c r="O1107" s="253"/>
      <c r="P1107" s="192"/>
      <c r="Q1107" s="192"/>
      <c r="R1107" s="192"/>
      <c r="S1107" s="192"/>
    </row>
    <row r="1108" spans="1:28" hidden="1">
      <c r="A1108" s="192"/>
      <c r="B1108" s="690" t="s">
        <v>366</v>
      </c>
      <c r="C1108" s="26"/>
      <c r="D1108" s="26"/>
      <c r="E1108" s="683"/>
      <c r="F1108" s="689"/>
      <c r="G1108" s="681"/>
      <c r="H1108" s="271"/>
      <c r="I1108" s="268"/>
      <c r="J1108" s="192"/>
      <c r="K1108" s="211"/>
      <c r="L1108" s="223"/>
      <c r="M1108" s="778"/>
      <c r="N1108" s="270">
        <f>IF($F$1097="",0,((Nutzung!$G$29+Regelung-1)+(($H$1098-Nutzung!$G$29)/4)-I1056)*J1056*$D$1097*$E$1097*$F$1097*24/($O$1046*1000))</f>
        <v>0</v>
      </c>
      <c r="O1108" s="253"/>
      <c r="P1108" s="192"/>
      <c r="Q1108" s="192"/>
      <c r="R1108" s="192"/>
      <c r="S1108" s="192"/>
    </row>
    <row r="1109" spans="1:28" hidden="1">
      <c r="A1109" s="192"/>
      <c r="B1109" s="690" t="s">
        <v>465</v>
      </c>
      <c r="C1109" s="26"/>
      <c r="D1109" s="26"/>
      <c r="E1109" s="683"/>
      <c r="F1109" s="689"/>
      <c r="G1109" s="681"/>
      <c r="H1109" s="271"/>
      <c r="I1109" s="268"/>
      <c r="J1109" s="192"/>
      <c r="K1109" s="211"/>
      <c r="L1109" s="223"/>
      <c r="M1109" s="778"/>
      <c r="N1109" s="270">
        <f>IF($F$1097="",0,((Nutzung!$G$29+Regelung-1)+(($H$1098-Nutzung!$G$29)/4)-I1057)*J1057*$D$1097*$E$1097*$F$1097*24/($O$1046*1000))</f>
        <v>0</v>
      </c>
      <c r="O1109" s="253"/>
      <c r="P1109" s="192"/>
      <c r="Q1109" s="192"/>
      <c r="R1109" s="192"/>
      <c r="S1109" s="192"/>
    </row>
    <row r="1110" spans="1:28" ht="10.95" customHeight="1">
      <c r="A1110" s="192"/>
      <c r="B1110" s="747"/>
      <c r="C1110" s="656"/>
      <c r="D1110" s="656"/>
      <c r="E1110" s="658"/>
      <c r="F1110" s="658"/>
      <c r="G1110" s="776"/>
      <c r="H1110" s="253"/>
      <c r="I1110" s="273"/>
      <c r="J1110" s="274"/>
      <c r="K1110" s="252"/>
      <c r="L1110" s="220" t="str">
        <f>IF(F1110="","",Nutzung!$G$29)</f>
        <v/>
      </c>
      <c r="M1110" s="771" t="str">
        <f>IF(D1110="","",AB1110)</f>
        <v/>
      </c>
      <c r="N1110" s="251">
        <f>IF(F1110=0,0,SUM(N1111:N1122))</f>
        <v>0</v>
      </c>
      <c r="O1110" s="215" t="str">
        <f>IF(N1110/$O$1370=0,"",N1110/$O$1370)</f>
        <v/>
      </c>
      <c r="P1110" s="192"/>
      <c r="Q1110" s="192"/>
      <c r="R1110" s="192"/>
      <c r="S1110" s="192"/>
      <c r="T1110" s="182">
        <f>D1110*E1110*F1110</f>
        <v>0</v>
      </c>
      <c r="AA1110" s="318">
        <f>IF(D1110="",0,1)</f>
        <v>0</v>
      </c>
      <c r="AB1110" s="318">
        <f>AB1097+AA1110</f>
        <v>0</v>
      </c>
    </row>
    <row r="1111" spans="1:28" hidden="1">
      <c r="A1111" s="192"/>
      <c r="B1111" s="690" t="s">
        <v>49</v>
      </c>
      <c r="C1111" s="14"/>
      <c r="D1111" s="681"/>
      <c r="E1111" s="681"/>
      <c r="F1111" s="685"/>
      <c r="G1111" s="755"/>
      <c r="H1111" s="738" t="str">
        <f>IF($L$1110&lt;Nutzung!$G$29,Nutzung!$G$29,$L$1110)</f>
        <v/>
      </c>
      <c r="I1111" s="207"/>
      <c r="J1111" s="192"/>
      <c r="K1111" s="267">
        <f>IF(L1110="",Nutzung!$G$29,Bauteile!L1110)</f>
        <v>0</v>
      </c>
      <c r="L1111" s="770"/>
      <c r="M1111" s="777"/>
      <c r="N1111" s="723">
        <f>IF($F$1110="",0,((Nutzung!$G$29+Regelung-1)+(($H$1111-Nutzung!$G$29)/4)-I1046)*J1046*$D$1110*$E$1110*$F$1110*24/($O$1046*1000))</f>
        <v>0</v>
      </c>
      <c r="O1111" s="192"/>
      <c r="P1111" s="192"/>
      <c r="Q1111" s="192"/>
      <c r="R1111" s="192"/>
      <c r="S1111" s="192"/>
    </row>
    <row r="1112" spans="1:28" hidden="1">
      <c r="A1112" s="192"/>
      <c r="B1112" s="690" t="s">
        <v>554</v>
      </c>
      <c r="C1112" s="681"/>
      <c r="D1112" s="681"/>
      <c r="E1112" s="681"/>
      <c r="F1112" s="685"/>
      <c r="G1112" s="755"/>
      <c r="H1112" s="197"/>
      <c r="I1112" s="207"/>
      <c r="J1112" s="192"/>
      <c r="K1112" s="192"/>
      <c r="L1112" s="770"/>
      <c r="M1112" s="778"/>
      <c r="N1112" s="723">
        <f>IF($F$1110="",0,((Nutzung!$G$29+Regelung-1)+(($H$1111-Nutzung!$G$29)/4)-I1047)*J1047*$D$1110*$E$1110*$F$1110*24/($O$1046*1000))</f>
        <v>0</v>
      </c>
      <c r="O1112" s="192"/>
      <c r="P1112" s="192"/>
      <c r="Q1112" s="192"/>
      <c r="R1112" s="192"/>
      <c r="S1112" s="192"/>
    </row>
    <row r="1113" spans="1:28" hidden="1">
      <c r="A1113" s="192"/>
      <c r="B1113" s="690" t="s">
        <v>306</v>
      </c>
      <c r="C1113" s="681"/>
      <c r="D1113" s="681"/>
      <c r="E1113" s="681"/>
      <c r="F1113" s="685"/>
      <c r="G1113" s="755"/>
      <c r="H1113" s="197"/>
      <c r="I1113" s="207"/>
      <c r="J1113" s="192"/>
      <c r="K1113" s="192"/>
      <c r="L1113" s="770"/>
      <c r="M1113" s="778"/>
      <c r="N1113" s="723">
        <f>IF($F$1110="",0,((Nutzung!$G$29+Regelung-1)+(($H$1111-Nutzung!$G$29)/4)-I1048)*J1048*$D$1110*$E$1110*$F$1110*24/($O$1046*1000))</f>
        <v>0</v>
      </c>
      <c r="O1113" s="192"/>
      <c r="P1113" s="192"/>
      <c r="Q1113" s="192"/>
      <c r="R1113" s="192"/>
      <c r="S1113" s="192"/>
    </row>
    <row r="1114" spans="1:28" hidden="1">
      <c r="A1114" s="192"/>
      <c r="B1114" s="690" t="s">
        <v>409</v>
      </c>
      <c r="C1114" s="681"/>
      <c r="D1114" s="681"/>
      <c r="E1114" s="681"/>
      <c r="F1114" s="685"/>
      <c r="G1114" s="755"/>
      <c r="H1114" s="197"/>
      <c r="I1114" s="207"/>
      <c r="J1114" s="192"/>
      <c r="K1114" s="192"/>
      <c r="L1114" s="770"/>
      <c r="M1114" s="778"/>
      <c r="N1114" s="723">
        <f>IF($F$1110="",0,((Nutzung!$G$29+Regelung-1)+(($H$1111-Nutzung!$G$29)/4)-I1049)*J1049*$D$1110*$E$1110*$F$1110*24/($O$1046*1000))</f>
        <v>0</v>
      </c>
      <c r="O1114" s="192"/>
      <c r="P1114" s="192"/>
      <c r="Q1114" s="192"/>
      <c r="R1114" s="192"/>
      <c r="S1114" s="192"/>
    </row>
    <row r="1115" spans="1:28" hidden="1">
      <c r="A1115" s="192"/>
      <c r="B1115" s="690" t="s">
        <v>410</v>
      </c>
      <c r="C1115" s="681"/>
      <c r="D1115" s="681"/>
      <c r="E1115" s="681"/>
      <c r="F1115" s="685"/>
      <c r="G1115" s="755"/>
      <c r="H1115" s="197"/>
      <c r="I1115" s="207"/>
      <c r="J1115" s="192"/>
      <c r="K1115" s="192"/>
      <c r="L1115" s="770"/>
      <c r="M1115" s="778"/>
      <c r="N1115" s="723">
        <f>IF($F$1110="",0,((Nutzung!$G$29+Regelung-1)+(($H$1111-Nutzung!$G$29)/4)-I1050)*J1050*$D$1110*$E$1110*$F$1110*24/($O$1046*1000))</f>
        <v>0</v>
      </c>
      <c r="O1115" s="192"/>
      <c r="P1115" s="192"/>
      <c r="Q1115" s="192"/>
      <c r="R1115" s="192"/>
      <c r="S1115" s="192"/>
    </row>
    <row r="1116" spans="1:28" hidden="1">
      <c r="A1116" s="192"/>
      <c r="B1116" s="690" t="s">
        <v>411</v>
      </c>
      <c r="C1116" s="681"/>
      <c r="D1116" s="681"/>
      <c r="E1116" s="681"/>
      <c r="F1116" s="685"/>
      <c r="G1116" s="755"/>
      <c r="H1116" s="197"/>
      <c r="I1116" s="207"/>
      <c r="J1116" s="192"/>
      <c r="K1116" s="192"/>
      <c r="L1116" s="770"/>
      <c r="M1116" s="778"/>
      <c r="N1116" s="723">
        <f>IF($F$1110="",0,((Nutzung!$G$29+Regelung-1)+(($H$1111-Nutzung!$G$29)/4)-I1051)*J1051*$D$1110*$E$1110*$F$1110*24/($O$1046*1000))</f>
        <v>0</v>
      </c>
      <c r="O1116" s="192"/>
      <c r="P1116" s="192"/>
      <c r="Q1116" s="192"/>
      <c r="R1116" s="192"/>
      <c r="S1116" s="192"/>
    </row>
    <row r="1117" spans="1:28" hidden="1">
      <c r="A1117" s="192"/>
      <c r="B1117" s="690" t="s">
        <v>221</v>
      </c>
      <c r="C1117" s="681"/>
      <c r="D1117" s="681"/>
      <c r="E1117" s="681"/>
      <c r="F1117" s="685"/>
      <c r="G1117" s="755"/>
      <c r="H1117" s="197"/>
      <c r="I1117" s="207"/>
      <c r="J1117" s="192"/>
      <c r="K1117" s="192"/>
      <c r="L1117" s="770"/>
      <c r="M1117" s="778"/>
      <c r="N1117" s="723">
        <f>IF($F$1110="",0,((Nutzung!$G$29+Regelung-1)+(($H$1111-Nutzung!$G$29)/4)-I1052)*J1052*$D$1110*$E$1110*$F$1110*24/($O$1046*1000))</f>
        <v>0</v>
      </c>
      <c r="O1117" s="192"/>
      <c r="P1117" s="192"/>
      <c r="Q1117" s="192"/>
      <c r="R1117" s="192"/>
      <c r="S1117" s="192"/>
    </row>
    <row r="1118" spans="1:28" hidden="1">
      <c r="A1118" s="192"/>
      <c r="B1118" s="690" t="s">
        <v>138</v>
      </c>
      <c r="C1118" s="681"/>
      <c r="D1118" s="681"/>
      <c r="E1118" s="681"/>
      <c r="F1118" s="685"/>
      <c r="G1118" s="755"/>
      <c r="H1118" s="197"/>
      <c r="I1118" s="207"/>
      <c r="J1118" s="192"/>
      <c r="K1118" s="192"/>
      <c r="L1118" s="770"/>
      <c r="M1118" s="778"/>
      <c r="N1118" s="723">
        <f>IF($F$1110="",0,((Nutzung!$G$29+Regelung-1)+(($H$1111-Nutzung!$G$29)/4)-I1053)*J1053*$D$1110*$E$1110*$F$1110*24/($O$1046*1000))</f>
        <v>0</v>
      </c>
      <c r="O1118" s="192"/>
      <c r="P1118" s="192"/>
      <c r="Q1118" s="192"/>
      <c r="R1118" s="192"/>
      <c r="S1118" s="192"/>
    </row>
    <row r="1119" spans="1:28" hidden="1">
      <c r="A1119" s="192"/>
      <c r="B1119" s="690" t="s">
        <v>139</v>
      </c>
      <c r="C1119" s="681"/>
      <c r="D1119" s="681"/>
      <c r="E1119" s="681"/>
      <c r="F1119" s="685"/>
      <c r="G1119" s="755"/>
      <c r="H1119" s="197"/>
      <c r="I1119" s="207"/>
      <c r="J1119" s="192"/>
      <c r="K1119" s="192"/>
      <c r="L1119" s="770"/>
      <c r="M1119" s="778"/>
      <c r="N1119" s="723">
        <f>IF($F$1110="",0,((Nutzung!$G$29+Regelung-1)+(($H$1111-Nutzung!$G$29)/4)-I1054)*J1054*$D$1110*$E$1110*$F$1110*24/($O$1046*1000))</f>
        <v>0</v>
      </c>
      <c r="O1119" s="192"/>
      <c r="P1119" s="192"/>
      <c r="Q1119" s="192"/>
      <c r="R1119" s="192"/>
      <c r="S1119" s="192"/>
    </row>
    <row r="1120" spans="1:28" hidden="1">
      <c r="A1120" s="192"/>
      <c r="B1120" s="690" t="s">
        <v>269</v>
      </c>
      <c r="C1120" s="681"/>
      <c r="D1120" s="681"/>
      <c r="E1120" s="681"/>
      <c r="F1120" s="685"/>
      <c r="G1120" s="755"/>
      <c r="H1120" s="197"/>
      <c r="I1120" s="207"/>
      <c r="J1120" s="192"/>
      <c r="K1120" s="192"/>
      <c r="L1120" s="770"/>
      <c r="M1120" s="778"/>
      <c r="N1120" s="723">
        <f>IF($F$1110="",0,((Nutzung!$G$29+Regelung-1)+(($H$1111-Nutzung!$G$29)/4)-I1055)*J1055*$D$1110*$E$1110*$F$1110*24/($O$1046*1000))</f>
        <v>0</v>
      </c>
      <c r="O1120" s="192"/>
      <c r="P1120" s="192"/>
      <c r="Q1120" s="192"/>
      <c r="R1120" s="192"/>
      <c r="S1120" s="192"/>
    </row>
    <row r="1121" spans="1:28" hidden="1">
      <c r="A1121" s="192"/>
      <c r="B1121" s="690" t="s">
        <v>366</v>
      </c>
      <c r="C1121" s="681"/>
      <c r="D1121" s="681"/>
      <c r="E1121" s="681"/>
      <c r="F1121" s="685"/>
      <c r="G1121" s="755"/>
      <c r="H1121" s="197"/>
      <c r="I1121" s="207"/>
      <c r="J1121" s="192"/>
      <c r="K1121" s="192"/>
      <c r="L1121" s="770"/>
      <c r="M1121" s="778"/>
      <c r="N1121" s="723">
        <f>IF($F$1110="",0,((Nutzung!$G$29+Regelung-1)+(($H$1111-Nutzung!$G$29)/4)-I1056)*J1056*$D$1110*$E$1110*$F$1110*24/($O$1046*1000))</f>
        <v>0</v>
      </c>
      <c r="O1121" s="192"/>
      <c r="P1121" s="192"/>
      <c r="Q1121" s="192"/>
      <c r="R1121" s="192"/>
      <c r="S1121" s="192"/>
    </row>
    <row r="1122" spans="1:28" hidden="1">
      <c r="A1122" s="192"/>
      <c r="B1122" s="690" t="s">
        <v>465</v>
      </c>
      <c r="C1122" s="681"/>
      <c r="D1122" s="681"/>
      <c r="E1122" s="681"/>
      <c r="F1122" s="685"/>
      <c r="G1122" s="755"/>
      <c r="H1122" s="197"/>
      <c r="I1122" s="207"/>
      <c r="J1122" s="192"/>
      <c r="K1122" s="192"/>
      <c r="L1122" s="770"/>
      <c r="M1122" s="778"/>
      <c r="N1122" s="723">
        <f>IF($F$1110="",0,((Nutzung!$G$29+Regelung-1)+(($H$1111-Nutzung!$G$29)/4)-I1057)*J1057*$D$1110*$E$1110*$F$1110*24/($O$1046*1000))</f>
        <v>0</v>
      </c>
      <c r="O1122" s="192"/>
      <c r="P1122" s="192"/>
      <c r="Q1122" s="192"/>
      <c r="R1122" s="192"/>
      <c r="S1122" s="192"/>
    </row>
    <row r="1123" spans="1:28" ht="10.95" customHeight="1">
      <c r="A1123" s="192"/>
      <c r="B1123" s="747"/>
      <c r="C1123" s="656"/>
      <c r="D1123" s="656"/>
      <c r="E1123" s="658"/>
      <c r="F1123" s="658"/>
      <c r="G1123" s="776"/>
      <c r="H1123" s="197"/>
      <c r="I1123" s="207"/>
      <c r="J1123" s="192"/>
      <c r="K1123" s="192"/>
      <c r="L1123" s="220" t="str">
        <f>IF(F1123="","",Nutzung!$G$29)</f>
        <v/>
      </c>
      <c r="M1123" s="771" t="str">
        <f>IF(D1123="","",AB1123)</f>
        <v/>
      </c>
      <c r="N1123" s="251">
        <f>IF(F1123=0,0,SUM(N1124:N1135))</f>
        <v>0</v>
      </c>
      <c r="O1123" s="215" t="str">
        <f>IF(N1123/$O$1370=0,"",N1123/$O$1370)</f>
        <v/>
      </c>
      <c r="P1123" s="192"/>
      <c r="Q1123" s="192"/>
      <c r="R1123" s="192"/>
      <c r="S1123" s="192"/>
      <c r="T1123" s="182">
        <f>D1123*E1123*F1123</f>
        <v>0</v>
      </c>
      <c r="AA1123" s="318">
        <f>IF(D1123="",0,1)</f>
        <v>0</v>
      </c>
      <c r="AB1123" s="318">
        <f>AB1110+AA1123</f>
        <v>0</v>
      </c>
    </row>
    <row r="1124" spans="1:28" hidden="1">
      <c r="A1124" s="192"/>
      <c r="B1124" s="690" t="s">
        <v>49</v>
      </c>
      <c r="C1124" s="14"/>
      <c r="D1124" s="686"/>
      <c r="E1124" s="687"/>
      <c r="F1124" s="687"/>
      <c r="G1124" s="688"/>
      <c r="H1124" s="738" t="str">
        <f>IF($L$1123&lt;Nutzung!$G$29,Nutzung!$G$29,$L$1123)</f>
        <v/>
      </c>
      <c r="I1124" s="207"/>
      <c r="J1124" s="192"/>
      <c r="K1124" s="267">
        <f>IF(L1123="",Nutzung!$G$29,Bauteile!L1123)</f>
        <v>0</v>
      </c>
      <c r="L1124" s="770"/>
      <c r="M1124" s="777"/>
      <c r="N1124" s="723">
        <f>IF($F$1123="",0,((Nutzung!$G$29+Regelung-1)+(($H$1124-Nutzung!$G$29)/4)-I1046)*J1046*$D$1123*$E$1123*$F$1123*24/($O$1046*1000))</f>
        <v>0</v>
      </c>
      <c r="O1124" s="192"/>
      <c r="P1124" s="192"/>
      <c r="Q1124" s="192"/>
      <c r="R1124" s="192"/>
      <c r="S1124" s="192"/>
    </row>
    <row r="1125" spans="1:28" hidden="1">
      <c r="A1125" s="192"/>
      <c r="B1125" s="690" t="s">
        <v>554</v>
      </c>
      <c r="C1125" s="686"/>
      <c r="D1125" s="686"/>
      <c r="E1125" s="687"/>
      <c r="F1125" s="687"/>
      <c r="G1125" s="688"/>
      <c r="H1125" s="197"/>
      <c r="I1125" s="207"/>
      <c r="J1125" s="192"/>
      <c r="K1125" s="192"/>
      <c r="L1125" s="770"/>
      <c r="M1125" s="778"/>
      <c r="N1125" s="723">
        <f>IF($F$1123="",0,((Nutzung!$G$29+Regelung-1)+(($H$1124-Nutzung!$G$29)/4)-I1047)*J1047*$D$1123*$E$1123*$F$1123*24/($O$1046*1000))</f>
        <v>0</v>
      </c>
      <c r="O1125" s="192"/>
      <c r="P1125" s="192"/>
      <c r="Q1125" s="192"/>
      <c r="R1125" s="192"/>
      <c r="S1125" s="192"/>
    </row>
    <row r="1126" spans="1:28" hidden="1">
      <c r="A1126" s="192"/>
      <c r="B1126" s="690" t="s">
        <v>306</v>
      </c>
      <c r="C1126" s="686"/>
      <c r="D1126" s="686"/>
      <c r="E1126" s="687"/>
      <c r="F1126" s="687"/>
      <c r="G1126" s="688"/>
      <c r="H1126" s="197"/>
      <c r="I1126" s="207"/>
      <c r="J1126" s="192"/>
      <c r="K1126" s="192"/>
      <c r="L1126" s="770"/>
      <c r="M1126" s="778"/>
      <c r="N1126" s="723">
        <f>IF($F$1123="",0,((Nutzung!$G$29+Regelung-1)+(($H$1124-Nutzung!$G$29)/4)-I1048)*J1048*$D$1123*$E$1123*$F$1123*24/($O$1046*1000))</f>
        <v>0</v>
      </c>
      <c r="O1126" s="192"/>
      <c r="P1126" s="192"/>
      <c r="Q1126" s="192"/>
      <c r="R1126" s="192"/>
      <c r="S1126" s="192"/>
    </row>
    <row r="1127" spans="1:28" hidden="1">
      <c r="A1127" s="192"/>
      <c r="B1127" s="690" t="s">
        <v>409</v>
      </c>
      <c r="C1127" s="686"/>
      <c r="D1127" s="686"/>
      <c r="E1127" s="687"/>
      <c r="F1127" s="687"/>
      <c r="G1127" s="688"/>
      <c r="H1127" s="197"/>
      <c r="I1127" s="207"/>
      <c r="J1127" s="192"/>
      <c r="K1127" s="192"/>
      <c r="L1127" s="770"/>
      <c r="M1127" s="778"/>
      <c r="N1127" s="723">
        <f>IF($F$1123="",0,((Nutzung!$G$29+Regelung-1)+(($H$1124-Nutzung!$G$29)/4)-I1049)*J1049*$D$1123*$E$1123*$F$1123*24/($O$1046*1000))</f>
        <v>0</v>
      </c>
      <c r="O1127" s="192"/>
      <c r="P1127" s="192"/>
      <c r="Q1127" s="192"/>
      <c r="R1127" s="192"/>
      <c r="S1127" s="192"/>
    </row>
    <row r="1128" spans="1:28" hidden="1">
      <c r="A1128" s="192"/>
      <c r="B1128" s="690" t="s">
        <v>410</v>
      </c>
      <c r="C1128" s="686"/>
      <c r="D1128" s="686"/>
      <c r="E1128" s="687"/>
      <c r="F1128" s="687"/>
      <c r="G1128" s="688"/>
      <c r="H1128" s="197"/>
      <c r="I1128" s="207"/>
      <c r="J1128" s="192"/>
      <c r="K1128" s="192"/>
      <c r="L1128" s="770"/>
      <c r="M1128" s="778"/>
      <c r="N1128" s="723">
        <f>IF($F$1123="",0,((Nutzung!$G$29+Regelung-1)+(($H$1124-Nutzung!$G$29)/4)-I1050)*J1050*$D$1123*$E$1123*$F$1123*24/($O$1046*1000))</f>
        <v>0</v>
      </c>
      <c r="O1128" s="192"/>
      <c r="P1128" s="192"/>
      <c r="Q1128" s="192"/>
      <c r="R1128" s="192"/>
      <c r="S1128" s="192"/>
    </row>
    <row r="1129" spans="1:28" hidden="1">
      <c r="A1129" s="192"/>
      <c r="B1129" s="690" t="s">
        <v>411</v>
      </c>
      <c r="C1129" s="686"/>
      <c r="D1129" s="686"/>
      <c r="E1129" s="687"/>
      <c r="F1129" s="687"/>
      <c r="G1129" s="688"/>
      <c r="H1129" s="197"/>
      <c r="I1129" s="207"/>
      <c r="J1129" s="192"/>
      <c r="K1129" s="192"/>
      <c r="L1129" s="770"/>
      <c r="M1129" s="778"/>
      <c r="N1129" s="723">
        <f>IF($F$1123="",0,((Nutzung!$G$29+Regelung-1)+(($H$1124-Nutzung!$G$29)/4)-I1051)*J1051*$D$1123*$E$1123*$F$1123*24/($O$1046*1000))</f>
        <v>0</v>
      </c>
      <c r="O1129" s="192"/>
      <c r="P1129" s="192"/>
      <c r="Q1129" s="192"/>
      <c r="R1129" s="192"/>
      <c r="S1129" s="192"/>
    </row>
    <row r="1130" spans="1:28" hidden="1">
      <c r="A1130" s="192"/>
      <c r="B1130" s="690" t="s">
        <v>221</v>
      </c>
      <c r="C1130" s="686"/>
      <c r="D1130" s="686"/>
      <c r="E1130" s="687"/>
      <c r="F1130" s="687"/>
      <c r="G1130" s="688"/>
      <c r="H1130" s="197"/>
      <c r="I1130" s="207"/>
      <c r="J1130" s="192"/>
      <c r="K1130" s="192"/>
      <c r="L1130" s="770"/>
      <c r="M1130" s="778"/>
      <c r="N1130" s="723">
        <f>IF($F$1123="",0,((Nutzung!$G$29+Regelung-1)+(($H$1124-Nutzung!$G$29)/4)-I1052)*J1052*$D$1123*$E$1123*$F$1123*24/($O$1046*1000))</f>
        <v>0</v>
      </c>
      <c r="O1130" s="192"/>
      <c r="P1130" s="192"/>
      <c r="Q1130" s="192"/>
      <c r="R1130" s="192"/>
      <c r="S1130" s="192"/>
    </row>
    <row r="1131" spans="1:28" hidden="1">
      <c r="A1131" s="192"/>
      <c r="B1131" s="690" t="s">
        <v>138</v>
      </c>
      <c r="C1131" s="686"/>
      <c r="D1131" s="686"/>
      <c r="E1131" s="687"/>
      <c r="F1131" s="687"/>
      <c r="G1131" s="688"/>
      <c r="H1131" s="197"/>
      <c r="I1131" s="207"/>
      <c r="J1131" s="192"/>
      <c r="K1131" s="192"/>
      <c r="L1131" s="770"/>
      <c r="M1131" s="778"/>
      <c r="N1131" s="723">
        <f>IF($F$1123="",0,((Nutzung!$G$29+Regelung-1)+(($H$1124-Nutzung!$G$29)/4)-I1053)*J1053*$D$1123*$E$1123*$F$1123*24/($O$1046*1000))</f>
        <v>0</v>
      </c>
      <c r="O1131" s="192"/>
      <c r="P1131" s="192"/>
      <c r="Q1131" s="192"/>
      <c r="R1131" s="192"/>
      <c r="S1131" s="192"/>
    </row>
    <row r="1132" spans="1:28" hidden="1">
      <c r="A1132" s="192"/>
      <c r="B1132" s="690" t="s">
        <v>139</v>
      </c>
      <c r="C1132" s="686"/>
      <c r="D1132" s="686"/>
      <c r="E1132" s="687"/>
      <c r="F1132" s="687"/>
      <c r="G1132" s="688"/>
      <c r="H1132" s="197"/>
      <c r="I1132" s="207"/>
      <c r="J1132" s="192"/>
      <c r="K1132" s="192"/>
      <c r="L1132" s="770"/>
      <c r="M1132" s="778"/>
      <c r="N1132" s="723">
        <f>IF($F$1123="",0,((Nutzung!$G$29+Regelung-1)+(($H$1124-Nutzung!$G$29)/4)-I1054)*J1054*$D$1123*$E$1123*$F$1123*24/($O$1046*1000))</f>
        <v>0</v>
      </c>
      <c r="O1132" s="192"/>
      <c r="P1132" s="192"/>
      <c r="Q1132" s="192"/>
      <c r="R1132" s="192"/>
      <c r="S1132" s="192"/>
    </row>
    <row r="1133" spans="1:28" hidden="1">
      <c r="A1133" s="192"/>
      <c r="B1133" s="690" t="s">
        <v>269</v>
      </c>
      <c r="C1133" s="686"/>
      <c r="D1133" s="686"/>
      <c r="E1133" s="687"/>
      <c r="F1133" s="687"/>
      <c r="G1133" s="688"/>
      <c r="H1133" s="197"/>
      <c r="I1133" s="207"/>
      <c r="J1133" s="192"/>
      <c r="K1133" s="192"/>
      <c r="L1133" s="770"/>
      <c r="M1133" s="778"/>
      <c r="N1133" s="723">
        <f>IF($F$1123="",0,((Nutzung!$G$29+Regelung-1)+(($H$1124-Nutzung!$G$29)/4)-I1055)*J1055*$D$1123*$E$1123*$F$1123*24/($O$1046*1000))</f>
        <v>0</v>
      </c>
      <c r="O1133" s="192"/>
      <c r="P1133" s="192"/>
      <c r="Q1133" s="192"/>
      <c r="R1133" s="192"/>
      <c r="S1133" s="192"/>
    </row>
    <row r="1134" spans="1:28" hidden="1">
      <c r="A1134" s="192"/>
      <c r="B1134" s="690" t="s">
        <v>366</v>
      </c>
      <c r="C1134" s="686"/>
      <c r="D1134" s="686"/>
      <c r="E1134" s="687"/>
      <c r="F1134" s="687"/>
      <c r="G1134" s="688"/>
      <c r="H1134" s="197"/>
      <c r="I1134" s="207"/>
      <c r="J1134" s="192"/>
      <c r="K1134" s="192"/>
      <c r="L1134" s="770"/>
      <c r="M1134" s="778"/>
      <c r="N1134" s="723">
        <f>IF($F$1123="",0,((Nutzung!$G$29+Regelung-1)+(($H$1124-Nutzung!$G$29)/4)-I1056)*J1056*$D$1123*$E$1123*$F$1123*24/($O$1046*1000))</f>
        <v>0</v>
      </c>
      <c r="O1134" s="192"/>
      <c r="P1134" s="192"/>
      <c r="Q1134" s="192"/>
      <c r="R1134" s="192"/>
      <c r="S1134" s="192"/>
    </row>
    <row r="1135" spans="1:28" hidden="1">
      <c r="A1135" s="192"/>
      <c r="B1135" s="690" t="s">
        <v>465</v>
      </c>
      <c r="C1135" s="686"/>
      <c r="D1135" s="686"/>
      <c r="E1135" s="687"/>
      <c r="F1135" s="687"/>
      <c r="G1135" s="688"/>
      <c r="H1135" s="197"/>
      <c r="I1135" s="207"/>
      <c r="J1135" s="192"/>
      <c r="K1135" s="192"/>
      <c r="L1135" s="770"/>
      <c r="M1135" s="778"/>
      <c r="N1135" s="723">
        <f>IF($F$1123="",0,((Nutzung!$G$29+Regelung-1)+(($H$1124-Nutzung!$G$29)/4)-I1057)*J1057*$D$1123*$E$1123*$F$1123*24/($O$1046*1000))</f>
        <v>0</v>
      </c>
      <c r="O1135" s="192"/>
      <c r="P1135" s="192"/>
      <c r="Q1135" s="192"/>
      <c r="R1135" s="192"/>
      <c r="S1135" s="192"/>
    </row>
    <row r="1136" spans="1:28" ht="10.95" customHeight="1">
      <c r="A1136" s="192"/>
      <c r="B1136" s="747"/>
      <c r="C1136" s="656"/>
      <c r="D1136" s="656"/>
      <c r="E1136" s="658"/>
      <c r="F1136" s="658"/>
      <c r="G1136" s="776"/>
      <c r="H1136" s="197"/>
      <c r="I1136" s="207"/>
      <c r="J1136" s="192"/>
      <c r="K1136" s="192"/>
      <c r="L1136" s="220" t="str">
        <f>IF(F1136="","",Nutzung!$G$29)</f>
        <v/>
      </c>
      <c r="M1136" s="771" t="str">
        <f>IF(D1136="","",AB1136)</f>
        <v/>
      </c>
      <c r="N1136" s="251">
        <f>IF(F1136=0,0,SUM(N1137:N1148))</f>
        <v>0</v>
      </c>
      <c r="O1136" s="215" t="str">
        <f>IF(N1136/$O$1370=0,"",N1136/$O$1370)</f>
        <v/>
      </c>
      <c r="P1136" s="192"/>
      <c r="Q1136" s="192"/>
      <c r="R1136" s="192"/>
      <c r="S1136" s="192"/>
      <c r="T1136" s="182">
        <f>D1136*E1136*F1136</f>
        <v>0</v>
      </c>
      <c r="AA1136" s="318">
        <f>IF(D1136="",0,1)</f>
        <v>0</v>
      </c>
      <c r="AB1136" s="318">
        <f>AB1123+AA1136</f>
        <v>0</v>
      </c>
    </row>
    <row r="1137" spans="1:28" hidden="1">
      <c r="A1137" s="192"/>
      <c r="B1137" s="690" t="s">
        <v>49</v>
      </c>
      <c r="C1137" s="14"/>
      <c r="D1137" s="686"/>
      <c r="E1137" s="686"/>
      <c r="F1137" s="687"/>
      <c r="G1137" s="688"/>
      <c r="H1137" s="738" t="str">
        <f>IF($L$1136&lt;Nutzung!$G$29,Nutzung!$G$29,$L$1136)</f>
        <v/>
      </c>
      <c r="I1137" s="207"/>
      <c r="J1137" s="192"/>
      <c r="K1137" s="267">
        <f>IF(L1136="",Nutzung!$G$29,Bauteile!L1136)</f>
        <v>0</v>
      </c>
      <c r="L1137" s="770"/>
      <c r="M1137" s="777"/>
      <c r="N1137" s="723">
        <f>IF($F$1136="",0,((Nutzung!$G$29+Regelung-1)+(($H$1137-Nutzung!$G$29)/4)-I1046)*J1046*$D$1136*$E$1136*$F$1136*24/($O$1046*1000))</f>
        <v>0</v>
      </c>
      <c r="O1137" s="192"/>
      <c r="P1137" s="192"/>
      <c r="Q1137" s="192"/>
      <c r="R1137" s="192"/>
      <c r="S1137" s="192"/>
    </row>
    <row r="1138" spans="1:28" hidden="1">
      <c r="A1138" s="192"/>
      <c r="B1138" s="690" t="s">
        <v>554</v>
      </c>
      <c r="C1138" s="686"/>
      <c r="D1138" s="686"/>
      <c r="E1138" s="686"/>
      <c r="F1138" s="687"/>
      <c r="G1138" s="688"/>
      <c r="H1138" s="197"/>
      <c r="I1138" s="207"/>
      <c r="J1138" s="192"/>
      <c r="K1138" s="192"/>
      <c r="L1138" s="770"/>
      <c r="M1138" s="778"/>
      <c r="N1138" s="723">
        <f>IF($F$1136="",0,((Nutzung!$G$29+Regelung-1)+(($H$1137-Nutzung!$G$29)/4)-I1047)*J1047*$D$1136*$E$1136*$F$1136*24/($O$1046*1000))</f>
        <v>0</v>
      </c>
      <c r="O1138" s="192"/>
      <c r="P1138" s="192"/>
      <c r="Q1138" s="192"/>
      <c r="R1138" s="192"/>
      <c r="S1138" s="192"/>
    </row>
    <row r="1139" spans="1:28" hidden="1">
      <c r="A1139" s="192"/>
      <c r="B1139" s="690" t="s">
        <v>306</v>
      </c>
      <c r="C1139" s="686"/>
      <c r="D1139" s="686"/>
      <c r="E1139" s="686"/>
      <c r="F1139" s="687"/>
      <c r="G1139" s="688"/>
      <c r="H1139" s="197"/>
      <c r="I1139" s="207"/>
      <c r="J1139" s="192"/>
      <c r="K1139" s="192"/>
      <c r="L1139" s="770"/>
      <c r="M1139" s="778"/>
      <c r="N1139" s="723">
        <f>IF($F$1136="",0,((Nutzung!$G$29+Regelung-1)+(($H$1137-Nutzung!$G$29)/4)-I1048)*J1048*$D$1136*$E$1136*$F$1136*24/($O$1046*1000))</f>
        <v>0</v>
      </c>
      <c r="O1139" s="192"/>
      <c r="P1139" s="192"/>
      <c r="Q1139" s="192"/>
      <c r="R1139" s="192"/>
      <c r="S1139" s="192"/>
    </row>
    <row r="1140" spans="1:28" hidden="1">
      <c r="A1140" s="192"/>
      <c r="B1140" s="690" t="s">
        <v>409</v>
      </c>
      <c r="C1140" s="686"/>
      <c r="D1140" s="686"/>
      <c r="E1140" s="686"/>
      <c r="F1140" s="687"/>
      <c r="G1140" s="688"/>
      <c r="H1140" s="197"/>
      <c r="I1140" s="207"/>
      <c r="J1140" s="192"/>
      <c r="K1140" s="192"/>
      <c r="L1140" s="770"/>
      <c r="M1140" s="778"/>
      <c r="N1140" s="723">
        <f>IF($F$1136="",0,((Nutzung!$G$29+Regelung-1)+(($H$1137-Nutzung!$G$29)/4)-I1049)*J1049*$D$1136*$E$1136*$F$1136*24/($O$1046*1000))</f>
        <v>0</v>
      </c>
      <c r="O1140" s="192"/>
      <c r="P1140" s="192"/>
      <c r="Q1140" s="192"/>
      <c r="R1140" s="192"/>
      <c r="S1140" s="192"/>
    </row>
    <row r="1141" spans="1:28" hidden="1">
      <c r="A1141" s="192"/>
      <c r="B1141" s="690" t="s">
        <v>410</v>
      </c>
      <c r="C1141" s="686"/>
      <c r="D1141" s="686"/>
      <c r="E1141" s="686"/>
      <c r="F1141" s="687"/>
      <c r="G1141" s="688"/>
      <c r="H1141" s="197"/>
      <c r="I1141" s="207"/>
      <c r="J1141" s="192"/>
      <c r="K1141" s="192"/>
      <c r="L1141" s="770"/>
      <c r="M1141" s="778"/>
      <c r="N1141" s="723">
        <f>IF($F$1136="",0,((Nutzung!$G$29+Regelung-1)+(($H$1137-Nutzung!$G$29)/4)-I1050)*J1050*$D$1136*$E$1136*$F$1136*24/($O$1046*1000))</f>
        <v>0</v>
      </c>
      <c r="O1141" s="192"/>
      <c r="P1141" s="192"/>
      <c r="Q1141" s="192"/>
      <c r="R1141" s="192"/>
      <c r="S1141" s="192"/>
    </row>
    <row r="1142" spans="1:28" hidden="1">
      <c r="A1142" s="192"/>
      <c r="B1142" s="690" t="s">
        <v>411</v>
      </c>
      <c r="C1142" s="686"/>
      <c r="D1142" s="686"/>
      <c r="E1142" s="686"/>
      <c r="F1142" s="687"/>
      <c r="G1142" s="688"/>
      <c r="H1142" s="197"/>
      <c r="I1142" s="207"/>
      <c r="J1142" s="192"/>
      <c r="K1142" s="192"/>
      <c r="L1142" s="770"/>
      <c r="M1142" s="778"/>
      <c r="N1142" s="723">
        <f>IF($F$1136="",0,((Nutzung!$G$29+Regelung-1)+(($H$1137-Nutzung!$G$29)/4)-I1051)*J1051*$D$1136*$E$1136*$F$1136*24/($O$1046*1000))</f>
        <v>0</v>
      </c>
      <c r="O1142" s="192"/>
      <c r="P1142" s="192"/>
      <c r="Q1142" s="192"/>
      <c r="R1142" s="192"/>
      <c r="S1142" s="192"/>
    </row>
    <row r="1143" spans="1:28" hidden="1">
      <c r="A1143" s="192"/>
      <c r="B1143" s="690" t="s">
        <v>221</v>
      </c>
      <c r="C1143" s="686"/>
      <c r="D1143" s="686"/>
      <c r="E1143" s="686"/>
      <c r="F1143" s="687"/>
      <c r="G1143" s="688"/>
      <c r="H1143" s="197"/>
      <c r="I1143" s="207"/>
      <c r="J1143" s="192"/>
      <c r="K1143" s="192"/>
      <c r="L1143" s="770"/>
      <c r="M1143" s="778"/>
      <c r="N1143" s="723">
        <f>IF($F$1136="",0,((Nutzung!$G$29+Regelung-1)+(($H$1137-Nutzung!$G$29)/4)-I1052)*J1052*$D$1136*$E$1136*$F$1136*24/($O$1046*1000))</f>
        <v>0</v>
      </c>
      <c r="O1143" s="192"/>
      <c r="P1143" s="192"/>
      <c r="Q1143" s="192"/>
      <c r="R1143" s="192"/>
      <c r="S1143" s="192"/>
    </row>
    <row r="1144" spans="1:28" hidden="1">
      <c r="A1144" s="192"/>
      <c r="B1144" s="690" t="s">
        <v>138</v>
      </c>
      <c r="C1144" s="686"/>
      <c r="D1144" s="686"/>
      <c r="E1144" s="686"/>
      <c r="F1144" s="687"/>
      <c r="G1144" s="688"/>
      <c r="H1144" s="197"/>
      <c r="I1144" s="207"/>
      <c r="J1144" s="192"/>
      <c r="K1144" s="192"/>
      <c r="L1144" s="770"/>
      <c r="M1144" s="778"/>
      <c r="N1144" s="723">
        <f>IF($F$1136="",0,((Nutzung!$G$29+Regelung-1)+(($H$1137-Nutzung!$G$29)/4)-I1053)*J1053*$D$1136*$E$1136*$F$1136*24/($O$1046*1000))</f>
        <v>0</v>
      </c>
      <c r="O1144" s="192"/>
      <c r="P1144" s="192"/>
      <c r="Q1144" s="192"/>
      <c r="R1144" s="192"/>
      <c r="S1144" s="192"/>
    </row>
    <row r="1145" spans="1:28" hidden="1">
      <c r="A1145" s="192"/>
      <c r="B1145" s="690" t="s">
        <v>139</v>
      </c>
      <c r="C1145" s="686"/>
      <c r="D1145" s="686"/>
      <c r="E1145" s="686"/>
      <c r="F1145" s="687"/>
      <c r="G1145" s="688"/>
      <c r="H1145" s="197"/>
      <c r="I1145" s="207"/>
      <c r="J1145" s="192"/>
      <c r="K1145" s="192"/>
      <c r="L1145" s="770"/>
      <c r="M1145" s="778"/>
      <c r="N1145" s="723">
        <f>IF($F$1136="",0,((Nutzung!$G$29+Regelung-1)+(($H$1137-Nutzung!$G$29)/4)-I1054)*J1054*$D$1136*$E$1136*$F$1136*24/($O$1046*1000))</f>
        <v>0</v>
      </c>
      <c r="O1145" s="192"/>
      <c r="P1145" s="192"/>
      <c r="Q1145" s="192"/>
      <c r="R1145" s="192"/>
      <c r="S1145" s="192"/>
    </row>
    <row r="1146" spans="1:28" hidden="1">
      <c r="A1146" s="192"/>
      <c r="B1146" s="690" t="s">
        <v>269</v>
      </c>
      <c r="C1146" s="686"/>
      <c r="D1146" s="686"/>
      <c r="E1146" s="686"/>
      <c r="F1146" s="687"/>
      <c r="G1146" s="688"/>
      <c r="H1146" s="197"/>
      <c r="I1146" s="207"/>
      <c r="J1146" s="192"/>
      <c r="K1146" s="192"/>
      <c r="L1146" s="770"/>
      <c r="M1146" s="778"/>
      <c r="N1146" s="723">
        <f>IF($F$1136="",0,((Nutzung!$G$29+Regelung-1)+(($H$1137-Nutzung!$G$29)/4)-I1055)*J1055*$D$1136*$E$1136*$F$1136*24/($O$1046*1000))</f>
        <v>0</v>
      </c>
      <c r="O1146" s="192"/>
      <c r="P1146" s="192"/>
      <c r="Q1146" s="192"/>
      <c r="R1146" s="192"/>
      <c r="S1146" s="192"/>
    </row>
    <row r="1147" spans="1:28" hidden="1">
      <c r="A1147" s="192"/>
      <c r="B1147" s="690" t="s">
        <v>366</v>
      </c>
      <c r="C1147" s="686"/>
      <c r="D1147" s="686"/>
      <c r="E1147" s="686"/>
      <c r="F1147" s="687"/>
      <c r="G1147" s="688"/>
      <c r="H1147" s="197"/>
      <c r="I1147" s="207"/>
      <c r="J1147" s="192"/>
      <c r="K1147" s="192"/>
      <c r="L1147" s="770"/>
      <c r="M1147" s="778"/>
      <c r="N1147" s="723">
        <f>IF($F$1136="",0,((Nutzung!$G$29+Regelung-1)+(($H$1137-Nutzung!$G$29)/4)-I1056)*J1056*$D$1136*$E$1136*$F$1136*24/($O$1046*1000))</f>
        <v>0</v>
      </c>
      <c r="O1147" s="192"/>
      <c r="P1147" s="192"/>
      <c r="Q1147" s="192"/>
      <c r="R1147" s="192"/>
      <c r="S1147" s="192"/>
    </row>
    <row r="1148" spans="1:28" hidden="1">
      <c r="A1148" s="192"/>
      <c r="B1148" s="690" t="s">
        <v>465</v>
      </c>
      <c r="C1148" s="686"/>
      <c r="D1148" s="686"/>
      <c r="E1148" s="686"/>
      <c r="F1148" s="687"/>
      <c r="G1148" s="688"/>
      <c r="H1148" s="197"/>
      <c r="I1148" s="207"/>
      <c r="J1148" s="192"/>
      <c r="K1148" s="192"/>
      <c r="L1148" s="770"/>
      <c r="M1148" s="778"/>
      <c r="N1148" s="723">
        <f>IF($F$1136="",0,((Nutzung!$G$29+Regelung-1)+(($H$1137-Nutzung!$G$29)/4)-I1057)*J1057*$D$1136*$E$1136*$F$1136*24/($O$1046*1000))</f>
        <v>0</v>
      </c>
      <c r="O1148" s="192"/>
      <c r="P1148" s="192"/>
      <c r="Q1148" s="192"/>
      <c r="R1148" s="192"/>
      <c r="S1148" s="192"/>
    </row>
    <row r="1149" spans="1:28" ht="10.95" customHeight="1">
      <c r="A1149" s="192"/>
      <c r="B1149" s="750"/>
      <c r="C1149" s="660"/>
      <c r="D1149" s="660"/>
      <c r="E1149" s="662"/>
      <c r="F1149" s="662"/>
      <c r="G1149" s="695"/>
      <c r="H1149" s="197"/>
      <c r="I1149" s="207"/>
      <c r="J1149" s="192"/>
      <c r="K1149" s="192"/>
      <c r="L1149" s="535" t="str">
        <f>IF(F1149="","",Nutzung!$G$29)</f>
        <v/>
      </c>
      <c r="M1149" s="768" t="str">
        <f>IF(D1149="","",AB1149)</f>
        <v/>
      </c>
      <c r="N1149" s="214">
        <f>IF(F1149=0,0,SUM(N1150:N1161))</f>
        <v>0</v>
      </c>
      <c r="O1149" s="215" t="str">
        <f>IF(N1149/$O$1370=0,"",N1149/$O$1370)</f>
        <v/>
      </c>
      <c r="P1149" s="192"/>
      <c r="Q1149" s="192"/>
      <c r="R1149" s="192"/>
      <c r="S1149" s="192"/>
      <c r="T1149" s="182">
        <f>D1149*E1149*F1149</f>
        <v>0</v>
      </c>
      <c r="U1149" s="182">
        <f>SUM(T1045:T1149)</f>
        <v>0</v>
      </c>
      <c r="AA1149" s="318">
        <f>IF(D1149="",0,1)</f>
        <v>0</v>
      </c>
      <c r="AB1149" s="318">
        <f>AB1136+AA1149</f>
        <v>0</v>
      </c>
    </row>
    <row r="1150" spans="1:28" hidden="1">
      <c r="A1150" s="192"/>
      <c r="B1150" s="772" t="s">
        <v>49</v>
      </c>
      <c r="C1150" s="14"/>
      <c r="D1150" s="717"/>
      <c r="E1150" s="717"/>
      <c r="F1150" s="719"/>
      <c r="G1150" s="717"/>
      <c r="H1150" s="197" t="str">
        <f>IF($L$1149&lt;Nutzung!$G$29,Nutzung!$G$29,$L$1149)</f>
        <v/>
      </c>
      <c r="I1150" s="207"/>
      <c r="J1150" s="192"/>
      <c r="K1150" s="267">
        <f>IF(L1149="",Nutzung!$G$29,Bauteile!L1149)</f>
        <v>0</v>
      </c>
      <c r="L1150" s="13"/>
      <c r="M1150" s="13"/>
      <c r="N1150" s="723">
        <f>IF($F$1149="",0,((Nutzung!$G$29+Regelung-1)+(($H$1150-Nutzung!$G$29)/4)-I1046)*J1046*$D$1149*$E$1149*$F$1149*24/($O$1046*1000))</f>
        <v>0</v>
      </c>
      <c r="O1150" s="192"/>
      <c r="P1150" s="192"/>
      <c r="Q1150" s="192"/>
      <c r="R1150" s="192"/>
      <c r="S1150" s="192"/>
    </row>
    <row r="1151" spans="1:28" hidden="1">
      <c r="A1151" s="192"/>
      <c r="B1151" s="691" t="s">
        <v>554</v>
      </c>
      <c r="C1151" s="717"/>
      <c r="D1151" s="717"/>
      <c r="E1151" s="717"/>
      <c r="F1151" s="719"/>
      <c r="G1151" s="717"/>
      <c r="H1151" s="197"/>
      <c r="I1151" s="207"/>
      <c r="J1151" s="192"/>
      <c r="K1151" s="192"/>
      <c r="L1151" s="13"/>
      <c r="M1151" s="13"/>
      <c r="N1151" s="723">
        <f>IF($F$1149="",0,((Nutzung!$G$29+Regelung-1)+(($H$1150-Nutzung!$G$29)/4)-I1047)*J1047*$D$1149*$E$1149*$F$1149*24/($O$1046*1000))</f>
        <v>0</v>
      </c>
      <c r="O1151" s="192"/>
      <c r="P1151" s="192"/>
      <c r="Q1151" s="192"/>
      <c r="R1151" s="192"/>
      <c r="S1151" s="192"/>
    </row>
    <row r="1152" spans="1:28" hidden="1">
      <c r="A1152" s="192"/>
      <c r="B1152" s="691" t="s">
        <v>306</v>
      </c>
      <c r="C1152" s="717"/>
      <c r="D1152" s="717"/>
      <c r="E1152" s="717"/>
      <c r="F1152" s="719"/>
      <c r="G1152" s="717"/>
      <c r="H1152" s="197"/>
      <c r="I1152" s="207"/>
      <c r="J1152" s="192"/>
      <c r="K1152" s="192"/>
      <c r="L1152" s="13"/>
      <c r="M1152" s="13"/>
      <c r="N1152" s="723">
        <f>IF($F$1149="",0,((Nutzung!$G$29+Regelung-1)+(($H$1150-Nutzung!$G$29)/4)-I1048)*J1048*$D$1149*$E$1149*$F$1149*24/($O$1046*1000))</f>
        <v>0</v>
      </c>
      <c r="O1152" s="192"/>
      <c r="P1152" s="192"/>
      <c r="Q1152" s="192"/>
      <c r="R1152" s="192"/>
      <c r="S1152" s="192"/>
    </row>
    <row r="1153" spans="1:38" hidden="1">
      <c r="A1153" s="192"/>
      <c r="B1153" s="691" t="s">
        <v>409</v>
      </c>
      <c r="C1153" s="717"/>
      <c r="D1153" s="717"/>
      <c r="E1153" s="717"/>
      <c r="F1153" s="719"/>
      <c r="G1153" s="717"/>
      <c r="H1153" s="197"/>
      <c r="I1153" s="207"/>
      <c r="J1153" s="192"/>
      <c r="K1153" s="192"/>
      <c r="L1153" s="13"/>
      <c r="M1153" s="13"/>
      <c r="N1153" s="723">
        <f>IF($F$1149="",0,((Nutzung!$G$29+Regelung-1)+(($H$1150-Nutzung!$G$29)/4)-I1049)*J1049*$D$1149*$E$1149*$F$1149*24/($O$1046*1000))</f>
        <v>0</v>
      </c>
      <c r="O1153" s="192"/>
      <c r="P1153" s="192"/>
      <c r="Q1153" s="192"/>
      <c r="R1153" s="192"/>
      <c r="S1153" s="192"/>
    </row>
    <row r="1154" spans="1:38" hidden="1">
      <c r="A1154" s="192"/>
      <c r="B1154" s="691" t="s">
        <v>410</v>
      </c>
      <c r="C1154" s="717"/>
      <c r="D1154" s="717"/>
      <c r="E1154" s="717"/>
      <c r="F1154" s="719"/>
      <c r="G1154" s="717"/>
      <c r="H1154" s="197"/>
      <c r="I1154" s="207"/>
      <c r="J1154" s="192"/>
      <c r="K1154" s="192"/>
      <c r="L1154" s="13"/>
      <c r="M1154" s="13"/>
      <c r="N1154" s="723">
        <f>IF($F$1149="",0,((Nutzung!$G$29+Regelung-1)+(($H$1150-Nutzung!$G$29)/4)-I1050)*J1050*$D$1149*$E$1149*$F$1149*24/($O$1046*1000))</f>
        <v>0</v>
      </c>
      <c r="O1154" s="192"/>
      <c r="P1154" s="192"/>
      <c r="Q1154" s="192"/>
      <c r="R1154" s="192"/>
      <c r="S1154" s="192"/>
    </row>
    <row r="1155" spans="1:38" hidden="1">
      <c r="A1155" s="192"/>
      <c r="B1155" s="691" t="s">
        <v>411</v>
      </c>
      <c r="C1155" s="717"/>
      <c r="D1155" s="717"/>
      <c r="E1155" s="717"/>
      <c r="F1155" s="719"/>
      <c r="G1155" s="717"/>
      <c r="H1155" s="197"/>
      <c r="I1155" s="207"/>
      <c r="J1155" s="192"/>
      <c r="K1155" s="192"/>
      <c r="L1155" s="13"/>
      <c r="M1155" s="13"/>
      <c r="N1155" s="723">
        <f>IF($F$1149="",0,((Nutzung!$G$29+Regelung-1)+(($H$1150-Nutzung!$G$29)/4)-I1051)*J1051*$D$1149*$E$1149*$F$1149*24/($O$1046*1000))</f>
        <v>0</v>
      </c>
      <c r="O1155" s="192"/>
      <c r="P1155" s="192"/>
      <c r="Q1155" s="192"/>
      <c r="R1155" s="192"/>
      <c r="S1155" s="192"/>
    </row>
    <row r="1156" spans="1:38" hidden="1">
      <c r="A1156" s="192"/>
      <c r="B1156" s="691" t="s">
        <v>221</v>
      </c>
      <c r="C1156" s="717"/>
      <c r="D1156" s="717"/>
      <c r="E1156" s="717"/>
      <c r="F1156" s="719"/>
      <c r="G1156" s="717"/>
      <c r="H1156" s="197"/>
      <c r="I1156" s="207"/>
      <c r="J1156" s="192"/>
      <c r="K1156" s="192"/>
      <c r="L1156" s="13"/>
      <c r="M1156" s="13"/>
      <c r="N1156" s="723">
        <f>IF($F$1149="",0,((Nutzung!$G$29+Regelung-1)+(($H$1150-Nutzung!$G$29)/4)-I1052)*J1052*$D$1149*$E$1149*$F$1149*24/($O$1046*1000))</f>
        <v>0</v>
      </c>
      <c r="O1156" s="192"/>
      <c r="P1156" s="192"/>
      <c r="Q1156" s="192"/>
      <c r="R1156" s="192"/>
      <c r="S1156" s="192"/>
    </row>
    <row r="1157" spans="1:38" hidden="1">
      <c r="A1157" s="192"/>
      <c r="B1157" s="691" t="s">
        <v>138</v>
      </c>
      <c r="C1157" s="717"/>
      <c r="D1157" s="717"/>
      <c r="E1157" s="717"/>
      <c r="F1157" s="719"/>
      <c r="G1157" s="717"/>
      <c r="H1157" s="197"/>
      <c r="I1157" s="207"/>
      <c r="J1157" s="192"/>
      <c r="K1157" s="192"/>
      <c r="L1157" s="13"/>
      <c r="M1157" s="13"/>
      <c r="N1157" s="723">
        <f>IF($F$1149="",0,((Nutzung!$G$29+Regelung-1)+(($H$1150-Nutzung!$G$29)/4)-I1053)*J1053*$D$1149*$E$1149*$F$1149*24/($O$1046*1000))</f>
        <v>0</v>
      </c>
      <c r="O1157" s="192"/>
      <c r="P1157" s="192"/>
      <c r="Q1157" s="192"/>
      <c r="R1157" s="192"/>
      <c r="S1157" s="192"/>
    </row>
    <row r="1158" spans="1:38" hidden="1">
      <c r="A1158" s="192"/>
      <c r="B1158" s="691" t="s">
        <v>139</v>
      </c>
      <c r="C1158" s="717"/>
      <c r="D1158" s="717"/>
      <c r="E1158" s="717"/>
      <c r="F1158" s="719"/>
      <c r="G1158" s="717"/>
      <c r="H1158" s="197"/>
      <c r="I1158" s="207"/>
      <c r="J1158" s="192"/>
      <c r="K1158" s="192"/>
      <c r="L1158" s="13"/>
      <c r="M1158" s="13"/>
      <c r="N1158" s="723">
        <f>IF($F$1149="",0,((Nutzung!$G$29+Regelung-1)+(($H$1150-Nutzung!$G$29)/4)-I1054)*J1054*$D$1149*$E$1149*$F$1149*24/($O$1046*1000))</f>
        <v>0</v>
      </c>
      <c r="O1158" s="192"/>
      <c r="P1158" s="192"/>
      <c r="Q1158" s="192"/>
      <c r="R1158" s="192"/>
      <c r="S1158" s="192"/>
    </row>
    <row r="1159" spans="1:38" hidden="1">
      <c r="A1159" s="192"/>
      <c r="B1159" s="691" t="s">
        <v>269</v>
      </c>
      <c r="C1159" s="717"/>
      <c r="D1159" s="717"/>
      <c r="E1159" s="717"/>
      <c r="F1159" s="719"/>
      <c r="G1159" s="717"/>
      <c r="H1159" s="197"/>
      <c r="I1159" s="207"/>
      <c r="J1159" s="192"/>
      <c r="K1159" s="192"/>
      <c r="L1159" s="13"/>
      <c r="M1159" s="13"/>
      <c r="N1159" s="723">
        <f>IF($F$1149="",0,((Nutzung!$G$29+Regelung-1)+(($H$1150-Nutzung!$G$29)/4)-I1055)*J1055*$D$1149*$E$1149*$F$1149*24/($O$1046*1000))</f>
        <v>0</v>
      </c>
      <c r="O1159" s="192"/>
      <c r="P1159" s="192"/>
      <c r="Q1159" s="192"/>
      <c r="R1159" s="192"/>
      <c r="S1159" s="192"/>
    </row>
    <row r="1160" spans="1:38" hidden="1">
      <c r="A1160" s="192"/>
      <c r="B1160" s="691" t="s">
        <v>366</v>
      </c>
      <c r="C1160" s="717"/>
      <c r="D1160" s="717"/>
      <c r="E1160" s="717"/>
      <c r="F1160" s="719"/>
      <c r="G1160" s="717"/>
      <c r="H1160" s="197"/>
      <c r="I1160" s="207"/>
      <c r="J1160" s="192"/>
      <c r="K1160" s="192"/>
      <c r="L1160" s="13"/>
      <c r="M1160" s="13"/>
      <c r="N1160" s="723">
        <f>IF($F$1149="",0,((Nutzung!$G$29+Regelung-1)+(($H$1150-Nutzung!$G$29)/4)-I1056)*J1056*$D$1149*$E$1149*$F$1149*24/($O$1046*1000))</f>
        <v>0</v>
      </c>
      <c r="O1160" s="192"/>
      <c r="P1160" s="192"/>
      <c r="Q1160" s="192"/>
      <c r="R1160" s="192"/>
      <c r="S1160" s="192"/>
    </row>
    <row r="1161" spans="1:38" hidden="1">
      <c r="A1161" s="192"/>
      <c r="B1161" s="691" t="s">
        <v>465</v>
      </c>
      <c r="C1161" s="717"/>
      <c r="D1161" s="717"/>
      <c r="E1161" s="717"/>
      <c r="F1161" s="719"/>
      <c r="G1161" s="717"/>
      <c r="H1161" s="197"/>
      <c r="I1161" s="207"/>
      <c r="J1161" s="192"/>
      <c r="K1161" s="192"/>
      <c r="L1161" s="13"/>
      <c r="M1161" s="13"/>
      <c r="N1161" s="723">
        <f>IF($F$1149="",0,((Nutzung!$G$29+Regelung-1)+(($H$1150-Nutzung!$G$29)/4)-I1057)*J1057*$D$1149*$E$1149*$F$1149*24/($O$1046*1000))</f>
        <v>0</v>
      </c>
      <c r="O1161" s="192"/>
      <c r="P1161" s="192"/>
      <c r="Q1161" s="192"/>
      <c r="R1161" s="192"/>
      <c r="S1161" s="192"/>
    </row>
    <row r="1162" spans="1:38">
      <c r="A1162" s="192"/>
      <c r="B1162" s="196"/>
      <c r="C1162" s="197"/>
      <c r="D1162" s="197"/>
      <c r="E1162" s="197"/>
      <c r="F1162" s="197"/>
      <c r="G1162" s="197"/>
      <c r="H1162" s="207"/>
      <c r="I1162" s="208"/>
      <c r="J1162" s="192"/>
      <c r="K1162" s="192"/>
      <c r="L1162" s="192"/>
      <c r="M1162" s="192"/>
      <c r="N1162" s="192"/>
      <c r="O1162" s="192"/>
      <c r="P1162" s="192"/>
      <c r="Q1162" s="192"/>
      <c r="R1162" s="192"/>
      <c r="S1162" s="192"/>
    </row>
    <row r="1163" spans="1:38" ht="12" customHeight="1">
      <c r="A1163" s="192"/>
      <c r="B1163" s="885" t="s">
        <v>326</v>
      </c>
      <c r="C1163" s="886" t="s">
        <v>47</v>
      </c>
      <c r="D1163" s="886" t="s">
        <v>119</v>
      </c>
      <c r="E1163" s="886" t="s">
        <v>464</v>
      </c>
      <c r="F1163" s="886" t="s">
        <v>496</v>
      </c>
      <c r="G1163" s="886"/>
      <c r="H1163" s="885"/>
      <c r="I1163" s="886"/>
      <c r="J1163" s="886"/>
      <c r="K1163" s="884"/>
      <c r="L1163" s="887" t="s">
        <v>442</v>
      </c>
      <c r="M1163" s="886" t="s">
        <v>349</v>
      </c>
      <c r="N1163" s="886" t="s">
        <v>166</v>
      </c>
      <c r="O1163" s="886" t="s">
        <v>520</v>
      </c>
      <c r="P1163" s="194"/>
      <c r="Q1163" s="194"/>
      <c r="R1163" s="192"/>
      <c r="S1163" s="192"/>
    </row>
    <row r="1164" spans="1:38" ht="12" customHeight="1">
      <c r="A1164" s="192"/>
      <c r="B1164" s="885"/>
      <c r="C1164" s="886" t="s">
        <v>206</v>
      </c>
      <c r="D1164" s="886" t="s">
        <v>552</v>
      </c>
      <c r="E1164" s="886" t="s">
        <v>181</v>
      </c>
      <c r="F1164" s="886" t="s">
        <v>372</v>
      </c>
      <c r="G1164" s="886"/>
      <c r="H1164" s="885"/>
      <c r="I1164" s="886"/>
      <c r="J1164" s="886"/>
      <c r="K1164" s="884"/>
      <c r="L1164" s="886" t="s">
        <v>228</v>
      </c>
      <c r="M1164" s="886"/>
      <c r="N1164" s="886" t="s">
        <v>621</v>
      </c>
      <c r="O1164" s="886"/>
      <c r="P1164" s="194"/>
      <c r="Q1164" s="194"/>
      <c r="R1164" s="192"/>
      <c r="S1164" s="192"/>
    </row>
    <row r="1165" spans="1:38" ht="4.95" customHeight="1">
      <c r="A1165" s="192"/>
      <c r="B1165" s="196"/>
      <c r="C1165" s="197"/>
      <c r="D1165" s="197"/>
      <c r="E1165" s="197"/>
      <c r="F1165" s="197"/>
      <c r="G1165" s="197"/>
      <c r="H1165" s="195"/>
      <c r="I1165" s="197"/>
      <c r="J1165" s="197"/>
      <c r="K1165" s="192"/>
      <c r="L1165" s="192"/>
      <c r="M1165" s="192"/>
      <c r="N1165" s="192"/>
      <c r="O1165" s="192"/>
      <c r="P1165" s="192"/>
      <c r="Q1165" s="192"/>
      <c r="R1165" s="192"/>
      <c r="S1165" s="192"/>
    </row>
    <row r="1166" spans="1:38" ht="10.95" customHeight="1">
      <c r="A1166" s="192"/>
      <c r="B1166" s="646"/>
      <c r="C1166" s="652"/>
      <c r="D1166" s="653"/>
      <c r="E1166" s="654"/>
      <c r="F1166" s="677"/>
      <c r="G1166" s="275"/>
      <c r="H1166" s="198"/>
      <c r="I1166" s="198"/>
      <c r="J1166" s="241"/>
      <c r="K1166" s="211"/>
      <c r="L1166" s="219" t="str">
        <f>IF(F1166="","",Nutzung!$G$29)</f>
        <v/>
      </c>
      <c r="M1166" s="218" t="str">
        <f>IF(D1166="","",AB1166)</f>
        <v/>
      </c>
      <c r="N1166" s="214">
        <f>IF(F1166=0,0,SUM(N1167:N1178))</f>
        <v>0</v>
      </c>
      <c r="O1166" s="215" t="str">
        <f>IF(N1166/$O$1370=0,"",N1166/$O$1370)</f>
        <v/>
      </c>
      <c r="P1166" s="198"/>
      <c r="Q1166" s="198"/>
      <c r="R1166" s="198"/>
      <c r="S1166" s="192"/>
      <c r="T1166" s="182">
        <f>D1166*E1166*F1166</f>
        <v>0</v>
      </c>
      <c r="AA1166" s="318">
        <f>IF(D1166="",0,1)</f>
        <v>0</v>
      </c>
      <c r="AB1166" s="318">
        <f>AB1149+AA1166</f>
        <v>0</v>
      </c>
    </row>
    <row r="1167" spans="1:38" s="234" customFormat="1" ht="10.199999999999999" hidden="1">
      <c r="A1167" s="199"/>
      <c r="B1167" s="690" t="s">
        <v>49</v>
      </c>
      <c r="C1167" s="20"/>
      <c r="D1167" s="20"/>
      <c r="E1167" s="20"/>
      <c r="F1167" s="689"/>
      <c r="G1167" s="271"/>
      <c r="H1167" s="739" t="str">
        <f>IF($L$1166&lt;Nutzung!$G$29,Nutzung!$G$29,$L$1166)</f>
        <v/>
      </c>
      <c r="I1167" s="740">
        <f>Klima!$C136</f>
        <v>0</v>
      </c>
      <c r="J1167" s="739">
        <v>31</v>
      </c>
      <c r="K1167" s="265">
        <f>IF(L1166="",Nutzung!$G$29,Bauteile!L1166)</f>
        <v>0</v>
      </c>
      <c r="L1167" s="222" t="str">
        <f>IF(F1167="","",Nutzung!$G$29)</f>
        <v/>
      </c>
      <c r="M1167" s="777"/>
      <c r="N1167" s="269">
        <f>IF($F$1166="",0,((Nutzung!$G$29+Regelung-1)+(($H$1167-Nutzung!$G$29)/4)-I1167)*J1167*$D$1166*$E$1166*$F$1166*24/($O$1167*1000))</f>
        <v>0</v>
      </c>
      <c r="O1167" s="268">
        <f>EBF!$F$39</f>
        <v>1.0000000000000001E-31</v>
      </c>
      <c r="P1167" s="201"/>
      <c r="Q1167" s="201"/>
      <c r="R1167" s="201"/>
      <c r="S1167" s="199"/>
      <c r="Z1167" s="321"/>
      <c r="AA1167" s="318"/>
      <c r="AB1167" s="321"/>
      <c r="AC1167" s="321"/>
      <c r="AD1167" s="321"/>
      <c r="AE1167" s="321"/>
      <c r="AF1167" s="321"/>
      <c r="AG1167" s="321"/>
      <c r="AH1167" s="321"/>
      <c r="AI1167" s="321"/>
      <c r="AJ1167" s="321"/>
      <c r="AK1167" s="321"/>
      <c r="AL1167" s="300"/>
    </row>
    <row r="1168" spans="1:38" s="234" customFormat="1" ht="10.199999999999999" hidden="1">
      <c r="A1168" s="199"/>
      <c r="B1168" s="690" t="s">
        <v>554</v>
      </c>
      <c r="C1168" s="20"/>
      <c r="D1168" s="20"/>
      <c r="E1168" s="20"/>
      <c r="F1168" s="689"/>
      <c r="G1168" s="271"/>
      <c r="H1168" s="739"/>
      <c r="I1168" s="740">
        <f>Klima!$C137</f>
        <v>0</v>
      </c>
      <c r="J1168" s="739">
        <v>28</v>
      </c>
      <c r="K1168" s="212"/>
      <c r="L1168" s="222" t="str">
        <f>IF(F1168="","",Nutzung!$G$29)</f>
        <v/>
      </c>
      <c r="M1168" s="778"/>
      <c r="N1168" s="269">
        <f>IF($F$1166="",0,((Nutzung!$G$29+Regelung-1)+(($H$1167-Nutzung!$G$29)/4)-I1168)*J1168*$D$1166*$E$1166*$F$1166*24/($O$1167*1000))</f>
        <v>0</v>
      </c>
      <c r="O1168" s="253"/>
      <c r="P1168" s="201"/>
      <c r="Q1168" s="201"/>
      <c r="R1168" s="201"/>
      <c r="S1168" s="199"/>
      <c r="Z1168" s="321"/>
      <c r="AA1168" s="318"/>
      <c r="AB1168" s="321"/>
      <c r="AC1168" s="321"/>
      <c r="AD1168" s="321"/>
      <c r="AE1168" s="321"/>
      <c r="AF1168" s="321"/>
      <c r="AG1168" s="321"/>
      <c r="AH1168" s="321"/>
      <c r="AI1168" s="321"/>
      <c r="AJ1168" s="321"/>
      <c r="AK1168" s="321"/>
      <c r="AL1168" s="300"/>
    </row>
    <row r="1169" spans="1:38" s="234" customFormat="1" ht="10.199999999999999" hidden="1">
      <c r="A1169" s="199"/>
      <c r="B1169" s="690" t="s">
        <v>306</v>
      </c>
      <c r="C1169" s="20"/>
      <c r="D1169" s="20"/>
      <c r="E1169" s="20"/>
      <c r="F1169" s="689"/>
      <c r="G1169" s="271"/>
      <c r="H1169" s="739"/>
      <c r="I1169" s="740">
        <f>Klima!$C138</f>
        <v>0</v>
      </c>
      <c r="J1169" s="739">
        <v>31</v>
      </c>
      <c r="K1169" s="212"/>
      <c r="L1169" s="222" t="str">
        <f>IF(F1169="","",Nutzung!$G$29)</f>
        <v/>
      </c>
      <c r="M1169" s="778"/>
      <c r="N1169" s="269">
        <f>IF($F$1166="",0,((Nutzung!$G$29+Regelung-1)+(($H$1167-Nutzung!$G$29)/4)-I1169)*J1169*$D$1166*$E$1166*$F$1166*24/($O$1167*1000))</f>
        <v>0</v>
      </c>
      <c r="O1169" s="253"/>
      <c r="P1169" s="201"/>
      <c r="Q1169" s="201"/>
      <c r="R1169" s="201"/>
      <c r="S1169" s="199"/>
      <c r="Z1169" s="321"/>
      <c r="AA1169" s="318"/>
      <c r="AB1169" s="321"/>
      <c r="AC1169" s="321"/>
      <c r="AD1169" s="321"/>
      <c r="AE1169" s="321"/>
      <c r="AF1169" s="321"/>
      <c r="AG1169" s="321"/>
      <c r="AH1169" s="321"/>
      <c r="AI1169" s="321"/>
      <c r="AJ1169" s="321"/>
      <c r="AK1169" s="321"/>
      <c r="AL1169" s="300"/>
    </row>
    <row r="1170" spans="1:38" s="234" customFormat="1" ht="10.199999999999999" hidden="1">
      <c r="A1170" s="199"/>
      <c r="B1170" s="690" t="s">
        <v>409</v>
      </c>
      <c r="C1170" s="20"/>
      <c r="D1170" s="20"/>
      <c r="E1170" s="20"/>
      <c r="F1170" s="689"/>
      <c r="G1170" s="271"/>
      <c r="H1170" s="739"/>
      <c r="I1170" s="740">
        <f>Klima!$C139</f>
        <v>0</v>
      </c>
      <c r="J1170" s="739">
        <v>30</v>
      </c>
      <c r="K1170" s="212"/>
      <c r="L1170" s="222" t="str">
        <f>IF(F1170="","",Nutzung!$G$29)</f>
        <v/>
      </c>
      <c r="M1170" s="778"/>
      <c r="N1170" s="269">
        <f>IF($F$1166="",0,((Nutzung!$G$29+Regelung-1)+(($H$1167-Nutzung!$G$29)/4)-I1170)*J1170*$D$1166*$E$1166*$F$1166*24/($O$1167*1000))</f>
        <v>0</v>
      </c>
      <c r="O1170" s="253"/>
      <c r="P1170" s="201"/>
      <c r="Q1170" s="201"/>
      <c r="R1170" s="201"/>
      <c r="S1170" s="199"/>
      <c r="Z1170" s="321"/>
      <c r="AA1170" s="318"/>
      <c r="AB1170" s="321"/>
      <c r="AC1170" s="321"/>
      <c r="AD1170" s="321"/>
      <c r="AE1170" s="321"/>
      <c r="AF1170" s="321"/>
      <c r="AG1170" s="321"/>
      <c r="AH1170" s="321"/>
      <c r="AI1170" s="321"/>
      <c r="AJ1170" s="321"/>
      <c r="AK1170" s="321"/>
      <c r="AL1170" s="300"/>
    </row>
    <row r="1171" spans="1:38" s="234" customFormat="1" ht="10.199999999999999" hidden="1">
      <c r="A1171" s="199"/>
      <c r="B1171" s="690" t="s">
        <v>410</v>
      </c>
      <c r="C1171" s="20"/>
      <c r="D1171" s="20"/>
      <c r="E1171" s="20"/>
      <c r="F1171" s="689"/>
      <c r="G1171" s="271"/>
      <c r="H1171" s="739"/>
      <c r="I1171" s="740">
        <f>Klima!$C140</f>
        <v>0</v>
      </c>
      <c r="J1171" s="739">
        <v>31</v>
      </c>
      <c r="K1171" s="212"/>
      <c r="L1171" s="222" t="str">
        <f>IF(F1171="","",Nutzung!$G$29)</f>
        <v/>
      </c>
      <c r="M1171" s="778"/>
      <c r="N1171" s="269">
        <f>IF($F$1166="",0,((Nutzung!$G$29+Regelung-1)+(($H$1167-Nutzung!$G$29)/4)-I1171)*J1171*$D$1166*$E$1166*$F$1166*24/($O$1167*1000))</f>
        <v>0</v>
      </c>
      <c r="O1171" s="253"/>
      <c r="P1171" s="201"/>
      <c r="Q1171" s="201"/>
      <c r="R1171" s="201"/>
      <c r="S1171" s="199"/>
      <c r="Z1171" s="321"/>
      <c r="AA1171" s="318"/>
      <c r="AB1171" s="321"/>
      <c r="AC1171" s="321"/>
      <c r="AD1171" s="321"/>
      <c r="AE1171" s="321"/>
      <c r="AF1171" s="321"/>
      <c r="AG1171" s="321"/>
      <c r="AH1171" s="321"/>
      <c r="AI1171" s="321"/>
      <c r="AJ1171" s="321"/>
      <c r="AK1171" s="321"/>
      <c r="AL1171" s="300"/>
    </row>
    <row r="1172" spans="1:38" s="234" customFormat="1" ht="10.199999999999999" hidden="1">
      <c r="A1172" s="199"/>
      <c r="B1172" s="690" t="s">
        <v>411</v>
      </c>
      <c r="C1172" s="20"/>
      <c r="D1172" s="20"/>
      <c r="E1172" s="20"/>
      <c r="F1172" s="689"/>
      <c r="G1172" s="271"/>
      <c r="H1172" s="739"/>
      <c r="I1172" s="740">
        <f>Klima!$C141</f>
        <v>0</v>
      </c>
      <c r="J1172" s="739">
        <v>30</v>
      </c>
      <c r="K1172" s="212"/>
      <c r="L1172" s="222" t="str">
        <f>IF(F1172="","",Nutzung!$G$29)</f>
        <v/>
      </c>
      <c r="M1172" s="778"/>
      <c r="N1172" s="269">
        <f>IF($F$1166="",0,((Nutzung!$G$29+Regelung-1)+(($H$1167-Nutzung!$G$29)/4)-I1172)*J1172*$D$1166*$E$1166*$F$1166*24/($O$1167*1000))</f>
        <v>0</v>
      </c>
      <c r="O1172" s="253"/>
      <c r="P1172" s="201"/>
      <c r="Q1172" s="201"/>
      <c r="R1172" s="201"/>
      <c r="S1172" s="199"/>
      <c r="Z1172" s="321"/>
      <c r="AA1172" s="318"/>
      <c r="AB1172" s="321"/>
      <c r="AC1172" s="321"/>
      <c r="AD1172" s="321"/>
      <c r="AE1172" s="321"/>
      <c r="AF1172" s="321"/>
      <c r="AG1172" s="321"/>
      <c r="AH1172" s="321"/>
      <c r="AI1172" s="321"/>
      <c r="AJ1172" s="321"/>
      <c r="AK1172" s="321"/>
      <c r="AL1172" s="300"/>
    </row>
    <row r="1173" spans="1:38" s="234" customFormat="1" ht="10.199999999999999" hidden="1">
      <c r="A1173" s="199"/>
      <c r="B1173" s="690" t="s">
        <v>221</v>
      </c>
      <c r="C1173" s="20"/>
      <c r="D1173" s="20"/>
      <c r="E1173" s="20"/>
      <c r="F1173" s="689"/>
      <c r="G1173" s="271"/>
      <c r="H1173" s="739"/>
      <c r="I1173" s="740">
        <f>Klima!$C142</f>
        <v>0</v>
      </c>
      <c r="J1173" s="739">
        <v>31</v>
      </c>
      <c r="K1173" s="212"/>
      <c r="L1173" s="222" t="str">
        <f>IF(F1173="","",Nutzung!$G$29)</f>
        <v/>
      </c>
      <c r="M1173" s="778"/>
      <c r="N1173" s="269">
        <f>IF($F$1166="",0,((Nutzung!$G$29+Regelung-1)+(($H$1167-Nutzung!$G$29)/4)-I1173)*J1173*$D$1166*$E$1166*$F$1166*24/($O$1167*1000))</f>
        <v>0</v>
      </c>
      <c r="O1173" s="253"/>
      <c r="P1173" s="201"/>
      <c r="Q1173" s="201"/>
      <c r="R1173" s="201"/>
      <c r="S1173" s="199"/>
      <c r="Z1173" s="321"/>
      <c r="AA1173" s="318"/>
      <c r="AB1173" s="321"/>
      <c r="AC1173" s="321"/>
      <c r="AD1173" s="321"/>
      <c r="AE1173" s="321"/>
      <c r="AF1173" s="321"/>
      <c r="AG1173" s="321"/>
      <c r="AH1173" s="321"/>
      <c r="AI1173" s="321"/>
      <c r="AJ1173" s="321"/>
      <c r="AK1173" s="321"/>
      <c r="AL1173" s="300"/>
    </row>
    <row r="1174" spans="1:38" s="234" customFormat="1" ht="10.199999999999999" hidden="1">
      <c r="A1174" s="199"/>
      <c r="B1174" s="690" t="s">
        <v>138</v>
      </c>
      <c r="C1174" s="20"/>
      <c r="D1174" s="20"/>
      <c r="E1174" s="20"/>
      <c r="F1174" s="689"/>
      <c r="G1174" s="271"/>
      <c r="H1174" s="739"/>
      <c r="I1174" s="740">
        <f>Klima!$C143</f>
        <v>0</v>
      </c>
      <c r="J1174" s="739">
        <v>31</v>
      </c>
      <c r="K1174" s="212"/>
      <c r="L1174" s="222" t="str">
        <f>IF(F1174="","",Nutzung!$G$29)</f>
        <v/>
      </c>
      <c r="M1174" s="778"/>
      <c r="N1174" s="269">
        <f>IF($F$1166="",0,((Nutzung!$G$29+Regelung-1)+(($H$1167-Nutzung!$G$29)/4)-I1174)*J1174*$D$1166*$E$1166*$F$1166*24/($O$1167*1000))</f>
        <v>0</v>
      </c>
      <c r="O1174" s="253"/>
      <c r="P1174" s="201"/>
      <c r="Q1174" s="201"/>
      <c r="R1174" s="201"/>
      <c r="S1174" s="199"/>
      <c r="Z1174" s="321"/>
      <c r="AA1174" s="318"/>
      <c r="AB1174" s="321"/>
      <c r="AC1174" s="321"/>
      <c r="AD1174" s="321"/>
      <c r="AE1174" s="321"/>
      <c r="AF1174" s="321"/>
      <c r="AG1174" s="321"/>
      <c r="AH1174" s="321"/>
      <c r="AI1174" s="321"/>
      <c r="AJ1174" s="321"/>
      <c r="AK1174" s="321"/>
      <c r="AL1174" s="300"/>
    </row>
    <row r="1175" spans="1:38" s="234" customFormat="1" ht="10.199999999999999" hidden="1">
      <c r="A1175" s="199"/>
      <c r="B1175" s="690" t="s">
        <v>139</v>
      </c>
      <c r="C1175" s="20"/>
      <c r="D1175" s="20"/>
      <c r="E1175" s="20"/>
      <c r="F1175" s="689"/>
      <c r="G1175" s="271"/>
      <c r="H1175" s="739"/>
      <c r="I1175" s="740">
        <f>Klima!$C144</f>
        <v>0</v>
      </c>
      <c r="J1175" s="739">
        <v>30</v>
      </c>
      <c r="K1175" s="212"/>
      <c r="L1175" s="222" t="str">
        <f>IF(F1175="","",Nutzung!$G$29)</f>
        <v/>
      </c>
      <c r="M1175" s="778"/>
      <c r="N1175" s="269">
        <f>IF($F$1166="",0,((Nutzung!$G$29+Regelung-1)+(($H$1167-Nutzung!$G$29)/4)-I1175)*J1175*$D$1166*$E$1166*$F$1166*24/($O$1167*1000))</f>
        <v>0</v>
      </c>
      <c r="O1175" s="253"/>
      <c r="P1175" s="201"/>
      <c r="Q1175" s="201"/>
      <c r="R1175" s="201"/>
      <c r="S1175" s="199"/>
      <c r="Z1175" s="321"/>
      <c r="AA1175" s="318"/>
      <c r="AB1175" s="321"/>
      <c r="AC1175" s="321"/>
      <c r="AD1175" s="321"/>
      <c r="AE1175" s="321"/>
      <c r="AF1175" s="321"/>
      <c r="AG1175" s="321"/>
      <c r="AH1175" s="321"/>
      <c r="AI1175" s="321"/>
      <c r="AJ1175" s="321"/>
      <c r="AK1175" s="321"/>
      <c r="AL1175" s="300"/>
    </row>
    <row r="1176" spans="1:38" s="234" customFormat="1" ht="10.199999999999999" hidden="1">
      <c r="A1176" s="199"/>
      <c r="B1176" s="690" t="s">
        <v>269</v>
      </c>
      <c r="C1176" s="20"/>
      <c r="D1176" s="20"/>
      <c r="E1176" s="20"/>
      <c r="F1176" s="689"/>
      <c r="G1176" s="271"/>
      <c r="H1176" s="739"/>
      <c r="I1176" s="740">
        <f>Klima!$C145</f>
        <v>0</v>
      </c>
      <c r="J1176" s="739">
        <v>31</v>
      </c>
      <c r="K1176" s="212"/>
      <c r="L1176" s="222" t="str">
        <f>IF(F1176="","",Nutzung!$G$29)</f>
        <v/>
      </c>
      <c r="M1176" s="778"/>
      <c r="N1176" s="269">
        <f>IF($F$1166="",0,((Nutzung!$G$29+Regelung-1)+(($H$1167-Nutzung!$G$29)/4)-I1176)*J1176*$D$1166*$E$1166*$F$1166*24/($O$1167*1000))</f>
        <v>0</v>
      </c>
      <c r="O1176" s="253"/>
      <c r="P1176" s="201"/>
      <c r="Q1176" s="201"/>
      <c r="R1176" s="201"/>
      <c r="S1176" s="199"/>
      <c r="Z1176" s="321"/>
      <c r="AA1176" s="318"/>
      <c r="AB1176" s="321"/>
      <c r="AC1176" s="321"/>
      <c r="AD1176" s="321"/>
      <c r="AE1176" s="321"/>
      <c r="AF1176" s="321"/>
      <c r="AG1176" s="321"/>
      <c r="AH1176" s="321"/>
      <c r="AI1176" s="321"/>
      <c r="AJ1176" s="321"/>
      <c r="AK1176" s="321"/>
      <c r="AL1176" s="300"/>
    </row>
    <row r="1177" spans="1:38" s="234" customFormat="1" ht="10.199999999999999" hidden="1">
      <c r="A1177" s="199"/>
      <c r="B1177" s="690" t="s">
        <v>366</v>
      </c>
      <c r="C1177" s="20"/>
      <c r="D1177" s="20"/>
      <c r="E1177" s="20"/>
      <c r="F1177" s="689"/>
      <c r="G1177" s="271"/>
      <c r="H1177" s="739"/>
      <c r="I1177" s="740">
        <f>Klima!$C146</f>
        <v>0</v>
      </c>
      <c r="J1177" s="739">
        <v>30</v>
      </c>
      <c r="K1177" s="212"/>
      <c r="L1177" s="222" t="str">
        <f>IF(F1177="","",Nutzung!$G$29)</f>
        <v/>
      </c>
      <c r="M1177" s="778"/>
      <c r="N1177" s="269">
        <f>IF($F$1166="",0,((Nutzung!$G$29+Regelung-1)+(($H$1167-Nutzung!$G$29)/4)-I1177)*J1177*$D$1166*$E$1166*$F$1166*24/($O$1167*1000))</f>
        <v>0</v>
      </c>
      <c r="O1177" s="253"/>
      <c r="P1177" s="201"/>
      <c r="Q1177" s="201"/>
      <c r="R1177" s="201"/>
      <c r="S1177" s="199"/>
      <c r="Z1177" s="321"/>
      <c r="AA1177" s="318"/>
      <c r="AB1177" s="321"/>
      <c r="AC1177" s="321"/>
      <c r="AD1177" s="321"/>
      <c r="AE1177" s="321"/>
      <c r="AF1177" s="321"/>
      <c r="AG1177" s="321"/>
      <c r="AH1177" s="321"/>
      <c r="AI1177" s="321"/>
      <c r="AJ1177" s="321"/>
      <c r="AK1177" s="321"/>
      <c r="AL1177" s="300"/>
    </row>
    <row r="1178" spans="1:38" s="234" customFormat="1" ht="10.199999999999999" hidden="1">
      <c r="A1178" s="199"/>
      <c r="B1178" s="690" t="s">
        <v>465</v>
      </c>
      <c r="C1178" s="20"/>
      <c r="D1178" s="20"/>
      <c r="E1178" s="20"/>
      <c r="F1178" s="689"/>
      <c r="G1178" s="271"/>
      <c r="H1178" s="739"/>
      <c r="I1178" s="740">
        <f>Klima!$C147</f>
        <v>0</v>
      </c>
      <c r="J1178" s="739">
        <v>31</v>
      </c>
      <c r="K1178" s="212"/>
      <c r="L1178" s="222" t="str">
        <f>IF(F1178="","",Nutzung!$G$29)</f>
        <v/>
      </c>
      <c r="M1178" s="778"/>
      <c r="N1178" s="269">
        <f>IF($F$1166="",0,((Nutzung!$G$29+Regelung-1)+(($H$1167-Nutzung!$G$29)/4)-I1178)*J1178*$D$1166*$E$1166*$F$1166*24/($O$1167*1000))</f>
        <v>0</v>
      </c>
      <c r="O1178" s="253"/>
      <c r="P1178" s="201"/>
      <c r="Q1178" s="201"/>
      <c r="R1178" s="201"/>
      <c r="S1178" s="199"/>
      <c r="Z1178" s="321"/>
      <c r="AA1178" s="318"/>
      <c r="AB1178" s="321"/>
      <c r="AC1178" s="321"/>
      <c r="AD1178" s="321"/>
      <c r="AE1178" s="321"/>
      <c r="AF1178" s="321"/>
      <c r="AG1178" s="321"/>
      <c r="AH1178" s="321"/>
      <c r="AI1178" s="321"/>
      <c r="AJ1178" s="321"/>
      <c r="AK1178" s="321"/>
      <c r="AL1178" s="300"/>
    </row>
    <row r="1179" spans="1:38" ht="10.95" customHeight="1">
      <c r="A1179" s="203" t="str">
        <f>A1058</f>
        <v>0</v>
      </c>
      <c r="B1179" s="648"/>
      <c r="C1179" s="656"/>
      <c r="D1179" s="657"/>
      <c r="E1179" s="658"/>
      <c r="F1179" s="676"/>
      <c r="G1179" s="275"/>
      <c r="H1179" s="198"/>
      <c r="I1179" s="198"/>
      <c r="J1179" s="241"/>
      <c r="K1179" s="211"/>
      <c r="L1179" s="220" t="str">
        <f>IF(F1179="","",Nutzung!$G$29)</f>
        <v/>
      </c>
      <c r="M1179" s="771" t="str">
        <f>IF(D1179="","",AB1179)</f>
        <v/>
      </c>
      <c r="N1179" s="214">
        <f>IF(F1179=0,0,SUM(N1180:N1191))</f>
        <v>0</v>
      </c>
      <c r="O1179" s="215" t="str">
        <f>IF(N1179/$O$1370=0,"",N1179/$O$1370)</f>
        <v/>
      </c>
      <c r="P1179" s="198"/>
      <c r="Q1179" s="198"/>
      <c r="R1179" s="198"/>
      <c r="S1179" s="192"/>
      <c r="T1179" s="182">
        <f>D1179*E1179*F1179</f>
        <v>0</v>
      </c>
      <c r="AA1179" s="318">
        <f>IF(D1179="",0,1)</f>
        <v>0</v>
      </c>
      <c r="AB1179" s="318">
        <f>AB1166+AA1179</f>
        <v>0</v>
      </c>
    </row>
    <row r="1180" spans="1:38" s="234" customFormat="1" ht="10.199999999999999" hidden="1">
      <c r="A1180" s="199"/>
      <c r="B1180" s="690" t="s">
        <v>49</v>
      </c>
      <c r="C1180" s="20"/>
      <c r="D1180" s="26"/>
      <c r="E1180" s="745"/>
      <c r="F1180" s="689"/>
      <c r="G1180" s="271"/>
      <c r="H1180" s="739" t="str">
        <f>IF($L$1179&lt;Nutzung!$G$29,Nutzung!$G$29,$L$1179)</f>
        <v/>
      </c>
      <c r="I1180" s="268"/>
      <c r="J1180" s="199"/>
      <c r="K1180" s="265">
        <f>IF(L1179="",Nutzung!$G$29,Bauteile!L1179)</f>
        <v>0</v>
      </c>
      <c r="L1180" s="223"/>
      <c r="M1180" s="777"/>
      <c r="N1180" s="269">
        <f>IF($F$1179="",0,((Nutzung!$G$29+Regelung-1)+(($H$1180-Nutzung!$G$29)/4)-I1167)*J1167*$D$1179*$E$1179*$F$1179*24/($O$1167*1000))</f>
        <v>0</v>
      </c>
      <c r="O1180" s="253"/>
      <c r="P1180" s="201"/>
      <c r="Q1180" s="201"/>
      <c r="R1180" s="201"/>
      <c r="S1180" s="199"/>
      <c r="Z1180" s="321"/>
      <c r="AA1180" s="318"/>
      <c r="AB1180" s="321"/>
      <c r="AC1180" s="321"/>
      <c r="AD1180" s="321"/>
      <c r="AE1180" s="321"/>
      <c r="AF1180" s="321"/>
      <c r="AG1180" s="321"/>
      <c r="AH1180" s="321"/>
      <c r="AI1180" s="321"/>
      <c r="AJ1180" s="321"/>
      <c r="AK1180" s="321"/>
      <c r="AL1180" s="300"/>
    </row>
    <row r="1181" spans="1:38" s="234" customFormat="1" ht="10.199999999999999" hidden="1">
      <c r="A1181" s="199"/>
      <c r="B1181" s="690" t="s">
        <v>554</v>
      </c>
      <c r="C1181" s="26"/>
      <c r="D1181" s="26"/>
      <c r="E1181" s="26"/>
      <c r="F1181" s="689"/>
      <c r="G1181" s="271"/>
      <c r="H1181" s="263"/>
      <c r="I1181" s="268"/>
      <c r="J1181" s="199"/>
      <c r="K1181" s="212"/>
      <c r="L1181" s="223"/>
      <c r="M1181" s="778"/>
      <c r="N1181" s="269">
        <f>IF($F$1179="",0,((Nutzung!$G$29+Regelung-1)+(($H$1180-Nutzung!$G$29)/4)-I1168)*J1168*$D$1179*$E$1179*$F$1179*24/($O$1167*1000))</f>
        <v>0</v>
      </c>
      <c r="O1181" s="253"/>
      <c r="P1181" s="201"/>
      <c r="Q1181" s="201"/>
      <c r="R1181" s="201"/>
      <c r="S1181" s="199"/>
      <c r="Z1181" s="321"/>
      <c r="AA1181" s="318"/>
      <c r="AB1181" s="321"/>
      <c r="AC1181" s="321"/>
      <c r="AD1181" s="321"/>
      <c r="AE1181" s="321"/>
      <c r="AF1181" s="321"/>
      <c r="AG1181" s="321"/>
      <c r="AH1181" s="321"/>
      <c r="AI1181" s="321"/>
      <c r="AJ1181" s="321"/>
      <c r="AK1181" s="321"/>
      <c r="AL1181" s="300"/>
    </row>
    <row r="1182" spans="1:38" s="234" customFormat="1" ht="10.199999999999999" hidden="1">
      <c r="A1182" s="199"/>
      <c r="B1182" s="690" t="s">
        <v>306</v>
      </c>
      <c r="C1182" s="26"/>
      <c r="D1182" s="26"/>
      <c r="E1182" s="26"/>
      <c r="F1182" s="689"/>
      <c r="G1182" s="271"/>
      <c r="H1182" s="263"/>
      <c r="I1182" s="268"/>
      <c r="J1182" s="199"/>
      <c r="K1182" s="212"/>
      <c r="L1182" s="223"/>
      <c r="M1182" s="778"/>
      <c r="N1182" s="269">
        <f>IF($F$1179="",0,((Nutzung!$G$29+Regelung-1)+(($H$1180-Nutzung!$G$29)/4)-I1169)*J1169*$D$1179*$E$1179*$F$1179*24/($O$1167*1000))</f>
        <v>0</v>
      </c>
      <c r="O1182" s="253"/>
      <c r="P1182" s="201"/>
      <c r="Q1182" s="201"/>
      <c r="R1182" s="201"/>
      <c r="S1182" s="199"/>
      <c r="Z1182" s="321"/>
      <c r="AA1182" s="318"/>
      <c r="AB1182" s="321"/>
      <c r="AC1182" s="321"/>
      <c r="AD1182" s="321"/>
      <c r="AE1182" s="321"/>
      <c r="AF1182" s="321"/>
      <c r="AG1182" s="321"/>
      <c r="AH1182" s="321"/>
      <c r="AI1182" s="321"/>
      <c r="AJ1182" s="321"/>
      <c r="AK1182" s="321"/>
      <c r="AL1182" s="300"/>
    </row>
    <row r="1183" spans="1:38" s="234" customFormat="1" ht="10.199999999999999" hidden="1">
      <c r="A1183" s="199"/>
      <c r="B1183" s="690" t="s">
        <v>409</v>
      </c>
      <c r="C1183" s="26"/>
      <c r="D1183" s="26"/>
      <c r="E1183" s="26"/>
      <c r="F1183" s="689"/>
      <c r="G1183" s="271"/>
      <c r="H1183" s="263"/>
      <c r="I1183" s="268"/>
      <c r="J1183" s="199"/>
      <c r="K1183" s="212"/>
      <c r="L1183" s="223"/>
      <c r="M1183" s="778"/>
      <c r="N1183" s="269">
        <f>IF($F$1179="",0,((Nutzung!$G$29+Regelung-1)+(($H$1180-Nutzung!$G$29)/4)-I1170)*J1170*$D$1179*$E$1179*$F$1179*24/($O$1167*1000))</f>
        <v>0</v>
      </c>
      <c r="O1183" s="253"/>
      <c r="P1183" s="201"/>
      <c r="Q1183" s="201"/>
      <c r="R1183" s="201"/>
      <c r="S1183" s="199"/>
      <c r="Z1183" s="321"/>
      <c r="AA1183" s="318"/>
      <c r="AB1183" s="321"/>
      <c r="AC1183" s="321"/>
      <c r="AD1183" s="321"/>
      <c r="AE1183" s="321"/>
      <c r="AF1183" s="321"/>
      <c r="AG1183" s="321"/>
      <c r="AH1183" s="321"/>
      <c r="AI1183" s="321"/>
      <c r="AJ1183" s="321"/>
      <c r="AK1183" s="321"/>
      <c r="AL1183" s="300"/>
    </row>
    <row r="1184" spans="1:38" s="234" customFormat="1" ht="10.199999999999999" hidden="1">
      <c r="A1184" s="199"/>
      <c r="B1184" s="690" t="s">
        <v>410</v>
      </c>
      <c r="C1184" s="26"/>
      <c r="D1184" s="26"/>
      <c r="E1184" s="26"/>
      <c r="F1184" s="689"/>
      <c r="G1184" s="271"/>
      <c r="H1184" s="263"/>
      <c r="I1184" s="268"/>
      <c r="J1184" s="199"/>
      <c r="K1184" s="212"/>
      <c r="L1184" s="223"/>
      <c r="M1184" s="778"/>
      <c r="N1184" s="269">
        <f>IF($F$1179="",0,((Nutzung!$G$29+Regelung-1)+(($H$1180-Nutzung!$G$29)/4)-I1171)*J1171*$D$1179*$E$1179*$F$1179*24/($O$1167*1000))</f>
        <v>0</v>
      </c>
      <c r="O1184" s="253"/>
      <c r="P1184" s="201"/>
      <c r="Q1184" s="201"/>
      <c r="R1184" s="201"/>
      <c r="S1184" s="199"/>
      <c r="Z1184" s="321"/>
      <c r="AA1184" s="318"/>
      <c r="AB1184" s="321"/>
      <c r="AC1184" s="321"/>
      <c r="AD1184" s="321"/>
      <c r="AE1184" s="321"/>
      <c r="AF1184" s="321"/>
      <c r="AG1184" s="321"/>
      <c r="AH1184" s="321"/>
      <c r="AI1184" s="321"/>
      <c r="AJ1184" s="321"/>
      <c r="AK1184" s="321"/>
      <c r="AL1184" s="300"/>
    </row>
    <row r="1185" spans="1:38" s="234" customFormat="1" ht="10.199999999999999" hidden="1">
      <c r="A1185" s="199"/>
      <c r="B1185" s="690" t="s">
        <v>411</v>
      </c>
      <c r="C1185" s="26"/>
      <c r="D1185" s="26"/>
      <c r="E1185" s="26"/>
      <c r="F1185" s="689"/>
      <c r="G1185" s="271"/>
      <c r="H1185" s="263"/>
      <c r="I1185" s="268"/>
      <c r="J1185" s="199"/>
      <c r="K1185" s="212"/>
      <c r="L1185" s="223"/>
      <c r="M1185" s="778"/>
      <c r="N1185" s="269">
        <f>IF($F$1179="",0,((Nutzung!$G$29+Regelung-1)+(($H$1180-Nutzung!$G$29)/4)-I1172)*J1172*$D$1179*$E$1179*$F$1179*24/($O$1167*1000))</f>
        <v>0</v>
      </c>
      <c r="O1185" s="253"/>
      <c r="P1185" s="201"/>
      <c r="Q1185" s="201"/>
      <c r="R1185" s="201"/>
      <c r="S1185" s="199"/>
      <c r="Z1185" s="321"/>
      <c r="AA1185" s="318"/>
      <c r="AB1185" s="321"/>
      <c r="AC1185" s="321"/>
      <c r="AD1185" s="321"/>
      <c r="AE1185" s="321"/>
      <c r="AF1185" s="321"/>
      <c r="AG1185" s="321"/>
      <c r="AH1185" s="321"/>
      <c r="AI1185" s="321"/>
      <c r="AJ1185" s="321"/>
      <c r="AK1185" s="321"/>
      <c r="AL1185" s="300"/>
    </row>
    <row r="1186" spans="1:38" s="234" customFormat="1" ht="10.199999999999999" hidden="1">
      <c r="A1186" s="199"/>
      <c r="B1186" s="690" t="s">
        <v>221</v>
      </c>
      <c r="C1186" s="26"/>
      <c r="D1186" s="26"/>
      <c r="E1186" s="26"/>
      <c r="F1186" s="689"/>
      <c r="G1186" s="271"/>
      <c r="H1186" s="263"/>
      <c r="I1186" s="268"/>
      <c r="J1186" s="199"/>
      <c r="K1186" s="212"/>
      <c r="L1186" s="223"/>
      <c r="M1186" s="778"/>
      <c r="N1186" s="269">
        <f>IF($F$1179="",0,((Nutzung!$G$29+Regelung-1)+(($H$1180-Nutzung!$G$29)/4)-I1173)*J1173*$D$1179*$E$1179*$F$1179*24/($O$1167*1000))</f>
        <v>0</v>
      </c>
      <c r="O1186" s="253"/>
      <c r="P1186" s="201"/>
      <c r="Q1186" s="201"/>
      <c r="R1186" s="201"/>
      <c r="S1186" s="199"/>
      <c r="Z1186" s="321"/>
      <c r="AA1186" s="318"/>
      <c r="AB1186" s="321"/>
      <c r="AC1186" s="321"/>
      <c r="AD1186" s="321"/>
      <c r="AE1186" s="321"/>
      <c r="AF1186" s="321"/>
      <c r="AG1186" s="321"/>
      <c r="AH1186" s="321"/>
      <c r="AI1186" s="321"/>
      <c r="AJ1186" s="321"/>
      <c r="AK1186" s="321"/>
      <c r="AL1186" s="300"/>
    </row>
    <row r="1187" spans="1:38" s="234" customFormat="1" ht="10.199999999999999" hidden="1">
      <c r="A1187" s="199"/>
      <c r="B1187" s="690" t="s">
        <v>138</v>
      </c>
      <c r="C1187" s="26"/>
      <c r="D1187" s="26"/>
      <c r="E1187" s="26"/>
      <c r="F1187" s="689"/>
      <c r="G1187" s="271"/>
      <c r="H1187" s="263"/>
      <c r="I1187" s="268"/>
      <c r="J1187" s="199"/>
      <c r="K1187" s="212"/>
      <c r="L1187" s="223"/>
      <c r="M1187" s="778"/>
      <c r="N1187" s="269">
        <f>IF($F$1179="",0,((Nutzung!$G$29+Regelung-1)+(($H$1180-Nutzung!$G$29)/4)-I1174)*J1174*$D$1179*$E$1179*$F$1179*24/($O$1167*1000))</f>
        <v>0</v>
      </c>
      <c r="O1187" s="253"/>
      <c r="P1187" s="201"/>
      <c r="Q1187" s="201"/>
      <c r="R1187" s="201"/>
      <c r="S1187" s="199"/>
      <c r="Z1187" s="321"/>
      <c r="AA1187" s="318"/>
      <c r="AB1187" s="321"/>
      <c r="AC1187" s="321"/>
      <c r="AD1187" s="321"/>
      <c r="AE1187" s="321"/>
      <c r="AF1187" s="321"/>
      <c r="AG1187" s="321"/>
      <c r="AH1187" s="321"/>
      <c r="AI1187" s="321"/>
      <c r="AJ1187" s="321"/>
      <c r="AK1187" s="321"/>
      <c r="AL1187" s="300"/>
    </row>
    <row r="1188" spans="1:38" s="234" customFormat="1" ht="10.199999999999999" hidden="1">
      <c r="A1188" s="199"/>
      <c r="B1188" s="690" t="s">
        <v>139</v>
      </c>
      <c r="C1188" s="26"/>
      <c r="D1188" s="26"/>
      <c r="E1188" s="26"/>
      <c r="F1188" s="689"/>
      <c r="G1188" s="271"/>
      <c r="H1188" s="263"/>
      <c r="I1188" s="268"/>
      <c r="J1188" s="199"/>
      <c r="K1188" s="212"/>
      <c r="L1188" s="223"/>
      <c r="M1188" s="778"/>
      <c r="N1188" s="269">
        <f>IF($F$1179="",0,((Nutzung!$G$29+Regelung-1)+(($H$1180-Nutzung!$G$29)/4)-I1175)*J1175*$D$1179*$E$1179*$F$1179*24/($O$1167*1000))</f>
        <v>0</v>
      </c>
      <c r="O1188" s="253"/>
      <c r="P1188" s="201"/>
      <c r="Q1188" s="201"/>
      <c r="R1188" s="201"/>
      <c r="S1188" s="199"/>
      <c r="Z1188" s="321"/>
      <c r="AA1188" s="318"/>
      <c r="AB1188" s="321"/>
      <c r="AC1188" s="321"/>
      <c r="AD1188" s="321"/>
      <c r="AE1188" s="321"/>
      <c r="AF1188" s="321"/>
      <c r="AG1188" s="321"/>
      <c r="AH1188" s="321"/>
      <c r="AI1188" s="321"/>
      <c r="AJ1188" s="321"/>
      <c r="AK1188" s="321"/>
      <c r="AL1188" s="300"/>
    </row>
    <row r="1189" spans="1:38" s="234" customFormat="1" ht="10.199999999999999" hidden="1">
      <c r="A1189" s="199"/>
      <c r="B1189" s="690" t="s">
        <v>269</v>
      </c>
      <c r="C1189" s="26"/>
      <c r="D1189" s="26"/>
      <c r="E1189" s="26"/>
      <c r="F1189" s="689"/>
      <c r="G1189" s="271"/>
      <c r="H1189" s="263"/>
      <c r="I1189" s="268"/>
      <c r="J1189" s="199"/>
      <c r="K1189" s="212"/>
      <c r="L1189" s="223"/>
      <c r="M1189" s="778"/>
      <c r="N1189" s="269">
        <f>IF($F$1179="",0,((Nutzung!$G$29+Regelung-1)+(($H$1180-Nutzung!$G$29)/4)-I1176)*J1176*$D$1179*$E$1179*$F$1179*24/($O$1167*1000))</f>
        <v>0</v>
      </c>
      <c r="O1189" s="253"/>
      <c r="P1189" s="201"/>
      <c r="Q1189" s="201"/>
      <c r="R1189" s="201"/>
      <c r="S1189" s="199"/>
      <c r="Z1189" s="321"/>
      <c r="AA1189" s="318"/>
      <c r="AB1189" s="321"/>
      <c r="AC1189" s="321"/>
      <c r="AD1189" s="321"/>
      <c r="AE1189" s="321"/>
      <c r="AF1189" s="321"/>
      <c r="AG1189" s="321"/>
      <c r="AH1189" s="321"/>
      <c r="AI1189" s="321"/>
      <c r="AJ1189" s="321"/>
      <c r="AK1189" s="321"/>
      <c r="AL1189" s="300"/>
    </row>
    <row r="1190" spans="1:38" s="234" customFormat="1" ht="10.199999999999999" hidden="1">
      <c r="A1190" s="199"/>
      <c r="B1190" s="690" t="s">
        <v>366</v>
      </c>
      <c r="C1190" s="26"/>
      <c r="D1190" s="26"/>
      <c r="E1190" s="26"/>
      <c r="F1190" s="689"/>
      <c r="G1190" s="271"/>
      <c r="H1190" s="263"/>
      <c r="I1190" s="268"/>
      <c r="J1190" s="199"/>
      <c r="K1190" s="212"/>
      <c r="L1190" s="223"/>
      <c r="M1190" s="778"/>
      <c r="N1190" s="269">
        <f>IF($F$1179="",0,((Nutzung!$G$29+Regelung-1)+(($H$1180-Nutzung!$G$29)/4)-I1177)*J1177*$D$1179*$E$1179*$F$1179*24/($O$1167*1000))</f>
        <v>0</v>
      </c>
      <c r="O1190" s="253"/>
      <c r="P1190" s="201"/>
      <c r="Q1190" s="201"/>
      <c r="R1190" s="201"/>
      <c r="S1190" s="199"/>
      <c r="Z1190" s="321"/>
      <c r="AA1190" s="318"/>
      <c r="AB1190" s="321"/>
      <c r="AC1190" s="321"/>
      <c r="AD1190" s="321"/>
      <c r="AE1190" s="321"/>
      <c r="AF1190" s="321"/>
      <c r="AG1190" s="321"/>
      <c r="AH1190" s="321"/>
      <c r="AI1190" s="321"/>
      <c r="AJ1190" s="321"/>
      <c r="AK1190" s="321"/>
      <c r="AL1190" s="300"/>
    </row>
    <row r="1191" spans="1:38" s="234" customFormat="1" ht="10.199999999999999" hidden="1">
      <c r="A1191" s="199"/>
      <c r="B1191" s="690" t="s">
        <v>465</v>
      </c>
      <c r="C1191" s="26"/>
      <c r="D1191" s="26"/>
      <c r="E1191" s="26"/>
      <c r="F1191" s="689"/>
      <c r="G1191" s="271"/>
      <c r="H1191" s="263"/>
      <c r="I1191" s="268"/>
      <c r="J1191" s="199"/>
      <c r="K1191" s="212"/>
      <c r="L1191" s="223"/>
      <c r="M1191" s="778"/>
      <c r="N1191" s="269">
        <f>IF($F$1179="",0,((Nutzung!$G$29+Regelung-1)+(($H$1180-Nutzung!$G$29)/4)-I1178)*J1178*$D$1179*$E$1179*$F$1179*24/($O$1167*1000))</f>
        <v>0</v>
      </c>
      <c r="O1191" s="253"/>
      <c r="P1191" s="201"/>
      <c r="Q1191" s="201"/>
      <c r="R1191" s="201"/>
      <c r="S1191" s="199"/>
      <c r="Z1191" s="321"/>
      <c r="AA1191" s="318"/>
      <c r="AB1191" s="321"/>
      <c r="AC1191" s="321"/>
      <c r="AD1191" s="321"/>
      <c r="AE1191" s="321"/>
      <c r="AF1191" s="321"/>
      <c r="AG1191" s="321"/>
      <c r="AH1191" s="321"/>
      <c r="AI1191" s="321"/>
      <c r="AJ1191" s="321"/>
      <c r="AK1191" s="321"/>
      <c r="AL1191" s="300"/>
    </row>
    <row r="1192" spans="1:38" ht="10.95" customHeight="1">
      <c r="A1192" s="192"/>
      <c r="B1192" s="648"/>
      <c r="C1192" s="656"/>
      <c r="D1192" s="657"/>
      <c r="E1192" s="658"/>
      <c r="F1192" s="676"/>
      <c r="G1192" s="275"/>
      <c r="H1192" s="198"/>
      <c r="I1192" s="198"/>
      <c r="J1192" s="241"/>
      <c r="K1192" s="211"/>
      <c r="L1192" s="220" t="str">
        <f>IF(F1192="","",Nutzung!$G$29)</f>
        <v/>
      </c>
      <c r="M1192" s="771" t="str">
        <f>IF(D1192="","",AB1192)</f>
        <v/>
      </c>
      <c r="N1192" s="214">
        <f>IF(F1192=0,0,SUM(N1193:N1204))</f>
        <v>0</v>
      </c>
      <c r="O1192" s="215" t="str">
        <f>IF(N1192/$O$1370=0,"",N1192/$O$1370)</f>
        <v/>
      </c>
      <c r="P1192" s="198"/>
      <c r="Q1192" s="198"/>
      <c r="R1192" s="198"/>
      <c r="S1192" s="192"/>
      <c r="T1192" s="182">
        <f>D1192*E1192*F1192</f>
        <v>0</v>
      </c>
      <c r="AA1192" s="318">
        <f>IF(D1192="",0,1)</f>
        <v>0</v>
      </c>
      <c r="AB1192" s="318">
        <f>AB1179+AA1192</f>
        <v>0</v>
      </c>
    </row>
    <row r="1193" spans="1:38" s="234" customFormat="1" ht="10.199999999999999" hidden="1">
      <c r="A1193" s="199"/>
      <c r="B1193" s="690" t="s">
        <v>49</v>
      </c>
      <c r="C1193" s="20"/>
      <c r="D1193" s="26"/>
      <c r="E1193" s="745"/>
      <c r="F1193" s="689"/>
      <c r="G1193" s="271"/>
      <c r="H1193" s="739" t="str">
        <f>IF($L$1192&lt;Nutzung!$G$29,Nutzung!$G$29,$L$1192)</f>
        <v/>
      </c>
      <c r="I1193" s="268"/>
      <c r="J1193" s="199"/>
      <c r="K1193" s="265">
        <f>IF(L1192="",Nutzung!$G$29,Bauteile!L1192)</f>
        <v>0</v>
      </c>
      <c r="L1193" s="223"/>
      <c r="M1193" s="777"/>
      <c r="N1193" s="269">
        <f>IF($F$1192="",0,((Nutzung!$G$29+Regelung-1)+(($H$1193-Nutzung!$G$29)/4)-I1167)*J1167*$D$1192*$E$1192*$F$1192*24/($O$1167*1000))</f>
        <v>0</v>
      </c>
      <c r="O1193" s="253"/>
      <c r="P1193" s="201"/>
      <c r="Q1193" s="201"/>
      <c r="R1193" s="201"/>
      <c r="S1193" s="199"/>
      <c r="Z1193" s="321"/>
      <c r="AA1193" s="318"/>
      <c r="AB1193" s="321"/>
      <c r="AC1193" s="321"/>
      <c r="AD1193" s="321"/>
      <c r="AE1193" s="321"/>
      <c r="AF1193" s="321"/>
      <c r="AG1193" s="321"/>
      <c r="AH1193" s="321"/>
      <c r="AI1193" s="321"/>
      <c r="AJ1193" s="321"/>
      <c r="AK1193" s="321"/>
      <c r="AL1193" s="300"/>
    </row>
    <row r="1194" spans="1:38" s="234" customFormat="1" ht="10.199999999999999" hidden="1">
      <c r="A1194" s="199"/>
      <c r="B1194" s="690" t="s">
        <v>554</v>
      </c>
      <c r="C1194" s="26"/>
      <c r="D1194" s="26"/>
      <c r="E1194" s="26"/>
      <c r="F1194" s="689"/>
      <c r="G1194" s="271"/>
      <c r="H1194" s="263"/>
      <c r="I1194" s="268"/>
      <c r="J1194" s="199"/>
      <c r="K1194" s="212"/>
      <c r="L1194" s="223"/>
      <c r="M1194" s="778"/>
      <c r="N1194" s="269">
        <f>IF($F$1192="",0,((Nutzung!$G$29+Regelung-1)+(($H$1193-Nutzung!$G$29)/4)-I1168)*J1168*$D$1192*$E$1192*$F$1192*24/($O$1167*1000))</f>
        <v>0</v>
      </c>
      <c r="O1194" s="253"/>
      <c r="P1194" s="201"/>
      <c r="Q1194" s="201"/>
      <c r="R1194" s="201"/>
      <c r="S1194" s="199"/>
      <c r="Z1194" s="321"/>
      <c r="AA1194" s="318"/>
      <c r="AB1194" s="321"/>
      <c r="AC1194" s="321"/>
      <c r="AD1194" s="321"/>
      <c r="AE1194" s="321"/>
      <c r="AF1194" s="321"/>
      <c r="AG1194" s="321"/>
      <c r="AH1194" s="321"/>
      <c r="AI1194" s="321"/>
      <c r="AJ1194" s="321"/>
      <c r="AK1194" s="321"/>
      <c r="AL1194" s="300"/>
    </row>
    <row r="1195" spans="1:38" s="234" customFormat="1" ht="10.199999999999999" hidden="1">
      <c r="A1195" s="199"/>
      <c r="B1195" s="690" t="s">
        <v>306</v>
      </c>
      <c r="C1195" s="26"/>
      <c r="D1195" s="26"/>
      <c r="E1195" s="26"/>
      <c r="F1195" s="689"/>
      <c r="G1195" s="271"/>
      <c r="H1195" s="263"/>
      <c r="I1195" s="268"/>
      <c r="J1195" s="199"/>
      <c r="K1195" s="212"/>
      <c r="L1195" s="223"/>
      <c r="M1195" s="778"/>
      <c r="N1195" s="269">
        <f>IF($F$1192="",0,((Nutzung!$G$29+Regelung-1)+(($H$1193-Nutzung!$G$29)/4)-I1169)*J1169*$D$1192*$E$1192*$F$1192*24/($O$1167*1000))</f>
        <v>0</v>
      </c>
      <c r="O1195" s="253"/>
      <c r="P1195" s="201"/>
      <c r="Q1195" s="201"/>
      <c r="R1195" s="201"/>
      <c r="S1195" s="199"/>
      <c r="Z1195" s="321"/>
      <c r="AA1195" s="318"/>
      <c r="AB1195" s="321"/>
      <c r="AC1195" s="321"/>
      <c r="AD1195" s="321"/>
      <c r="AE1195" s="321"/>
      <c r="AF1195" s="321"/>
      <c r="AG1195" s="321"/>
      <c r="AH1195" s="321"/>
      <c r="AI1195" s="321"/>
      <c r="AJ1195" s="321"/>
      <c r="AK1195" s="321"/>
      <c r="AL1195" s="300"/>
    </row>
    <row r="1196" spans="1:38" s="234" customFormat="1" ht="10.199999999999999" hidden="1">
      <c r="A1196" s="199"/>
      <c r="B1196" s="690" t="s">
        <v>409</v>
      </c>
      <c r="C1196" s="26"/>
      <c r="D1196" s="26"/>
      <c r="E1196" s="26"/>
      <c r="F1196" s="689"/>
      <c r="G1196" s="271"/>
      <c r="H1196" s="263"/>
      <c r="I1196" s="268"/>
      <c r="J1196" s="199"/>
      <c r="K1196" s="212"/>
      <c r="L1196" s="223"/>
      <c r="M1196" s="778"/>
      <c r="N1196" s="269">
        <f>IF($F$1192="",0,((Nutzung!$G$29+Regelung-1)+(($H$1193-Nutzung!$G$29)/4)-I1170)*J1170*$D$1192*$E$1192*$F$1192*24/($O$1167*1000))</f>
        <v>0</v>
      </c>
      <c r="O1196" s="253"/>
      <c r="P1196" s="201"/>
      <c r="Q1196" s="201"/>
      <c r="R1196" s="201"/>
      <c r="S1196" s="199"/>
      <c r="Z1196" s="321"/>
      <c r="AA1196" s="318"/>
      <c r="AB1196" s="321"/>
      <c r="AC1196" s="321"/>
      <c r="AD1196" s="321"/>
      <c r="AE1196" s="321"/>
      <c r="AF1196" s="321"/>
      <c r="AG1196" s="321"/>
      <c r="AH1196" s="321"/>
      <c r="AI1196" s="321"/>
      <c r="AJ1196" s="321"/>
      <c r="AK1196" s="321"/>
      <c r="AL1196" s="300"/>
    </row>
    <row r="1197" spans="1:38" s="234" customFormat="1" ht="10.199999999999999" hidden="1">
      <c r="A1197" s="199"/>
      <c r="B1197" s="690" t="s">
        <v>410</v>
      </c>
      <c r="C1197" s="26"/>
      <c r="D1197" s="26"/>
      <c r="E1197" s="26"/>
      <c r="F1197" s="689"/>
      <c r="G1197" s="271"/>
      <c r="H1197" s="263"/>
      <c r="I1197" s="268"/>
      <c r="J1197" s="199"/>
      <c r="K1197" s="212"/>
      <c r="L1197" s="223"/>
      <c r="M1197" s="778"/>
      <c r="N1197" s="269">
        <f>IF($F$1192="",0,((Nutzung!$G$29+Regelung-1)+(($H$1193-Nutzung!$G$29)/4)-I1171)*J1171*$D$1192*$E$1192*$F$1192*24/($O$1167*1000))</f>
        <v>0</v>
      </c>
      <c r="O1197" s="253"/>
      <c r="P1197" s="201"/>
      <c r="Q1197" s="201"/>
      <c r="R1197" s="201"/>
      <c r="S1197" s="199"/>
      <c r="Z1197" s="321"/>
      <c r="AA1197" s="318"/>
      <c r="AB1197" s="321"/>
      <c r="AC1197" s="321"/>
      <c r="AD1197" s="321"/>
      <c r="AE1197" s="321"/>
      <c r="AF1197" s="321"/>
      <c r="AG1197" s="321"/>
      <c r="AH1197" s="321"/>
      <c r="AI1197" s="321"/>
      <c r="AJ1197" s="321"/>
      <c r="AK1197" s="321"/>
      <c r="AL1197" s="300"/>
    </row>
    <row r="1198" spans="1:38" s="234" customFormat="1" ht="10.199999999999999" hidden="1">
      <c r="A1198" s="199"/>
      <c r="B1198" s="690" t="s">
        <v>411</v>
      </c>
      <c r="C1198" s="26"/>
      <c r="D1198" s="26"/>
      <c r="E1198" s="26"/>
      <c r="F1198" s="689"/>
      <c r="G1198" s="271"/>
      <c r="H1198" s="263"/>
      <c r="I1198" s="268"/>
      <c r="J1198" s="199"/>
      <c r="K1198" s="212"/>
      <c r="L1198" s="223"/>
      <c r="M1198" s="778"/>
      <c r="N1198" s="269">
        <f>IF($F$1192="",0,((Nutzung!$G$29+Regelung-1)+(($H$1193-Nutzung!$G$29)/4)-I1172)*J1172*$D$1192*$E$1192*$F$1192*24/($O$1167*1000))</f>
        <v>0</v>
      </c>
      <c r="O1198" s="253"/>
      <c r="P1198" s="201"/>
      <c r="Q1198" s="201"/>
      <c r="R1198" s="201"/>
      <c r="S1198" s="199"/>
      <c r="Z1198" s="321"/>
      <c r="AA1198" s="318"/>
      <c r="AB1198" s="321"/>
      <c r="AC1198" s="321"/>
      <c r="AD1198" s="321"/>
      <c r="AE1198" s="321"/>
      <c r="AF1198" s="321"/>
      <c r="AG1198" s="321"/>
      <c r="AH1198" s="321"/>
      <c r="AI1198" s="321"/>
      <c r="AJ1198" s="321"/>
      <c r="AK1198" s="321"/>
      <c r="AL1198" s="300"/>
    </row>
    <row r="1199" spans="1:38" s="234" customFormat="1" ht="10.199999999999999" hidden="1">
      <c r="A1199" s="199"/>
      <c r="B1199" s="690" t="s">
        <v>221</v>
      </c>
      <c r="C1199" s="26"/>
      <c r="D1199" s="26"/>
      <c r="E1199" s="26"/>
      <c r="F1199" s="689"/>
      <c r="G1199" s="271"/>
      <c r="H1199" s="263"/>
      <c r="I1199" s="268"/>
      <c r="J1199" s="199"/>
      <c r="K1199" s="212"/>
      <c r="L1199" s="223"/>
      <c r="M1199" s="778"/>
      <c r="N1199" s="269">
        <f>IF($F$1192="",0,((Nutzung!$G$29+Regelung-1)+(($H$1193-Nutzung!$G$29)/4)-I1173)*J1173*$D$1192*$E$1192*$F$1192*24/($O$1167*1000))</f>
        <v>0</v>
      </c>
      <c r="O1199" s="253"/>
      <c r="P1199" s="201"/>
      <c r="Q1199" s="201"/>
      <c r="R1199" s="201"/>
      <c r="S1199" s="199"/>
      <c r="Z1199" s="321"/>
      <c r="AA1199" s="318"/>
      <c r="AB1199" s="321"/>
      <c r="AC1199" s="321"/>
      <c r="AD1199" s="321"/>
      <c r="AE1199" s="321"/>
      <c r="AF1199" s="321"/>
      <c r="AG1199" s="321"/>
      <c r="AH1199" s="321"/>
      <c r="AI1199" s="321"/>
      <c r="AJ1199" s="321"/>
      <c r="AK1199" s="321"/>
      <c r="AL1199" s="300"/>
    </row>
    <row r="1200" spans="1:38" s="234" customFormat="1" ht="10.199999999999999" hidden="1">
      <c r="A1200" s="199"/>
      <c r="B1200" s="690" t="s">
        <v>138</v>
      </c>
      <c r="C1200" s="26"/>
      <c r="D1200" s="26"/>
      <c r="E1200" s="26"/>
      <c r="F1200" s="689"/>
      <c r="G1200" s="271"/>
      <c r="H1200" s="263"/>
      <c r="I1200" s="268"/>
      <c r="J1200" s="199"/>
      <c r="K1200" s="212"/>
      <c r="L1200" s="223"/>
      <c r="M1200" s="778"/>
      <c r="N1200" s="269">
        <f>IF($F$1192="",0,((Nutzung!$G$29+Regelung-1)+(($H$1193-Nutzung!$G$29)/4)-I1174)*J1174*$D$1192*$E$1192*$F$1192*24/($O$1167*1000))</f>
        <v>0</v>
      </c>
      <c r="O1200" s="253"/>
      <c r="P1200" s="201"/>
      <c r="Q1200" s="201"/>
      <c r="R1200" s="201"/>
      <c r="S1200" s="199"/>
      <c r="Z1200" s="321"/>
      <c r="AA1200" s="318"/>
      <c r="AB1200" s="321"/>
      <c r="AC1200" s="321"/>
      <c r="AD1200" s="321"/>
      <c r="AE1200" s="321"/>
      <c r="AF1200" s="321"/>
      <c r="AG1200" s="321"/>
      <c r="AH1200" s="321"/>
      <c r="AI1200" s="321"/>
      <c r="AJ1200" s="321"/>
      <c r="AK1200" s="321"/>
      <c r="AL1200" s="300"/>
    </row>
    <row r="1201" spans="1:38" s="234" customFormat="1" ht="10.199999999999999" hidden="1">
      <c r="A1201" s="199"/>
      <c r="B1201" s="690" t="s">
        <v>139</v>
      </c>
      <c r="C1201" s="26"/>
      <c r="D1201" s="26"/>
      <c r="E1201" s="26"/>
      <c r="F1201" s="689"/>
      <c r="G1201" s="271"/>
      <c r="H1201" s="263"/>
      <c r="I1201" s="268"/>
      <c r="J1201" s="199"/>
      <c r="K1201" s="212"/>
      <c r="L1201" s="223"/>
      <c r="M1201" s="778"/>
      <c r="N1201" s="269">
        <f>IF($F$1192="",0,((Nutzung!$G$29+Regelung-1)+(($H$1193-Nutzung!$G$29)/4)-I1175)*J1175*$D$1192*$E$1192*$F$1192*24/($O$1167*1000))</f>
        <v>0</v>
      </c>
      <c r="O1201" s="253"/>
      <c r="P1201" s="201"/>
      <c r="Q1201" s="201"/>
      <c r="R1201" s="201"/>
      <c r="S1201" s="199"/>
      <c r="Z1201" s="321"/>
      <c r="AA1201" s="318"/>
      <c r="AB1201" s="321"/>
      <c r="AC1201" s="321"/>
      <c r="AD1201" s="321"/>
      <c r="AE1201" s="321"/>
      <c r="AF1201" s="321"/>
      <c r="AG1201" s="321"/>
      <c r="AH1201" s="321"/>
      <c r="AI1201" s="321"/>
      <c r="AJ1201" s="321"/>
      <c r="AK1201" s="321"/>
      <c r="AL1201" s="300"/>
    </row>
    <row r="1202" spans="1:38" s="234" customFormat="1" ht="10.199999999999999" hidden="1">
      <c r="A1202" s="199"/>
      <c r="B1202" s="690" t="s">
        <v>269</v>
      </c>
      <c r="C1202" s="26"/>
      <c r="D1202" s="26"/>
      <c r="E1202" s="26"/>
      <c r="F1202" s="689"/>
      <c r="G1202" s="271"/>
      <c r="H1202" s="263"/>
      <c r="I1202" s="268"/>
      <c r="J1202" s="199"/>
      <c r="K1202" s="212"/>
      <c r="L1202" s="223"/>
      <c r="M1202" s="778"/>
      <c r="N1202" s="269">
        <f>IF($F$1192="",0,((Nutzung!$G$29+Regelung-1)+(($H$1193-Nutzung!$G$29)/4)-I1176)*J1176*$D$1192*$E$1192*$F$1192*24/($O$1167*1000))</f>
        <v>0</v>
      </c>
      <c r="O1202" s="253"/>
      <c r="P1202" s="201"/>
      <c r="Q1202" s="201"/>
      <c r="R1202" s="201"/>
      <c r="S1202" s="199"/>
      <c r="Z1202" s="321"/>
      <c r="AA1202" s="318"/>
      <c r="AB1202" s="321"/>
      <c r="AC1202" s="321"/>
      <c r="AD1202" s="321"/>
      <c r="AE1202" s="321"/>
      <c r="AF1202" s="321"/>
      <c r="AG1202" s="321"/>
      <c r="AH1202" s="321"/>
      <c r="AI1202" s="321"/>
      <c r="AJ1202" s="321"/>
      <c r="AK1202" s="321"/>
      <c r="AL1202" s="300"/>
    </row>
    <row r="1203" spans="1:38" s="234" customFormat="1" ht="10.199999999999999" hidden="1">
      <c r="A1203" s="199"/>
      <c r="B1203" s="690" t="s">
        <v>366</v>
      </c>
      <c r="C1203" s="26"/>
      <c r="D1203" s="26"/>
      <c r="E1203" s="26"/>
      <c r="F1203" s="689"/>
      <c r="G1203" s="271"/>
      <c r="H1203" s="263"/>
      <c r="I1203" s="268"/>
      <c r="J1203" s="199"/>
      <c r="K1203" s="212"/>
      <c r="L1203" s="223"/>
      <c r="M1203" s="778"/>
      <c r="N1203" s="269">
        <f>IF($F$1192="",0,((Nutzung!$G$29+Regelung-1)+(($H$1193-Nutzung!$G$29)/4)-I1177)*J1177*$D$1192*$E$1192*$F$1192*24/($O$1167*1000))</f>
        <v>0</v>
      </c>
      <c r="O1203" s="253"/>
      <c r="P1203" s="201"/>
      <c r="Q1203" s="201"/>
      <c r="R1203" s="201"/>
      <c r="S1203" s="199"/>
      <c r="Z1203" s="321"/>
      <c r="AA1203" s="318"/>
      <c r="AB1203" s="321"/>
      <c r="AC1203" s="321"/>
      <c r="AD1203" s="321"/>
      <c r="AE1203" s="321"/>
      <c r="AF1203" s="321"/>
      <c r="AG1203" s="321"/>
      <c r="AH1203" s="321"/>
      <c r="AI1203" s="321"/>
      <c r="AJ1203" s="321"/>
      <c r="AK1203" s="321"/>
      <c r="AL1203" s="300"/>
    </row>
    <row r="1204" spans="1:38" s="234" customFormat="1" ht="10.199999999999999" hidden="1">
      <c r="A1204" s="199"/>
      <c r="B1204" s="690" t="s">
        <v>465</v>
      </c>
      <c r="C1204" s="26"/>
      <c r="D1204" s="26"/>
      <c r="E1204" s="26"/>
      <c r="F1204" s="689"/>
      <c r="G1204" s="271"/>
      <c r="H1204" s="263"/>
      <c r="I1204" s="268"/>
      <c r="J1204" s="199"/>
      <c r="K1204" s="212"/>
      <c r="L1204" s="223"/>
      <c r="M1204" s="778"/>
      <c r="N1204" s="269">
        <f>IF($F$1192="",0,((Nutzung!$G$29+Regelung-1)+(($H$1193-Nutzung!$G$29)/4)-I1178)*J1178*$D$1192*$E$1192*$F$1192*24/($O$1167*1000))</f>
        <v>0</v>
      </c>
      <c r="O1204" s="253"/>
      <c r="P1204" s="201"/>
      <c r="Q1204" s="201"/>
      <c r="R1204" s="201"/>
      <c r="S1204" s="199"/>
      <c r="Z1204" s="321"/>
      <c r="AA1204" s="318"/>
      <c r="AB1204" s="321"/>
      <c r="AC1204" s="321"/>
      <c r="AD1204" s="321"/>
      <c r="AE1204" s="321"/>
      <c r="AF1204" s="321"/>
      <c r="AG1204" s="321"/>
      <c r="AH1204" s="321"/>
      <c r="AI1204" s="321"/>
      <c r="AJ1204" s="321"/>
      <c r="AK1204" s="321"/>
      <c r="AL1204" s="300"/>
    </row>
    <row r="1205" spans="1:38" ht="10.95" customHeight="1">
      <c r="A1205" s="192"/>
      <c r="B1205" s="648"/>
      <c r="C1205" s="656"/>
      <c r="D1205" s="657"/>
      <c r="E1205" s="658"/>
      <c r="F1205" s="676"/>
      <c r="G1205" s="275"/>
      <c r="H1205" s="198"/>
      <c r="I1205" s="198"/>
      <c r="J1205" s="241"/>
      <c r="K1205" s="211"/>
      <c r="L1205" s="220" t="str">
        <f>IF(F1205="","",Nutzung!$G$29)</f>
        <v/>
      </c>
      <c r="M1205" s="771" t="str">
        <f>IF(D1205="","",AB1205)</f>
        <v/>
      </c>
      <c r="N1205" s="214">
        <f>IF(F1205=0,0,SUM(N1206:N1217))</f>
        <v>0</v>
      </c>
      <c r="O1205" s="215" t="str">
        <f>IF(N1205/$O$1370=0,"",N1205/$O$1370)</f>
        <v/>
      </c>
      <c r="P1205" s="198"/>
      <c r="Q1205" s="198"/>
      <c r="R1205" s="198"/>
      <c r="S1205" s="192"/>
      <c r="T1205" s="182">
        <f>D1205*E1205*F1205</f>
        <v>0</v>
      </c>
      <c r="AA1205" s="318">
        <f>IF(D1205="",0,1)</f>
        <v>0</v>
      </c>
      <c r="AB1205" s="318">
        <f>AB1192+AA1205</f>
        <v>0</v>
      </c>
    </row>
    <row r="1206" spans="1:38" hidden="1">
      <c r="A1206" s="192"/>
      <c r="B1206" s="690" t="s">
        <v>49</v>
      </c>
      <c r="C1206" s="14"/>
      <c r="D1206" s="681"/>
      <c r="E1206" s="745"/>
      <c r="F1206" s="685"/>
      <c r="G1206" s="271"/>
      <c r="H1206" s="739" t="str">
        <f>IF($L$1205&lt;Nutzung!$G$29,Nutzung!$G$29,$L$1205)</f>
        <v/>
      </c>
      <c r="I1206" s="268"/>
      <c r="J1206" s="192"/>
      <c r="K1206" s="265">
        <f>IF(L1205="",Nutzung!$G$29,Bauteile!L1205)</f>
        <v>0</v>
      </c>
      <c r="L1206" s="223"/>
      <c r="M1206" s="777"/>
      <c r="N1206" s="270">
        <f>IF($F$1205="",0,((Nutzung!$G$29+Regelung-1)+(($H$1206-Nutzung!$G$29)/4)-I1167)*J1167*$D$1205*$E$1205*$F$1205*24/($O$1167*1000))</f>
        <v>0</v>
      </c>
      <c r="O1206" s="252"/>
      <c r="P1206" s="192"/>
      <c r="Q1206" s="192"/>
      <c r="R1206" s="192"/>
      <c r="S1206" s="192"/>
    </row>
    <row r="1207" spans="1:38" hidden="1">
      <c r="A1207" s="192"/>
      <c r="B1207" s="690" t="s">
        <v>554</v>
      </c>
      <c r="C1207" s="26"/>
      <c r="D1207" s="26"/>
      <c r="E1207" s="26"/>
      <c r="F1207" s="685"/>
      <c r="G1207" s="271"/>
      <c r="H1207" s="263"/>
      <c r="I1207" s="268"/>
      <c r="J1207" s="192"/>
      <c r="K1207" s="211"/>
      <c r="L1207" s="223"/>
      <c r="M1207" s="778"/>
      <c r="N1207" s="270">
        <f>IF($F$1205="",0,((Nutzung!$G$29+Regelung-1)+(($H$1206-Nutzung!$G$29)/4)-I1168)*J1168*$D$1205*$E$1205*$F$1205*24/($O$1167*1000))</f>
        <v>0</v>
      </c>
      <c r="O1207" s="252"/>
      <c r="P1207" s="192"/>
      <c r="Q1207" s="192"/>
      <c r="R1207" s="192"/>
      <c r="S1207" s="192"/>
    </row>
    <row r="1208" spans="1:38" hidden="1">
      <c r="A1208" s="192"/>
      <c r="B1208" s="690" t="s">
        <v>306</v>
      </c>
      <c r="C1208" s="26"/>
      <c r="D1208" s="26"/>
      <c r="E1208" s="26"/>
      <c r="F1208" s="685"/>
      <c r="G1208" s="271"/>
      <c r="H1208" s="263"/>
      <c r="I1208" s="268"/>
      <c r="J1208" s="192"/>
      <c r="K1208" s="211"/>
      <c r="L1208" s="223"/>
      <c r="M1208" s="778"/>
      <c r="N1208" s="270">
        <f>IF($F$1205="",0,((Nutzung!$G$29+Regelung-1)+(($H$1206-Nutzung!$G$29)/4)-I1169)*J1169*$D$1205*$E$1205*$F$1205*24/($O$1167*1000))</f>
        <v>0</v>
      </c>
      <c r="O1208" s="252"/>
      <c r="P1208" s="192"/>
      <c r="Q1208" s="192"/>
      <c r="R1208" s="192"/>
      <c r="S1208" s="192"/>
    </row>
    <row r="1209" spans="1:38" hidden="1">
      <c r="A1209" s="192"/>
      <c r="B1209" s="690" t="s">
        <v>409</v>
      </c>
      <c r="C1209" s="26"/>
      <c r="D1209" s="26"/>
      <c r="E1209" s="26"/>
      <c r="F1209" s="685"/>
      <c r="G1209" s="271"/>
      <c r="H1209" s="263"/>
      <c r="I1209" s="268"/>
      <c r="J1209" s="192"/>
      <c r="K1209" s="211"/>
      <c r="L1209" s="223"/>
      <c r="M1209" s="778"/>
      <c r="N1209" s="270">
        <f>IF($F$1205="",0,((Nutzung!$G$29+Regelung-1)+(($H$1206-Nutzung!$G$29)/4)-I1170)*J1170*$D$1205*$E$1205*$F$1205*24/($O$1167*1000))</f>
        <v>0</v>
      </c>
      <c r="O1209" s="252"/>
      <c r="P1209" s="192"/>
      <c r="Q1209" s="192"/>
      <c r="R1209" s="192"/>
      <c r="S1209" s="192"/>
    </row>
    <row r="1210" spans="1:38" hidden="1">
      <c r="A1210" s="192"/>
      <c r="B1210" s="690" t="s">
        <v>410</v>
      </c>
      <c r="C1210" s="26"/>
      <c r="D1210" s="26"/>
      <c r="E1210" s="26"/>
      <c r="F1210" s="685"/>
      <c r="G1210" s="271"/>
      <c r="H1210" s="263"/>
      <c r="I1210" s="268"/>
      <c r="J1210" s="192"/>
      <c r="K1210" s="211"/>
      <c r="L1210" s="223"/>
      <c r="M1210" s="778"/>
      <c r="N1210" s="270">
        <f>IF($F$1205="",0,((Nutzung!$G$29+Regelung-1)+(($H$1206-Nutzung!$G$29)/4)-I1171)*J1171*$D$1205*$E$1205*$F$1205*24/($O$1167*1000))</f>
        <v>0</v>
      </c>
      <c r="O1210" s="252"/>
      <c r="P1210" s="192"/>
      <c r="Q1210" s="192"/>
      <c r="R1210" s="192"/>
      <c r="S1210" s="192"/>
    </row>
    <row r="1211" spans="1:38" hidden="1">
      <c r="A1211" s="192"/>
      <c r="B1211" s="690" t="s">
        <v>411</v>
      </c>
      <c r="C1211" s="26"/>
      <c r="D1211" s="26"/>
      <c r="E1211" s="26"/>
      <c r="F1211" s="685"/>
      <c r="G1211" s="271"/>
      <c r="H1211" s="263"/>
      <c r="I1211" s="268"/>
      <c r="J1211" s="192"/>
      <c r="K1211" s="211"/>
      <c r="L1211" s="223"/>
      <c r="M1211" s="778"/>
      <c r="N1211" s="270">
        <f>IF($F$1205="",0,((Nutzung!$G$29+Regelung-1)+(($H$1206-Nutzung!$G$29)/4)-I1172)*J1172*$D$1205*$E$1205*$F$1205*24/($O$1167*1000))</f>
        <v>0</v>
      </c>
      <c r="O1211" s="252"/>
      <c r="P1211" s="192"/>
      <c r="Q1211" s="192"/>
      <c r="R1211" s="192"/>
      <c r="S1211" s="192"/>
    </row>
    <row r="1212" spans="1:38" hidden="1">
      <c r="A1212" s="192"/>
      <c r="B1212" s="690" t="s">
        <v>221</v>
      </c>
      <c r="C1212" s="26"/>
      <c r="D1212" s="26"/>
      <c r="E1212" s="26"/>
      <c r="F1212" s="685"/>
      <c r="G1212" s="271"/>
      <c r="H1212" s="263"/>
      <c r="I1212" s="268"/>
      <c r="J1212" s="192"/>
      <c r="K1212" s="211"/>
      <c r="L1212" s="223"/>
      <c r="M1212" s="778"/>
      <c r="N1212" s="270">
        <f>IF($F$1205="",0,((Nutzung!$G$29+Regelung-1)+(($H$1206-Nutzung!$G$29)/4)-I1173)*J1173*$D$1205*$E$1205*$F$1205*24/($O$1167*1000))</f>
        <v>0</v>
      </c>
      <c r="O1212" s="252"/>
      <c r="P1212" s="192"/>
      <c r="Q1212" s="192"/>
      <c r="R1212" s="192"/>
      <c r="S1212" s="192"/>
    </row>
    <row r="1213" spans="1:38" hidden="1">
      <c r="A1213" s="192"/>
      <c r="B1213" s="690" t="s">
        <v>138</v>
      </c>
      <c r="C1213" s="26"/>
      <c r="D1213" s="26"/>
      <c r="E1213" s="26"/>
      <c r="F1213" s="685"/>
      <c r="G1213" s="271"/>
      <c r="H1213" s="263"/>
      <c r="I1213" s="268"/>
      <c r="J1213" s="192"/>
      <c r="K1213" s="211"/>
      <c r="L1213" s="223"/>
      <c r="M1213" s="778"/>
      <c r="N1213" s="270">
        <f>IF($F$1205="",0,((Nutzung!$G$29+Regelung-1)+(($H$1206-Nutzung!$G$29)/4)-I1174)*J1174*$D$1205*$E$1205*$F$1205*24/($O$1167*1000))</f>
        <v>0</v>
      </c>
      <c r="O1213" s="252"/>
      <c r="P1213" s="192"/>
      <c r="Q1213" s="192"/>
      <c r="R1213" s="192"/>
      <c r="S1213" s="192"/>
    </row>
    <row r="1214" spans="1:38" hidden="1">
      <c r="A1214" s="192"/>
      <c r="B1214" s="690" t="s">
        <v>139</v>
      </c>
      <c r="C1214" s="26"/>
      <c r="D1214" s="26"/>
      <c r="E1214" s="26"/>
      <c r="F1214" s="685"/>
      <c r="G1214" s="271"/>
      <c r="H1214" s="263"/>
      <c r="I1214" s="268"/>
      <c r="J1214" s="192"/>
      <c r="K1214" s="211"/>
      <c r="L1214" s="223"/>
      <c r="M1214" s="778"/>
      <c r="N1214" s="270">
        <f>IF($F$1205="",0,((Nutzung!$G$29+Regelung-1)+(($H$1206-Nutzung!$G$29)/4)-I1175)*J1175*$D$1205*$E$1205*$F$1205*24/($O$1167*1000))</f>
        <v>0</v>
      </c>
      <c r="O1214" s="252"/>
      <c r="P1214" s="192"/>
      <c r="Q1214" s="192"/>
      <c r="R1214" s="192"/>
      <c r="S1214" s="192"/>
    </row>
    <row r="1215" spans="1:38" hidden="1">
      <c r="A1215" s="192"/>
      <c r="B1215" s="690" t="s">
        <v>269</v>
      </c>
      <c r="C1215" s="26"/>
      <c r="D1215" s="26"/>
      <c r="E1215" s="26"/>
      <c r="F1215" s="685"/>
      <c r="G1215" s="271"/>
      <c r="H1215" s="263"/>
      <c r="I1215" s="268"/>
      <c r="J1215" s="192"/>
      <c r="K1215" s="211"/>
      <c r="L1215" s="223"/>
      <c r="M1215" s="778"/>
      <c r="N1215" s="270">
        <f>IF($F$1205="",0,((Nutzung!$G$29+Regelung-1)+(($H$1206-Nutzung!$G$29)/4)-I1176)*J1176*$D$1205*$E$1205*$F$1205*24/($O$1167*1000))</f>
        <v>0</v>
      </c>
      <c r="O1215" s="252"/>
      <c r="P1215" s="192"/>
      <c r="Q1215" s="192"/>
      <c r="R1215" s="192"/>
      <c r="S1215" s="192"/>
    </row>
    <row r="1216" spans="1:38" hidden="1">
      <c r="A1216" s="192"/>
      <c r="B1216" s="690" t="s">
        <v>366</v>
      </c>
      <c r="C1216" s="26"/>
      <c r="D1216" s="26"/>
      <c r="E1216" s="26"/>
      <c r="F1216" s="685"/>
      <c r="G1216" s="271"/>
      <c r="H1216" s="263"/>
      <c r="I1216" s="268"/>
      <c r="J1216" s="192"/>
      <c r="K1216" s="211"/>
      <c r="L1216" s="223"/>
      <c r="M1216" s="778"/>
      <c r="N1216" s="270">
        <f>IF($F$1205="",0,((Nutzung!$G$29+Regelung-1)+(($H$1206-Nutzung!$G$29)/4)-I1177)*J1177*$D$1205*$E$1205*$F$1205*24/($O$1167*1000))</f>
        <v>0</v>
      </c>
      <c r="O1216" s="252"/>
      <c r="P1216" s="192"/>
      <c r="Q1216" s="192"/>
      <c r="R1216" s="192"/>
      <c r="S1216" s="192"/>
    </row>
    <row r="1217" spans="1:28" hidden="1">
      <c r="A1217" s="192"/>
      <c r="B1217" s="690" t="s">
        <v>465</v>
      </c>
      <c r="C1217" s="26"/>
      <c r="D1217" s="26"/>
      <c r="E1217" s="26"/>
      <c r="F1217" s="685"/>
      <c r="G1217" s="271"/>
      <c r="H1217" s="263"/>
      <c r="I1217" s="268"/>
      <c r="J1217" s="192"/>
      <c r="K1217" s="211"/>
      <c r="L1217" s="223"/>
      <c r="M1217" s="778"/>
      <c r="N1217" s="270">
        <f>IF($F$1205="",0,((Nutzung!$G$29+Regelung-1)+(($H$1206-Nutzung!$G$29)/4)-I1178)*J1178*$D$1205*$E$1205*$F$1205*24/($O$1167*1000))</f>
        <v>0</v>
      </c>
      <c r="O1217" s="252"/>
      <c r="P1217" s="192"/>
      <c r="Q1217" s="192"/>
      <c r="R1217" s="192"/>
      <c r="S1217" s="192"/>
    </row>
    <row r="1218" spans="1:28" ht="10.95" customHeight="1">
      <c r="A1218" s="192"/>
      <c r="B1218" s="747"/>
      <c r="C1218" s="656"/>
      <c r="D1218" s="656"/>
      <c r="E1218" s="658"/>
      <c r="F1218" s="779"/>
      <c r="G1218" s="253"/>
      <c r="H1218" s="253"/>
      <c r="I1218" s="273"/>
      <c r="J1218" s="274"/>
      <c r="K1218" s="252"/>
      <c r="L1218" s="781" t="str">
        <f>IF(F1218="","",Nutzung!$G$29)</f>
        <v/>
      </c>
      <c r="M1218" s="771" t="str">
        <f>IF(D1218="","",AB1218)</f>
        <v/>
      </c>
      <c r="N1218" s="251">
        <f>IF(F1218=0,0,SUM(N1219:N1230))</f>
        <v>0</v>
      </c>
      <c r="O1218" s="215" t="str">
        <f>IF(N1218/$O$1370=0,"",N1218/$O$1370)</f>
        <v/>
      </c>
      <c r="P1218" s="192"/>
      <c r="Q1218" s="192"/>
      <c r="R1218" s="192"/>
      <c r="S1218" s="192"/>
      <c r="T1218" s="182">
        <f>D1218*E1218*F1218</f>
        <v>0</v>
      </c>
      <c r="AA1218" s="318">
        <f>IF(D1218="",0,1)</f>
        <v>0</v>
      </c>
      <c r="AB1218" s="318">
        <f>AB1205+AA1218</f>
        <v>0</v>
      </c>
    </row>
    <row r="1219" spans="1:28" hidden="1">
      <c r="A1219" s="192"/>
      <c r="B1219" s="690" t="s">
        <v>49</v>
      </c>
      <c r="C1219" s="14"/>
      <c r="D1219" s="681"/>
      <c r="E1219" s="26"/>
      <c r="F1219" s="767"/>
      <c r="G1219" s="197"/>
      <c r="H1219" s="738" t="str">
        <f>IF($L$1218&lt;Nutzung!$G$29,Nutzung!$G$29,$L$1218)</f>
        <v/>
      </c>
      <c r="I1219" s="207"/>
      <c r="J1219" s="192"/>
      <c r="K1219" s="246">
        <f>IF(L1218="",Nutzung!$G$29,Bauteile!L1218)</f>
        <v>0</v>
      </c>
      <c r="L1219" s="770"/>
      <c r="M1219" s="782"/>
      <c r="N1219" s="723">
        <f>IF($F$1218="",0,((Nutzung!$G$29+Regelung-1)+(($H$1219-Nutzung!$G$29)/4)-I1167)*J1167*$D$1218*$E$1218*$F$1218*24/($O$1167*1000))</f>
        <v>0</v>
      </c>
      <c r="O1219" s="192"/>
      <c r="P1219" s="192"/>
      <c r="Q1219" s="192"/>
      <c r="R1219" s="192"/>
      <c r="S1219" s="192"/>
    </row>
    <row r="1220" spans="1:28" hidden="1">
      <c r="A1220" s="192"/>
      <c r="B1220" s="690" t="s">
        <v>554</v>
      </c>
      <c r="C1220" s="681"/>
      <c r="D1220" s="681"/>
      <c r="E1220" s="26"/>
      <c r="F1220" s="767"/>
      <c r="G1220" s="197"/>
      <c r="H1220" s="197"/>
      <c r="I1220" s="207"/>
      <c r="J1220" s="192"/>
      <c r="K1220" s="192"/>
      <c r="L1220" s="770"/>
      <c r="M1220" s="782"/>
      <c r="N1220" s="723">
        <f>IF($F$1218="",0,((Nutzung!$G$29+Regelung-1)+(($H$1219-Nutzung!$G$29)/4)-I1168)*J1168*$D$1218*$E$1218*$F$1218*24/($O$1167*1000))</f>
        <v>0</v>
      </c>
      <c r="O1220" s="192"/>
      <c r="P1220" s="192"/>
      <c r="Q1220" s="192"/>
      <c r="R1220" s="192"/>
      <c r="S1220" s="192"/>
    </row>
    <row r="1221" spans="1:28" hidden="1">
      <c r="A1221" s="192"/>
      <c r="B1221" s="690" t="s">
        <v>306</v>
      </c>
      <c r="C1221" s="681"/>
      <c r="D1221" s="681"/>
      <c r="E1221" s="26"/>
      <c r="F1221" s="767"/>
      <c r="G1221" s="197"/>
      <c r="H1221" s="197"/>
      <c r="I1221" s="207"/>
      <c r="J1221" s="192"/>
      <c r="K1221" s="192"/>
      <c r="L1221" s="770"/>
      <c r="M1221" s="782"/>
      <c r="N1221" s="723">
        <f>IF($F$1218="",0,((Nutzung!$G$29+Regelung-1)+(($H$1219-Nutzung!$G$29)/4)-I1169)*J1169*$D$1218*$E$1218*$F$1218*24/($O$1167*1000))</f>
        <v>0</v>
      </c>
      <c r="O1221" s="192"/>
      <c r="P1221" s="192"/>
      <c r="Q1221" s="192"/>
      <c r="R1221" s="192"/>
      <c r="S1221" s="192"/>
    </row>
    <row r="1222" spans="1:28" hidden="1">
      <c r="A1222" s="192"/>
      <c r="B1222" s="690" t="s">
        <v>409</v>
      </c>
      <c r="C1222" s="681"/>
      <c r="D1222" s="681"/>
      <c r="E1222" s="26"/>
      <c r="F1222" s="767"/>
      <c r="G1222" s="197"/>
      <c r="H1222" s="197"/>
      <c r="I1222" s="207"/>
      <c r="J1222" s="192"/>
      <c r="K1222" s="192"/>
      <c r="L1222" s="770"/>
      <c r="M1222" s="782"/>
      <c r="N1222" s="723">
        <f>IF($F$1218="",0,((Nutzung!$G$29+Regelung-1)+(($H$1219-Nutzung!$G$29)/4)-I1170)*J1170*$D$1218*$E$1218*$F$1218*24/($O$1167*1000))</f>
        <v>0</v>
      </c>
      <c r="O1222" s="192"/>
      <c r="P1222" s="192"/>
      <c r="Q1222" s="192"/>
      <c r="R1222" s="192"/>
      <c r="S1222" s="192"/>
    </row>
    <row r="1223" spans="1:28" hidden="1">
      <c r="A1223" s="192"/>
      <c r="B1223" s="690" t="s">
        <v>410</v>
      </c>
      <c r="C1223" s="681"/>
      <c r="D1223" s="681"/>
      <c r="E1223" s="26"/>
      <c r="F1223" s="767"/>
      <c r="G1223" s="197"/>
      <c r="H1223" s="197"/>
      <c r="I1223" s="207"/>
      <c r="J1223" s="192"/>
      <c r="K1223" s="192"/>
      <c r="L1223" s="770"/>
      <c r="M1223" s="782"/>
      <c r="N1223" s="723">
        <f>IF($F$1218="",0,((Nutzung!$G$29+Regelung-1)+(($H$1219-Nutzung!$G$29)/4)-I1171)*J1171*$D$1218*$E$1218*$F$1218*24/($O$1167*1000))</f>
        <v>0</v>
      </c>
      <c r="O1223" s="192"/>
      <c r="P1223" s="192"/>
      <c r="Q1223" s="192"/>
      <c r="R1223" s="192"/>
      <c r="S1223" s="192"/>
    </row>
    <row r="1224" spans="1:28" hidden="1">
      <c r="A1224" s="192"/>
      <c r="B1224" s="690" t="s">
        <v>411</v>
      </c>
      <c r="C1224" s="681"/>
      <c r="D1224" s="681"/>
      <c r="E1224" s="26"/>
      <c r="F1224" s="767"/>
      <c r="G1224" s="197"/>
      <c r="H1224" s="197"/>
      <c r="I1224" s="207"/>
      <c r="J1224" s="192"/>
      <c r="K1224" s="192"/>
      <c r="L1224" s="770"/>
      <c r="M1224" s="782"/>
      <c r="N1224" s="723">
        <f>IF($F$1218="",0,((Nutzung!$G$29+Regelung-1)+(($H$1219-Nutzung!$G$29)/4)-I1172)*J1172*$D$1218*$E$1218*$F$1218*24/($O$1167*1000))</f>
        <v>0</v>
      </c>
      <c r="O1224" s="192"/>
      <c r="P1224" s="192"/>
      <c r="Q1224" s="192"/>
      <c r="R1224" s="192"/>
      <c r="S1224" s="192"/>
    </row>
    <row r="1225" spans="1:28" hidden="1">
      <c r="A1225" s="192"/>
      <c r="B1225" s="690" t="s">
        <v>221</v>
      </c>
      <c r="C1225" s="681"/>
      <c r="D1225" s="681"/>
      <c r="E1225" s="26"/>
      <c r="F1225" s="767"/>
      <c r="G1225" s="197"/>
      <c r="H1225" s="197"/>
      <c r="I1225" s="207"/>
      <c r="J1225" s="192"/>
      <c r="K1225" s="192"/>
      <c r="L1225" s="770"/>
      <c r="M1225" s="782"/>
      <c r="N1225" s="723">
        <f>IF($F$1218="",0,((Nutzung!$G$29+Regelung-1)+(($H$1219-Nutzung!$G$29)/4)-I1173)*J1173*$D$1218*$E$1218*$F$1218*24/($O$1167*1000))</f>
        <v>0</v>
      </c>
      <c r="O1225" s="192"/>
      <c r="P1225" s="192"/>
      <c r="Q1225" s="192"/>
      <c r="R1225" s="192"/>
      <c r="S1225" s="192"/>
    </row>
    <row r="1226" spans="1:28" hidden="1">
      <c r="A1226" s="192"/>
      <c r="B1226" s="690" t="s">
        <v>138</v>
      </c>
      <c r="C1226" s="681"/>
      <c r="D1226" s="681"/>
      <c r="E1226" s="26"/>
      <c r="F1226" s="767"/>
      <c r="G1226" s="197"/>
      <c r="H1226" s="197"/>
      <c r="I1226" s="207"/>
      <c r="J1226" s="192"/>
      <c r="K1226" s="192"/>
      <c r="L1226" s="770"/>
      <c r="M1226" s="782"/>
      <c r="N1226" s="723">
        <f>IF($F$1218="",0,((Nutzung!$G$29+Regelung-1)+(($H$1219-Nutzung!$G$29)/4)-I1174)*J1174*$D$1218*$E$1218*$F$1218*24/($O$1167*1000))</f>
        <v>0</v>
      </c>
      <c r="O1226" s="192"/>
      <c r="P1226" s="192"/>
      <c r="Q1226" s="192"/>
      <c r="R1226" s="192"/>
      <c r="S1226" s="192"/>
    </row>
    <row r="1227" spans="1:28" hidden="1">
      <c r="A1227" s="192"/>
      <c r="B1227" s="690" t="s">
        <v>139</v>
      </c>
      <c r="C1227" s="681"/>
      <c r="D1227" s="681"/>
      <c r="E1227" s="26"/>
      <c r="F1227" s="767"/>
      <c r="G1227" s="197"/>
      <c r="H1227" s="197"/>
      <c r="I1227" s="207"/>
      <c r="J1227" s="192"/>
      <c r="K1227" s="192"/>
      <c r="L1227" s="770"/>
      <c r="M1227" s="782"/>
      <c r="N1227" s="723">
        <f>IF($F$1218="",0,((Nutzung!$G$29+Regelung-1)+(($H$1219-Nutzung!$G$29)/4)-I1175)*J1175*$D$1218*$E$1218*$F$1218*24/($O$1167*1000))</f>
        <v>0</v>
      </c>
      <c r="O1227" s="192"/>
      <c r="P1227" s="192"/>
      <c r="Q1227" s="192"/>
      <c r="R1227" s="192"/>
      <c r="S1227" s="192"/>
    </row>
    <row r="1228" spans="1:28" hidden="1">
      <c r="A1228" s="192"/>
      <c r="B1228" s="690" t="s">
        <v>269</v>
      </c>
      <c r="C1228" s="681"/>
      <c r="D1228" s="681"/>
      <c r="E1228" s="26"/>
      <c r="F1228" s="767"/>
      <c r="G1228" s="197"/>
      <c r="H1228" s="197"/>
      <c r="I1228" s="207"/>
      <c r="J1228" s="192"/>
      <c r="K1228" s="192"/>
      <c r="L1228" s="770"/>
      <c r="M1228" s="782"/>
      <c r="N1228" s="723">
        <f>IF($F$1218="",0,((Nutzung!$G$29+Regelung-1)+(($H$1219-Nutzung!$G$29)/4)-I1176)*J1176*$D$1218*$E$1218*$F$1218*24/($O$1167*1000))</f>
        <v>0</v>
      </c>
      <c r="O1228" s="192"/>
      <c r="P1228" s="192"/>
      <c r="Q1228" s="192"/>
      <c r="R1228" s="192"/>
      <c r="S1228" s="192"/>
    </row>
    <row r="1229" spans="1:28" hidden="1">
      <c r="A1229" s="192"/>
      <c r="B1229" s="690" t="s">
        <v>366</v>
      </c>
      <c r="C1229" s="681"/>
      <c r="D1229" s="681"/>
      <c r="E1229" s="26"/>
      <c r="F1229" s="767"/>
      <c r="G1229" s="197"/>
      <c r="H1229" s="197"/>
      <c r="I1229" s="207"/>
      <c r="J1229" s="192"/>
      <c r="K1229" s="192"/>
      <c r="L1229" s="770"/>
      <c r="M1229" s="782"/>
      <c r="N1229" s="723">
        <f>IF($F$1218="",0,((Nutzung!$G$29+Regelung-1)+(($H$1219-Nutzung!$G$29)/4)-I1177)*J1177*$D$1218*$E$1218*$F$1218*24/($O$1167*1000))</f>
        <v>0</v>
      </c>
      <c r="O1229" s="192"/>
      <c r="P1229" s="192"/>
      <c r="Q1229" s="192"/>
      <c r="R1229" s="192"/>
      <c r="S1229" s="192"/>
    </row>
    <row r="1230" spans="1:28" hidden="1">
      <c r="A1230" s="192"/>
      <c r="B1230" s="690" t="s">
        <v>465</v>
      </c>
      <c r="C1230" s="681"/>
      <c r="D1230" s="681"/>
      <c r="E1230" s="26"/>
      <c r="F1230" s="767"/>
      <c r="G1230" s="197"/>
      <c r="H1230" s="197"/>
      <c r="I1230" s="207"/>
      <c r="J1230" s="192"/>
      <c r="K1230" s="192"/>
      <c r="L1230" s="770"/>
      <c r="M1230" s="782"/>
      <c r="N1230" s="723">
        <f>IF($F$1218="",0,((Nutzung!$G$29+Regelung-1)+(($H$1219-Nutzung!$G$29)/4)-I1178)*J1178*$D$1218*$E$1218*$F$1218*24/($O$1167*1000))</f>
        <v>0</v>
      </c>
      <c r="O1230" s="192"/>
      <c r="P1230" s="192"/>
      <c r="Q1230" s="192"/>
      <c r="R1230" s="192"/>
      <c r="S1230" s="192"/>
    </row>
    <row r="1231" spans="1:28" ht="10.95" customHeight="1">
      <c r="A1231" s="192"/>
      <c r="B1231" s="747"/>
      <c r="C1231" s="656"/>
      <c r="D1231" s="656"/>
      <c r="E1231" s="658"/>
      <c r="F1231" s="779"/>
      <c r="G1231" s="197"/>
      <c r="H1231" s="192"/>
      <c r="I1231" s="207"/>
      <c r="J1231" s="192"/>
      <c r="K1231" s="192"/>
      <c r="L1231" s="220" t="str">
        <f>IF(F1231="","",Nutzung!$G$29)</f>
        <v/>
      </c>
      <c r="M1231" s="771" t="str">
        <f>IF(D1231="","",AB1231)</f>
        <v/>
      </c>
      <c r="N1231" s="251">
        <f>IF(F1231=0,0,SUM(N1232:N1243))</f>
        <v>0</v>
      </c>
      <c r="O1231" s="215" t="str">
        <f>IF(N1231/$O$1370=0,"",N1231/$O$1370)</f>
        <v/>
      </c>
      <c r="P1231" s="192"/>
      <c r="Q1231" s="192"/>
      <c r="R1231" s="192"/>
      <c r="S1231" s="192"/>
      <c r="T1231" s="182">
        <f>D1231*E1231*F1231</f>
        <v>0</v>
      </c>
      <c r="AA1231" s="318">
        <f>IF(D1231="",0,1)</f>
        <v>0</v>
      </c>
      <c r="AB1231" s="318">
        <f>AB1218+AA1231</f>
        <v>0</v>
      </c>
    </row>
    <row r="1232" spans="1:28" hidden="1">
      <c r="A1232" s="192"/>
      <c r="B1232" s="690" t="s">
        <v>49</v>
      </c>
      <c r="C1232" s="14"/>
      <c r="D1232" s="681"/>
      <c r="E1232" s="683"/>
      <c r="F1232" s="684"/>
      <c r="G1232" s="197"/>
      <c r="H1232" s="738" t="str">
        <f>IF($L$1231&lt;Nutzung!$G$29,Nutzung!$G$29,$L$1231)</f>
        <v/>
      </c>
      <c r="I1232" s="207"/>
      <c r="J1232" s="192"/>
      <c r="K1232" s="246">
        <f>IF(L1231="",Nutzung!$G$29,Bauteile!L1231)</f>
        <v>0</v>
      </c>
      <c r="L1232" s="770"/>
      <c r="M1232" s="782"/>
      <c r="N1232" s="723">
        <f>IF($F$1231="",0,((Nutzung!$G$29+Regelung-1)+(($H$1232-Nutzung!$G$29)/4)-I1167)*J1167*$D$1231*$E$1231*$F$1231*24/($O$1167*1000))</f>
        <v>0</v>
      </c>
      <c r="O1232" s="192"/>
      <c r="P1232" s="192"/>
      <c r="Q1232" s="192"/>
      <c r="R1232" s="192"/>
      <c r="S1232" s="192"/>
    </row>
    <row r="1233" spans="1:28" hidden="1">
      <c r="A1233" s="192"/>
      <c r="B1233" s="690" t="s">
        <v>554</v>
      </c>
      <c r="C1233" s="681"/>
      <c r="D1233" s="681"/>
      <c r="E1233" s="683"/>
      <c r="F1233" s="684"/>
      <c r="G1233" s="197"/>
      <c r="H1233" s="197"/>
      <c r="I1233" s="207"/>
      <c r="J1233" s="192"/>
      <c r="K1233" s="192"/>
      <c r="L1233" s="770"/>
      <c r="M1233" s="782"/>
      <c r="N1233" s="723">
        <f>IF($F$1231="",0,((Nutzung!$G$29+Regelung-1)+(($H$1232-Nutzung!$G$29)/4)-I1168)*J1168*$D$1231*$E$1231*$F$1231*24/($O$1167*1000))</f>
        <v>0</v>
      </c>
      <c r="O1233" s="192"/>
      <c r="P1233" s="192"/>
      <c r="Q1233" s="192"/>
      <c r="R1233" s="192"/>
      <c r="S1233" s="192"/>
    </row>
    <row r="1234" spans="1:28" hidden="1">
      <c r="A1234" s="192"/>
      <c r="B1234" s="690" t="s">
        <v>306</v>
      </c>
      <c r="C1234" s="681"/>
      <c r="D1234" s="681"/>
      <c r="E1234" s="683"/>
      <c r="F1234" s="684"/>
      <c r="G1234" s="197"/>
      <c r="H1234" s="197"/>
      <c r="I1234" s="207"/>
      <c r="J1234" s="192"/>
      <c r="K1234" s="192"/>
      <c r="L1234" s="770"/>
      <c r="M1234" s="782"/>
      <c r="N1234" s="723">
        <f>IF($F$1231="",0,((Nutzung!$G$29+Regelung-1)+(($H$1232-Nutzung!$G$29)/4)-I1169)*J1169*$D$1231*$E$1231*$F$1231*24/($O$1167*1000))</f>
        <v>0</v>
      </c>
      <c r="O1234" s="192"/>
      <c r="P1234" s="192"/>
      <c r="Q1234" s="192"/>
      <c r="R1234" s="192"/>
      <c r="S1234" s="192"/>
    </row>
    <row r="1235" spans="1:28" hidden="1">
      <c r="A1235" s="192"/>
      <c r="B1235" s="690" t="s">
        <v>409</v>
      </c>
      <c r="C1235" s="681"/>
      <c r="D1235" s="681"/>
      <c r="E1235" s="683"/>
      <c r="F1235" s="684"/>
      <c r="G1235" s="197"/>
      <c r="H1235" s="197"/>
      <c r="I1235" s="207"/>
      <c r="J1235" s="192"/>
      <c r="K1235" s="192"/>
      <c r="L1235" s="770"/>
      <c r="M1235" s="782"/>
      <c r="N1235" s="723">
        <f>IF($F$1231="",0,((Nutzung!$G$29+Regelung-1)+(($H$1232-Nutzung!$G$29)/4)-I1170)*J1170*$D$1231*$E$1231*$F$1231*24/($O$1167*1000))</f>
        <v>0</v>
      </c>
      <c r="O1235" s="192"/>
      <c r="P1235" s="192"/>
      <c r="Q1235" s="192"/>
      <c r="R1235" s="192"/>
      <c r="S1235" s="192"/>
    </row>
    <row r="1236" spans="1:28" hidden="1">
      <c r="A1236" s="192"/>
      <c r="B1236" s="690" t="s">
        <v>410</v>
      </c>
      <c r="C1236" s="681"/>
      <c r="D1236" s="681"/>
      <c r="E1236" s="683"/>
      <c r="F1236" s="684"/>
      <c r="G1236" s="197"/>
      <c r="H1236" s="197"/>
      <c r="I1236" s="207"/>
      <c r="J1236" s="192"/>
      <c r="K1236" s="192"/>
      <c r="L1236" s="770"/>
      <c r="M1236" s="782"/>
      <c r="N1236" s="723">
        <f>IF($F$1231="",0,((Nutzung!$G$29+Regelung-1)+(($H$1232-Nutzung!$G$29)/4)-I1171)*J1171*$D$1231*$E$1231*$F$1231*24/($O$1167*1000))</f>
        <v>0</v>
      </c>
      <c r="O1236" s="192"/>
      <c r="P1236" s="192"/>
      <c r="Q1236" s="192"/>
      <c r="R1236" s="192"/>
      <c r="S1236" s="192"/>
    </row>
    <row r="1237" spans="1:28" hidden="1">
      <c r="A1237" s="192"/>
      <c r="B1237" s="690" t="s">
        <v>411</v>
      </c>
      <c r="C1237" s="681"/>
      <c r="D1237" s="681"/>
      <c r="E1237" s="683"/>
      <c r="F1237" s="684"/>
      <c r="G1237" s="197"/>
      <c r="H1237" s="197"/>
      <c r="I1237" s="207"/>
      <c r="J1237" s="192"/>
      <c r="K1237" s="192"/>
      <c r="L1237" s="770"/>
      <c r="M1237" s="782"/>
      <c r="N1237" s="723">
        <f>IF($F$1231="",0,((Nutzung!$G$29+Regelung-1)+(($H$1232-Nutzung!$G$29)/4)-I1172)*J1172*$D$1231*$E$1231*$F$1231*24/($O$1167*1000))</f>
        <v>0</v>
      </c>
      <c r="O1237" s="192"/>
      <c r="P1237" s="192"/>
      <c r="Q1237" s="192"/>
      <c r="R1237" s="192"/>
      <c r="S1237" s="192"/>
    </row>
    <row r="1238" spans="1:28" hidden="1">
      <c r="A1238" s="192"/>
      <c r="B1238" s="690" t="s">
        <v>221</v>
      </c>
      <c r="C1238" s="681"/>
      <c r="D1238" s="681"/>
      <c r="E1238" s="683"/>
      <c r="F1238" s="684"/>
      <c r="G1238" s="197"/>
      <c r="H1238" s="197"/>
      <c r="I1238" s="207"/>
      <c r="J1238" s="192"/>
      <c r="K1238" s="192"/>
      <c r="L1238" s="770"/>
      <c r="M1238" s="782"/>
      <c r="N1238" s="723">
        <f>IF($F$1231="",0,((Nutzung!$G$29+Regelung-1)+(($H$1232-Nutzung!$G$29)/4)-I1173)*J1173*$D$1231*$E$1231*$F$1231*24/($O$1167*1000))</f>
        <v>0</v>
      </c>
      <c r="O1238" s="192"/>
      <c r="P1238" s="192"/>
      <c r="Q1238" s="192"/>
      <c r="R1238" s="192"/>
      <c r="S1238" s="192"/>
    </row>
    <row r="1239" spans="1:28" hidden="1">
      <c r="A1239" s="192"/>
      <c r="B1239" s="690" t="s">
        <v>138</v>
      </c>
      <c r="C1239" s="681"/>
      <c r="D1239" s="681"/>
      <c r="E1239" s="683"/>
      <c r="F1239" s="684"/>
      <c r="G1239" s="197"/>
      <c r="H1239" s="197"/>
      <c r="I1239" s="207"/>
      <c r="J1239" s="192"/>
      <c r="K1239" s="192"/>
      <c r="L1239" s="770"/>
      <c r="M1239" s="782"/>
      <c r="N1239" s="723">
        <f>IF($F$1231="",0,((Nutzung!$G$29+Regelung-1)+(($H$1232-Nutzung!$G$29)/4)-I1174)*J1174*$D$1231*$E$1231*$F$1231*24/($O$1167*1000))</f>
        <v>0</v>
      </c>
      <c r="O1239" s="192"/>
      <c r="P1239" s="192"/>
      <c r="Q1239" s="192"/>
      <c r="R1239" s="192"/>
      <c r="S1239" s="192"/>
    </row>
    <row r="1240" spans="1:28" hidden="1">
      <c r="A1240" s="192"/>
      <c r="B1240" s="690" t="s">
        <v>139</v>
      </c>
      <c r="C1240" s="681"/>
      <c r="D1240" s="681"/>
      <c r="E1240" s="683"/>
      <c r="F1240" s="684"/>
      <c r="G1240" s="197"/>
      <c r="H1240" s="197"/>
      <c r="I1240" s="207"/>
      <c r="J1240" s="192"/>
      <c r="K1240" s="192"/>
      <c r="L1240" s="770"/>
      <c r="M1240" s="782"/>
      <c r="N1240" s="723">
        <f>IF($F$1231="",0,((Nutzung!$G$29+Regelung-1)+(($H$1232-Nutzung!$G$29)/4)-I1175)*J1175*$D$1231*$E$1231*$F$1231*24/($O$1167*1000))</f>
        <v>0</v>
      </c>
      <c r="O1240" s="192"/>
      <c r="P1240" s="192"/>
      <c r="Q1240" s="192"/>
      <c r="R1240" s="192"/>
      <c r="S1240" s="192"/>
    </row>
    <row r="1241" spans="1:28" hidden="1">
      <c r="A1241" s="192"/>
      <c r="B1241" s="690" t="s">
        <v>269</v>
      </c>
      <c r="C1241" s="681"/>
      <c r="D1241" s="681"/>
      <c r="E1241" s="683"/>
      <c r="F1241" s="684"/>
      <c r="G1241" s="197"/>
      <c r="H1241" s="197"/>
      <c r="I1241" s="207"/>
      <c r="J1241" s="192"/>
      <c r="K1241" s="192"/>
      <c r="L1241" s="770"/>
      <c r="M1241" s="782"/>
      <c r="N1241" s="723">
        <f>IF($F$1231="",0,((Nutzung!$G$29+Regelung-1)+(($H$1232-Nutzung!$G$29)/4)-I1176)*J1176*$D$1231*$E$1231*$F$1231*24/($O$1167*1000))</f>
        <v>0</v>
      </c>
      <c r="O1241" s="192"/>
      <c r="P1241" s="192"/>
      <c r="Q1241" s="192"/>
      <c r="R1241" s="192"/>
      <c r="S1241" s="192"/>
    </row>
    <row r="1242" spans="1:28" hidden="1">
      <c r="A1242" s="192"/>
      <c r="B1242" s="690" t="s">
        <v>366</v>
      </c>
      <c r="C1242" s="681"/>
      <c r="D1242" s="681"/>
      <c r="E1242" s="683"/>
      <c r="F1242" s="684"/>
      <c r="G1242" s="197"/>
      <c r="H1242" s="197"/>
      <c r="I1242" s="207"/>
      <c r="J1242" s="192"/>
      <c r="K1242" s="192"/>
      <c r="L1242" s="770"/>
      <c r="M1242" s="782"/>
      <c r="N1242" s="723">
        <f>IF($F$1231="",0,((Nutzung!$G$29+Regelung-1)+(($H$1232-Nutzung!$G$29)/4)-I1177)*J1177*$D$1231*$E$1231*$F$1231*24/($O$1167*1000))</f>
        <v>0</v>
      </c>
      <c r="O1242" s="192"/>
      <c r="P1242" s="192"/>
      <c r="Q1242" s="192"/>
      <c r="R1242" s="192"/>
      <c r="S1242" s="192"/>
    </row>
    <row r="1243" spans="1:28" hidden="1">
      <c r="A1243" s="192"/>
      <c r="B1243" s="690" t="s">
        <v>465</v>
      </c>
      <c r="C1243" s="681"/>
      <c r="D1243" s="681"/>
      <c r="E1243" s="683"/>
      <c r="F1243" s="684"/>
      <c r="G1243" s="197"/>
      <c r="H1243" s="197"/>
      <c r="I1243" s="207"/>
      <c r="J1243" s="192"/>
      <c r="K1243" s="192"/>
      <c r="L1243" s="770"/>
      <c r="M1243" s="782"/>
      <c r="N1243" s="723">
        <f>IF($F$1231="",0,((Nutzung!$G$29+Regelung-1)+(($H$1232-Nutzung!$G$29)/4)-I1178)*J1178*$D$1231*$E$1231*$F$1231*24/($O$1167*1000))</f>
        <v>0</v>
      </c>
      <c r="O1243" s="192"/>
      <c r="P1243" s="192"/>
      <c r="Q1243" s="192"/>
      <c r="R1243" s="192"/>
      <c r="S1243" s="192"/>
    </row>
    <row r="1244" spans="1:28" ht="10.95" customHeight="1">
      <c r="A1244" s="192"/>
      <c r="B1244" s="747"/>
      <c r="C1244" s="656"/>
      <c r="D1244" s="656"/>
      <c r="E1244" s="658"/>
      <c r="F1244" s="779"/>
      <c r="G1244" s="197"/>
      <c r="H1244" s="197"/>
      <c r="I1244" s="207"/>
      <c r="J1244" s="192"/>
      <c r="K1244" s="192"/>
      <c r="L1244" s="220" t="str">
        <f>IF(F1244="","",Nutzung!$G$29)</f>
        <v/>
      </c>
      <c r="M1244" s="771" t="str">
        <f>IF(D1244="","",AB1244)</f>
        <v/>
      </c>
      <c r="N1244" s="251">
        <f>IF(F1244=0,0,SUM(N1245:N1256))</f>
        <v>0</v>
      </c>
      <c r="O1244" s="215" t="str">
        <f>IF(N1244/$O$1370=0,"",N1244/$O$1370)</f>
        <v/>
      </c>
      <c r="P1244" s="192"/>
      <c r="Q1244" s="192"/>
      <c r="R1244" s="192"/>
      <c r="S1244" s="192"/>
      <c r="T1244" s="182">
        <f>D1244*E1244*F1244</f>
        <v>0</v>
      </c>
      <c r="AA1244" s="318">
        <f>IF(D1244="",0,1)</f>
        <v>0</v>
      </c>
      <c r="AB1244" s="318">
        <f>AB1231+AA1244</f>
        <v>0</v>
      </c>
    </row>
    <row r="1245" spans="1:28" hidden="1">
      <c r="A1245" s="192"/>
      <c r="B1245" s="690" t="s">
        <v>49</v>
      </c>
      <c r="C1245" s="14"/>
      <c r="D1245" s="681"/>
      <c r="E1245" s="683"/>
      <c r="F1245" s="684"/>
      <c r="G1245" s="197"/>
      <c r="H1245" s="738" t="str">
        <f>IF($L$1244&lt;Nutzung!$G$29,Nutzung!$G$29,$L$1244)</f>
        <v/>
      </c>
      <c r="I1245" s="207"/>
      <c r="J1245" s="192"/>
      <c r="K1245" s="246">
        <f>IF(L1244="",Nutzung!$G$29,Bauteile!L1244)</f>
        <v>0</v>
      </c>
      <c r="L1245" s="770"/>
      <c r="M1245" s="777"/>
      <c r="N1245" s="723">
        <f>IF($F$1244="",0,((Nutzung!$G$29+Regelung-1)+(($H$1245-Nutzung!$G$29)/4)-I1167)*J1167*$D$1244*$E$1244*$F$1244*24/($O$1167*1000))</f>
        <v>0</v>
      </c>
      <c r="O1245" s="192"/>
      <c r="P1245" s="192"/>
      <c r="Q1245" s="192"/>
      <c r="R1245" s="192"/>
      <c r="S1245" s="192"/>
    </row>
    <row r="1246" spans="1:28" hidden="1">
      <c r="A1246" s="192"/>
      <c r="B1246" s="690" t="s">
        <v>554</v>
      </c>
      <c r="C1246" s="681"/>
      <c r="D1246" s="681"/>
      <c r="E1246" s="683"/>
      <c r="F1246" s="684"/>
      <c r="G1246" s="197"/>
      <c r="H1246" s="197"/>
      <c r="I1246" s="207"/>
      <c r="J1246" s="192"/>
      <c r="K1246" s="192"/>
      <c r="L1246" s="770"/>
      <c r="M1246" s="778"/>
      <c r="N1246" s="723">
        <f>IF($F$1244="",0,((Nutzung!$G$29+Regelung-1)+(($H$1245-Nutzung!$G$29)/4)-I1168)*J1168*$D$1244*$E$1244*$F$1244*24/($O$1167*1000))</f>
        <v>0</v>
      </c>
      <c r="O1246" s="192"/>
      <c r="P1246" s="192"/>
      <c r="Q1246" s="192"/>
      <c r="R1246" s="192"/>
      <c r="S1246" s="192"/>
    </row>
    <row r="1247" spans="1:28" hidden="1">
      <c r="A1247" s="192"/>
      <c r="B1247" s="690" t="s">
        <v>306</v>
      </c>
      <c r="C1247" s="681"/>
      <c r="D1247" s="681"/>
      <c r="E1247" s="683"/>
      <c r="F1247" s="684"/>
      <c r="G1247" s="197"/>
      <c r="H1247" s="197"/>
      <c r="I1247" s="207"/>
      <c r="J1247" s="192"/>
      <c r="K1247" s="192"/>
      <c r="L1247" s="770"/>
      <c r="M1247" s="778"/>
      <c r="N1247" s="723">
        <f>IF($F$1244="",0,((Nutzung!$G$29+Regelung-1)+(($H$1245-Nutzung!$G$29)/4)-I1169)*J1169*$D$1244*$E$1244*$F$1244*24/($O$1167*1000))</f>
        <v>0</v>
      </c>
      <c r="O1247" s="192"/>
      <c r="P1247" s="192"/>
      <c r="Q1247" s="192"/>
      <c r="R1247" s="192"/>
      <c r="S1247" s="192"/>
    </row>
    <row r="1248" spans="1:28" hidden="1">
      <c r="A1248" s="192"/>
      <c r="B1248" s="690" t="s">
        <v>409</v>
      </c>
      <c r="C1248" s="681"/>
      <c r="D1248" s="681"/>
      <c r="E1248" s="683"/>
      <c r="F1248" s="684"/>
      <c r="G1248" s="197"/>
      <c r="H1248" s="197"/>
      <c r="I1248" s="207"/>
      <c r="J1248" s="192"/>
      <c r="K1248" s="192"/>
      <c r="L1248" s="770"/>
      <c r="M1248" s="778"/>
      <c r="N1248" s="723">
        <f>IF($F$1244="",0,((Nutzung!$G$29+Regelung-1)+(($H$1245-Nutzung!$G$29)/4)-I1170)*J1170*$D$1244*$E$1244*$F$1244*24/($O$1167*1000))</f>
        <v>0</v>
      </c>
      <c r="O1248" s="192"/>
      <c r="P1248" s="192"/>
      <c r="Q1248" s="192"/>
      <c r="R1248" s="192"/>
      <c r="S1248" s="192"/>
    </row>
    <row r="1249" spans="1:28" hidden="1">
      <c r="A1249" s="192"/>
      <c r="B1249" s="690" t="s">
        <v>410</v>
      </c>
      <c r="C1249" s="681"/>
      <c r="D1249" s="681"/>
      <c r="E1249" s="683"/>
      <c r="F1249" s="684"/>
      <c r="G1249" s="197"/>
      <c r="H1249" s="197"/>
      <c r="I1249" s="207"/>
      <c r="J1249" s="192"/>
      <c r="K1249" s="192"/>
      <c r="L1249" s="770"/>
      <c r="M1249" s="778"/>
      <c r="N1249" s="723">
        <f>IF($F$1244="",0,((Nutzung!$G$29+Regelung-1)+(($H$1245-Nutzung!$G$29)/4)-I1171)*J1171*$D$1244*$E$1244*$F$1244*24/($O$1167*1000))</f>
        <v>0</v>
      </c>
      <c r="O1249" s="192"/>
      <c r="P1249" s="192"/>
      <c r="Q1249" s="192"/>
      <c r="R1249" s="192"/>
      <c r="S1249" s="192"/>
    </row>
    <row r="1250" spans="1:28" hidden="1">
      <c r="A1250" s="192"/>
      <c r="B1250" s="690" t="s">
        <v>411</v>
      </c>
      <c r="C1250" s="681"/>
      <c r="D1250" s="681"/>
      <c r="E1250" s="683"/>
      <c r="F1250" s="684"/>
      <c r="G1250" s="197"/>
      <c r="H1250" s="197"/>
      <c r="I1250" s="207"/>
      <c r="J1250" s="192"/>
      <c r="K1250" s="192"/>
      <c r="L1250" s="770"/>
      <c r="M1250" s="778"/>
      <c r="N1250" s="723">
        <f>IF($F$1244="",0,((Nutzung!$G$29+Regelung-1)+(($H$1245-Nutzung!$G$29)/4)-I1172)*J1172*$D$1244*$E$1244*$F$1244*24/($O$1167*1000))</f>
        <v>0</v>
      </c>
      <c r="O1250" s="192"/>
      <c r="P1250" s="192"/>
      <c r="Q1250" s="192"/>
      <c r="R1250" s="192"/>
      <c r="S1250" s="192"/>
    </row>
    <row r="1251" spans="1:28" hidden="1">
      <c r="A1251" s="192"/>
      <c r="B1251" s="690" t="s">
        <v>221</v>
      </c>
      <c r="C1251" s="681"/>
      <c r="D1251" s="681"/>
      <c r="E1251" s="683"/>
      <c r="F1251" s="684"/>
      <c r="G1251" s="197"/>
      <c r="H1251" s="197"/>
      <c r="I1251" s="207"/>
      <c r="J1251" s="192"/>
      <c r="K1251" s="192"/>
      <c r="L1251" s="770"/>
      <c r="M1251" s="778"/>
      <c r="N1251" s="723">
        <f>IF($F$1244="",0,((Nutzung!$G$29+Regelung-1)+(($H$1245-Nutzung!$G$29)/4)-I1173)*J1173*$D$1244*$E$1244*$F$1244*24/($O$1167*1000))</f>
        <v>0</v>
      </c>
      <c r="O1251" s="192"/>
      <c r="P1251" s="192"/>
      <c r="Q1251" s="192"/>
      <c r="R1251" s="192"/>
      <c r="S1251" s="192"/>
    </row>
    <row r="1252" spans="1:28" hidden="1">
      <c r="A1252" s="192"/>
      <c r="B1252" s="690" t="s">
        <v>138</v>
      </c>
      <c r="C1252" s="681"/>
      <c r="D1252" s="681"/>
      <c r="E1252" s="683"/>
      <c r="F1252" s="684"/>
      <c r="G1252" s="197"/>
      <c r="H1252" s="197"/>
      <c r="I1252" s="207"/>
      <c r="J1252" s="192"/>
      <c r="K1252" s="192"/>
      <c r="L1252" s="770"/>
      <c r="M1252" s="778"/>
      <c r="N1252" s="723">
        <f>IF($F$1244="",0,((Nutzung!$G$29+Regelung-1)+(($H$1245-Nutzung!$G$29)/4)-I1174)*J1174*$D$1244*$E$1244*$F$1244*24/($O$1167*1000))</f>
        <v>0</v>
      </c>
      <c r="O1252" s="192"/>
      <c r="P1252" s="192"/>
      <c r="Q1252" s="192"/>
      <c r="R1252" s="192"/>
      <c r="S1252" s="192"/>
    </row>
    <row r="1253" spans="1:28" hidden="1">
      <c r="A1253" s="192"/>
      <c r="B1253" s="690" t="s">
        <v>139</v>
      </c>
      <c r="C1253" s="681"/>
      <c r="D1253" s="681"/>
      <c r="E1253" s="683"/>
      <c r="F1253" s="684"/>
      <c r="G1253" s="197"/>
      <c r="H1253" s="197"/>
      <c r="I1253" s="207"/>
      <c r="J1253" s="192"/>
      <c r="K1253" s="192"/>
      <c r="L1253" s="770"/>
      <c r="M1253" s="778"/>
      <c r="N1253" s="723">
        <f>IF($F$1244="",0,((Nutzung!$G$29+Regelung-1)+(($H$1245-Nutzung!$G$29)/4)-I1175)*J1175*$D$1244*$E$1244*$F$1244*24/($O$1167*1000))</f>
        <v>0</v>
      </c>
      <c r="O1253" s="192"/>
      <c r="P1253" s="192"/>
      <c r="Q1253" s="192"/>
      <c r="R1253" s="192"/>
      <c r="S1253" s="192"/>
    </row>
    <row r="1254" spans="1:28" hidden="1">
      <c r="A1254" s="192"/>
      <c r="B1254" s="690" t="s">
        <v>269</v>
      </c>
      <c r="C1254" s="681"/>
      <c r="D1254" s="681"/>
      <c r="E1254" s="683"/>
      <c r="F1254" s="684"/>
      <c r="G1254" s="197"/>
      <c r="H1254" s="197"/>
      <c r="I1254" s="207"/>
      <c r="J1254" s="192"/>
      <c r="K1254" s="192"/>
      <c r="L1254" s="770"/>
      <c r="M1254" s="778"/>
      <c r="N1254" s="723">
        <f>IF($F$1244="",0,((Nutzung!$G$29+Regelung-1)+(($H$1245-Nutzung!$G$29)/4)-I1176)*J1176*$D$1244*$E$1244*$F$1244*24/($O$1167*1000))</f>
        <v>0</v>
      </c>
      <c r="O1254" s="192"/>
      <c r="P1254" s="192"/>
      <c r="Q1254" s="192"/>
      <c r="R1254" s="192"/>
      <c r="S1254" s="192"/>
    </row>
    <row r="1255" spans="1:28" hidden="1">
      <c r="A1255" s="192"/>
      <c r="B1255" s="690" t="s">
        <v>366</v>
      </c>
      <c r="C1255" s="681"/>
      <c r="D1255" s="681"/>
      <c r="E1255" s="683"/>
      <c r="F1255" s="684"/>
      <c r="G1255" s="197"/>
      <c r="H1255" s="197"/>
      <c r="I1255" s="207"/>
      <c r="J1255" s="192"/>
      <c r="K1255" s="192"/>
      <c r="L1255" s="770"/>
      <c r="M1255" s="778"/>
      <c r="N1255" s="723">
        <f>IF($F$1244="",0,((Nutzung!$G$29+Regelung-1)+(($H$1245-Nutzung!$G$29)/4)-I1177)*J1177*$D$1244*$E$1244*$F$1244*24/($O$1167*1000))</f>
        <v>0</v>
      </c>
      <c r="O1255" s="192"/>
      <c r="P1255" s="192"/>
      <c r="Q1255" s="192"/>
      <c r="R1255" s="192"/>
      <c r="S1255" s="192"/>
    </row>
    <row r="1256" spans="1:28" hidden="1">
      <c r="A1256" s="192"/>
      <c r="B1256" s="690" t="s">
        <v>465</v>
      </c>
      <c r="C1256" s="681"/>
      <c r="D1256" s="681"/>
      <c r="E1256" s="683"/>
      <c r="F1256" s="684"/>
      <c r="G1256" s="197"/>
      <c r="H1256" s="197"/>
      <c r="I1256" s="207"/>
      <c r="J1256" s="192"/>
      <c r="K1256" s="192"/>
      <c r="L1256" s="770"/>
      <c r="M1256" s="778"/>
      <c r="N1256" s="723">
        <f>IF($F$1244="",0,((Nutzung!$G$29+Regelung-1)+(($H$1245-Nutzung!$G$29)/4)-I1178)*J1178*$D$1244*$E$1244*$F$1244*24/($O$1167*1000))</f>
        <v>0</v>
      </c>
      <c r="O1256" s="192"/>
      <c r="P1256" s="192"/>
      <c r="Q1256" s="192"/>
      <c r="R1256" s="192"/>
      <c r="S1256" s="192"/>
    </row>
    <row r="1257" spans="1:28" ht="10.95" customHeight="1">
      <c r="A1257" s="192"/>
      <c r="B1257" s="750"/>
      <c r="C1257" s="660"/>
      <c r="D1257" s="660"/>
      <c r="E1257" s="662"/>
      <c r="F1257" s="736"/>
      <c r="G1257" s="197"/>
      <c r="H1257" s="197"/>
      <c r="I1257" s="207"/>
      <c r="J1257" s="192"/>
      <c r="K1257" s="192"/>
      <c r="L1257" s="535" t="str">
        <f>IF(F1257="","",Nutzung!$G$29)</f>
        <v/>
      </c>
      <c r="M1257" s="768" t="str">
        <f>IF(D1257="","",AB1257)</f>
        <v/>
      </c>
      <c r="N1257" s="214">
        <f>IF(F1257=0,0,SUM(N1258:N1269))</f>
        <v>0</v>
      </c>
      <c r="O1257" s="215" t="str">
        <f>IF(N1257/$O$1370=0,"",N1257/$O$1370)</f>
        <v/>
      </c>
      <c r="P1257" s="192"/>
      <c r="Q1257" s="192"/>
      <c r="R1257" s="192"/>
      <c r="S1257" s="192"/>
      <c r="T1257" s="182">
        <f>D1257*E1257*F1257</f>
        <v>0</v>
      </c>
      <c r="U1257" s="182">
        <f>SUM(T1166:T1257)</f>
        <v>0</v>
      </c>
      <c r="AA1257" s="318">
        <f>IF(D1257="",0,1)</f>
        <v>0</v>
      </c>
      <c r="AB1257" s="318">
        <f>AB1244+AA1257</f>
        <v>0</v>
      </c>
    </row>
    <row r="1258" spans="1:28" hidden="1">
      <c r="A1258" s="192"/>
      <c r="B1258" s="691" t="s">
        <v>49</v>
      </c>
      <c r="C1258" s="14"/>
      <c r="D1258" s="717"/>
      <c r="E1258" s="692"/>
      <c r="F1258" s="719"/>
      <c r="G1258" s="197"/>
      <c r="H1258" s="197" t="str">
        <f>IF($L$1257&lt;Nutzung!$G$29,Nutzung!$G$29,$L$1257)</f>
        <v/>
      </c>
      <c r="I1258" s="207"/>
      <c r="J1258" s="192"/>
      <c r="K1258" s="246">
        <f>IF(L1257="",Nutzung!$G$29,Bauteile!L1257)</f>
        <v>0</v>
      </c>
      <c r="L1258" s="13"/>
      <c r="M1258" s="13"/>
      <c r="N1258" s="723">
        <f>IF($F$1257="",0,((Nutzung!$G$29+Regelung-1)+(($H$1258-Nutzung!$G$29)/4)-I1167)*J1167*$D$1257*$E$1257*$F$1257*24/($O$1167*1000))</f>
        <v>0</v>
      </c>
      <c r="O1258" s="192"/>
      <c r="P1258" s="192"/>
      <c r="Q1258" s="192"/>
      <c r="R1258" s="192"/>
      <c r="S1258" s="192"/>
    </row>
    <row r="1259" spans="1:28" hidden="1">
      <c r="A1259" s="192"/>
      <c r="B1259" s="691" t="s">
        <v>554</v>
      </c>
      <c r="C1259" s="717"/>
      <c r="D1259" s="717"/>
      <c r="E1259" s="692"/>
      <c r="F1259" s="719"/>
      <c r="G1259" s="197"/>
      <c r="H1259" s="197"/>
      <c r="I1259" s="207"/>
      <c r="J1259" s="192"/>
      <c r="K1259" s="192"/>
      <c r="L1259" s="13"/>
      <c r="M1259" s="13"/>
      <c r="N1259" s="723">
        <f>IF($F$1257="",0,((Nutzung!$G$29+Regelung-1)+(($H$1258-Nutzung!$G$29)/4)-I1168)*J1168*$D$1257*$E$1257*$F$1257*24/($O$1167*1000))</f>
        <v>0</v>
      </c>
      <c r="O1259" s="192"/>
      <c r="P1259" s="192"/>
      <c r="Q1259" s="192"/>
      <c r="R1259" s="192"/>
      <c r="S1259" s="192"/>
    </row>
    <row r="1260" spans="1:28" hidden="1">
      <c r="A1260" s="192"/>
      <c r="B1260" s="691" t="s">
        <v>306</v>
      </c>
      <c r="C1260" s="717"/>
      <c r="D1260" s="717"/>
      <c r="E1260" s="692"/>
      <c r="F1260" s="719"/>
      <c r="G1260" s="197"/>
      <c r="H1260" s="197"/>
      <c r="I1260" s="207"/>
      <c r="J1260" s="192"/>
      <c r="K1260" s="192"/>
      <c r="L1260" s="13"/>
      <c r="M1260" s="13"/>
      <c r="N1260" s="723">
        <f>IF($F$1257="",0,((Nutzung!$G$29+Regelung-1)+(($H$1258-Nutzung!$G$29)/4)-I1169)*J1169*$D$1257*$E$1257*$F$1257*24/($O$1167*1000))</f>
        <v>0</v>
      </c>
      <c r="O1260" s="192"/>
      <c r="P1260" s="192"/>
      <c r="Q1260" s="192"/>
      <c r="R1260" s="192"/>
      <c r="S1260" s="192"/>
    </row>
    <row r="1261" spans="1:28" hidden="1">
      <c r="A1261" s="192"/>
      <c r="B1261" s="691" t="s">
        <v>409</v>
      </c>
      <c r="C1261" s="717"/>
      <c r="D1261" s="717"/>
      <c r="E1261" s="692"/>
      <c r="F1261" s="719"/>
      <c r="G1261" s="197"/>
      <c r="H1261" s="197"/>
      <c r="I1261" s="207"/>
      <c r="J1261" s="192"/>
      <c r="K1261" s="192"/>
      <c r="L1261" s="13"/>
      <c r="M1261" s="13"/>
      <c r="N1261" s="723">
        <f>IF($F$1257="",0,((Nutzung!$G$29+Regelung-1)+(($H$1258-Nutzung!$G$29)/4)-I1170)*J1170*$D$1257*$E$1257*$F$1257*24/($O$1167*1000))</f>
        <v>0</v>
      </c>
      <c r="O1261" s="192"/>
      <c r="P1261" s="192"/>
      <c r="Q1261" s="192"/>
      <c r="R1261" s="192"/>
      <c r="S1261" s="192"/>
    </row>
    <row r="1262" spans="1:28" hidden="1">
      <c r="A1262" s="192"/>
      <c r="B1262" s="691" t="s">
        <v>410</v>
      </c>
      <c r="C1262" s="717"/>
      <c r="D1262" s="717"/>
      <c r="E1262" s="692"/>
      <c r="F1262" s="719"/>
      <c r="G1262" s="197"/>
      <c r="H1262" s="197"/>
      <c r="I1262" s="207"/>
      <c r="J1262" s="192"/>
      <c r="K1262" s="192"/>
      <c r="L1262" s="13"/>
      <c r="M1262" s="13"/>
      <c r="N1262" s="723">
        <f>IF($F$1257="",0,((Nutzung!$G$29+Regelung-1)+(($H$1258-Nutzung!$G$29)/4)-I1171)*J1171*$D$1257*$E$1257*$F$1257*24/($O$1167*1000))</f>
        <v>0</v>
      </c>
      <c r="O1262" s="192"/>
      <c r="P1262" s="192"/>
      <c r="Q1262" s="192"/>
      <c r="R1262" s="192"/>
      <c r="S1262" s="192"/>
    </row>
    <row r="1263" spans="1:28" hidden="1">
      <c r="A1263" s="192"/>
      <c r="B1263" s="691" t="s">
        <v>411</v>
      </c>
      <c r="C1263" s="717"/>
      <c r="D1263" s="717"/>
      <c r="E1263" s="692"/>
      <c r="F1263" s="719"/>
      <c r="G1263" s="197"/>
      <c r="H1263" s="197"/>
      <c r="I1263" s="207"/>
      <c r="J1263" s="192"/>
      <c r="K1263" s="192"/>
      <c r="L1263" s="13"/>
      <c r="M1263" s="13"/>
      <c r="N1263" s="723">
        <f>IF($F$1257="",0,((Nutzung!$G$29+Regelung-1)+(($H$1258-Nutzung!$G$29)/4)-I1172)*J1172*$D$1257*$E$1257*$F$1257*24/($O$1167*1000))</f>
        <v>0</v>
      </c>
      <c r="O1263" s="192"/>
      <c r="P1263" s="192"/>
      <c r="Q1263" s="192"/>
      <c r="R1263" s="192"/>
      <c r="S1263" s="192"/>
    </row>
    <row r="1264" spans="1:28" hidden="1">
      <c r="A1264" s="192"/>
      <c r="B1264" s="691" t="s">
        <v>221</v>
      </c>
      <c r="C1264" s="717"/>
      <c r="D1264" s="717"/>
      <c r="E1264" s="692"/>
      <c r="F1264" s="719"/>
      <c r="G1264" s="197"/>
      <c r="H1264" s="197"/>
      <c r="I1264" s="207"/>
      <c r="J1264" s="192"/>
      <c r="K1264" s="192"/>
      <c r="L1264" s="13"/>
      <c r="M1264" s="13"/>
      <c r="N1264" s="723">
        <f>IF($F$1257="",0,((Nutzung!$G$29+Regelung-1)+(($H$1258-Nutzung!$G$29)/4)-I1173)*J1173*$D$1257*$E$1257*$F$1257*24/($O$1167*1000))</f>
        <v>0</v>
      </c>
      <c r="O1264" s="192"/>
      <c r="P1264" s="192"/>
      <c r="Q1264" s="192"/>
      <c r="R1264" s="192"/>
      <c r="S1264" s="192"/>
    </row>
    <row r="1265" spans="1:38" hidden="1">
      <c r="A1265" s="192"/>
      <c r="B1265" s="691" t="s">
        <v>138</v>
      </c>
      <c r="C1265" s="717"/>
      <c r="D1265" s="717"/>
      <c r="E1265" s="692"/>
      <c r="F1265" s="719"/>
      <c r="G1265" s="197"/>
      <c r="H1265" s="197"/>
      <c r="I1265" s="207"/>
      <c r="J1265" s="192"/>
      <c r="K1265" s="192"/>
      <c r="L1265" s="13"/>
      <c r="M1265" s="13"/>
      <c r="N1265" s="723">
        <f>IF($F$1257="",0,((Nutzung!$G$29+Regelung-1)+(($H$1258-Nutzung!$G$29)/4)-I1174)*J1174*$D$1257*$E$1257*$F$1257*24/($O$1167*1000))</f>
        <v>0</v>
      </c>
      <c r="O1265" s="192"/>
      <c r="P1265" s="192"/>
      <c r="Q1265" s="192"/>
      <c r="R1265" s="192"/>
      <c r="S1265" s="192"/>
    </row>
    <row r="1266" spans="1:38" hidden="1">
      <c r="A1266" s="192"/>
      <c r="B1266" s="691" t="s">
        <v>139</v>
      </c>
      <c r="C1266" s="717"/>
      <c r="D1266" s="717"/>
      <c r="E1266" s="692"/>
      <c r="F1266" s="719"/>
      <c r="G1266" s="197"/>
      <c r="H1266" s="197"/>
      <c r="I1266" s="207"/>
      <c r="J1266" s="192"/>
      <c r="K1266" s="192"/>
      <c r="L1266" s="13"/>
      <c r="M1266" s="13"/>
      <c r="N1266" s="723">
        <f>IF($F$1257="",0,((Nutzung!$G$29+Regelung-1)+(($H$1258-Nutzung!$G$29)/4)-I1175)*J1175*$D$1257*$E$1257*$F$1257*24/($O$1167*1000))</f>
        <v>0</v>
      </c>
      <c r="O1266" s="192"/>
      <c r="P1266" s="192"/>
      <c r="Q1266" s="192"/>
      <c r="R1266" s="192"/>
      <c r="S1266" s="192"/>
    </row>
    <row r="1267" spans="1:38" hidden="1">
      <c r="A1267" s="192"/>
      <c r="B1267" s="691" t="s">
        <v>269</v>
      </c>
      <c r="C1267" s="717"/>
      <c r="D1267" s="717"/>
      <c r="E1267" s="692"/>
      <c r="F1267" s="719"/>
      <c r="G1267" s="197"/>
      <c r="H1267" s="197"/>
      <c r="I1267" s="207"/>
      <c r="J1267" s="192"/>
      <c r="K1267" s="192"/>
      <c r="L1267" s="13"/>
      <c r="M1267" s="13"/>
      <c r="N1267" s="723">
        <f>IF($F$1257="",0,((Nutzung!$G$29+Regelung-1)+(($H$1258-Nutzung!$G$29)/4)-I1176)*J1176*$D$1257*$E$1257*$F$1257*24/($O$1167*1000))</f>
        <v>0</v>
      </c>
      <c r="O1267" s="192"/>
      <c r="P1267" s="192"/>
      <c r="Q1267" s="192"/>
      <c r="R1267" s="192"/>
      <c r="S1267" s="192"/>
    </row>
    <row r="1268" spans="1:38" hidden="1">
      <c r="A1268" s="192"/>
      <c r="B1268" s="691" t="s">
        <v>366</v>
      </c>
      <c r="C1268" s="717"/>
      <c r="D1268" s="717"/>
      <c r="E1268" s="692"/>
      <c r="F1268" s="719"/>
      <c r="G1268" s="197"/>
      <c r="H1268" s="197"/>
      <c r="I1268" s="207"/>
      <c r="J1268" s="192"/>
      <c r="K1268" s="192"/>
      <c r="L1268" s="13"/>
      <c r="M1268" s="13"/>
      <c r="N1268" s="723">
        <f>IF($F$1257="",0,((Nutzung!$G$29+Regelung-1)+(($H$1258-Nutzung!$G$29)/4)-I1177)*J1177*$D$1257*$E$1257*$F$1257*24/($O$1167*1000))</f>
        <v>0</v>
      </c>
      <c r="O1268" s="192"/>
      <c r="P1268" s="192"/>
      <c r="Q1268" s="192"/>
      <c r="R1268" s="192"/>
      <c r="S1268" s="192"/>
    </row>
    <row r="1269" spans="1:38" hidden="1">
      <c r="A1269" s="192"/>
      <c r="B1269" s="691" t="s">
        <v>465</v>
      </c>
      <c r="C1269" s="717"/>
      <c r="D1269" s="717"/>
      <c r="E1269" s="692"/>
      <c r="F1269" s="719"/>
      <c r="G1269" s="197"/>
      <c r="H1269" s="197"/>
      <c r="I1269" s="207"/>
      <c r="J1269" s="192"/>
      <c r="K1269" s="192"/>
      <c r="L1269" s="13"/>
      <c r="M1269" s="13"/>
      <c r="N1269" s="723">
        <f>IF($F$1257="",0,((Nutzung!$G$29+Regelung-1)+(($H$1258-Nutzung!$G$29)/4)-I1178)*J1178*$D$1257*$E$1257*$F$1257*24/($O$1167*1000))</f>
        <v>0</v>
      </c>
      <c r="O1269" s="192"/>
      <c r="P1269" s="192"/>
      <c r="Q1269" s="192"/>
      <c r="R1269" s="192"/>
      <c r="S1269" s="192"/>
    </row>
    <row r="1270" spans="1:38">
      <c r="A1270" s="192"/>
      <c r="B1270" s="196"/>
      <c r="C1270" s="197"/>
      <c r="D1270" s="197"/>
      <c r="E1270" s="197"/>
      <c r="F1270" s="197"/>
      <c r="G1270" s="197"/>
      <c r="H1270" s="207"/>
      <c r="I1270" s="208"/>
      <c r="J1270" s="192"/>
      <c r="K1270" s="192"/>
      <c r="L1270" s="192"/>
      <c r="M1270" s="192"/>
      <c r="N1270" s="192"/>
      <c r="O1270" s="192"/>
      <c r="P1270" s="192"/>
      <c r="Q1270" s="192"/>
      <c r="R1270" s="192"/>
      <c r="S1270" s="192"/>
    </row>
    <row r="1271" spans="1:38" ht="12" customHeight="1">
      <c r="A1271" s="192"/>
      <c r="B1271" s="885" t="s">
        <v>327</v>
      </c>
      <c r="C1271" s="886" t="s">
        <v>424</v>
      </c>
      <c r="D1271" s="886" t="s">
        <v>119</v>
      </c>
      <c r="E1271" s="886" t="s">
        <v>464</v>
      </c>
      <c r="F1271" s="886" t="s">
        <v>496</v>
      </c>
      <c r="G1271" s="886" t="s">
        <v>521</v>
      </c>
      <c r="H1271" s="889"/>
      <c r="I1271" s="886"/>
      <c r="J1271" s="886"/>
      <c r="K1271" s="884"/>
      <c r="L1271" s="884"/>
      <c r="M1271" s="886" t="s">
        <v>349</v>
      </c>
      <c r="N1271" s="886" t="s">
        <v>166</v>
      </c>
      <c r="O1271" s="886" t="s">
        <v>520</v>
      </c>
      <c r="P1271" s="194"/>
      <c r="Q1271" s="194"/>
      <c r="R1271" s="192"/>
      <c r="S1271" s="192"/>
    </row>
    <row r="1272" spans="1:38" ht="12" customHeight="1">
      <c r="A1272" s="192"/>
      <c r="B1272" s="885"/>
      <c r="C1272" s="886"/>
      <c r="D1272" s="886" t="s">
        <v>552</v>
      </c>
      <c r="E1272" s="886" t="s">
        <v>181</v>
      </c>
      <c r="F1272" s="886" t="s">
        <v>372</v>
      </c>
      <c r="G1272" s="886"/>
      <c r="H1272" s="885"/>
      <c r="I1272" s="886"/>
      <c r="J1272" s="886"/>
      <c r="K1272" s="884"/>
      <c r="L1272" s="886"/>
      <c r="M1272" s="886"/>
      <c r="N1272" s="886" t="s">
        <v>621</v>
      </c>
      <c r="O1272" s="886"/>
      <c r="P1272" s="194"/>
      <c r="Q1272" s="194"/>
      <c r="R1272" s="192"/>
      <c r="S1272" s="192"/>
    </row>
    <row r="1273" spans="1:38" ht="4.95" customHeight="1">
      <c r="A1273" s="192"/>
      <c r="B1273" s="196"/>
      <c r="C1273" s="197"/>
      <c r="D1273" s="197"/>
      <c r="E1273" s="197"/>
      <c r="F1273" s="197"/>
      <c r="G1273" s="197"/>
      <c r="H1273" s="259"/>
      <c r="I1273" s="197"/>
      <c r="J1273" s="197"/>
      <c r="K1273" s="192"/>
      <c r="L1273" s="192"/>
      <c r="M1273" s="192"/>
      <c r="N1273" s="192"/>
      <c r="O1273" s="192"/>
      <c r="P1273" s="192"/>
      <c r="Q1273" s="192"/>
      <c r="R1273" s="192"/>
      <c r="S1273" s="192"/>
    </row>
    <row r="1274" spans="1:38" ht="10.95" customHeight="1">
      <c r="A1274" s="192"/>
      <c r="B1274" s="646"/>
      <c r="C1274" s="652"/>
      <c r="D1274" s="653"/>
      <c r="E1274" s="654"/>
      <c r="F1274" s="663"/>
      <c r="G1274" s="655"/>
      <c r="H1274" s="275"/>
      <c r="I1274" s="198"/>
      <c r="J1274" s="241"/>
      <c r="K1274" s="198"/>
      <c r="L1274" s="248"/>
      <c r="M1274" s="218" t="str">
        <f>IF(D1274="","",AB1274)</f>
        <v/>
      </c>
      <c r="N1274" s="214">
        <f>IF(F1274=0,0,SUM(N1275:N1286))</f>
        <v>0</v>
      </c>
      <c r="O1274" s="215" t="str">
        <f>IF(N1274/$O$1370=0,"",N1274/$O$1370)</f>
        <v/>
      </c>
      <c r="P1274" s="198"/>
      <c r="Q1274" s="198"/>
      <c r="R1274" s="198"/>
      <c r="S1274" s="192"/>
      <c r="T1274" s="182">
        <f>D1274*E1274*F1274</f>
        <v>0</v>
      </c>
      <c r="AA1274" s="318">
        <f>IF(D1274="",0,1)</f>
        <v>0</v>
      </c>
      <c r="AB1274" s="318">
        <f>AB1257+AA1274</f>
        <v>0</v>
      </c>
    </row>
    <row r="1275" spans="1:38" s="234" customFormat="1" ht="10.199999999999999" hidden="1">
      <c r="A1275" s="199"/>
      <c r="B1275" s="690" t="s">
        <v>49</v>
      </c>
      <c r="C1275" s="20"/>
      <c r="D1275" s="20"/>
      <c r="E1275" s="20"/>
      <c r="F1275" s="774"/>
      <c r="G1275" s="26"/>
      <c r="H1275" s="276"/>
      <c r="I1275" s="739">
        <f>Nutzung!$G$29</f>
        <v>0</v>
      </c>
      <c r="J1275" s="740">
        <f>Klima!$C136</f>
        <v>0</v>
      </c>
      <c r="K1275" s="739">
        <v>31</v>
      </c>
      <c r="L1275" s="248"/>
      <c r="M1275" s="783"/>
      <c r="N1275" s="269">
        <f t="shared" ref="N1275:N1286" si="48">($I$1275+Regelung-1-J1275)*K1275*$E$1274*$F$1274*$D$1274*24/($O$1275*1000)</f>
        <v>0</v>
      </c>
      <c r="O1275" s="264">
        <f>EBF!$F$39</f>
        <v>1.0000000000000001E-31</v>
      </c>
      <c r="P1275" s="201"/>
      <c r="Q1275" s="201"/>
      <c r="R1275" s="201"/>
      <c r="S1275" s="199"/>
      <c r="Z1275" s="321"/>
      <c r="AA1275" s="318"/>
      <c r="AB1275" s="321"/>
      <c r="AC1275" s="321"/>
      <c r="AD1275" s="321"/>
      <c r="AE1275" s="321"/>
      <c r="AF1275" s="321"/>
      <c r="AG1275" s="321"/>
      <c r="AH1275" s="321"/>
      <c r="AI1275" s="321"/>
      <c r="AJ1275" s="321"/>
      <c r="AK1275" s="321"/>
      <c r="AL1275" s="300"/>
    </row>
    <row r="1276" spans="1:38" s="234" customFormat="1" ht="10.199999999999999" hidden="1">
      <c r="A1276" s="199"/>
      <c r="B1276" s="690" t="s">
        <v>554</v>
      </c>
      <c r="C1276" s="20"/>
      <c r="D1276" s="20"/>
      <c r="E1276" s="20"/>
      <c r="F1276" s="689"/>
      <c r="G1276" s="26"/>
      <c r="H1276" s="276"/>
      <c r="I1276" s="739"/>
      <c r="J1276" s="740">
        <f>Klima!$C137</f>
        <v>0</v>
      </c>
      <c r="K1276" s="739">
        <v>28</v>
      </c>
      <c r="L1276" s="248"/>
      <c r="M1276" s="549"/>
      <c r="N1276" s="269">
        <f t="shared" si="48"/>
        <v>0</v>
      </c>
      <c r="O1276" s="253"/>
      <c r="P1276" s="201"/>
      <c r="Q1276" s="201"/>
      <c r="R1276" s="201"/>
      <c r="S1276" s="199"/>
      <c r="Z1276" s="321"/>
      <c r="AA1276" s="318"/>
      <c r="AB1276" s="321"/>
      <c r="AC1276" s="321"/>
      <c r="AD1276" s="321"/>
      <c r="AE1276" s="321"/>
      <c r="AF1276" s="321"/>
      <c r="AG1276" s="321"/>
      <c r="AH1276" s="321"/>
      <c r="AI1276" s="321"/>
      <c r="AJ1276" s="321"/>
      <c r="AK1276" s="321"/>
      <c r="AL1276" s="300"/>
    </row>
    <row r="1277" spans="1:38" s="234" customFormat="1" ht="10.199999999999999" hidden="1">
      <c r="A1277" s="199"/>
      <c r="B1277" s="690" t="s">
        <v>306</v>
      </c>
      <c r="C1277" s="20"/>
      <c r="D1277" s="20"/>
      <c r="E1277" s="20"/>
      <c r="F1277" s="689"/>
      <c r="G1277" s="26"/>
      <c r="H1277" s="276"/>
      <c r="I1277" s="739"/>
      <c r="J1277" s="740">
        <f>Klima!$C138</f>
        <v>0</v>
      </c>
      <c r="K1277" s="739">
        <v>31</v>
      </c>
      <c r="L1277" s="248"/>
      <c r="M1277" s="549"/>
      <c r="N1277" s="269">
        <f t="shared" si="48"/>
        <v>0</v>
      </c>
      <c r="O1277" s="253"/>
      <c r="P1277" s="201"/>
      <c r="Q1277" s="201"/>
      <c r="R1277" s="201"/>
      <c r="S1277" s="199"/>
      <c r="Z1277" s="321"/>
      <c r="AA1277" s="318"/>
      <c r="AB1277" s="321"/>
      <c r="AC1277" s="321"/>
      <c r="AD1277" s="321"/>
      <c r="AE1277" s="321"/>
      <c r="AF1277" s="321"/>
      <c r="AG1277" s="321"/>
      <c r="AH1277" s="321"/>
      <c r="AI1277" s="321"/>
      <c r="AJ1277" s="321"/>
      <c r="AK1277" s="321"/>
      <c r="AL1277" s="300"/>
    </row>
    <row r="1278" spans="1:38" s="234" customFormat="1" ht="10.199999999999999" hidden="1">
      <c r="A1278" s="199"/>
      <c r="B1278" s="690" t="s">
        <v>409</v>
      </c>
      <c r="C1278" s="20"/>
      <c r="D1278" s="20"/>
      <c r="E1278" s="20"/>
      <c r="F1278" s="689"/>
      <c r="G1278" s="26"/>
      <c r="H1278" s="276"/>
      <c r="I1278" s="739"/>
      <c r="J1278" s="740">
        <f>Klima!$C139</f>
        <v>0</v>
      </c>
      <c r="K1278" s="739">
        <v>30</v>
      </c>
      <c r="L1278" s="248"/>
      <c r="M1278" s="549"/>
      <c r="N1278" s="269">
        <f t="shared" si="48"/>
        <v>0</v>
      </c>
      <c r="O1278" s="253"/>
      <c r="P1278" s="201"/>
      <c r="Q1278" s="201"/>
      <c r="R1278" s="201"/>
      <c r="S1278" s="199"/>
      <c r="Z1278" s="321"/>
      <c r="AA1278" s="318"/>
      <c r="AB1278" s="321"/>
      <c r="AC1278" s="321"/>
      <c r="AD1278" s="321"/>
      <c r="AE1278" s="321"/>
      <c r="AF1278" s="321"/>
      <c r="AG1278" s="321"/>
      <c r="AH1278" s="321"/>
      <c r="AI1278" s="321"/>
      <c r="AJ1278" s="321"/>
      <c r="AK1278" s="321"/>
      <c r="AL1278" s="300"/>
    </row>
    <row r="1279" spans="1:38" s="234" customFormat="1" ht="10.199999999999999" hidden="1">
      <c r="A1279" s="199"/>
      <c r="B1279" s="690" t="s">
        <v>410</v>
      </c>
      <c r="C1279" s="20"/>
      <c r="D1279" s="20"/>
      <c r="E1279" s="20"/>
      <c r="F1279" s="689"/>
      <c r="G1279" s="26"/>
      <c r="H1279" s="276"/>
      <c r="I1279" s="739"/>
      <c r="J1279" s="740">
        <f>Klima!$C140</f>
        <v>0</v>
      </c>
      <c r="K1279" s="739">
        <v>31</v>
      </c>
      <c r="L1279" s="248"/>
      <c r="M1279" s="549"/>
      <c r="N1279" s="269">
        <f t="shared" si="48"/>
        <v>0</v>
      </c>
      <c r="O1279" s="253"/>
      <c r="P1279" s="201"/>
      <c r="Q1279" s="201"/>
      <c r="R1279" s="201"/>
      <c r="S1279" s="199"/>
      <c r="Z1279" s="321"/>
      <c r="AA1279" s="318"/>
      <c r="AB1279" s="321"/>
      <c r="AC1279" s="321"/>
      <c r="AD1279" s="321"/>
      <c r="AE1279" s="321"/>
      <c r="AF1279" s="321"/>
      <c r="AG1279" s="321"/>
      <c r="AH1279" s="321"/>
      <c r="AI1279" s="321"/>
      <c r="AJ1279" s="321"/>
      <c r="AK1279" s="321"/>
      <c r="AL1279" s="300"/>
    </row>
    <row r="1280" spans="1:38" s="234" customFormat="1" ht="10.199999999999999" hidden="1">
      <c r="A1280" s="199"/>
      <c r="B1280" s="690" t="s">
        <v>411</v>
      </c>
      <c r="C1280" s="20"/>
      <c r="D1280" s="20"/>
      <c r="E1280" s="20"/>
      <c r="F1280" s="689"/>
      <c r="G1280" s="26"/>
      <c r="H1280" s="276"/>
      <c r="I1280" s="739"/>
      <c r="J1280" s="740">
        <f>Klima!$C141</f>
        <v>0</v>
      </c>
      <c r="K1280" s="739">
        <v>30</v>
      </c>
      <c r="L1280" s="248"/>
      <c r="M1280" s="549"/>
      <c r="N1280" s="269">
        <f t="shared" si="48"/>
        <v>0</v>
      </c>
      <c r="O1280" s="253"/>
      <c r="P1280" s="201"/>
      <c r="Q1280" s="201"/>
      <c r="R1280" s="201"/>
      <c r="S1280" s="199"/>
      <c r="Z1280" s="321"/>
      <c r="AA1280" s="318"/>
      <c r="AB1280" s="321"/>
      <c r="AC1280" s="321"/>
      <c r="AD1280" s="321"/>
      <c r="AE1280" s="321"/>
      <c r="AF1280" s="321"/>
      <c r="AG1280" s="321"/>
      <c r="AH1280" s="321"/>
      <c r="AI1280" s="321"/>
      <c r="AJ1280" s="321"/>
      <c r="AK1280" s="321"/>
      <c r="AL1280" s="300"/>
    </row>
    <row r="1281" spans="1:38" s="234" customFormat="1" ht="10.199999999999999" hidden="1">
      <c r="A1281" s="199"/>
      <c r="B1281" s="690" t="s">
        <v>221</v>
      </c>
      <c r="C1281" s="20"/>
      <c r="D1281" s="20"/>
      <c r="E1281" s="20"/>
      <c r="F1281" s="689"/>
      <c r="G1281" s="26"/>
      <c r="H1281" s="276"/>
      <c r="I1281" s="739"/>
      <c r="J1281" s="740">
        <f>Klima!$C142</f>
        <v>0</v>
      </c>
      <c r="K1281" s="739">
        <v>31</v>
      </c>
      <c r="L1281" s="248"/>
      <c r="M1281" s="549"/>
      <c r="N1281" s="269">
        <f t="shared" si="48"/>
        <v>0</v>
      </c>
      <c r="O1281" s="253"/>
      <c r="P1281" s="201"/>
      <c r="Q1281" s="201"/>
      <c r="R1281" s="201"/>
      <c r="S1281" s="199"/>
      <c r="Z1281" s="321"/>
      <c r="AA1281" s="318"/>
      <c r="AB1281" s="321"/>
      <c r="AC1281" s="321"/>
      <c r="AD1281" s="321"/>
      <c r="AE1281" s="321"/>
      <c r="AF1281" s="321"/>
      <c r="AG1281" s="321"/>
      <c r="AH1281" s="321"/>
      <c r="AI1281" s="321"/>
      <c r="AJ1281" s="321"/>
      <c r="AK1281" s="321"/>
      <c r="AL1281" s="300"/>
    </row>
    <row r="1282" spans="1:38" s="234" customFormat="1" ht="10.199999999999999" hidden="1">
      <c r="A1282" s="199"/>
      <c r="B1282" s="690" t="s">
        <v>138</v>
      </c>
      <c r="C1282" s="20"/>
      <c r="D1282" s="20"/>
      <c r="E1282" s="20"/>
      <c r="F1282" s="689"/>
      <c r="G1282" s="26"/>
      <c r="H1282" s="276"/>
      <c r="I1282" s="739"/>
      <c r="J1282" s="740">
        <f>Klima!$C143</f>
        <v>0</v>
      </c>
      <c r="K1282" s="739">
        <v>31</v>
      </c>
      <c r="L1282" s="248"/>
      <c r="M1282" s="549"/>
      <c r="N1282" s="269">
        <f t="shared" si="48"/>
        <v>0</v>
      </c>
      <c r="O1282" s="253"/>
      <c r="P1282" s="201"/>
      <c r="Q1282" s="201"/>
      <c r="R1282" s="201"/>
      <c r="S1282" s="199"/>
      <c r="Z1282" s="321"/>
      <c r="AA1282" s="318"/>
      <c r="AB1282" s="321"/>
      <c r="AC1282" s="321"/>
      <c r="AD1282" s="321"/>
      <c r="AE1282" s="321"/>
      <c r="AF1282" s="321"/>
      <c r="AG1282" s="321"/>
      <c r="AH1282" s="321"/>
      <c r="AI1282" s="321"/>
      <c r="AJ1282" s="321"/>
      <c r="AK1282" s="321"/>
      <c r="AL1282" s="300"/>
    </row>
    <row r="1283" spans="1:38" s="234" customFormat="1" ht="10.199999999999999" hidden="1">
      <c r="A1283" s="199"/>
      <c r="B1283" s="690" t="s">
        <v>139</v>
      </c>
      <c r="C1283" s="20"/>
      <c r="D1283" s="20"/>
      <c r="E1283" s="20"/>
      <c r="F1283" s="689"/>
      <c r="G1283" s="26"/>
      <c r="H1283" s="276"/>
      <c r="I1283" s="739"/>
      <c r="J1283" s="740">
        <f>Klima!$C144</f>
        <v>0</v>
      </c>
      <c r="K1283" s="739">
        <v>30</v>
      </c>
      <c r="L1283" s="248"/>
      <c r="M1283" s="549"/>
      <c r="N1283" s="269">
        <f t="shared" si="48"/>
        <v>0</v>
      </c>
      <c r="O1283" s="253"/>
      <c r="P1283" s="201"/>
      <c r="Q1283" s="201"/>
      <c r="R1283" s="201"/>
      <c r="S1283" s="199"/>
      <c r="Z1283" s="321"/>
      <c r="AA1283" s="318"/>
      <c r="AB1283" s="321"/>
      <c r="AC1283" s="321"/>
      <c r="AD1283" s="321"/>
      <c r="AE1283" s="321"/>
      <c r="AF1283" s="321"/>
      <c r="AG1283" s="321"/>
      <c r="AH1283" s="321"/>
      <c r="AI1283" s="321"/>
      <c r="AJ1283" s="321"/>
      <c r="AK1283" s="321"/>
      <c r="AL1283" s="300"/>
    </row>
    <row r="1284" spans="1:38" s="234" customFormat="1" ht="10.199999999999999" hidden="1">
      <c r="A1284" s="199"/>
      <c r="B1284" s="690" t="s">
        <v>269</v>
      </c>
      <c r="C1284" s="20"/>
      <c r="D1284" s="20"/>
      <c r="E1284" s="20"/>
      <c r="F1284" s="689"/>
      <c r="G1284" s="26"/>
      <c r="H1284" s="276"/>
      <c r="I1284" s="739"/>
      <c r="J1284" s="740">
        <f>Klima!$C145</f>
        <v>0</v>
      </c>
      <c r="K1284" s="739">
        <v>31</v>
      </c>
      <c r="L1284" s="248"/>
      <c r="M1284" s="549"/>
      <c r="N1284" s="269">
        <f t="shared" si="48"/>
        <v>0</v>
      </c>
      <c r="O1284" s="253"/>
      <c r="P1284" s="201"/>
      <c r="Q1284" s="201"/>
      <c r="R1284" s="201"/>
      <c r="S1284" s="199"/>
      <c r="Z1284" s="321"/>
      <c r="AA1284" s="318"/>
      <c r="AB1284" s="321"/>
      <c r="AC1284" s="321"/>
      <c r="AD1284" s="321"/>
      <c r="AE1284" s="321"/>
      <c r="AF1284" s="321"/>
      <c r="AG1284" s="321"/>
      <c r="AH1284" s="321"/>
      <c r="AI1284" s="321"/>
      <c r="AJ1284" s="321"/>
      <c r="AK1284" s="321"/>
      <c r="AL1284" s="300"/>
    </row>
    <row r="1285" spans="1:38" s="234" customFormat="1" ht="10.199999999999999" hidden="1">
      <c r="A1285" s="199"/>
      <c r="B1285" s="690" t="s">
        <v>366</v>
      </c>
      <c r="C1285" s="20"/>
      <c r="D1285" s="20"/>
      <c r="E1285" s="20"/>
      <c r="F1285" s="689"/>
      <c r="G1285" s="26"/>
      <c r="H1285" s="276"/>
      <c r="I1285" s="739"/>
      <c r="J1285" s="740">
        <f>Klima!$C146</f>
        <v>0</v>
      </c>
      <c r="K1285" s="739">
        <v>30</v>
      </c>
      <c r="L1285" s="248"/>
      <c r="M1285" s="549"/>
      <c r="N1285" s="269">
        <f t="shared" si="48"/>
        <v>0</v>
      </c>
      <c r="O1285" s="253"/>
      <c r="P1285" s="201"/>
      <c r="Q1285" s="201"/>
      <c r="R1285" s="201"/>
      <c r="S1285" s="199"/>
      <c r="Z1285" s="321"/>
      <c r="AA1285" s="318"/>
      <c r="AB1285" s="321"/>
      <c r="AC1285" s="321"/>
      <c r="AD1285" s="321"/>
      <c r="AE1285" s="321"/>
      <c r="AF1285" s="321"/>
      <c r="AG1285" s="321"/>
      <c r="AH1285" s="321"/>
      <c r="AI1285" s="321"/>
      <c r="AJ1285" s="321"/>
      <c r="AK1285" s="321"/>
      <c r="AL1285" s="300"/>
    </row>
    <row r="1286" spans="1:38" s="234" customFormat="1" ht="10.199999999999999" hidden="1">
      <c r="A1286" s="199"/>
      <c r="B1286" s="690" t="s">
        <v>465</v>
      </c>
      <c r="C1286" s="20"/>
      <c r="D1286" s="20"/>
      <c r="E1286" s="20"/>
      <c r="F1286" s="689"/>
      <c r="G1286" s="26"/>
      <c r="H1286" s="276"/>
      <c r="I1286" s="739"/>
      <c r="J1286" s="740">
        <f>Klima!$C147</f>
        <v>0</v>
      </c>
      <c r="K1286" s="739">
        <v>31</v>
      </c>
      <c r="L1286" s="248"/>
      <c r="M1286" s="549"/>
      <c r="N1286" s="269">
        <f t="shared" si="48"/>
        <v>0</v>
      </c>
      <c r="O1286" s="253"/>
      <c r="P1286" s="201"/>
      <c r="Q1286" s="201"/>
      <c r="R1286" s="201"/>
      <c r="S1286" s="199"/>
      <c r="Z1286" s="321"/>
      <c r="AA1286" s="318"/>
      <c r="AB1286" s="321"/>
      <c r="AC1286" s="321"/>
      <c r="AD1286" s="321"/>
      <c r="AE1286" s="321"/>
      <c r="AF1286" s="321"/>
      <c r="AG1286" s="321"/>
      <c r="AH1286" s="321"/>
      <c r="AI1286" s="321"/>
      <c r="AJ1286" s="321"/>
      <c r="AK1286" s="321"/>
      <c r="AL1286" s="300"/>
    </row>
    <row r="1287" spans="1:38" ht="10.95" customHeight="1">
      <c r="A1287" s="192"/>
      <c r="B1287" s="648"/>
      <c r="C1287" s="656"/>
      <c r="D1287" s="657"/>
      <c r="E1287" s="658"/>
      <c r="F1287" s="664"/>
      <c r="G1287" s="659"/>
      <c r="H1287" s="275"/>
      <c r="I1287" s="198"/>
      <c r="J1287" s="241"/>
      <c r="K1287" s="198"/>
      <c r="L1287" s="248"/>
      <c r="M1287" s="760" t="str">
        <f>IF(D1287="","",AB1287)</f>
        <v/>
      </c>
      <c r="N1287" s="214">
        <f>IF(F1287=0,0,SUM(N1288:N1299))</f>
        <v>0</v>
      </c>
      <c r="O1287" s="215" t="str">
        <f>IF(N1287/$O$1370=0,"",N1287/$O$1370)</f>
        <v/>
      </c>
      <c r="P1287" s="198"/>
      <c r="Q1287" s="198"/>
      <c r="R1287" s="198"/>
      <c r="S1287" s="192"/>
      <c r="T1287" s="182">
        <f>D1287*E1287*F1287</f>
        <v>0</v>
      </c>
      <c r="AA1287" s="318">
        <f>IF(D1287="",0,1)</f>
        <v>0</v>
      </c>
      <c r="AB1287" s="318">
        <f>AB1274+AA1287</f>
        <v>0</v>
      </c>
    </row>
    <row r="1288" spans="1:38" hidden="1">
      <c r="A1288" s="192"/>
      <c r="B1288" s="47" t="s">
        <v>49</v>
      </c>
      <c r="C1288" s="14"/>
      <c r="D1288" s="681"/>
      <c r="E1288" s="745"/>
      <c r="F1288" s="774"/>
      <c r="G1288" s="681"/>
      <c r="H1288" s="266"/>
      <c r="I1288" s="739">
        <f>Nutzung!$G$29</f>
        <v>0</v>
      </c>
      <c r="J1288" s="192"/>
      <c r="K1288" s="198"/>
      <c r="L1288" s="248"/>
      <c r="M1288" s="783"/>
      <c r="N1288" s="270">
        <f t="shared" ref="N1288:N1299" si="49">($I$1288+Regelung-1-J1275)*K1275*$E$1287*$F$1287*$D$1287*24/($O$1275*1000)</f>
        <v>0</v>
      </c>
      <c r="O1288" s="252"/>
      <c r="P1288" s="192"/>
      <c r="Q1288" s="192"/>
      <c r="R1288" s="192"/>
      <c r="S1288" s="192"/>
    </row>
    <row r="1289" spans="1:38" hidden="1">
      <c r="A1289" s="192"/>
      <c r="B1289" s="47" t="s">
        <v>554</v>
      </c>
      <c r="C1289" s="26"/>
      <c r="D1289" s="26"/>
      <c r="E1289" s="26"/>
      <c r="F1289" s="689"/>
      <c r="G1289" s="681"/>
      <c r="H1289" s="266"/>
      <c r="I1289" s="264"/>
      <c r="J1289" s="192"/>
      <c r="K1289" s="198"/>
      <c r="L1289" s="248"/>
      <c r="M1289" s="549"/>
      <c r="N1289" s="270">
        <f t="shared" si="49"/>
        <v>0</v>
      </c>
      <c r="O1289" s="252"/>
      <c r="P1289" s="192"/>
      <c r="Q1289" s="192"/>
      <c r="R1289" s="192"/>
      <c r="S1289" s="192"/>
    </row>
    <row r="1290" spans="1:38" hidden="1">
      <c r="A1290" s="192"/>
      <c r="B1290" s="47" t="s">
        <v>306</v>
      </c>
      <c r="C1290" s="26"/>
      <c r="D1290" s="26"/>
      <c r="E1290" s="26"/>
      <c r="F1290" s="689"/>
      <c r="G1290" s="681"/>
      <c r="H1290" s="266"/>
      <c r="I1290" s="264"/>
      <c r="J1290" s="192"/>
      <c r="K1290" s="198"/>
      <c r="L1290" s="248"/>
      <c r="M1290" s="549"/>
      <c r="N1290" s="270">
        <f t="shared" si="49"/>
        <v>0</v>
      </c>
      <c r="O1290" s="252"/>
      <c r="P1290" s="192"/>
      <c r="Q1290" s="192"/>
      <c r="R1290" s="192"/>
      <c r="S1290" s="192"/>
    </row>
    <row r="1291" spans="1:38" hidden="1">
      <c r="A1291" s="192"/>
      <c r="B1291" s="47" t="s">
        <v>409</v>
      </c>
      <c r="C1291" s="26"/>
      <c r="D1291" s="26"/>
      <c r="E1291" s="26"/>
      <c r="F1291" s="689"/>
      <c r="G1291" s="681"/>
      <c r="H1291" s="266"/>
      <c r="I1291" s="264"/>
      <c r="J1291" s="192"/>
      <c r="K1291" s="198"/>
      <c r="L1291" s="248"/>
      <c r="M1291" s="549"/>
      <c r="N1291" s="270">
        <f t="shared" si="49"/>
        <v>0</v>
      </c>
      <c r="O1291" s="252"/>
      <c r="P1291" s="192"/>
      <c r="Q1291" s="192"/>
      <c r="R1291" s="192"/>
      <c r="S1291" s="192"/>
    </row>
    <row r="1292" spans="1:38" hidden="1">
      <c r="A1292" s="192"/>
      <c r="B1292" s="47" t="s">
        <v>410</v>
      </c>
      <c r="C1292" s="26"/>
      <c r="D1292" s="26"/>
      <c r="E1292" s="26"/>
      <c r="F1292" s="689"/>
      <c r="G1292" s="681"/>
      <c r="H1292" s="266"/>
      <c r="I1292" s="264"/>
      <c r="J1292" s="192"/>
      <c r="K1292" s="198"/>
      <c r="L1292" s="248"/>
      <c r="M1292" s="549"/>
      <c r="N1292" s="270">
        <f t="shared" si="49"/>
        <v>0</v>
      </c>
      <c r="O1292" s="252"/>
      <c r="P1292" s="192"/>
      <c r="Q1292" s="192"/>
      <c r="R1292" s="192"/>
      <c r="S1292" s="192"/>
    </row>
    <row r="1293" spans="1:38" hidden="1">
      <c r="A1293" s="192"/>
      <c r="B1293" s="47" t="s">
        <v>411</v>
      </c>
      <c r="C1293" s="26"/>
      <c r="D1293" s="26"/>
      <c r="E1293" s="26"/>
      <c r="F1293" s="689"/>
      <c r="G1293" s="681"/>
      <c r="H1293" s="266"/>
      <c r="I1293" s="264"/>
      <c r="J1293" s="192"/>
      <c r="K1293" s="198"/>
      <c r="L1293" s="248"/>
      <c r="M1293" s="549"/>
      <c r="N1293" s="270">
        <f t="shared" si="49"/>
        <v>0</v>
      </c>
      <c r="O1293" s="252"/>
      <c r="P1293" s="192"/>
      <c r="Q1293" s="192"/>
      <c r="R1293" s="192"/>
      <c r="S1293" s="192"/>
    </row>
    <row r="1294" spans="1:38" hidden="1">
      <c r="A1294" s="192"/>
      <c r="B1294" s="47" t="s">
        <v>221</v>
      </c>
      <c r="C1294" s="26"/>
      <c r="D1294" s="26"/>
      <c r="E1294" s="26"/>
      <c r="F1294" s="689"/>
      <c r="G1294" s="681"/>
      <c r="H1294" s="266"/>
      <c r="I1294" s="264"/>
      <c r="J1294" s="192"/>
      <c r="K1294" s="198"/>
      <c r="L1294" s="248"/>
      <c r="M1294" s="549"/>
      <c r="N1294" s="270">
        <f t="shared" si="49"/>
        <v>0</v>
      </c>
      <c r="O1294" s="252"/>
      <c r="P1294" s="192"/>
      <c r="Q1294" s="192"/>
      <c r="R1294" s="192"/>
      <c r="S1294" s="192"/>
    </row>
    <row r="1295" spans="1:38" hidden="1">
      <c r="A1295" s="192"/>
      <c r="B1295" s="47" t="s">
        <v>138</v>
      </c>
      <c r="C1295" s="26"/>
      <c r="D1295" s="26"/>
      <c r="E1295" s="26"/>
      <c r="F1295" s="689"/>
      <c r="G1295" s="681"/>
      <c r="H1295" s="266"/>
      <c r="I1295" s="264"/>
      <c r="J1295" s="192"/>
      <c r="K1295" s="198"/>
      <c r="L1295" s="248"/>
      <c r="M1295" s="549"/>
      <c r="N1295" s="270">
        <f t="shared" si="49"/>
        <v>0</v>
      </c>
      <c r="O1295" s="252"/>
      <c r="P1295" s="192"/>
      <c r="Q1295" s="192"/>
      <c r="R1295" s="192"/>
      <c r="S1295" s="192"/>
    </row>
    <row r="1296" spans="1:38" hidden="1">
      <c r="A1296" s="192"/>
      <c r="B1296" s="47" t="s">
        <v>139</v>
      </c>
      <c r="C1296" s="26"/>
      <c r="D1296" s="26"/>
      <c r="E1296" s="26"/>
      <c r="F1296" s="689"/>
      <c r="G1296" s="681"/>
      <c r="H1296" s="266"/>
      <c r="I1296" s="264"/>
      <c r="J1296" s="192"/>
      <c r="K1296" s="198"/>
      <c r="L1296" s="248"/>
      <c r="M1296" s="549"/>
      <c r="N1296" s="270">
        <f t="shared" si="49"/>
        <v>0</v>
      </c>
      <c r="O1296" s="252"/>
      <c r="P1296" s="192"/>
      <c r="Q1296" s="192"/>
      <c r="R1296" s="192"/>
      <c r="S1296" s="192"/>
    </row>
    <row r="1297" spans="1:28" hidden="1">
      <c r="A1297" s="192"/>
      <c r="B1297" s="47" t="s">
        <v>269</v>
      </c>
      <c r="C1297" s="26"/>
      <c r="D1297" s="26"/>
      <c r="E1297" s="26"/>
      <c r="F1297" s="689"/>
      <c r="G1297" s="681"/>
      <c r="H1297" s="266"/>
      <c r="I1297" s="264"/>
      <c r="J1297" s="192"/>
      <c r="K1297" s="198"/>
      <c r="L1297" s="248"/>
      <c r="M1297" s="549"/>
      <c r="N1297" s="270">
        <f t="shared" si="49"/>
        <v>0</v>
      </c>
      <c r="O1297" s="252"/>
      <c r="P1297" s="192"/>
      <c r="Q1297" s="192"/>
      <c r="R1297" s="192"/>
      <c r="S1297" s="192"/>
    </row>
    <row r="1298" spans="1:28" hidden="1">
      <c r="A1298" s="192"/>
      <c r="B1298" s="47" t="s">
        <v>366</v>
      </c>
      <c r="C1298" s="26"/>
      <c r="D1298" s="26"/>
      <c r="E1298" s="26"/>
      <c r="F1298" s="689"/>
      <c r="G1298" s="681"/>
      <c r="H1298" s="266"/>
      <c r="I1298" s="264"/>
      <c r="J1298" s="192"/>
      <c r="K1298" s="198"/>
      <c r="L1298" s="248"/>
      <c r="M1298" s="549"/>
      <c r="N1298" s="270">
        <f t="shared" si="49"/>
        <v>0</v>
      </c>
      <c r="O1298" s="252"/>
      <c r="P1298" s="192"/>
      <c r="Q1298" s="192"/>
      <c r="R1298" s="192"/>
      <c r="S1298" s="192"/>
    </row>
    <row r="1299" spans="1:28" hidden="1">
      <c r="A1299" s="192"/>
      <c r="B1299" s="47" t="s">
        <v>465</v>
      </c>
      <c r="C1299" s="26"/>
      <c r="D1299" s="26"/>
      <c r="E1299" s="26"/>
      <c r="F1299" s="689"/>
      <c r="G1299" s="681"/>
      <c r="H1299" s="266"/>
      <c r="I1299" s="264"/>
      <c r="J1299" s="192"/>
      <c r="K1299" s="198"/>
      <c r="L1299" s="248"/>
      <c r="M1299" s="549"/>
      <c r="N1299" s="270">
        <f t="shared" si="49"/>
        <v>0</v>
      </c>
      <c r="O1299" s="252"/>
      <c r="P1299" s="192"/>
      <c r="Q1299" s="192"/>
      <c r="R1299" s="192"/>
      <c r="S1299" s="192"/>
    </row>
    <row r="1300" spans="1:28" ht="10.95" customHeight="1">
      <c r="A1300" s="192"/>
      <c r="B1300" s="649"/>
      <c r="C1300" s="660"/>
      <c r="D1300" s="661"/>
      <c r="E1300" s="662"/>
      <c r="F1300" s="665"/>
      <c r="G1300" s="661"/>
      <c r="H1300" s="244"/>
      <c r="I1300" s="273"/>
      <c r="J1300" s="274"/>
      <c r="K1300" s="252"/>
      <c r="L1300" s="248"/>
      <c r="M1300" s="759" t="str">
        <f>IF(D1300="","",AB1300)</f>
        <v/>
      </c>
      <c r="N1300" s="214">
        <f>IF(F1300=0,0,SUM(N1301:N1312))</f>
        <v>0</v>
      </c>
      <c r="O1300" s="215" t="str">
        <f>IF(N1300/$O$1370=0,"",N1300/$O$1370)</f>
        <v/>
      </c>
      <c r="P1300" s="192"/>
      <c r="Q1300" s="192"/>
      <c r="R1300" s="192"/>
      <c r="S1300" s="192"/>
      <c r="T1300" s="182">
        <f>D1300*E1300*F1300</f>
        <v>0</v>
      </c>
      <c r="U1300" s="182">
        <f>SUM(T1274:T1300)</f>
        <v>0</v>
      </c>
      <c r="AA1300" s="318">
        <f>IF(D1300="",0,1)</f>
        <v>0</v>
      </c>
      <c r="AB1300" s="318">
        <f>AB1287+AA1300</f>
        <v>0</v>
      </c>
    </row>
    <row r="1301" spans="1:28" hidden="1">
      <c r="A1301" s="192"/>
      <c r="B1301" s="691" t="s">
        <v>49</v>
      </c>
      <c r="C1301" s="14"/>
      <c r="D1301" s="717"/>
      <c r="E1301" s="717"/>
      <c r="F1301" s="719"/>
      <c r="G1301" s="717"/>
      <c r="H1301" s="197"/>
      <c r="I1301" s="197">
        <f>Nutzung!$G$29</f>
        <v>0</v>
      </c>
      <c r="J1301" s="192"/>
      <c r="K1301" s="192"/>
      <c r="L1301" s="192"/>
      <c r="M1301" s="13"/>
      <c r="N1301" s="723">
        <f t="shared" ref="N1301:N1312" si="50">($I$1301+Regelung-1-J1275)*K1275*$E$1300*$F$1300*$D$1300*24/($O$1275*1000)</f>
        <v>0</v>
      </c>
      <c r="O1301" s="192"/>
      <c r="P1301" s="192"/>
      <c r="Q1301" s="192"/>
      <c r="R1301" s="192"/>
      <c r="S1301" s="192"/>
    </row>
    <row r="1302" spans="1:28" hidden="1">
      <c r="A1302" s="192"/>
      <c r="B1302" s="691" t="s">
        <v>554</v>
      </c>
      <c r="C1302" s="717"/>
      <c r="D1302" s="717"/>
      <c r="E1302" s="717"/>
      <c r="F1302" s="719"/>
      <c r="G1302" s="717"/>
      <c r="H1302" s="197"/>
      <c r="I1302" s="207"/>
      <c r="J1302" s="192"/>
      <c r="K1302" s="192"/>
      <c r="L1302" s="192"/>
      <c r="M1302" s="13"/>
      <c r="N1302" s="723">
        <f t="shared" si="50"/>
        <v>0</v>
      </c>
      <c r="O1302" s="192"/>
      <c r="P1302" s="192"/>
      <c r="Q1302" s="192"/>
      <c r="R1302" s="192"/>
      <c r="S1302" s="192"/>
    </row>
    <row r="1303" spans="1:28" hidden="1">
      <c r="A1303" s="192"/>
      <c r="B1303" s="691" t="s">
        <v>306</v>
      </c>
      <c r="C1303" s="717"/>
      <c r="D1303" s="717"/>
      <c r="E1303" s="717"/>
      <c r="F1303" s="719"/>
      <c r="G1303" s="717"/>
      <c r="H1303" s="197"/>
      <c r="I1303" s="207"/>
      <c r="J1303" s="192"/>
      <c r="K1303" s="192"/>
      <c r="L1303" s="192"/>
      <c r="M1303" s="13"/>
      <c r="N1303" s="723">
        <f t="shared" si="50"/>
        <v>0</v>
      </c>
      <c r="O1303" s="192"/>
      <c r="P1303" s="192"/>
      <c r="Q1303" s="192"/>
      <c r="R1303" s="192"/>
      <c r="S1303" s="192"/>
    </row>
    <row r="1304" spans="1:28" hidden="1">
      <c r="A1304" s="192"/>
      <c r="B1304" s="691" t="s">
        <v>409</v>
      </c>
      <c r="C1304" s="717"/>
      <c r="D1304" s="717"/>
      <c r="E1304" s="717"/>
      <c r="F1304" s="719"/>
      <c r="G1304" s="717"/>
      <c r="H1304" s="197"/>
      <c r="I1304" s="207"/>
      <c r="J1304" s="192"/>
      <c r="K1304" s="192"/>
      <c r="L1304" s="192"/>
      <c r="M1304" s="13"/>
      <c r="N1304" s="723">
        <f t="shared" si="50"/>
        <v>0</v>
      </c>
      <c r="O1304" s="192"/>
      <c r="P1304" s="192"/>
      <c r="Q1304" s="192"/>
      <c r="R1304" s="192"/>
      <c r="S1304" s="192"/>
    </row>
    <row r="1305" spans="1:28" hidden="1">
      <c r="A1305" s="192"/>
      <c r="B1305" s="691" t="s">
        <v>410</v>
      </c>
      <c r="C1305" s="717"/>
      <c r="D1305" s="717"/>
      <c r="E1305" s="717"/>
      <c r="F1305" s="719"/>
      <c r="G1305" s="717"/>
      <c r="H1305" s="197"/>
      <c r="I1305" s="207"/>
      <c r="J1305" s="192"/>
      <c r="K1305" s="192"/>
      <c r="L1305" s="192"/>
      <c r="M1305" s="13"/>
      <c r="N1305" s="723">
        <f t="shared" si="50"/>
        <v>0</v>
      </c>
      <c r="O1305" s="192"/>
      <c r="P1305" s="192"/>
      <c r="Q1305" s="192"/>
      <c r="R1305" s="192"/>
      <c r="S1305" s="192"/>
    </row>
    <row r="1306" spans="1:28" hidden="1">
      <c r="A1306" s="192"/>
      <c r="B1306" s="691" t="s">
        <v>411</v>
      </c>
      <c r="C1306" s="717"/>
      <c r="D1306" s="717"/>
      <c r="E1306" s="717"/>
      <c r="F1306" s="719"/>
      <c r="G1306" s="717"/>
      <c r="H1306" s="197"/>
      <c r="I1306" s="207"/>
      <c r="J1306" s="192"/>
      <c r="K1306" s="192"/>
      <c r="L1306" s="192"/>
      <c r="M1306" s="13"/>
      <c r="N1306" s="723">
        <f t="shared" si="50"/>
        <v>0</v>
      </c>
      <c r="O1306" s="192"/>
      <c r="P1306" s="192"/>
      <c r="Q1306" s="192"/>
      <c r="R1306" s="192"/>
      <c r="S1306" s="192"/>
    </row>
    <row r="1307" spans="1:28" hidden="1">
      <c r="A1307" s="192"/>
      <c r="B1307" s="691" t="s">
        <v>221</v>
      </c>
      <c r="C1307" s="717"/>
      <c r="D1307" s="717"/>
      <c r="E1307" s="717"/>
      <c r="F1307" s="719"/>
      <c r="G1307" s="717"/>
      <c r="H1307" s="197"/>
      <c r="I1307" s="207"/>
      <c r="J1307" s="192"/>
      <c r="K1307" s="192"/>
      <c r="L1307" s="192"/>
      <c r="M1307" s="13"/>
      <c r="N1307" s="723">
        <f t="shared" si="50"/>
        <v>0</v>
      </c>
      <c r="O1307" s="192"/>
      <c r="P1307" s="192"/>
      <c r="Q1307" s="192"/>
      <c r="R1307" s="192"/>
      <c r="S1307" s="192"/>
    </row>
    <row r="1308" spans="1:28" hidden="1">
      <c r="A1308" s="192"/>
      <c r="B1308" s="691" t="s">
        <v>138</v>
      </c>
      <c r="C1308" s="717"/>
      <c r="D1308" s="717"/>
      <c r="E1308" s="717"/>
      <c r="F1308" s="719"/>
      <c r="G1308" s="717"/>
      <c r="H1308" s="197"/>
      <c r="I1308" s="207"/>
      <c r="J1308" s="192"/>
      <c r="K1308" s="192"/>
      <c r="L1308" s="192"/>
      <c r="M1308" s="13"/>
      <c r="N1308" s="723">
        <f t="shared" si="50"/>
        <v>0</v>
      </c>
      <c r="O1308" s="192"/>
      <c r="P1308" s="192"/>
      <c r="Q1308" s="192"/>
      <c r="R1308" s="192"/>
      <c r="S1308" s="192"/>
    </row>
    <row r="1309" spans="1:28" hidden="1">
      <c r="A1309" s="192"/>
      <c r="B1309" s="691" t="s">
        <v>139</v>
      </c>
      <c r="C1309" s="717"/>
      <c r="D1309" s="717"/>
      <c r="E1309" s="717"/>
      <c r="F1309" s="719"/>
      <c r="G1309" s="717"/>
      <c r="H1309" s="197"/>
      <c r="I1309" s="207"/>
      <c r="J1309" s="192"/>
      <c r="K1309" s="192"/>
      <c r="L1309" s="192"/>
      <c r="M1309" s="13"/>
      <c r="N1309" s="723">
        <f t="shared" si="50"/>
        <v>0</v>
      </c>
      <c r="O1309" s="192"/>
      <c r="P1309" s="192"/>
      <c r="Q1309" s="192"/>
      <c r="R1309" s="192"/>
      <c r="S1309" s="192"/>
    </row>
    <row r="1310" spans="1:28" hidden="1">
      <c r="A1310" s="192"/>
      <c r="B1310" s="691" t="s">
        <v>269</v>
      </c>
      <c r="C1310" s="717"/>
      <c r="D1310" s="717"/>
      <c r="E1310" s="717"/>
      <c r="F1310" s="719"/>
      <c r="G1310" s="717"/>
      <c r="H1310" s="197"/>
      <c r="I1310" s="207"/>
      <c r="J1310" s="192"/>
      <c r="K1310" s="192"/>
      <c r="L1310" s="192"/>
      <c r="M1310" s="13"/>
      <c r="N1310" s="723">
        <f t="shared" si="50"/>
        <v>0</v>
      </c>
      <c r="O1310" s="192"/>
      <c r="P1310" s="192"/>
      <c r="Q1310" s="192"/>
      <c r="R1310" s="192"/>
      <c r="S1310" s="192"/>
    </row>
    <row r="1311" spans="1:28" hidden="1">
      <c r="A1311" s="192"/>
      <c r="B1311" s="691" t="s">
        <v>366</v>
      </c>
      <c r="C1311" s="717"/>
      <c r="D1311" s="717"/>
      <c r="E1311" s="717"/>
      <c r="F1311" s="719"/>
      <c r="G1311" s="717"/>
      <c r="H1311" s="197"/>
      <c r="I1311" s="207"/>
      <c r="J1311" s="192"/>
      <c r="K1311" s="192"/>
      <c r="L1311" s="192"/>
      <c r="M1311" s="13"/>
      <c r="N1311" s="723">
        <f t="shared" si="50"/>
        <v>0</v>
      </c>
      <c r="O1311" s="192"/>
      <c r="P1311" s="192"/>
      <c r="Q1311" s="192"/>
      <c r="R1311" s="192"/>
      <c r="S1311" s="192"/>
    </row>
    <row r="1312" spans="1:28" hidden="1">
      <c r="A1312" s="192"/>
      <c r="B1312" s="691" t="s">
        <v>465</v>
      </c>
      <c r="C1312" s="717"/>
      <c r="D1312" s="717"/>
      <c r="E1312" s="717"/>
      <c r="F1312" s="719"/>
      <c r="G1312" s="717"/>
      <c r="H1312" s="197"/>
      <c r="I1312" s="207"/>
      <c r="J1312" s="192"/>
      <c r="K1312" s="192"/>
      <c r="L1312" s="192"/>
      <c r="M1312" s="13"/>
      <c r="N1312" s="723">
        <f t="shared" si="50"/>
        <v>0</v>
      </c>
      <c r="O1312" s="192"/>
      <c r="P1312" s="192"/>
      <c r="Q1312" s="192"/>
      <c r="R1312" s="192"/>
      <c r="S1312" s="192"/>
    </row>
    <row r="1313" spans="1:38">
      <c r="A1313" s="192"/>
      <c r="B1313" s="196"/>
      <c r="C1313" s="197"/>
      <c r="D1313" s="197"/>
      <c r="E1313" s="197"/>
      <c r="F1313" s="197"/>
      <c r="G1313" s="197"/>
      <c r="H1313" s="207"/>
      <c r="I1313" s="208"/>
      <c r="J1313" s="192"/>
      <c r="K1313" s="192"/>
      <c r="L1313" s="192"/>
      <c r="M1313" s="192"/>
      <c r="N1313" s="192"/>
      <c r="O1313" s="192"/>
      <c r="P1313" s="192"/>
      <c r="Q1313" s="192"/>
      <c r="R1313" s="192"/>
      <c r="S1313" s="192"/>
    </row>
    <row r="1314" spans="1:38" ht="12" customHeight="1">
      <c r="A1314" s="192"/>
      <c r="B1314" s="885" t="s">
        <v>328</v>
      </c>
      <c r="C1314" s="886" t="s">
        <v>424</v>
      </c>
      <c r="D1314" s="886" t="s">
        <v>119</v>
      </c>
      <c r="E1314" s="886" t="s">
        <v>464</v>
      </c>
      <c r="F1314" s="886" t="s">
        <v>496</v>
      </c>
      <c r="G1314" s="886" t="s">
        <v>521</v>
      </c>
      <c r="H1314" s="885"/>
      <c r="I1314" s="886"/>
      <c r="J1314" s="886"/>
      <c r="K1314" s="884"/>
      <c r="L1314" s="886" t="s">
        <v>153</v>
      </c>
      <c r="M1314" s="886" t="s">
        <v>349</v>
      </c>
      <c r="N1314" s="886" t="s">
        <v>166</v>
      </c>
      <c r="O1314" s="886" t="s">
        <v>520</v>
      </c>
      <c r="P1314" s="194"/>
      <c r="Q1314" s="194"/>
      <c r="R1314" s="192"/>
      <c r="S1314" s="192"/>
    </row>
    <row r="1315" spans="1:38" ht="12" customHeight="1">
      <c r="A1315" s="192"/>
      <c r="B1315" s="885"/>
      <c r="C1315" s="886"/>
      <c r="D1315" s="886" t="s">
        <v>552</v>
      </c>
      <c r="E1315" s="886" t="s">
        <v>181</v>
      </c>
      <c r="F1315" s="886" t="s">
        <v>372</v>
      </c>
      <c r="G1315" s="886"/>
      <c r="H1315" s="885"/>
      <c r="I1315" s="886"/>
      <c r="J1315" s="886"/>
      <c r="K1315" s="884"/>
      <c r="L1315" s="886" t="s">
        <v>228</v>
      </c>
      <c r="M1315" s="886"/>
      <c r="N1315" s="886" t="s">
        <v>621</v>
      </c>
      <c r="O1315" s="886"/>
      <c r="P1315" s="194"/>
      <c r="Q1315" s="194"/>
      <c r="R1315" s="192"/>
      <c r="S1315" s="192"/>
    </row>
    <row r="1316" spans="1:38" ht="4.95" customHeight="1">
      <c r="A1316" s="192"/>
      <c r="B1316" s="196"/>
      <c r="C1316" s="197"/>
      <c r="D1316" s="197"/>
      <c r="E1316" s="197"/>
      <c r="F1316" s="197"/>
      <c r="G1316" s="197"/>
      <c r="H1316" s="195"/>
      <c r="I1316" s="197"/>
      <c r="J1316" s="197"/>
      <c r="K1316" s="192"/>
      <c r="L1316" s="192"/>
      <c r="M1316" s="192"/>
      <c r="N1316" s="192"/>
      <c r="O1316" s="192"/>
      <c r="P1316" s="192"/>
      <c r="Q1316" s="192"/>
      <c r="R1316" s="192"/>
      <c r="S1316" s="192"/>
    </row>
    <row r="1317" spans="1:38" ht="10.95" customHeight="1">
      <c r="A1317" s="192"/>
      <c r="B1317" s="646"/>
      <c r="C1317" s="652"/>
      <c r="D1317" s="653"/>
      <c r="E1317" s="654"/>
      <c r="F1317" s="663"/>
      <c r="G1317" s="655"/>
      <c r="H1317" s="210"/>
      <c r="I1317" s="198"/>
      <c r="J1317" s="241"/>
      <c r="K1317" s="211"/>
      <c r="L1317" s="219" t="str">
        <f>IF(F1317="","",Nutzung!$G$29)</f>
        <v/>
      </c>
      <c r="M1317" s="218" t="str">
        <f>IF(D1317="","",AB1317)</f>
        <v/>
      </c>
      <c r="N1317" s="214">
        <f>IF(F1317=0,0,SUM(N1318:N1329))</f>
        <v>0</v>
      </c>
      <c r="O1317" s="215" t="str">
        <f>IF(N1317/$O$1370=0,"",N1317/$O$1370)</f>
        <v/>
      </c>
      <c r="P1317" s="198"/>
      <c r="Q1317" s="198"/>
      <c r="R1317" s="198"/>
      <c r="S1317" s="192"/>
      <c r="T1317" s="182">
        <f>D1317*E1317*F1317</f>
        <v>0</v>
      </c>
      <c r="AA1317" s="318">
        <f>IF(D1317="",0,1)</f>
        <v>0</v>
      </c>
      <c r="AB1317" s="318">
        <f>AB1300+AA1317</f>
        <v>0</v>
      </c>
    </row>
    <row r="1318" spans="1:38" s="234" customFormat="1" ht="10.199999999999999" hidden="1">
      <c r="A1318" s="199"/>
      <c r="B1318" s="690" t="s">
        <v>49</v>
      </c>
      <c r="C1318" s="20"/>
      <c r="D1318" s="20"/>
      <c r="E1318" s="20"/>
      <c r="F1318" s="774"/>
      <c r="G1318" s="754"/>
      <c r="H1318" s="773" t="str">
        <f>IF($L$1317&lt;Nutzung!$G$29,Nutzung!$G$29,$L$1317)</f>
        <v/>
      </c>
      <c r="I1318" s="740">
        <f>Klima!$C136</f>
        <v>0</v>
      </c>
      <c r="J1318" s="739">
        <v>31</v>
      </c>
      <c r="K1318" s="265">
        <f>IF(L1317="",Nutzung!$G$29,Bauteile!L1317)</f>
        <v>0</v>
      </c>
      <c r="L1318" s="223"/>
      <c r="M1318" s="777"/>
      <c r="N1318" s="269">
        <f>IF($F$1317="",0,((Nutzung!$G$29+Regelung-1)+(($H$1318-Nutzung!$G$29)/2)-I1318)*J1318*$D$1317*$E$1317*$F$1317*24/($O$1318*1000))</f>
        <v>0</v>
      </c>
      <c r="O1318" s="268">
        <f>EBF!$F$39</f>
        <v>1.0000000000000001E-31</v>
      </c>
      <c r="P1318" s="201"/>
      <c r="Q1318" s="201"/>
      <c r="R1318" s="201"/>
      <c r="S1318" s="199"/>
      <c r="Z1318" s="321"/>
      <c r="AA1318" s="318"/>
      <c r="AB1318" s="321"/>
      <c r="AC1318" s="321"/>
      <c r="AD1318" s="321"/>
      <c r="AE1318" s="321"/>
      <c r="AF1318" s="321"/>
      <c r="AG1318" s="321"/>
      <c r="AH1318" s="321"/>
      <c r="AI1318" s="321"/>
      <c r="AJ1318" s="321"/>
      <c r="AK1318" s="321"/>
      <c r="AL1318" s="300"/>
    </row>
    <row r="1319" spans="1:38" s="234" customFormat="1" ht="10.199999999999999" hidden="1">
      <c r="A1319" s="199"/>
      <c r="B1319" s="690" t="s">
        <v>554</v>
      </c>
      <c r="C1319" s="20"/>
      <c r="D1319" s="20"/>
      <c r="E1319" s="20"/>
      <c r="F1319" s="689"/>
      <c r="G1319" s="755"/>
      <c r="H1319" s="773"/>
      <c r="I1319" s="740">
        <f>Klima!$C137</f>
        <v>0</v>
      </c>
      <c r="J1319" s="739">
        <v>28</v>
      </c>
      <c r="K1319" s="212"/>
      <c r="L1319" s="223"/>
      <c r="M1319" s="778"/>
      <c r="N1319" s="269">
        <f>IF($F$1317="",0,((Nutzung!$G$29+Regelung-1)+(($H$1318-Nutzung!$G$29)/2)-I1319)*J1319*$D$1317*$E$1317*$F$1317*24/($O$1318*1000))</f>
        <v>0</v>
      </c>
      <c r="O1319" s="253"/>
      <c r="P1319" s="201"/>
      <c r="Q1319" s="201"/>
      <c r="R1319" s="201"/>
      <c r="S1319" s="199"/>
      <c r="Z1319" s="321"/>
      <c r="AA1319" s="318"/>
      <c r="AB1319" s="321"/>
      <c r="AC1319" s="321"/>
      <c r="AD1319" s="321"/>
      <c r="AE1319" s="321"/>
      <c r="AF1319" s="321"/>
      <c r="AG1319" s="321"/>
      <c r="AH1319" s="321"/>
      <c r="AI1319" s="321"/>
      <c r="AJ1319" s="321"/>
      <c r="AK1319" s="321"/>
      <c r="AL1319" s="300"/>
    </row>
    <row r="1320" spans="1:38" s="234" customFormat="1" ht="10.199999999999999" hidden="1">
      <c r="A1320" s="199"/>
      <c r="B1320" s="690" t="s">
        <v>306</v>
      </c>
      <c r="C1320" s="20"/>
      <c r="D1320" s="20"/>
      <c r="E1320" s="20"/>
      <c r="F1320" s="689"/>
      <c r="G1320" s="755"/>
      <c r="H1320" s="773"/>
      <c r="I1320" s="740">
        <f>Klima!$C138</f>
        <v>0</v>
      </c>
      <c r="J1320" s="739">
        <v>31</v>
      </c>
      <c r="K1320" s="212"/>
      <c r="L1320" s="223"/>
      <c r="M1320" s="778"/>
      <c r="N1320" s="269">
        <f>IF($F$1317="",0,((Nutzung!$G$29+Regelung-1)+(($H$1318-Nutzung!$G$29)/2)-I1320)*J1320*$D$1317*$E$1317*$F$1317*24/($O$1318*1000))</f>
        <v>0</v>
      </c>
      <c r="O1320" s="253"/>
      <c r="P1320" s="201"/>
      <c r="Q1320" s="201"/>
      <c r="R1320" s="201"/>
      <c r="S1320" s="199"/>
      <c r="Z1320" s="321"/>
      <c r="AA1320" s="318"/>
      <c r="AB1320" s="321"/>
      <c r="AC1320" s="321"/>
      <c r="AD1320" s="321"/>
      <c r="AE1320" s="321"/>
      <c r="AF1320" s="321"/>
      <c r="AG1320" s="321"/>
      <c r="AH1320" s="321"/>
      <c r="AI1320" s="321"/>
      <c r="AJ1320" s="321"/>
      <c r="AK1320" s="321"/>
      <c r="AL1320" s="300"/>
    </row>
    <row r="1321" spans="1:38" s="234" customFormat="1" ht="10.199999999999999" hidden="1">
      <c r="A1321" s="199"/>
      <c r="B1321" s="690" t="s">
        <v>409</v>
      </c>
      <c r="C1321" s="20"/>
      <c r="D1321" s="20"/>
      <c r="E1321" s="20"/>
      <c r="F1321" s="689"/>
      <c r="G1321" s="755"/>
      <c r="H1321" s="773"/>
      <c r="I1321" s="740">
        <f>Klima!$C139</f>
        <v>0</v>
      </c>
      <c r="J1321" s="739">
        <v>30</v>
      </c>
      <c r="K1321" s="212"/>
      <c r="L1321" s="223"/>
      <c r="M1321" s="778"/>
      <c r="N1321" s="269">
        <f>IF($F$1317="",0,((Nutzung!$G$29+Regelung-1)+(($H$1318-Nutzung!$G$29)/2)-I1321)*J1321*$D$1317*$E$1317*$F$1317*24/($O$1318*1000))</f>
        <v>0</v>
      </c>
      <c r="O1321" s="253"/>
      <c r="P1321" s="201"/>
      <c r="Q1321" s="201"/>
      <c r="R1321" s="201"/>
      <c r="S1321" s="199"/>
      <c r="Z1321" s="321"/>
      <c r="AA1321" s="318"/>
      <c r="AB1321" s="321"/>
      <c r="AC1321" s="321"/>
      <c r="AD1321" s="321"/>
      <c r="AE1321" s="321"/>
      <c r="AF1321" s="321"/>
      <c r="AG1321" s="321"/>
      <c r="AH1321" s="321"/>
      <c r="AI1321" s="321"/>
      <c r="AJ1321" s="321"/>
      <c r="AK1321" s="321"/>
      <c r="AL1321" s="300"/>
    </row>
    <row r="1322" spans="1:38" s="234" customFormat="1" ht="10.199999999999999" hidden="1">
      <c r="A1322" s="199"/>
      <c r="B1322" s="690" t="s">
        <v>410</v>
      </c>
      <c r="C1322" s="20"/>
      <c r="D1322" s="20"/>
      <c r="E1322" s="20"/>
      <c r="F1322" s="689"/>
      <c r="G1322" s="755"/>
      <c r="H1322" s="773"/>
      <c r="I1322" s="740">
        <f>Klima!$C140</f>
        <v>0</v>
      </c>
      <c r="J1322" s="739">
        <v>31</v>
      </c>
      <c r="K1322" s="212"/>
      <c r="L1322" s="223"/>
      <c r="M1322" s="778"/>
      <c r="N1322" s="269">
        <f>IF($F$1317="",0,((Nutzung!$G$29+Regelung-1)+(($H$1318-Nutzung!$G$29)/2)-I1322)*J1322*$D$1317*$E$1317*$F$1317*24/($O$1318*1000))</f>
        <v>0</v>
      </c>
      <c r="O1322" s="253"/>
      <c r="P1322" s="201"/>
      <c r="Q1322" s="201"/>
      <c r="R1322" s="201"/>
      <c r="S1322" s="199"/>
      <c r="Z1322" s="321"/>
      <c r="AA1322" s="318"/>
      <c r="AB1322" s="321"/>
      <c r="AC1322" s="321"/>
      <c r="AD1322" s="321"/>
      <c r="AE1322" s="321"/>
      <c r="AF1322" s="321"/>
      <c r="AG1322" s="321"/>
      <c r="AH1322" s="321"/>
      <c r="AI1322" s="321"/>
      <c r="AJ1322" s="321"/>
      <c r="AK1322" s="321"/>
      <c r="AL1322" s="300"/>
    </row>
    <row r="1323" spans="1:38" s="234" customFormat="1" ht="10.199999999999999" hidden="1">
      <c r="A1323" s="199"/>
      <c r="B1323" s="690" t="s">
        <v>411</v>
      </c>
      <c r="C1323" s="20"/>
      <c r="D1323" s="20"/>
      <c r="E1323" s="20"/>
      <c r="F1323" s="689"/>
      <c r="G1323" s="755"/>
      <c r="H1323" s="773"/>
      <c r="I1323" s="740">
        <f>Klima!$C141</f>
        <v>0</v>
      </c>
      <c r="J1323" s="739">
        <v>30</v>
      </c>
      <c r="K1323" s="212"/>
      <c r="L1323" s="223"/>
      <c r="M1323" s="778"/>
      <c r="N1323" s="269">
        <f>IF($F$1317="",0,((Nutzung!$G$29+Regelung-1)+(($H$1318-Nutzung!$G$29)/2)-I1323)*J1323*$D$1317*$E$1317*$F$1317*24/($O$1318*1000))</f>
        <v>0</v>
      </c>
      <c r="O1323" s="253"/>
      <c r="P1323" s="201"/>
      <c r="Q1323" s="201"/>
      <c r="R1323" s="201"/>
      <c r="S1323" s="199"/>
      <c r="Z1323" s="321"/>
      <c r="AA1323" s="318"/>
      <c r="AB1323" s="321"/>
      <c r="AC1323" s="321"/>
      <c r="AD1323" s="321"/>
      <c r="AE1323" s="321"/>
      <c r="AF1323" s="321"/>
      <c r="AG1323" s="321"/>
      <c r="AH1323" s="321"/>
      <c r="AI1323" s="321"/>
      <c r="AJ1323" s="321"/>
      <c r="AK1323" s="321"/>
      <c r="AL1323" s="300"/>
    </row>
    <row r="1324" spans="1:38" s="234" customFormat="1" ht="10.199999999999999" hidden="1">
      <c r="A1324" s="199"/>
      <c r="B1324" s="690" t="s">
        <v>221</v>
      </c>
      <c r="C1324" s="20"/>
      <c r="D1324" s="20"/>
      <c r="E1324" s="20"/>
      <c r="F1324" s="689"/>
      <c r="G1324" s="755"/>
      <c r="H1324" s="773"/>
      <c r="I1324" s="740">
        <f>Klima!$C142</f>
        <v>0</v>
      </c>
      <c r="J1324" s="739">
        <v>31</v>
      </c>
      <c r="K1324" s="212"/>
      <c r="L1324" s="223"/>
      <c r="M1324" s="778"/>
      <c r="N1324" s="269">
        <f>IF($F$1317="",0,((Nutzung!$G$29+Regelung-1)+(($H$1318-Nutzung!$G$29)/2)-I1324)*J1324*$D$1317*$E$1317*$F$1317*24/($O$1318*1000))</f>
        <v>0</v>
      </c>
      <c r="O1324" s="253"/>
      <c r="P1324" s="201"/>
      <c r="Q1324" s="201"/>
      <c r="R1324" s="201"/>
      <c r="S1324" s="199"/>
      <c r="Z1324" s="321"/>
      <c r="AA1324" s="318"/>
      <c r="AB1324" s="321"/>
      <c r="AC1324" s="321"/>
      <c r="AD1324" s="321"/>
      <c r="AE1324" s="321"/>
      <c r="AF1324" s="321"/>
      <c r="AG1324" s="321"/>
      <c r="AH1324" s="321"/>
      <c r="AI1324" s="321"/>
      <c r="AJ1324" s="321"/>
      <c r="AK1324" s="321"/>
      <c r="AL1324" s="300"/>
    </row>
    <row r="1325" spans="1:38" s="234" customFormat="1" ht="10.199999999999999" hidden="1">
      <c r="A1325" s="199"/>
      <c r="B1325" s="690" t="s">
        <v>138</v>
      </c>
      <c r="C1325" s="20"/>
      <c r="D1325" s="20"/>
      <c r="E1325" s="20"/>
      <c r="F1325" s="689"/>
      <c r="G1325" s="755"/>
      <c r="H1325" s="773"/>
      <c r="I1325" s="740">
        <f>Klima!$C143</f>
        <v>0</v>
      </c>
      <c r="J1325" s="739">
        <v>31</v>
      </c>
      <c r="K1325" s="212"/>
      <c r="L1325" s="223"/>
      <c r="M1325" s="778"/>
      <c r="N1325" s="269">
        <f>IF($F$1317="",0,((Nutzung!$G$29+Regelung-1)+(($H$1318-Nutzung!$G$29)/2)-I1325)*J1325*$D$1317*$E$1317*$F$1317*24/($O$1318*1000))</f>
        <v>0</v>
      </c>
      <c r="O1325" s="253"/>
      <c r="P1325" s="201"/>
      <c r="Q1325" s="201"/>
      <c r="R1325" s="201"/>
      <c r="S1325" s="199"/>
      <c r="Z1325" s="321"/>
      <c r="AA1325" s="318"/>
      <c r="AB1325" s="321"/>
      <c r="AC1325" s="321"/>
      <c r="AD1325" s="321"/>
      <c r="AE1325" s="321"/>
      <c r="AF1325" s="321"/>
      <c r="AG1325" s="321"/>
      <c r="AH1325" s="321"/>
      <c r="AI1325" s="321"/>
      <c r="AJ1325" s="321"/>
      <c r="AK1325" s="321"/>
      <c r="AL1325" s="300"/>
    </row>
    <row r="1326" spans="1:38" s="234" customFormat="1" ht="10.199999999999999" hidden="1">
      <c r="A1326" s="199"/>
      <c r="B1326" s="690" t="s">
        <v>139</v>
      </c>
      <c r="C1326" s="20"/>
      <c r="D1326" s="20"/>
      <c r="E1326" s="20"/>
      <c r="F1326" s="689"/>
      <c r="G1326" s="755"/>
      <c r="H1326" s="773"/>
      <c r="I1326" s="740">
        <f>Klima!$C144</f>
        <v>0</v>
      </c>
      <c r="J1326" s="739">
        <v>30</v>
      </c>
      <c r="K1326" s="212"/>
      <c r="L1326" s="223"/>
      <c r="M1326" s="778"/>
      <c r="N1326" s="269">
        <f>IF($F$1317="",0,((Nutzung!$G$29+Regelung-1)+(($H$1318-Nutzung!$G$29)/2)-I1326)*J1326*$D$1317*$E$1317*$F$1317*24/($O$1318*1000))</f>
        <v>0</v>
      </c>
      <c r="O1326" s="253"/>
      <c r="P1326" s="201"/>
      <c r="Q1326" s="201"/>
      <c r="R1326" s="201"/>
      <c r="S1326" s="199"/>
      <c r="Z1326" s="321"/>
      <c r="AA1326" s="318"/>
      <c r="AB1326" s="321"/>
      <c r="AC1326" s="321"/>
      <c r="AD1326" s="321"/>
      <c r="AE1326" s="321"/>
      <c r="AF1326" s="321"/>
      <c r="AG1326" s="321"/>
      <c r="AH1326" s="321"/>
      <c r="AI1326" s="321"/>
      <c r="AJ1326" s="321"/>
      <c r="AK1326" s="321"/>
      <c r="AL1326" s="300"/>
    </row>
    <row r="1327" spans="1:38" s="234" customFormat="1" ht="10.199999999999999" hidden="1">
      <c r="A1327" s="199"/>
      <c r="B1327" s="690" t="s">
        <v>269</v>
      </c>
      <c r="C1327" s="20"/>
      <c r="D1327" s="20"/>
      <c r="E1327" s="20"/>
      <c r="F1327" s="689"/>
      <c r="G1327" s="755"/>
      <c r="H1327" s="773"/>
      <c r="I1327" s="740">
        <f>Klima!$C145</f>
        <v>0</v>
      </c>
      <c r="J1327" s="739">
        <v>31</v>
      </c>
      <c r="K1327" s="212"/>
      <c r="L1327" s="223"/>
      <c r="M1327" s="778"/>
      <c r="N1327" s="269">
        <f>IF($F$1317="",0,((Nutzung!$G$29+Regelung-1)+(($H$1318-Nutzung!$G$29)/2)-I1327)*J1327*$D$1317*$E$1317*$F$1317*24/($O$1318*1000))</f>
        <v>0</v>
      </c>
      <c r="O1327" s="253"/>
      <c r="P1327" s="201"/>
      <c r="Q1327" s="201"/>
      <c r="R1327" s="201"/>
      <c r="S1327" s="199"/>
      <c r="Z1327" s="321"/>
      <c r="AA1327" s="318"/>
      <c r="AB1327" s="321"/>
      <c r="AC1327" s="321"/>
      <c r="AD1327" s="321"/>
      <c r="AE1327" s="321"/>
      <c r="AF1327" s="321"/>
      <c r="AG1327" s="321"/>
      <c r="AH1327" s="321"/>
      <c r="AI1327" s="321"/>
      <c r="AJ1327" s="321"/>
      <c r="AK1327" s="321"/>
      <c r="AL1327" s="300"/>
    </row>
    <row r="1328" spans="1:38" s="234" customFormat="1" ht="10.199999999999999" hidden="1">
      <c r="A1328" s="199"/>
      <c r="B1328" s="690" t="s">
        <v>366</v>
      </c>
      <c r="C1328" s="20"/>
      <c r="D1328" s="20"/>
      <c r="E1328" s="20"/>
      <c r="F1328" s="689"/>
      <c r="G1328" s="755"/>
      <c r="H1328" s="773"/>
      <c r="I1328" s="740">
        <f>Klima!$C146</f>
        <v>0</v>
      </c>
      <c r="J1328" s="739">
        <v>30</v>
      </c>
      <c r="K1328" s="212"/>
      <c r="L1328" s="223"/>
      <c r="M1328" s="778"/>
      <c r="N1328" s="269">
        <f>IF($F$1317="",0,((Nutzung!$G$29+Regelung-1)+(($H$1318-Nutzung!$G$29)/2)-I1328)*J1328*$D$1317*$E$1317*$F$1317*24/($O$1318*1000))</f>
        <v>0</v>
      </c>
      <c r="O1328" s="253"/>
      <c r="P1328" s="201"/>
      <c r="Q1328" s="201"/>
      <c r="R1328" s="201"/>
      <c r="S1328" s="199"/>
      <c r="Z1328" s="321"/>
      <c r="AA1328" s="318"/>
      <c r="AB1328" s="321"/>
      <c r="AC1328" s="321"/>
      <c r="AD1328" s="321"/>
      <c r="AE1328" s="321"/>
      <c r="AF1328" s="321"/>
      <c r="AG1328" s="321"/>
      <c r="AH1328" s="321"/>
      <c r="AI1328" s="321"/>
      <c r="AJ1328" s="321"/>
      <c r="AK1328" s="321"/>
      <c r="AL1328" s="300"/>
    </row>
    <row r="1329" spans="1:38" s="234" customFormat="1" ht="10.199999999999999" hidden="1">
      <c r="A1329" s="199"/>
      <c r="B1329" s="690" t="s">
        <v>465</v>
      </c>
      <c r="C1329" s="20"/>
      <c r="D1329" s="20"/>
      <c r="E1329" s="20"/>
      <c r="F1329" s="689"/>
      <c r="G1329" s="755"/>
      <c r="H1329" s="773"/>
      <c r="I1329" s="740">
        <f>Klima!$C147</f>
        <v>0</v>
      </c>
      <c r="J1329" s="739">
        <v>31</v>
      </c>
      <c r="K1329" s="212"/>
      <c r="L1329" s="223"/>
      <c r="M1329" s="778"/>
      <c r="N1329" s="269">
        <f>IF($F$1317="",0,((Nutzung!$G$29+Regelung-1)+(($H$1318-Nutzung!$G$29)/2)-I1329)*J1329*$D$1317*$E$1317*$F$1317*24/($O$1318*1000))</f>
        <v>0</v>
      </c>
      <c r="O1329" s="253"/>
      <c r="P1329" s="201"/>
      <c r="Q1329" s="201"/>
      <c r="R1329" s="201"/>
      <c r="S1329" s="199"/>
      <c r="Z1329" s="321"/>
      <c r="AA1329" s="318"/>
      <c r="AB1329" s="321"/>
      <c r="AC1329" s="321"/>
      <c r="AD1329" s="321"/>
      <c r="AE1329" s="321"/>
      <c r="AF1329" s="321"/>
      <c r="AG1329" s="321"/>
      <c r="AH1329" s="321"/>
      <c r="AI1329" s="321"/>
      <c r="AJ1329" s="321"/>
      <c r="AK1329" s="321"/>
      <c r="AL1329" s="300"/>
    </row>
    <row r="1330" spans="1:38" ht="10.95" customHeight="1">
      <c r="A1330" s="203" t="str">
        <f>A1179</f>
        <v>0</v>
      </c>
      <c r="B1330" s="648"/>
      <c r="C1330" s="656"/>
      <c r="D1330" s="657"/>
      <c r="E1330" s="658"/>
      <c r="F1330" s="664"/>
      <c r="G1330" s="659"/>
      <c r="H1330" s="210"/>
      <c r="I1330" s="198"/>
      <c r="J1330" s="241"/>
      <c r="K1330" s="211"/>
      <c r="L1330" s="220" t="str">
        <f>IF(F1330="","",Nutzung!$G$29)</f>
        <v/>
      </c>
      <c r="M1330" s="780" t="str">
        <f>IF(D1330="","",AB1330)</f>
        <v/>
      </c>
      <c r="N1330" s="214">
        <f>IF(F1330=0,0,SUM(N1331:N1342))</f>
        <v>0</v>
      </c>
      <c r="O1330" s="215" t="str">
        <f>IF(N1330/$O$1370=0,"",N1330/$O$1370)</f>
        <v/>
      </c>
      <c r="P1330" s="198"/>
      <c r="Q1330" s="198"/>
      <c r="R1330" s="198"/>
      <c r="S1330" s="192"/>
      <c r="T1330" s="182">
        <f>D1330*E1330*F1330</f>
        <v>0</v>
      </c>
      <c r="AA1330" s="318">
        <f>IF(D1330="",0,1)</f>
        <v>0</v>
      </c>
      <c r="AB1330" s="318">
        <f>AB1317+AA1330</f>
        <v>0</v>
      </c>
    </row>
    <row r="1331" spans="1:38" s="234" customFormat="1" ht="10.199999999999999" hidden="1">
      <c r="A1331" s="199"/>
      <c r="B1331" s="690" t="s">
        <v>49</v>
      </c>
      <c r="C1331" s="20"/>
      <c r="D1331" s="26"/>
      <c r="E1331" s="745"/>
      <c r="F1331" s="774"/>
      <c r="G1331" s="754"/>
      <c r="H1331" s="773" t="str">
        <f>IF($L$1330&lt;Nutzung!$G$29,Nutzung!$G$29,$L$1330)</f>
        <v/>
      </c>
      <c r="I1331" s="268"/>
      <c r="J1331" s="199"/>
      <c r="K1331" s="265">
        <f>IF(L1330="",Nutzung!$G$29,Bauteile!L1330)</f>
        <v>0</v>
      </c>
      <c r="L1331" s="223"/>
      <c r="M1331" s="777"/>
      <c r="N1331" s="269">
        <f>IF($F$1330="",0,((Nutzung!$G$29+Regelung-1)+(($H$1331-Nutzung!$G$29)/2)-I1318)*J1318*$D$1330*$E$1330*$F$1330*24/($O$1318*1000))</f>
        <v>0</v>
      </c>
      <c r="O1331" s="253"/>
      <c r="P1331" s="201"/>
      <c r="Q1331" s="201"/>
      <c r="R1331" s="201"/>
      <c r="S1331" s="199"/>
      <c r="Z1331" s="321"/>
      <c r="AA1331" s="318"/>
      <c r="AB1331" s="321"/>
      <c r="AC1331" s="321"/>
      <c r="AD1331" s="321"/>
      <c r="AE1331" s="321"/>
      <c r="AF1331" s="321"/>
      <c r="AG1331" s="321"/>
      <c r="AH1331" s="321"/>
      <c r="AI1331" s="321"/>
      <c r="AJ1331" s="321"/>
      <c r="AK1331" s="321"/>
      <c r="AL1331" s="300"/>
    </row>
    <row r="1332" spans="1:38" s="234" customFormat="1" ht="10.199999999999999" hidden="1">
      <c r="A1332" s="199"/>
      <c r="B1332" s="690" t="s">
        <v>554</v>
      </c>
      <c r="C1332" s="26"/>
      <c r="D1332" s="26"/>
      <c r="E1332" s="26"/>
      <c r="F1332" s="689"/>
      <c r="G1332" s="26"/>
      <c r="H1332" s="277"/>
      <c r="I1332" s="268"/>
      <c r="J1332" s="199"/>
      <c r="K1332" s="212"/>
      <c r="L1332" s="223"/>
      <c r="M1332" s="778"/>
      <c r="N1332" s="269">
        <f>IF($F$1330="",0,((Nutzung!$G$29+Regelung-1)+(($H$1331-Nutzung!$G$29)/2)-I1319)*J1319*$D$1330*$E$1330*$F$1330*24/($O$1318*1000))</f>
        <v>0</v>
      </c>
      <c r="O1332" s="253"/>
      <c r="P1332" s="201"/>
      <c r="Q1332" s="201"/>
      <c r="R1332" s="201"/>
      <c r="S1332" s="199"/>
      <c r="Z1332" s="321"/>
      <c r="AA1332" s="318"/>
      <c r="AB1332" s="321"/>
      <c r="AC1332" s="321"/>
      <c r="AD1332" s="321"/>
      <c r="AE1332" s="321"/>
      <c r="AF1332" s="321"/>
      <c r="AG1332" s="321"/>
      <c r="AH1332" s="321"/>
      <c r="AI1332" s="321"/>
      <c r="AJ1332" s="321"/>
      <c r="AK1332" s="321"/>
      <c r="AL1332" s="300"/>
    </row>
    <row r="1333" spans="1:38" s="234" customFormat="1" ht="10.199999999999999" hidden="1">
      <c r="A1333" s="199"/>
      <c r="B1333" s="690" t="s">
        <v>306</v>
      </c>
      <c r="C1333" s="26"/>
      <c r="D1333" s="26"/>
      <c r="E1333" s="26"/>
      <c r="F1333" s="689"/>
      <c r="G1333" s="26"/>
      <c r="H1333" s="277"/>
      <c r="I1333" s="268"/>
      <c r="J1333" s="199"/>
      <c r="K1333" s="212"/>
      <c r="L1333" s="223"/>
      <c r="M1333" s="778"/>
      <c r="N1333" s="269">
        <f>IF($F$1330="",0,((Nutzung!$G$29+Regelung-1)+(($H$1331-Nutzung!$G$29)/2)-I1320)*J1320*$D$1330*$E$1330*$F$1330*24/($O$1318*1000))</f>
        <v>0</v>
      </c>
      <c r="O1333" s="253"/>
      <c r="P1333" s="201"/>
      <c r="Q1333" s="201"/>
      <c r="R1333" s="201"/>
      <c r="S1333" s="199"/>
      <c r="Z1333" s="321"/>
      <c r="AA1333" s="318"/>
      <c r="AB1333" s="321"/>
      <c r="AC1333" s="321"/>
      <c r="AD1333" s="321"/>
      <c r="AE1333" s="321"/>
      <c r="AF1333" s="321"/>
      <c r="AG1333" s="321"/>
      <c r="AH1333" s="321"/>
      <c r="AI1333" s="321"/>
      <c r="AJ1333" s="321"/>
      <c r="AK1333" s="321"/>
      <c r="AL1333" s="300"/>
    </row>
    <row r="1334" spans="1:38" s="234" customFormat="1" ht="10.199999999999999" hidden="1">
      <c r="A1334" s="199"/>
      <c r="B1334" s="690" t="s">
        <v>409</v>
      </c>
      <c r="C1334" s="26"/>
      <c r="D1334" s="26"/>
      <c r="E1334" s="26"/>
      <c r="F1334" s="689"/>
      <c r="G1334" s="26"/>
      <c r="H1334" s="277"/>
      <c r="I1334" s="268"/>
      <c r="J1334" s="199"/>
      <c r="K1334" s="212"/>
      <c r="L1334" s="223"/>
      <c r="M1334" s="778"/>
      <c r="N1334" s="269">
        <f>IF($F$1330="",0,((Nutzung!$G$29+Regelung-1)+(($H$1331-Nutzung!$G$29)/2)-I1321)*J1321*$D$1330*$E$1330*$F$1330*24/($O$1318*1000))</f>
        <v>0</v>
      </c>
      <c r="O1334" s="253"/>
      <c r="P1334" s="201"/>
      <c r="Q1334" s="201"/>
      <c r="R1334" s="201"/>
      <c r="S1334" s="199"/>
      <c r="Z1334" s="321"/>
      <c r="AA1334" s="318"/>
      <c r="AB1334" s="321"/>
      <c r="AC1334" s="321"/>
      <c r="AD1334" s="321"/>
      <c r="AE1334" s="321"/>
      <c r="AF1334" s="321"/>
      <c r="AG1334" s="321"/>
      <c r="AH1334" s="321"/>
      <c r="AI1334" s="321"/>
      <c r="AJ1334" s="321"/>
      <c r="AK1334" s="321"/>
      <c r="AL1334" s="300"/>
    </row>
    <row r="1335" spans="1:38" s="234" customFormat="1" ht="10.199999999999999" hidden="1">
      <c r="A1335" s="199"/>
      <c r="B1335" s="690" t="s">
        <v>410</v>
      </c>
      <c r="C1335" s="26"/>
      <c r="D1335" s="26"/>
      <c r="E1335" s="26"/>
      <c r="F1335" s="689"/>
      <c r="G1335" s="26"/>
      <c r="H1335" s="277"/>
      <c r="I1335" s="268"/>
      <c r="J1335" s="199"/>
      <c r="K1335" s="212"/>
      <c r="L1335" s="223"/>
      <c r="M1335" s="778"/>
      <c r="N1335" s="269">
        <f>IF($F$1330="",0,((Nutzung!$G$29+Regelung-1)+(($H$1331-Nutzung!$G$29)/2)-I1322)*J1322*$D$1330*$E$1330*$F$1330*24/($O$1318*1000))</f>
        <v>0</v>
      </c>
      <c r="O1335" s="253"/>
      <c r="P1335" s="201"/>
      <c r="Q1335" s="201"/>
      <c r="R1335" s="201"/>
      <c r="S1335" s="199"/>
      <c r="Z1335" s="321"/>
      <c r="AA1335" s="318"/>
      <c r="AB1335" s="321"/>
      <c r="AC1335" s="321"/>
      <c r="AD1335" s="321"/>
      <c r="AE1335" s="321"/>
      <c r="AF1335" s="321"/>
      <c r="AG1335" s="321"/>
      <c r="AH1335" s="321"/>
      <c r="AI1335" s="321"/>
      <c r="AJ1335" s="321"/>
      <c r="AK1335" s="321"/>
      <c r="AL1335" s="300"/>
    </row>
    <row r="1336" spans="1:38" s="234" customFormat="1" ht="10.199999999999999" hidden="1">
      <c r="A1336" s="199"/>
      <c r="B1336" s="690" t="s">
        <v>411</v>
      </c>
      <c r="C1336" s="26"/>
      <c r="D1336" s="26"/>
      <c r="E1336" s="26"/>
      <c r="F1336" s="689"/>
      <c r="G1336" s="26"/>
      <c r="H1336" s="277"/>
      <c r="I1336" s="268"/>
      <c r="J1336" s="199"/>
      <c r="K1336" s="212"/>
      <c r="L1336" s="223"/>
      <c r="M1336" s="778"/>
      <c r="N1336" s="269">
        <f>IF($F$1330="",0,((Nutzung!$G$29+Regelung-1)+(($H$1331-Nutzung!$G$29)/2)-I1323)*J1323*$D$1330*$E$1330*$F$1330*24/($O$1318*1000))</f>
        <v>0</v>
      </c>
      <c r="O1336" s="253"/>
      <c r="P1336" s="201"/>
      <c r="Q1336" s="201"/>
      <c r="R1336" s="201"/>
      <c r="S1336" s="199"/>
      <c r="Z1336" s="321"/>
      <c r="AA1336" s="318"/>
      <c r="AB1336" s="321"/>
      <c r="AC1336" s="321"/>
      <c r="AD1336" s="321"/>
      <c r="AE1336" s="321"/>
      <c r="AF1336" s="321"/>
      <c r="AG1336" s="321"/>
      <c r="AH1336" s="321"/>
      <c r="AI1336" s="321"/>
      <c r="AJ1336" s="321"/>
      <c r="AK1336" s="321"/>
      <c r="AL1336" s="300"/>
    </row>
    <row r="1337" spans="1:38" s="234" customFormat="1" ht="10.199999999999999" hidden="1">
      <c r="A1337" s="199"/>
      <c r="B1337" s="690" t="s">
        <v>221</v>
      </c>
      <c r="C1337" s="26"/>
      <c r="D1337" s="26"/>
      <c r="E1337" s="26"/>
      <c r="F1337" s="689"/>
      <c r="G1337" s="26"/>
      <c r="H1337" s="277"/>
      <c r="I1337" s="268"/>
      <c r="J1337" s="199"/>
      <c r="K1337" s="212"/>
      <c r="L1337" s="223"/>
      <c r="M1337" s="778"/>
      <c r="N1337" s="269">
        <f>IF($F$1330="",0,((Nutzung!$G$29+Regelung-1)+(($H$1331-Nutzung!$G$29)/2)-I1324)*J1324*$D$1330*$E$1330*$F$1330*24/($O$1318*1000))</f>
        <v>0</v>
      </c>
      <c r="O1337" s="253"/>
      <c r="P1337" s="201"/>
      <c r="Q1337" s="201"/>
      <c r="R1337" s="201"/>
      <c r="S1337" s="199"/>
      <c r="Z1337" s="321"/>
      <c r="AA1337" s="318"/>
      <c r="AB1337" s="321"/>
      <c r="AC1337" s="321"/>
      <c r="AD1337" s="321"/>
      <c r="AE1337" s="321"/>
      <c r="AF1337" s="321"/>
      <c r="AG1337" s="321"/>
      <c r="AH1337" s="321"/>
      <c r="AI1337" s="321"/>
      <c r="AJ1337" s="321"/>
      <c r="AK1337" s="321"/>
      <c r="AL1337" s="300"/>
    </row>
    <row r="1338" spans="1:38" s="234" customFormat="1" ht="10.199999999999999" hidden="1">
      <c r="A1338" s="199"/>
      <c r="B1338" s="690" t="s">
        <v>138</v>
      </c>
      <c r="C1338" s="26"/>
      <c r="D1338" s="26"/>
      <c r="E1338" s="26"/>
      <c r="F1338" s="689"/>
      <c r="G1338" s="26"/>
      <c r="H1338" s="277"/>
      <c r="I1338" s="268"/>
      <c r="J1338" s="199"/>
      <c r="K1338" s="212"/>
      <c r="L1338" s="223"/>
      <c r="M1338" s="778"/>
      <c r="N1338" s="269">
        <f>IF($F$1330="",0,((Nutzung!$G$29+Regelung-1)+(($H$1331-Nutzung!$G$29)/2)-I1325)*J1325*$D$1330*$E$1330*$F$1330*24/($O$1318*1000))</f>
        <v>0</v>
      </c>
      <c r="O1338" s="253"/>
      <c r="P1338" s="201"/>
      <c r="Q1338" s="201"/>
      <c r="R1338" s="201"/>
      <c r="S1338" s="199"/>
      <c r="Z1338" s="321"/>
      <c r="AA1338" s="318"/>
      <c r="AB1338" s="321"/>
      <c r="AC1338" s="321"/>
      <c r="AD1338" s="321"/>
      <c r="AE1338" s="321"/>
      <c r="AF1338" s="321"/>
      <c r="AG1338" s="321"/>
      <c r="AH1338" s="321"/>
      <c r="AI1338" s="321"/>
      <c r="AJ1338" s="321"/>
      <c r="AK1338" s="321"/>
      <c r="AL1338" s="300"/>
    </row>
    <row r="1339" spans="1:38" s="234" customFormat="1" ht="10.199999999999999" hidden="1">
      <c r="A1339" s="199"/>
      <c r="B1339" s="690" t="s">
        <v>139</v>
      </c>
      <c r="C1339" s="26"/>
      <c r="D1339" s="26"/>
      <c r="E1339" s="26"/>
      <c r="F1339" s="689"/>
      <c r="G1339" s="26"/>
      <c r="H1339" s="277"/>
      <c r="I1339" s="268"/>
      <c r="J1339" s="199"/>
      <c r="K1339" s="212"/>
      <c r="L1339" s="223"/>
      <c r="M1339" s="778"/>
      <c r="N1339" s="269">
        <f>IF($F$1330="",0,((Nutzung!$G$29+Regelung-1)+(($H$1331-Nutzung!$G$29)/2)-I1326)*J1326*$D$1330*$E$1330*$F$1330*24/($O$1318*1000))</f>
        <v>0</v>
      </c>
      <c r="O1339" s="253"/>
      <c r="P1339" s="201"/>
      <c r="Q1339" s="201"/>
      <c r="R1339" s="201"/>
      <c r="S1339" s="199"/>
      <c r="Z1339" s="321"/>
      <c r="AA1339" s="318"/>
      <c r="AB1339" s="321"/>
      <c r="AC1339" s="321"/>
      <c r="AD1339" s="321"/>
      <c r="AE1339" s="321"/>
      <c r="AF1339" s="321"/>
      <c r="AG1339" s="321"/>
      <c r="AH1339" s="321"/>
      <c r="AI1339" s="321"/>
      <c r="AJ1339" s="321"/>
      <c r="AK1339" s="321"/>
      <c r="AL1339" s="300"/>
    </row>
    <row r="1340" spans="1:38" s="234" customFormat="1" ht="10.199999999999999" hidden="1">
      <c r="A1340" s="199"/>
      <c r="B1340" s="690" t="s">
        <v>269</v>
      </c>
      <c r="C1340" s="26"/>
      <c r="D1340" s="26"/>
      <c r="E1340" s="26"/>
      <c r="F1340" s="689"/>
      <c r="G1340" s="26"/>
      <c r="H1340" s="277"/>
      <c r="I1340" s="268"/>
      <c r="J1340" s="199"/>
      <c r="K1340" s="212"/>
      <c r="L1340" s="223"/>
      <c r="M1340" s="778"/>
      <c r="N1340" s="269">
        <f>IF($F$1330="",0,((Nutzung!$G$29+Regelung-1)+(($H$1331-Nutzung!$G$29)/2)-I1327)*J1327*$D$1330*$E$1330*$F$1330*24/($O$1318*1000))</f>
        <v>0</v>
      </c>
      <c r="O1340" s="253"/>
      <c r="P1340" s="201"/>
      <c r="Q1340" s="201"/>
      <c r="R1340" s="201"/>
      <c r="S1340" s="199"/>
      <c r="Z1340" s="321"/>
      <c r="AA1340" s="318"/>
      <c r="AB1340" s="321"/>
      <c r="AC1340" s="321"/>
      <c r="AD1340" s="321"/>
      <c r="AE1340" s="321"/>
      <c r="AF1340" s="321"/>
      <c r="AG1340" s="321"/>
      <c r="AH1340" s="321"/>
      <c r="AI1340" s="321"/>
      <c r="AJ1340" s="321"/>
      <c r="AK1340" s="321"/>
      <c r="AL1340" s="300"/>
    </row>
    <row r="1341" spans="1:38" s="234" customFormat="1" ht="10.199999999999999" hidden="1">
      <c r="A1341" s="199"/>
      <c r="B1341" s="690" t="s">
        <v>366</v>
      </c>
      <c r="C1341" s="26"/>
      <c r="D1341" s="26"/>
      <c r="E1341" s="26"/>
      <c r="F1341" s="689"/>
      <c r="G1341" s="26"/>
      <c r="H1341" s="277"/>
      <c r="I1341" s="268"/>
      <c r="J1341" s="199"/>
      <c r="K1341" s="212"/>
      <c r="L1341" s="223"/>
      <c r="M1341" s="778"/>
      <c r="N1341" s="269">
        <f>IF($F$1330="",0,((Nutzung!$G$29+Regelung-1)+(($H$1331-Nutzung!$G$29)/2)-I1328)*J1328*$D$1330*$E$1330*$F$1330*24/($O$1318*1000))</f>
        <v>0</v>
      </c>
      <c r="O1341" s="253"/>
      <c r="P1341" s="201"/>
      <c r="Q1341" s="201"/>
      <c r="R1341" s="201"/>
      <c r="S1341" s="199"/>
      <c r="Z1341" s="321"/>
      <c r="AA1341" s="318"/>
      <c r="AB1341" s="321"/>
      <c r="AC1341" s="321"/>
      <c r="AD1341" s="321"/>
      <c r="AE1341" s="321"/>
      <c r="AF1341" s="321"/>
      <c r="AG1341" s="321"/>
      <c r="AH1341" s="321"/>
      <c r="AI1341" s="321"/>
      <c r="AJ1341" s="321"/>
      <c r="AK1341" s="321"/>
      <c r="AL1341" s="300"/>
    </row>
    <row r="1342" spans="1:38" s="234" customFormat="1" ht="10.199999999999999" hidden="1">
      <c r="A1342" s="199"/>
      <c r="B1342" s="690" t="s">
        <v>465</v>
      </c>
      <c r="C1342" s="26"/>
      <c r="D1342" s="26"/>
      <c r="E1342" s="26"/>
      <c r="F1342" s="689"/>
      <c r="G1342" s="26"/>
      <c r="H1342" s="277"/>
      <c r="I1342" s="268"/>
      <c r="J1342" s="199"/>
      <c r="K1342" s="212"/>
      <c r="L1342" s="223"/>
      <c r="M1342" s="778"/>
      <c r="N1342" s="269">
        <f>IF($F$1330="",0,((Nutzung!$G$29+Regelung-1)+(($H$1331-Nutzung!$G$29)/2)-I1329)*J1329*$D$1330*$E$1330*$F$1330*24/($O$1318*1000))</f>
        <v>0</v>
      </c>
      <c r="O1342" s="253"/>
      <c r="P1342" s="201"/>
      <c r="Q1342" s="201"/>
      <c r="R1342" s="201"/>
      <c r="S1342" s="199"/>
      <c r="Z1342" s="321"/>
      <c r="AA1342" s="318"/>
      <c r="AB1342" s="321"/>
      <c r="AC1342" s="321"/>
      <c r="AD1342" s="321"/>
      <c r="AE1342" s="321"/>
      <c r="AF1342" s="321"/>
      <c r="AG1342" s="321"/>
      <c r="AH1342" s="321"/>
      <c r="AI1342" s="321"/>
      <c r="AJ1342" s="321"/>
      <c r="AK1342" s="321"/>
      <c r="AL1342" s="300"/>
    </row>
    <row r="1343" spans="1:38" ht="10.95" customHeight="1">
      <c r="A1343" s="192"/>
      <c r="B1343" s="648"/>
      <c r="C1343" s="656"/>
      <c r="D1343" s="657"/>
      <c r="E1343" s="658"/>
      <c r="F1343" s="664"/>
      <c r="G1343" s="659"/>
      <c r="H1343" s="210"/>
      <c r="I1343" s="198"/>
      <c r="J1343" s="241"/>
      <c r="K1343" s="211"/>
      <c r="L1343" s="220" t="str">
        <f>IF(F1343="","",Nutzung!$G$29)</f>
        <v/>
      </c>
      <c r="M1343" s="780" t="str">
        <f>IF(D1343="","",AB1343)</f>
        <v/>
      </c>
      <c r="N1343" s="214">
        <f>IF(F1343=0,0,SUM(N1344:N1355))</f>
        <v>0</v>
      </c>
      <c r="O1343" s="215" t="str">
        <f>IF(N1343/$O$1370=0,"",N1343/$O$1370)</f>
        <v/>
      </c>
      <c r="P1343" s="198"/>
      <c r="Q1343" s="198"/>
      <c r="R1343" s="198"/>
      <c r="S1343" s="192"/>
      <c r="T1343" s="182">
        <f>D1343*E1343*F1343</f>
        <v>0</v>
      </c>
      <c r="AA1343" s="318">
        <f>IF(D1343="",0,1)</f>
        <v>0</v>
      </c>
      <c r="AB1343" s="318">
        <f>AB1330+AA1343</f>
        <v>0</v>
      </c>
    </row>
    <row r="1344" spans="1:38" s="234" customFormat="1" ht="10.199999999999999" hidden="1">
      <c r="A1344" s="199"/>
      <c r="B1344" s="690" t="s">
        <v>49</v>
      </c>
      <c r="C1344" s="20"/>
      <c r="D1344" s="26"/>
      <c r="E1344" s="745"/>
      <c r="F1344" s="774"/>
      <c r="G1344" s="754"/>
      <c r="H1344" s="773" t="str">
        <f>IF($L$1343&lt;Nutzung!$G$29,Nutzung!$G$29,$L$1343)</f>
        <v/>
      </c>
      <c r="I1344" s="268"/>
      <c r="J1344" s="199"/>
      <c r="K1344" s="265">
        <f>IF(L1343="",Nutzung!$G$29,Bauteile!L1343)</f>
        <v>0</v>
      </c>
      <c r="L1344" s="223"/>
      <c r="M1344" s="777"/>
      <c r="N1344" s="269">
        <f>IF($F$1343="",0,((Nutzung!$G$29+Regelung-1)+(($H$1344-Nutzung!$G$29)/2)-I1318)*J1318*$D$1343*$E$1343*$F$1343*24/($O$1318*1000))</f>
        <v>0</v>
      </c>
      <c r="O1344" s="253"/>
      <c r="P1344" s="201"/>
      <c r="Q1344" s="201"/>
      <c r="R1344" s="201"/>
      <c r="S1344" s="199"/>
      <c r="Z1344" s="321"/>
      <c r="AA1344" s="318"/>
      <c r="AB1344" s="321"/>
      <c r="AC1344" s="321"/>
      <c r="AD1344" s="321"/>
      <c r="AE1344" s="321"/>
      <c r="AF1344" s="321"/>
      <c r="AG1344" s="321"/>
      <c r="AH1344" s="321"/>
      <c r="AI1344" s="321"/>
      <c r="AJ1344" s="321"/>
      <c r="AK1344" s="321"/>
      <c r="AL1344" s="300"/>
    </row>
    <row r="1345" spans="1:38" s="234" customFormat="1" ht="10.199999999999999" hidden="1">
      <c r="A1345" s="199"/>
      <c r="B1345" s="690" t="s">
        <v>554</v>
      </c>
      <c r="C1345" s="26"/>
      <c r="D1345" s="26"/>
      <c r="E1345" s="26"/>
      <c r="F1345" s="689"/>
      <c r="G1345" s="26"/>
      <c r="H1345" s="277"/>
      <c r="I1345" s="268"/>
      <c r="J1345" s="199"/>
      <c r="K1345" s="212"/>
      <c r="L1345" s="223"/>
      <c r="M1345" s="778"/>
      <c r="N1345" s="269">
        <f>IF($F$1343="",0,((Nutzung!$G$29+Regelung-1)+(($H$1344-Nutzung!$G$29)/2)-I1319)*J1319*$D$1343*$E$1343*$F$1343*24/($O$1318*1000))</f>
        <v>0</v>
      </c>
      <c r="O1345" s="253"/>
      <c r="P1345" s="201"/>
      <c r="Q1345" s="201"/>
      <c r="R1345" s="201"/>
      <c r="S1345" s="199"/>
      <c r="Z1345" s="321"/>
      <c r="AA1345" s="318"/>
      <c r="AB1345" s="321"/>
      <c r="AC1345" s="321"/>
      <c r="AD1345" s="321"/>
      <c r="AE1345" s="321"/>
      <c r="AF1345" s="321"/>
      <c r="AG1345" s="321"/>
      <c r="AH1345" s="321"/>
      <c r="AI1345" s="321"/>
      <c r="AJ1345" s="321"/>
      <c r="AK1345" s="321"/>
      <c r="AL1345" s="300"/>
    </row>
    <row r="1346" spans="1:38" s="234" customFormat="1" ht="10.199999999999999" hidden="1">
      <c r="A1346" s="199"/>
      <c r="B1346" s="690" t="s">
        <v>306</v>
      </c>
      <c r="C1346" s="26"/>
      <c r="D1346" s="26"/>
      <c r="E1346" s="26"/>
      <c r="F1346" s="689"/>
      <c r="G1346" s="26"/>
      <c r="H1346" s="277"/>
      <c r="I1346" s="268"/>
      <c r="J1346" s="199"/>
      <c r="K1346" s="212"/>
      <c r="L1346" s="223"/>
      <c r="M1346" s="778"/>
      <c r="N1346" s="269">
        <f>IF($F$1343="",0,((Nutzung!$G$29+Regelung-1)+(($H$1344-Nutzung!$G$29)/2)-I1320)*J1320*$D$1343*$E$1343*$F$1343*24/($O$1318*1000))</f>
        <v>0</v>
      </c>
      <c r="O1346" s="253"/>
      <c r="P1346" s="201"/>
      <c r="Q1346" s="201"/>
      <c r="R1346" s="201"/>
      <c r="S1346" s="199"/>
      <c r="Z1346" s="321"/>
      <c r="AA1346" s="318"/>
      <c r="AB1346" s="321"/>
      <c r="AC1346" s="321"/>
      <c r="AD1346" s="321"/>
      <c r="AE1346" s="321"/>
      <c r="AF1346" s="321"/>
      <c r="AG1346" s="321"/>
      <c r="AH1346" s="321"/>
      <c r="AI1346" s="321"/>
      <c r="AJ1346" s="321"/>
      <c r="AK1346" s="321"/>
      <c r="AL1346" s="300"/>
    </row>
    <row r="1347" spans="1:38" s="234" customFormat="1" ht="10.199999999999999" hidden="1">
      <c r="A1347" s="199"/>
      <c r="B1347" s="690" t="s">
        <v>409</v>
      </c>
      <c r="C1347" s="26"/>
      <c r="D1347" s="26"/>
      <c r="E1347" s="26"/>
      <c r="F1347" s="689"/>
      <c r="G1347" s="26"/>
      <c r="H1347" s="277"/>
      <c r="I1347" s="268"/>
      <c r="J1347" s="199"/>
      <c r="K1347" s="212"/>
      <c r="L1347" s="223"/>
      <c r="M1347" s="778"/>
      <c r="N1347" s="269">
        <f>IF($F$1343="",0,((Nutzung!$G$29+Regelung-1)+(($H$1344-Nutzung!$G$29)/2)-I1321)*J1321*$D$1343*$E$1343*$F$1343*24/($O$1318*1000))</f>
        <v>0</v>
      </c>
      <c r="O1347" s="253"/>
      <c r="P1347" s="201"/>
      <c r="Q1347" s="201"/>
      <c r="R1347" s="201"/>
      <c r="S1347" s="199"/>
      <c r="Z1347" s="321"/>
      <c r="AA1347" s="318"/>
      <c r="AB1347" s="321"/>
      <c r="AC1347" s="321"/>
      <c r="AD1347" s="321"/>
      <c r="AE1347" s="321"/>
      <c r="AF1347" s="321"/>
      <c r="AG1347" s="321"/>
      <c r="AH1347" s="321"/>
      <c r="AI1347" s="321"/>
      <c r="AJ1347" s="321"/>
      <c r="AK1347" s="321"/>
      <c r="AL1347" s="300"/>
    </row>
    <row r="1348" spans="1:38" s="234" customFormat="1" ht="10.199999999999999" hidden="1">
      <c r="A1348" s="199"/>
      <c r="B1348" s="690" t="s">
        <v>410</v>
      </c>
      <c r="C1348" s="26"/>
      <c r="D1348" s="26"/>
      <c r="E1348" s="26"/>
      <c r="F1348" s="689"/>
      <c r="G1348" s="26"/>
      <c r="H1348" s="277"/>
      <c r="I1348" s="268"/>
      <c r="J1348" s="199"/>
      <c r="K1348" s="212"/>
      <c r="L1348" s="223"/>
      <c r="M1348" s="778"/>
      <c r="N1348" s="269">
        <f>IF($F$1343="",0,((Nutzung!$G$29+Regelung-1)+(($H$1344-Nutzung!$G$29)/2)-I1322)*J1322*$D$1343*$E$1343*$F$1343*24/($O$1318*1000))</f>
        <v>0</v>
      </c>
      <c r="O1348" s="253"/>
      <c r="P1348" s="201"/>
      <c r="Q1348" s="201"/>
      <c r="R1348" s="201"/>
      <c r="S1348" s="199"/>
      <c r="Z1348" s="321"/>
      <c r="AA1348" s="318"/>
      <c r="AB1348" s="321"/>
      <c r="AC1348" s="321"/>
      <c r="AD1348" s="321"/>
      <c r="AE1348" s="321"/>
      <c r="AF1348" s="321"/>
      <c r="AG1348" s="321"/>
      <c r="AH1348" s="321"/>
      <c r="AI1348" s="321"/>
      <c r="AJ1348" s="321"/>
      <c r="AK1348" s="321"/>
      <c r="AL1348" s="300"/>
    </row>
    <row r="1349" spans="1:38" s="234" customFormat="1" ht="10.199999999999999" hidden="1">
      <c r="A1349" s="199"/>
      <c r="B1349" s="690" t="s">
        <v>411</v>
      </c>
      <c r="C1349" s="26"/>
      <c r="D1349" s="26"/>
      <c r="E1349" s="26"/>
      <c r="F1349" s="689"/>
      <c r="G1349" s="26"/>
      <c r="H1349" s="277"/>
      <c r="I1349" s="268"/>
      <c r="J1349" s="199"/>
      <c r="K1349" s="212"/>
      <c r="L1349" s="223"/>
      <c r="M1349" s="778"/>
      <c r="N1349" s="269">
        <f>IF($F$1343="",0,((Nutzung!$G$29+Regelung-1)+(($H$1344-Nutzung!$G$29)/2)-I1323)*J1323*$D$1343*$E$1343*$F$1343*24/($O$1318*1000))</f>
        <v>0</v>
      </c>
      <c r="O1349" s="253"/>
      <c r="P1349" s="201"/>
      <c r="Q1349" s="201"/>
      <c r="R1349" s="201"/>
      <c r="S1349" s="199"/>
      <c r="Z1349" s="321"/>
      <c r="AA1349" s="318"/>
      <c r="AB1349" s="321"/>
      <c r="AC1349" s="321"/>
      <c r="AD1349" s="321"/>
      <c r="AE1349" s="321"/>
      <c r="AF1349" s="321"/>
      <c r="AG1349" s="321"/>
      <c r="AH1349" s="321"/>
      <c r="AI1349" s="321"/>
      <c r="AJ1349" s="321"/>
      <c r="AK1349" s="321"/>
      <c r="AL1349" s="300"/>
    </row>
    <row r="1350" spans="1:38" s="234" customFormat="1" ht="10.199999999999999" hidden="1">
      <c r="A1350" s="199"/>
      <c r="B1350" s="690" t="s">
        <v>221</v>
      </c>
      <c r="C1350" s="26"/>
      <c r="D1350" s="26"/>
      <c r="E1350" s="26"/>
      <c r="F1350" s="689"/>
      <c r="G1350" s="26"/>
      <c r="H1350" s="277"/>
      <c r="I1350" s="268"/>
      <c r="J1350" s="199"/>
      <c r="K1350" s="212"/>
      <c r="L1350" s="223"/>
      <c r="M1350" s="778"/>
      <c r="N1350" s="269">
        <f>IF($F$1343="",0,((Nutzung!$G$29+Regelung-1)+(($H$1344-Nutzung!$G$29)/2)-I1324)*J1324*$D$1343*$E$1343*$F$1343*24/($O$1318*1000))</f>
        <v>0</v>
      </c>
      <c r="O1350" s="253"/>
      <c r="P1350" s="201"/>
      <c r="Q1350" s="201"/>
      <c r="R1350" s="201"/>
      <c r="S1350" s="199"/>
      <c r="Z1350" s="321"/>
      <c r="AA1350" s="318"/>
      <c r="AB1350" s="321"/>
      <c r="AC1350" s="321"/>
      <c r="AD1350" s="321"/>
      <c r="AE1350" s="321"/>
      <c r="AF1350" s="321"/>
      <c r="AG1350" s="321"/>
      <c r="AH1350" s="321"/>
      <c r="AI1350" s="321"/>
      <c r="AJ1350" s="321"/>
      <c r="AK1350" s="321"/>
      <c r="AL1350" s="300"/>
    </row>
    <row r="1351" spans="1:38" s="234" customFormat="1" ht="10.199999999999999" hidden="1">
      <c r="A1351" s="199"/>
      <c r="B1351" s="690" t="s">
        <v>138</v>
      </c>
      <c r="C1351" s="26"/>
      <c r="D1351" s="26"/>
      <c r="E1351" s="26"/>
      <c r="F1351" s="689"/>
      <c r="G1351" s="26"/>
      <c r="H1351" s="277"/>
      <c r="I1351" s="268"/>
      <c r="J1351" s="199"/>
      <c r="K1351" s="212"/>
      <c r="L1351" s="223"/>
      <c r="M1351" s="778"/>
      <c r="N1351" s="269">
        <f>IF($F$1343="",0,((Nutzung!$G$29+Regelung-1)+(($H$1344-Nutzung!$G$29)/2)-I1325)*J1325*$D$1343*$E$1343*$F$1343*24/($O$1318*1000))</f>
        <v>0</v>
      </c>
      <c r="O1351" s="253"/>
      <c r="P1351" s="201"/>
      <c r="Q1351" s="201"/>
      <c r="R1351" s="201"/>
      <c r="S1351" s="199"/>
      <c r="Z1351" s="321"/>
      <c r="AA1351" s="318"/>
      <c r="AB1351" s="321"/>
      <c r="AC1351" s="321"/>
      <c r="AD1351" s="321"/>
      <c r="AE1351" s="321"/>
      <c r="AF1351" s="321"/>
      <c r="AG1351" s="321"/>
      <c r="AH1351" s="321"/>
      <c r="AI1351" s="321"/>
      <c r="AJ1351" s="321"/>
      <c r="AK1351" s="321"/>
      <c r="AL1351" s="300"/>
    </row>
    <row r="1352" spans="1:38" s="234" customFormat="1" ht="10.199999999999999" hidden="1">
      <c r="A1352" s="199"/>
      <c r="B1352" s="690" t="s">
        <v>139</v>
      </c>
      <c r="C1352" s="26"/>
      <c r="D1352" s="26"/>
      <c r="E1352" s="26"/>
      <c r="F1352" s="689"/>
      <c r="G1352" s="26"/>
      <c r="H1352" s="277"/>
      <c r="I1352" s="268"/>
      <c r="J1352" s="199"/>
      <c r="K1352" s="212"/>
      <c r="L1352" s="223"/>
      <c r="M1352" s="778"/>
      <c r="N1352" s="269">
        <f>IF($F$1343="",0,((Nutzung!$G$29+Regelung-1)+(($H$1344-Nutzung!$G$29)/2)-I1326)*J1326*$D$1343*$E$1343*$F$1343*24/($O$1318*1000))</f>
        <v>0</v>
      </c>
      <c r="O1352" s="253"/>
      <c r="P1352" s="201"/>
      <c r="Q1352" s="201"/>
      <c r="R1352" s="201"/>
      <c r="S1352" s="199"/>
      <c r="Z1352" s="321"/>
      <c r="AA1352" s="318"/>
      <c r="AB1352" s="321"/>
      <c r="AC1352" s="321"/>
      <c r="AD1352" s="321"/>
      <c r="AE1352" s="321"/>
      <c r="AF1352" s="321"/>
      <c r="AG1352" s="321"/>
      <c r="AH1352" s="321"/>
      <c r="AI1352" s="321"/>
      <c r="AJ1352" s="321"/>
      <c r="AK1352" s="321"/>
      <c r="AL1352" s="300"/>
    </row>
    <row r="1353" spans="1:38" s="234" customFormat="1" ht="10.199999999999999" hidden="1">
      <c r="A1353" s="199"/>
      <c r="B1353" s="690" t="s">
        <v>269</v>
      </c>
      <c r="C1353" s="26"/>
      <c r="D1353" s="26"/>
      <c r="E1353" s="26"/>
      <c r="F1353" s="689"/>
      <c r="G1353" s="26"/>
      <c r="H1353" s="277"/>
      <c r="I1353" s="268"/>
      <c r="J1353" s="199"/>
      <c r="K1353" s="212"/>
      <c r="L1353" s="223"/>
      <c r="M1353" s="778"/>
      <c r="N1353" s="269">
        <f>IF($F$1343="",0,((Nutzung!$G$29+Regelung-1)+(($H$1344-Nutzung!$G$29)/2)-I1327)*J1327*$D$1343*$E$1343*$F$1343*24/($O$1318*1000))</f>
        <v>0</v>
      </c>
      <c r="O1353" s="253"/>
      <c r="P1353" s="201"/>
      <c r="Q1353" s="201"/>
      <c r="R1353" s="201"/>
      <c r="S1353" s="199"/>
      <c r="Z1353" s="321"/>
      <c r="AA1353" s="318"/>
      <c r="AB1353" s="321"/>
      <c r="AC1353" s="321"/>
      <c r="AD1353" s="321"/>
      <c r="AE1353" s="321"/>
      <c r="AF1353" s="321"/>
      <c r="AG1353" s="321"/>
      <c r="AH1353" s="321"/>
      <c r="AI1353" s="321"/>
      <c r="AJ1353" s="321"/>
      <c r="AK1353" s="321"/>
      <c r="AL1353" s="300"/>
    </row>
    <row r="1354" spans="1:38" s="234" customFormat="1" ht="10.199999999999999" hidden="1">
      <c r="A1354" s="199"/>
      <c r="B1354" s="690" t="s">
        <v>366</v>
      </c>
      <c r="C1354" s="26"/>
      <c r="D1354" s="26"/>
      <c r="E1354" s="26"/>
      <c r="F1354" s="689"/>
      <c r="G1354" s="26"/>
      <c r="H1354" s="277"/>
      <c r="I1354" s="268"/>
      <c r="J1354" s="199"/>
      <c r="K1354" s="212"/>
      <c r="L1354" s="223"/>
      <c r="M1354" s="778"/>
      <c r="N1354" s="269">
        <f>IF($F$1343="",0,((Nutzung!$G$29+Regelung-1)+(($H$1344-Nutzung!$G$29)/2)-I1328)*J1328*$D$1343*$E$1343*$F$1343*24/($O$1318*1000))</f>
        <v>0</v>
      </c>
      <c r="O1354" s="253"/>
      <c r="P1354" s="201"/>
      <c r="Q1354" s="201"/>
      <c r="R1354" s="201"/>
      <c r="S1354" s="199"/>
      <c r="Z1354" s="321"/>
      <c r="AA1354" s="318"/>
      <c r="AB1354" s="321"/>
      <c r="AC1354" s="321"/>
      <c r="AD1354" s="321"/>
      <c r="AE1354" s="321"/>
      <c r="AF1354" s="321"/>
      <c r="AG1354" s="321"/>
      <c r="AH1354" s="321"/>
      <c r="AI1354" s="321"/>
      <c r="AJ1354" s="321"/>
      <c r="AK1354" s="321"/>
      <c r="AL1354" s="300"/>
    </row>
    <row r="1355" spans="1:38" s="234" customFormat="1" ht="10.199999999999999" hidden="1">
      <c r="A1355" s="199"/>
      <c r="B1355" s="690" t="s">
        <v>465</v>
      </c>
      <c r="C1355" s="26"/>
      <c r="D1355" s="26"/>
      <c r="E1355" s="26"/>
      <c r="F1355" s="689"/>
      <c r="G1355" s="26"/>
      <c r="H1355" s="277"/>
      <c r="I1355" s="268"/>
      <c r="J1355" s="199"/>
      <c r="K1355" s="212"/>
      <c r="L1355" s="223"/>
      <c r="M1355" s="778"/>
      <c r="N1355" s="269">
        <f>IF($F$1343="",0,((Nutzung!$G$29+Regelung-1)+(($H$1344-Nutzung!$G$29)/2)-I1329)*J1329*$D$1343*$E$1343*$F$1343*24/($O$1318*1000))</f>
        <v>0</v>
      </c>
      <c r="O1355" s="253"/>
      <c r="P1355" s="201"/>
      <c r="Q1355" s="201"/>
      <c r="R1355" s="201"/>
      <c r="S1355" s="199"/>
      <c r="Z1355" s="321"/>
      <c r="AA1355" s="318"/>
      <c r="AB1355" s="321"/>
      <c r="AC1355" s="321"/>
      <c r="AD1355" s="321"/>
      <c r="AE1355" s="321"/>
      <c r="AF1355" s="321"/>
      <c r="AG1355" s="321"/>
      <c r="AH1355" s="321"/>
      <c r="AI1355" s="321"/>
      <c r="AJ1355" s="321"/>
      <c r="AK1355" s="321"/>
      <c r="AL1355" s="300"/>
    </row>
    <row r="1356" spans="1:38" ht="10.95" customHeight="1">
      <c r="A1356" s="192"/>
      <c r="B1356" s="649"/>
      <c r="C1356" s="660"/>
      <c r="D1356" s="661"/>
      <c r="E1356" s="662"/>
      <c r="F1356" s="665"/>
      <c r="G1356" s="661"/>
      <c r="H1356" s="210"/>
      <c r="I1356" s="198"/>
      <c r="J1356" s="241"/>
      <c r="K1356" s="211"/>
      <c r="L1356" s="221" t="str">
        <f>IF(F1356="","",Nutzung!$G$29)</f>
        <v/>
      </c>
      <c r="M1356" s="768" t="str">
        <f>IF(D1356="","",AB1356)</f>
        <v/>
      </c>
      <c r="N1356" s="214">
        <f>IF(F1356=0,0,SUM(N1357:N1368))</f>
        <v>0</v>
      </c>
      <c r="O1356" s="215" t="str">
        <f>IF(N1356/$O$1370=0,"",N1356/$O$1370)</f>
        <v/>
      </c>
      <c r="P1356" s="198"/>
      <c r="Q1356" s="198"/>
      <c r="R1356" s="198"/>
      <c r="S1356" s="192"/>
      <c r="T1356" s="182">
        <f>D1356*E1356*F1356</f>
        <v>0</v>
      </c>
      <c r="U1356" s="182">
        <f>SUM(T1317:T1356)</f>
        <v>0</v>
      </c>
      <c r="AA1356" s="318">
        <f>IF(D1356="",0,1)</f>
        <v>0</v>
      </c>
      <c r="AB1356" s="318">
        <f>AB1343+AA1356</f>
        <v>0</v>
      </c>
    </row>
    <row r="1357" spans="1:38" hidden="1">
      <c r="A1357" s="192"/>
      <c r="B1357" s="691" t="s">
        <v>49</v>
      </c>
      <c r="C1357" s="14"/>
      <c r="D1357" s="717"/>
      <c r="E1357" s="717"/>
      <c r="F1357" s="719"/>
      <c r="G1357" s="13"/>
      <c r="H1357" s="197" t="str">
        <f>IF($L$1356&lt;Nutzung!$G$29,Nutzung!$G$29,$L$1356)</f>
        <v/>
      </c>
      <c r="I1357" s="296">
        <f>$F$1356</f>
        <v>0</v>
      </c>
      <c r="J1357" s="192"/>
      <c r="K1357" s="246">
        <f>IF(L1356="",Nutzung!$G$29,Bauteile!L1356)</f>
        <v>0</v>
      </c>
      <c r="L1357" s="13"/>
      <c r="M1357" s="550"/>
      <c r="N1357" s="723">
        <f>IF($F$1356="",0,((Nutzung!$G$29+Regelung-1)+(($H$1357-Nutzung!$G$29)/2)-I1318)*J1318*$D$1356*$E$1356*$F$1356*24/($O$1318*1000))</f>
        <v>0</v>
      </c>
      <c r="O1357" s="192"/>
      <c r="P1357" s="192"/>
      <c r="Q1357" s="192"/>
      <c r="R1357" s="192"/>
      <c r="S1357" s="192"/>
    </row>
    <row r="1358" spans="1:38" hidden="1">
      <c r="A1358" s="192"/>
      <c r="B1358" s="691" t="s">
        <v>554</v>
      </c>
      <c r="C1358" s="717"/>
      <c r="D1358" s="717"/>
      <c r="E1358" s="717"/>
      <c r="F1358" s="719"/>
      <c r="G1358" s="720"/>
      <c r="H1358" s="207"/>
      <c r="I1358" s="207"/>
      <c r="J1358" s="192"/>
      <c r="K1358" s="192"/>
      <c r="L1358" s="13"/>
      <c r="M1358" s="550"/>
      <c r="N1358" s="723">
        <f>IF($F$1356="",0,((Nutzung!$G$29+Regelung-1)+(($H$1357-Nutzung!$G$29)/2)-I1319)*J1319*$D$1356*$E$1356*$F$1356*24/($O$1318*1000))</f>
        <v>0</v>
      </c>
      <c r="O1358" s="192"/>
      <c r="P1358" s="192"/>
      <c r="Q1358" s="192"/>
      <c r="R1358" s="192"/>
      <c r="S1358" s="192"/>
    </row>
    <row r="1359" spans="1:38" hidden="1">
      <c r="A1359" s="192"/>
      <c r="B1359" s="691" t="s">
        <v>306</v>
      </c>
      <c r="C1359" s="717"/>
      <c r="D1359" s="717"/>
      <c r="E1359" s="717"/>
      <c r="F1359" s="719"/>
      <c r="G1359" s="720"/>
      <c r="H1359" s="207"/>
      <c r="I1359" s="207"/>
      <c r="J1359" s="192"/>
      <c r="K1359" s="192"/>
      <c r="L1359" s="13"/>
      <c r="M1359" s="550"/>
      <c r="N1359" s="723">
        <f>IF($F$1356="",0,((Nutzung!$G$29+Regelung-1)+(($H$1357-Nutzung!$G$29)/2)-I1320)*J1320*$D$1356*$E$1356*$F$1356*24/($O$1318*1000))</f>
        <v>0</v>
      </c>
      <c r="O1359" s="192"/>
      <c r="P1359" s="192"/>
      <c r="Q1359" s="192"/>
      <c r="R1359" s="192"/>
      <c r="S1359" s="192"/>
    </row>
    <row r="1360" spans="1:38" hidden="1">
      <c r="A1360" s="192"/>
      <c r="B1360" s="691" t="s">
        <v>409</v>
      </c>
      <c r="C1360" s="717"/>
      <c r="D1360" s="717"/>
      <c r="E1360" s="717"/>
      <c r="F1360" s="719"/>
      <c r="G1360" s="720"/>
      <c r="H1360" s="207"/>
      <c r="I1360" s="207"/>
      <c r="J1360" s="192"/>
      <c r="K1360" s="192"/>
      <c r="L1360" s="13"/>
      <c r="M1360" s="550"/>
      <c r="N1360" s="723">
        <f>IF($F$1356="",0,((Nutzung!$G$29+Regelung-1)+(($H$1357-Nutzung!$G$29)/2)-I1321)*J1321*$D$1356*$E$1356*$F$1356*24/($O$1318*1000))</f>
        <v>0</v>
      </c>
      <c r="O1360" s="192"/>
      <c r="P1360" s="192"/>
      <c r="Q1360" s="192"/>
      <c r="R1360" s="192"/>
      <c r="S1360" s="192"/>
    </row>
    <row r="1361" spans="1:68" hidden="1">
      <c r="A1361" s="192"/>
      <c r="B1361" s="691" t="s">
        <v>410</v>
      </c>
      <c r="C1361" s="717"/>
      <c r="D1361" s="717"/>
      <c r="E1361" s="717"/>
      <c r="F1361" s="719"/>
      <c r="G1361" s="720"/>
      <c r="H1361" s="207"/>
      <c r="I1361" s="207"/>
      <c r="J1361" s="192"/>
      <c r="K1361" s="192"/>
      <c r="L1361" s="13"/>
      <c r="M1361" s="550"/>
      <c r="N1361" s="723">
        <f>IF($F$1356="",0,((Nutzung!$G$29+Regelung-1)+(($H$1357-Nutzung!$G$29)/2)-I1322)*J1322*$D$1356*$E$1356*$F$1356*24/($O$1318*1000))</f>
        <v>0</v>
      </c>
      <c r="O1361" s="192"/>
      <c r="P1361" s="192"/>
      <c r="Q1361" s="192"/>
      <c r="R1361" s="192"/>
      <c r="S1361" s="192"/>
    </row>
    <row r="1362" spans="1:68" hidden="1">
      <c r="A1362" s="192"/>
      <c r="B1362" s="691" t="s">
        <v>411</v>
      </c>
      <c r="C1362" s="717"/>
      <c r="D1362" s="717"/>
      <c r="E1362" s="717"/>
      <c r="F1362" s="719"/>
      <c r="G1362" s="720"/>
      <c r="H1362" s="207"/>
      <c r="I1362" s="207"/>
      <c r="J1362" s="192"/>
      <c r="K1362" s="192"/>
      <c r="L1362" s="13"/>
      <c r="M1362" s="550"/>
      <c r="N1362" s="723">
        <f>IF($F$1356="",0,((Nutzung!$G$29+Regelung-1)+(($H$1357-Nutzung!$G$29)/2)-I1323)*J1323*$D$1356*$E$1356*$F$1356*24/($O$1318*1000))</f>
        <v>0</v>
      </c>
      <c r="O1362" s="192"/>
      <c r="P1362" s="192"/>
      <c r="Q1362" s="192"/>
      <c r="R1362" s="192"/>
      <c r="S1362" s="192"/>
    </row>
    <row r="1363" spans="1:68" hidden="1">
      <c r="A1363" s="192"/>
      <c r="B1363" s="691" t="s">
        <v>221</v>
      </c>
      <c r="C1363" s="717"/>
      <c r="D1363" s="717"/>
      <c r="E1363" s="717"/>
      <c r="F1363" s="719"/>
      <c r="G1363" s="720"/>
      <c r="H1363" s="207"/>
      <c r="I1363" s="207"/>
      <c r="J1363" s="192"/>
      <c r="K1363" s="192"/>
      <c r="L1363" s="13"/>
      <c r="M1363" s="550"/>
      <c r="N1363" s="723">
        <f>IF($F$1356="",0,((Nutzung!$G$29+Regelung-1)+(($H$1357-Nutzung!$G$29)/2)-I1324)*J1324*$D$1356*$E$1356*$F$1356*24/($O$1318*1000))</f>
        <v>0</v>
      </c>
      <c r="O1363" s="192"/>
      <c r="P1363" s="192"/>
      <c r="Q1363" s="192"/>
      <c r="R1363" s="192"/>
      <c r="S1363" s="192"/>
    </row>
    <row r="1364" spans="1:68" hidden="1">
      <c r="A1364" s="192"/>
      <c r="B1364" s="691" t="s">
        <v>138</v>
      </c>
      <c r="C1364" s="717"/>
      <c r="D1364" s="717"/>
      <c r="E1364" s="717"/>
      <c r="F1364" s="719"/>
      <c r="G1364" s="720"/>
      <c r="H1364" s="207"/>
      <c r="I1364" s="207"/>
      <c r="J1364" s="192"/>
      <c r="K1364" s="192"/>
      <c r="L1364" s="13"/>
      <c r="M1364" s="550"/>
      <c r="N1364" s="723">
        <f>IF($F$1356="",0,((Nutzung!$G$29+Regelung-1)+(($H$1357-Nutzung!$G$29)/2)-I1325)*J1325*$D$1356*$E$1356*$F$1356*24/($O$1318*1000))</f>
        <v>0</v>
      </c>
      <c r="O1364" s="192"/>
      <c r="P1364" s="192"/>
      <c r="Q1364" s="192"/>
      <c r="R1364" s="192"/>
      <c r="S1364" s="192"/>
    </row>
    <row r="1365" spans="1:68" hidden="1">
      <c r="A1365" s="192"/>
      <c r="B1365" s="691" t="s">
        <v>139</v>
      </c>
      <c r="C1365" s="717"/>
      <c r="D1365" s="717"/>
      <c r="E1365" s="717"/>
      <c r="F1365" s="719"/>
      <c r="G1365" s="720"/>
      <c r="H1365" s="207"/>
      <c r="I1365" s="207"/>
      <c r="J1365" s="192"/>
      <c r="K1365" s="192"/>
      <c r="L1365" s="13"/>
      <c r="M1365" s="550"/>
      <c r="N1365" s="723">
        <f>IF($F$1356="",0,((Nutzung!$G$29+Regelung-1)+(($H$1357-Nutzung!$G$29)/2)-I1326)*J1326*$D$1356*$E$1356*$F$1356*24/($O$1318*1000))</f>
        <v>0</v>
      </c>
      <c r="O1365" s="192"/>
      <c r="P1365" s="192"/>
      <c r="Q1365" s="192"/>
      <c r="R1365" s="192"/>
      <c r="S1365" s="192"/>
    </row>
    <row r="1366" spans="1:68" hidden="1">
      <c r="A1366" s="192"/>
      <c r="B1366" s="691" t="s">
        <v>269</v>
      </c>
      <c r="C1366" s="717"/>
      <c r="D1366" s="717"/>
      <c r="E1366" s="717"/>
      <c r="F1366" s="719"/>
      <c r="G1366" s="720"/>
      <c r="H1366" s="207"/>
      <c r="I1366" s="207"/>
      <c r="J1366" s="192"/>
      <c r="K1366" s="192"/>
      <c r="L1366" s="13"/>
      <c r="M1366" s="550"/>
      <c r="N1366" s="723">
        <f>IF($F$1356="",0,((Nutzung!$G$29+Regelung-1)+(($H$1357-Nutzung!$G$29)/2)-I1327)*J1327*$D$1356*$E$1356*$F$1356*24/($O$1318*1000))</f>
        <v>0</v>
      </c>
      <c r="O1366" s="192"/>
      <c r="P1366" s="192"/>
      <c r="Q1366" s="192"/>
      <c r="R1366" s="192"/>
      <c r="S1366" s="192"/>
    </row>
    <row r="1367" spans="1:68" hidden="1">
      <c r="A1367" s="192"/>
      <c r="B1367" s="691" t="s">
        <v>366</v>
      </c>
      <c r="C1367" s="717"/>
      <c r="D1367" s="717"/>
      <c r="E1367" s="717"/>
      <c r="F1367" s="719"/>
      <c r="G1367" s="720"/>
      <c r="H1367" s="207"/>
      <c r="I1367" s="207"/>
      <c r="J1367" s="192"/>
      <c r="K1367" s="192"/>
      <c r="L1367" s="13"/>
      <c r="M1367" s="550"/>
      <c r="N1367" s="723">
        <f>IF($F$1356="",0,((Nutzung!$G$29+Regelung-1)+(($H$1357-Nutzung!$G$29)/2)-I1328)*J1328*$D$1356*$E$1356*$F$1356*24/($O$1318*1000))</f>
        <v>0</v>
      </c>
      <c r="O1367" s="192"/>
      <c r="P1367" s="192"/>
      <c r="Q1367" s="192"/>
      <c r="R1367" s="192"/>
      <c r="S1367" s="192"/>
    </row>
    <row r="1368" spans="1:68" hidden="1">
      <c r="A1368" s="192"/>
      <c r="B1368" s="691" t="s">
        <v>465</v>
      </c>
      <c r="C1368" s="717"/>
      <c r="D1368" s="717"/>
      <c r="E1368" s="717"/>
      <c r="F1368" s="719"/>
      <c r="G1368" s="720"/>
      <c r="H1368" s="207"/>
      <c r="I1368" s="207"/>
      <c r="J1368" s="192"/>
      <c r="K1368" s="192"/>
      <c r="L1368" s="13"/>
      <c r="M1368" s="550"/>
      <c r="N1368" s="723">
        <f>IF($F$1356="",0,((Nutzung!$G$29+Regelung-1)+(($H$1357-Nutzung!$G$29)/2)-I1329)*J1329*$D$1356*$E$1356*$F$1356*24/($O$1318*1000))</f>
        <v>0</v>
      </c>
      <c r="O1368" s="192"/>
      <c r="P1368" s="192"/>
      <c r="Q1368" s="192"/>
      <c r="R1368" s="192"/>
      <c r="S1368" s="192"/>
    </row>
    <row r="1369" spans="1:68">
      <c r="A1369" s="192"/>
      <c r="B1369" s="192"/>
      <c r="C1369" s="258"/>
      <c r="D1369" s="192"/>
      <c r="E1369" s="192"/>
      <c r="F1369" s="192"/>
      <c r="G1369" s="192"/>
      <c r="H1369" s="192"/>
      <c r="I1369" s="192"/>
      <c r="J1369" s="192"/>
      <c r="K1369" s="192"/>
      <c r="L1369" s="192"/>
      <c r="M1369" s="260"/>
      <c r="N1369" s="192"/>
      <c r="O1369" s="192"/>
      <c r="P1369" s="192"/>
      <c r="Q1369" s="192"/>
      <c r="R1369" s="192"/>
      <c r="S1369" s="192"/>
    </row>
    <row r="1370" spans="1:68" hidden="1">
      <c r="A1370" s="192"/>
      <c r="B1370" s="192"/>
      <c r="C1370" s="258"/>
      <c r="D1370" s="192"/>
      <c r="E1370" s="192"/>
      <c r="F1370" s="192"/>
      <c r="G1370" s="192"/>
      <c r="H1370" s="192"/>
      <c r="I1370" s="261"/>
      <c r="J1370" s="192"/>
      <c r="K1370" s="192"/>
      <c r="L1370" s="192"/>
      <c r="M1370" s="192"/>
      <c r="N1370" s="262">
        <f>N9+N23+N36+N49+N62+N75+N88+N101+N114+N127+N144+N157+N170+N183+N196+N209+N222+N235+N248+N261+N286+N301+N314+N328+N342+N356+N370+N384+N398+N412+N426+N440+N454+N468+N482+N496+N510+N524+N538+N552+S569+S582+N592+N605+N618+N631+N644+N657+N674+N687+N700+N719+N732+N745+N758+N771+N784+N797+N810+N823+N836+N849+N862+N875+N888+N901+N914+N931+N944+N957+N970+N989+N1002+N1015+N1028+N1045+N1058+N1071+N1084+N1097+N1110+N1123+N1136+N1149+N1166+N1179+N1192+N1205+N1218+N1231+N1244+N1257+N1274+N1287+N1300+N1317+N1330+N1343+N1356+1E-41</f>
        <v>1E-41</v>
      </c>
      <c r="O1370" s="286">
        <f>IF(B282=0,N1370,N9+N23+N36+N49+N62+N75+N88+N101+N114+N127+N144+N157+N170+N183+N196+N209+N222+N235+N248+N261+N278+N292+N306+N320+N334+N348+N362+N376+N390+N404+N418+N432+N446+N460+N474+N488+N502+N516+N530+N544+S569+S582+N592+N605+N618+N631+N644+N657+N674+N687+N700+N719+N732+N745+N758+N771+N784+N797+N810+N823+N836+N849+N862+N875+N888+N901+N914+N931+N944+N957+N970+N989+N1002+N1015+N1028+N1045+N1058+N1071+N1084+N1097+N1110+N1123+N1136+N1149+N1166+N1179+N1192+N1205+N1218+N1231+N1244+N1257+N1274+N1287+N1300+N1317+N1330+N1343+N1356)</f>
        <v>1E-41</v>
      </c>
      <c r="P1370" s="192"/>
      <c r="Q1370" s="192"/>
      <c r="R1370" s="192"/>
      <c r="S1370" s="192"/>
    </row>
    <row r="1371" spans="1:68" s="292" customFormat="1" hidden="1">
      <c r="A1371" s="291"/>
      <c r="B1371" s="291"/>
      <c r="C1371" s="293"/>
      <c r="D1371" s="291"/>
      <c r="E1371" s="291"/>
      <c r="F1371" s="291"/>
      <c r="G1371" s="305"/>
      <c r="H1371" s="291"/>
      <c r="I1371" s="291"/>
      <c r="J1371" s="291"/>
      <c r="K1371" s="291"/>
      <c r="L1371" s="291"/>
      <c r="M1371" s="291"/>
      <c r="N1371" s="291"/>
      <c r="O1371" s="291"/>
      <c r="P1371" s="291"/>
      <c r="Q1371" s="291"/>
      <c r="R1371" s="291"/>
      <c r="S1371" s="291"/>
      <c r="Z1371" s="318"/>
      <c r="AA1371" s="318"/>
      <c r="AB1371" s="318"/>
      <c r="AC1371" s="318"/>
      <c r="AD1371" s="318"/>
      <c r="AE1371" s="318"/>
      <c r="AF1371" s="318"/>
      <c r="AG1371" s="318"/>
      <c r="AH1371" s="318"/>
      <c r="AI1371" s="318"/>
      <c r="AJ1371" s="318"/>
      <c r="AK1371" s="318"/>
      <c r="BP1371" s="306"/>
    </row>
    <row r="1372" spans="1:68" s="292" customFormat="1" hidden="1">
      <c r="A1372" s="291"/>
      <c r="B1372" s="291"/>
      <c r="C1372" s="293"/>
      <c r="D1372" s="291"/>
      <c r="E1372" s="291"/>
      <c r="F1372" s="291"/>
      <c r="G1372" s="291"/>
      <c r="H1372" s="291"/>
      <c r="I1372" s="291"/>
      <c r="J1372" s="291"/>
      <c r="K1372" s="291"/>
      <c r="L1372" s="291"/>
      <c r="M1372" s="291"/>
      <c r="N1372" s="291"/>
      <c r="O1372" s="291"/>
      <c r="P1372" s="291"/>
      <c r="Q1372" s="291"/>
      <c r="R1372" s="291"/>
      <c r="S1372" s="291"/>
      <c r="Z1372" s="318"/>
      <c r="AA1372" s="318"/>
      <c r="AB1372" s="318"/>
      <c r="AC1372" s="318"/>
      <c r="AD1372" s="318"/>
      <c r="AE1372" s="318"/>
      <c r="AF1372" s="318"/>
      <c r="AG1372" s="318"/>
      <c r="AH1372" s="318"/>
      <c r="AI1372" s="318"/>
      <c r="AJ1372" s="318"/>
      <c r="AK1372" s="318"/>
      <c r="BP1372" s="306"/>
    </row>
    <row r="1373" spans="1:68" s="292" customFormat="1" hidden="1">
      <c r="A1373" s="291"/>
      <c r="B1373" s="291"/>
      <c r="C1373" s="293"/>
      <c r="D1373" s="291"/>
      <c r="E1373" s="291"/>
      <c r="F1373" s="291"/>
      <c r="G1373" s="291"/>
      <c r="H1373" s="291"/>
      <c r="I1373" s="291"/>
      <c r="J1373" s="291"/>
      <c r="K1373" s="291"/>
      <c r="L1373" s="291"/>
      <c r="M1373" s="291"/>
      <c r="N1373" s="291"/>
      <c r="O1373" s="291"/>
      <c r="P1373" s="291"/>
      <c r="Q1373" s="291"/>
      <c r="R1373" s="291"/>
      <c r="S1373" s="291"/>
      <c r="Z1373" s="318"/>
      <c r="AA1373" s="318"/>
      <c r="AB1373" s="318"/>
      <c r="AC1373" s="318"/>
      <c r="AD1373" s="318"/>
      <c r="AE1373" s="318"/>
      <c r="AF1373" s="318"/>
      <c r="AG1373" s="318"/>
      <c r="AH1373" s="318"/>
      <c r="AI1373" s="318"/>
      <c r="AJ1373" s="318"/>
      <c r="AK1373" s="318"/>
      <c r="BP1373" s="306"/>
    </row>
    <row r="1374" spans="1:68" s="292" customFormat="1" hidden="1">
      <c r="A1374" s="291"/>
      <c r="B1374" s="291"/>
      <c r="C1374" s="293"/>
      <c r="D1374" s="291"/>
      <c r="E1374" s="291"/>
      <c r="F1374" s="291"/>
      <c r="G1374" s="291"/>
      <c r="H1374" s="291"/>
      <c r="I1374" s="291"/>
      <c r="J1374" s="291"/>
      <c r="K1374" s="291"/>
      <c r="L1374" s="291"/>
      <c r="M1374" s="291"/>
      <c r="N1374" s="291"/>
      <c r="O1374" s="291"/>
      <c r="P1374" s="291"/>
      <c r="Q1374" s="291"/>
      <c r="R1374" s="291"/>
      <c r="S1374" s="291"/>
      <c r="Z1374" s="318"/>
      <c r="AA1374" s="318"/>
      <c r="AB1374" s="318"/>
      <c r="AC1374" s="318"/>
      <c r="AD1374" s="318"/>
      <c r="AE1374" s="318"/>
      <c r="AF1374" s="318"/>
      <c r="AG1374" s="318"/>
      <c r="AH1374" s="318"/>
      <c r="AI1374" s="318"/>
      <c r="AJ1374" s="318"/>
      <c r="AK1374" s="318"/>
      <c r="BP1374" s="306"/>
    </row>
    <row r="1375" spans="1:68" s="292" customFormat="1" ht="11.55" hidden="1" customHeight="1">
      <c r="A1375" s="291"/>
      <c r="B1375" s="291" t="s">
        <v>208</v>
      </c>
      <c r="C1375" s="307" t="s">
        <v>557</v>
      </c>
      <c r="D1375" s="291"/>
      <c r="E1375" s="291"/>
      <c r="F1375" s="291"/>
      <c r="G1375" s="1290" t="s">
        <v>49</v>
      </c>
      <c r="H1375" s="1290"/>
      <c r="I1375" s="291"/>
      <c r="J1375" s="1292">
        <f t="shared" ref="J1375:J1386" si="51">O11+O24+O37+O50+O63+O76+O89+O102+O115+O128+O145+O158+O171+O184+O197+O210+O223+O236+O249+O262+H280+H294+H308+H322+H336+H350+H364+H378+H392+H406+H420+H434+H448+H462+H476+H490+H504+H518+H532+H546+N563+N576+O593+O606+O619+O632+O645+O658+O675+O688+O701+O720+O733+O746+O759+O772+O785+O798+O811+O824+O837+O850+O863+O876+O889+O902+O915+O932+O945+O958+O971</f>
        <v>0</v>
      </c>
      <c r="K1375" s="1292"/>
      <c r="L1375" s="291"/>
      <c r="M1375" s="291"/>
      <c r="N1375" s="291"/>
      <c r="O1375" s="291"/>
      <c r="P1375" s="291"/>
      <c r="Q1375" s="291"/>
      <c r="R1375" s="291"/>
      <c r="S1375" s="291"/>
      <c r="Z1375" s="318"/>
      <c r="AA1375" s="318"/>
      <c r="AB1375" s="318"/>
      <c r="AC1375" s="318"/>
      <c r="AD1375" s="318"/>
      <c r="AE1375" s="318"/>
      <c r="AF1375" s="318"/>
      <c r="AG1375" s="318"/>
      <c r="AH1375" s="318"/>
      <c r="AI1375" s="318"/>
      <c r="AJ1375" s="318"/>
      <c r="AK1375" s="318"/>
      <c r="BP1375" s="306"/>
    </row>
    <row r="1376" spans="1:68" s="292" customFormat="1" ht="11.55" hidden="1" customHeight="1">
      <c r="A1376" s="291"/>
      <c r="B1376" s="291"/>
      <c r="C1376" s="293"/>
      <c r="D1376" s="291"/>
      <c r="E1376" s="291"/>
      <c r="F1376" s="291"/>
      <c r="G1376" s="1290" t="s">
        <v>554</v>
      </c>
      <c r="H1376" s="1290"/>
      <c r="I1376" s="291"/>
      <c r="J1376" s="1292">
        <f t="shared" si="51"/>
        <v>0</v>
      </c>
      <c r="K1376" s="1292"/>
      <c r="L1376" s="291"/>
      <c r="M1376" s="291"/>
      <c r="N1376" s="291"/>
      <c r="O1376" s="291"/>
      <c r="P1376" s="291"/>
      <c r="Q1376" s="291"/>
      <c r="R1376" s="291"/>
      <c r="S1376" s="291"/>
      <c r="Z1376" s="318"/>
      <c r="AA1376" s="318"/>
      <c r="AB1376" s="318"/>
      <c r="AC1376" s="318"/>
      <c r="AD1376" s="318"/>
      <c r="AE1376" s="318"/>
      <c r="AF1376" s="318"/>
      <c r="AG1376" s="318"/>
      <c r="AH1376" s="318"/>
      <c r="AI1376" s="318"/>
      <c r="AJ1376" s="318"/>
      <c r="AK1376" s="318"/>
      <c r="BP1376" s="306"/>
    </row>
    <row r="1377" spans="1:68" s="292" customFormat="1" ht="11.55" hidden="1" customHeight="1">
      <c r="A1377" s="291"/>
      <c r="B1377" s="291"/>
      <c r="C1377" s="293"/>
      <c r="D1377" s="291"/>
      <c r="E1377" s="291"/>
      <c r="F1377" s="291"/>
      <c r="G1377" s="1290" t="s">
        <v>306</v>
      </c>
      <c r="H1377" s="1290"/>
      <c r="I1377" s="291"/>
      <c r="J1377" s="1292">
        <f t="shared" si="51"/>
        <v>0</v>
      </c>
      <c r="K1377" s="1292"/>
      <c r="L1377" s="291"/>
      <c r="M1377" s="291"/>
      <c r="N1377" s="291"/>
      <c r="O1377" s="291"/>
      <c r="P1377" s="291"/>
      <c r="Q1377" s="291"/>
      <c r="R1377" s="291"/>
      <c r="S1377" s="291"/>
      <c r="Z1377" s="318"/>
      <c r="AA1377" s="318"/>
      <c r="AB1377" s="318"/>
      <c r="AC1377" s="318"/>
      <c r="AD1377" s="318"/>
      <c r="AE1377" s="318"/>
      <c r="AF1377" s="318"/>
      <c r="AG1377" s="318"/>
      <c r="AH1377" s="318"/>
      <c r="AI1377" s="318"/>
      <c r="AJ1377" s="318"/>
      <c r="AK1377" s="318"/>
      <c r="BP1377" s="306"/>
    </row>
    <row r="1378" spans="1:68" s="292" customFormat="1" ht="11.55" hidden="1" customHeight="1">
      <c r="A1378" s="291"/>
      <c r="B1378" s="291"/>
      <c r="C1378" s="293"/>
      <c r="D1378" s="291"/>
      <c r="E1378" s="291"/>
      <c r="F1378" s="291"/>
      <c r="G1378" s="1290" t="s">
        <v>409</v>
      </c>
      <c r="H1378" s="1290"/>
      <c r="I1378" s="291"/>
      <c r="J1378" s="1292">
        <f t="shared" si="51"/>
        <v>0</v>
      </c>
      <c r="K1378" s="1292"/>
      <c r="L1378" s="291"/>
      <c r="M1378" s="291"/>
      <c r="N1378" s="291"/>
      <c r="O1378" s="291"/>
      <c r="P1378" s="291"/>
      <c r="Q1378" s="291"/>
      <c r="R1378" s="291"/>
      <c r="S1378" s="291"/>
      <c r="Z1378" s="318"/>
      <c r="AA1378" s="318"/>
      <c r="AB1378" s="318"/>
      <c r="AC1378" s="318"/>
      <c r="AD1378" s="318"/>
      <c r="AE1378" s="318"/>
      <c r="AF1378" s="318"/>
      <c r="AG1378" s="318"/>
      <c r="AH1378" s="318"/>
      <c r="AI1378" s="318"/>
      <c r="AJ1378" s="318"/>
      <c r="AK1378" s="318"/>
      <c r="BP1378" s="306"/>
    </row>
    <row r="1379" spans="1:68" s="292" customFormat="1" ht="11.55" hidden="1" customHeight="1">
      <c r="A1379" s="291"/>
      <c r="B1379" s="291"/>
      <c r="C1379" s="293"/>
      <c r="D1379" s="291"/>
      <c r="E1379" s="291"/>
      <c r="F1379" s="291"/>
      <c r="G1379" s="1290" t="s">
        <v>410</v>
      </c>
      <c r="H1379" s="1290"/>
      <c r="I1379" s="291"/>
      <c r="J1379" s="1292">
        <f t="shared" si="51"/>
        <v>0</v>
      </c>
      <c r="K1379" s="1292"/>
      <c r="L1379" s="291"/>
      <c r="M1379" s="291"/>
      <c r="N1379" s="291"/>
      <c r="O1379" s="291"/>
      <c r="P1379" s="291"/>
      <c r="Q1379" s="291"/>
      <c r="R1379" s="291"/>
      <c r="S1379" s="291"/>
      <c r="Z1379" s="318"/>
      <c r="AA1379" s="318"/>
      <c r="AB1379" s="318"/>
      <c r="AC1379" s="318"/>
      <c r="AD1379" s="318"/>
      <c r="AE1379" s="318"/>
      <c r="AF1379" s="318"/>
      <c r="AG1379" s="318"/>
      <c r="AH1379" s="318"/>
      <c r="AI1379" s="318"/>
      <c r="AJ1379" s="318"/>
      <c r="AK1379" s="318"/>
      <c r="BP1379" s="306"/>
    </row>
    <row r="1380" spans="1:68" s="292" customFormat="1" ht="11.55" hidden="1" customHeight="1">
      <c r="A1380" s="291"/>
      <c r="B1380" s="291"/>
      <c r="C1380" s="293"/>
      <c r="D1380" s="291"/>
      <c r="E1380" s="291"/>
      <c r="F1380" s="291"/>
      <c r="G1380" s="1290" t="s">
        <v>411</v>
      </c>
      <c r="H1380" s="1290"/>
      <c r="I1380" s="291"/>
      <c r="J1380" s="1292">
        <f t="shared" si="51"/>
        <v>0</v>
      </c>
      <c r="K1380" s="1292"/>
      <c r="L1380" s="291"/>
      <c r="M1380" s="291"/>
      <c r="N1380" s="291"/>
      <c r="O1380" s="291"/>
      <c r="P1380" s="291"/>
      <c r="Q1380" s="291"/>
      <c r="R1380" s="291"/>
      <c r="S1380" s="291"/>
      <c r="Z1380" s="318"/>
      <c r="AA1380" s="318"/>
      <c r="AB1380" s="318"/>
      <c r="AC1380" s="318"/>
      <c r="AD1380" s="318"/>
      <c r="AE1380" s="318"/>
      <c r="AF1380" s="318"/>
      <c r="AG1380" s="318"/>
      <c r="AH1380" s="318"/>
      <c r="AI1380" s="318"/>
      <c r="AJ1380" s="318"/>
      <c r="AK1380" s="318"/>
      <c r="BP1380" s="306"/>
    </row>
    <row r="1381" spans="1:68" s="292" customFormat="1" ht="11.55" hidden="1" customHeight="1">
      <c r="A1381" s="291"/>
      <c r="B1381" s="291"/>
      <c r="C1381" s="293"/>
      <c r="D1381" s="291"/>
      <c r="E1381" s="291"/>
      <c r="F1381" s="291"/>
      <c r="G1381" s="1290" t="s">
        <v>221</v>
      </c>
      <c r="H1381" s="1290"/>
      <c r="I1381" s="291"/>
      <c r="J1381" s="1292">
        <f t="shared" si="51"/>
        <v>0</v>
      </c>
      <c r="K1381" s="1292"/>
      <c r="L1381" s="291"/>
      <c r="M1381" s="291"/>
      <c r="N1381" s="291"/>
      <c r="O1381" s="291"/>
      <c r="P1381" s="291"/>
      <c r="Q1381" s="291"/>
      <c r="R1381" s="291"/>
      <c r="S1381" s="291"/>
      <c r="Z1381" s="318"/>
      <c r="AA1381" s="318"/>
      <c r="AB1381" s="318"/>
      <c r="AC1381" s="318"/>
      <c r="AD1381" s="318"/>
      <c r="AE1381" s="318"/>
      <c r="AF1381" s="318"/>
      <c r="AG1381" s="318"/>
      <c r="AH1381" s="318"/>
      <c r="AI1381" s="318"/>
      <c r="AJ1381" s="318"/>
      <c r="AK1381" s="318"/>
      <c r="BP1381" s="306"/>
    </row>
    <row r="1382" spans="1:68" s="292" customFormat="1" ht="11.55" hidden="1" customHeight="1">
      <c r="A1382" s="291"/>
      <c r="B1382" s="291"/>
      <c r="C1382" s="293"/>
      <c r="D1382" s="291"/>
      <c r="E1382" s="291"/>
      <c r="F1382" s="291"/>
      <c r="G1382" s="1290" t="s">
        <v>138</v>
      </c>
      <c r="H1382" s="1290"/>
      <c r="I1382" s="291"/>
      <c r="J1382" s="1292">
        <f t="shared" si="51"/>
        <v>0</v>
      </c>
      <c r="K1382" s="1292"/>
      <c r="L1382" s="291"/>
      <c r="M1382" s="291"/>
      <c r="N1382" s="291"/>
      <c r="O1382" s="291"/>
      <c r="P1382" s="291"/>
      <c r="Q1382" s="291"/>
      <c r="R1382" s="291"/>
      <c r="S1382" s="291"/>
      <c r="Z1382" s="318"/>
      <c r="AA1382" s="318"/>
      <c r="AB1382" s="318"/>
      <c r="AC1382" s="318"/>
      <c r="AD1382" s="318"/>
      <c r="AE1382" s="318"/>
      <c r="AF1382" s="318"/>
      <c r="AG1382" s="318"/>
      <c r="AH1382" s="318"/>
      <c r="AI1382" s="318"/>
      <c r="AJ1382" s="318"/>
      <c r="AK1382" s="318"/>
      <c r="BP1382" s="306"/>
    </row>
    <row r="1383" spans="1:68" s="292" customFormat="1" ht="11.55" hidden="1" customHeight="1">
      <c r="A1383" s="291"/>
      <c r="B1383" s="291"/>
      <c r="C1383" s="293"/>
      <c r="D1383" s="291"/>
      <c r="E1383" s="291"/>
      <c r="F1383" s="291"/>
      <c r="G1383" s="1290" t="s">
        <v>139</v>
      </c>
      <c r="H1383" s="1290"/>
      <c r="I1383" s="291"/>
      <c r="J1383" s="1292">
        <f t="shared" si="51"/>
        <v>0</v>
      </c>
      <c r="K1383" s="1292"/>
      <c r="L1383" s="291"/>
      <c r="M1383" s="291"/>
      <c r="N1383" s="291"/>
      <c r="O1383" s="291"/>
      <c r="P1383" s="291"/>
      <c r="Q1383" s="291"/>
      <c r="R1383" s="291"/>
      <c r="S1383" s="291"/>
      <c r="Z1383" s="318"/>
      <c r="AA1383" s="318"/>
      <c r="AB1383" s="318"/>
      <c r="AC1383" s="318"/>
      <c r="AD1383" s="318"/>
      <c r="AE1383" s="318"/>
      <c r="AF1383" s="318"/>
      <c r="AG1383" s="318"/>
      <c r="AH1383" s="318"/>
      <c r="AI1383" s="318"/>
      <c r="AJ1383" s="318"/>
      <c r="AK1383" s="318"/>
      <c r="BP1383" s="306"/>
    </row>
    <row r="1384" spans="1:68" s="292" customFormat="1" ht="11.55" hidden="1" customHeight="1">
      <c r="A1384" s="291"/>
      <c r="B1384" s="291"/>
      <c r="C1384" s="293"/>
      <c r="D1384" s="291"/>
      <c r="E1384" s="291"/>
      <c r="F1384" s="291"/>
      <c r="G1384" s="1290" t="s">
        <v>269</v>
      </c>
      <c r="H1384" s="1290"/>
      <c r="I1384" s="291"/>
      <c r="J1384" s="1292">
        <f t="shared" si="51"/>
        <v>0</v>
      </c>
      <c r="K1384" s="1292"/>
      <c r="L1384" s="291"/>
      <c r="M1384" s="291"/>
      <c r="N1384" s="291"/>
      <c r="O1384" s="291"/>
      <c r="P1384" s="291"/>
      <c r="Q1384" s="291"/>
      <c r="R1384" s="291"/>
      <c r="S1384" s="291"/>
      <c r="Z1384" s="318"/>
      <c r="AA1384" s="318"/>
      <c r="AB1384" s="318"/>
      <c r="AC1384" s="318"/>
      <c r="AD1384" s="318"/>
      <c r="AE1384" s="318"/>
      <c r="AF1384" s="318"/>
      <c r="AG1384" s="318"/>
      <c r="AH1384" s="318"/>
      <c r="AI1384" s="318"/>
      <c r="AJ1384" s="318"/>
      <c r="AK1384" s="318"/>
      <c r="BP1384" s="306"/>
    </row>
    <row r="1385" spans="1:68" s="292" customFormat="1" ht="11.55" hidden="1" customHeight="1">
      <c r="A1385" s="291"/>
      <c r="B1385" s="291"/>
      <c r="C1385" s="293"/>
      <c r="D1385" s="291"/>
      <c r="E1385" s="291"/>
      <c r="F1385" s="291"/>
      <c r="G1385" s="1290" t="s">
        <v>366</v>
      </c>
      <c r="H1385" s="1290"/>
      <c r="I1385" s="291"/>
      <c r="J1385" s="1292">
        <f t="shared" si="51"/>
        <v>0</v>
      </c>
      <c r="K1385" s="1292"/>
      <c r="L1385" s="291"/>
      <c r="M1385" s="291"/>
      <c r="N1385" s="291"/>
      <c r="O1385" s="291"/>
      <c r="P1385" s="291"/>
      <c r="Q1385" s="291"/>
      <c r="R1385" s="291"/>
      <c r="S1385" s="291"/>
      <c r="Z1385" s="318"/>
      <c r="AA1385" s="318"/>
      <c r="AB1385" s="318"/>
      <c r="AC1385" s="318"/>
      <c r="AD1385" s="318"/>
      <c r="AE1385" s="318"/>
      <c r="AF1385" s="318"/>
      <c r="AG1385" s="318"/>
      <c r="AH1385" s="318"/>
      <c r="AI1385" s="318"/>
      <c r="AJ1385" s="318"/>
      <c r="AK1385" s="318"/>
      <c r="BP1385" s="306"/>
    </row>
    <row r="1386" spans="1:68" s="292" customFormat="1" ht="11.55" hidden="1" customHeight="1">
      <c r="A1386" s="291"/>
      <c r="B1386" s="291"/>
      <c r="C1386" s="293"/>
      <c r="D1386" s="291"/>
      <c r="E1386" s="291"/>
      <c r="F1386" s="291"/>
      <c r="G1386" s="1290" t="s">
        <v>465</v>
      </c>
      <c r="H1386" s="1290"/>
      <c r="I1386" s="291"/>
      <c r="J1386" s="1292">
        <f t="shared" si="51"/>
        <v>0</v>
      </c>
      <c r="K1386" s="1292"/>
      <c r="L1386" s="291"/>
      <c r="M1386" s="291"/>
      <c r="N1386" s="291"/>
      <c r="O1386" s="291"/>
      <c r="P1386" s="291"/>
      <c r="Q1386" s="291"/>
      <c r="R1386" s="291"/>
      <c r="S1386" s="291"/>
      <c r="Z1386" s="318"/>
      <c r="AA1386" s="318"/>
      <c r="AB1386" s="318"/>
      <c r="AC1386" s="318"/>
      <c r="AD1386" s="318"/>
      <c r="AE1386" s="318"/>
      <c r="AF1386" s="318"/>
      <c r="AG1386" s="318"/>
      <c r="AH1386" s="318"/>
      <c r="AI1386" s="318"/>
      <c r="AJ1386" s="318"/>
      <c r="AK1386" s="318"/>
      <c r="BP1386" s="306"/>
    </row>
    <row r="1387" spans="1:68" s="292" customFormat="1" ht="11.55" hidden="1" customHeight="1">
      <c r="A1387" s="291"/>
      <c r="B1387" s="291"/>
      <c r="C1387" s="293"/>
      <c r="D1387" s="291"/>
      <c r="E1387" s="291"/>
      <c r="F1387" s="291"/>
      <c r="G1387" s="291"/>
      <c r="H1387" s="291"/>
      <c r="I1387" s="291"/>
      <c r="J1387" s="291"/>
      <c r="K1387" s="291"/>
      <c r="L1387" s="291"/>
      <c r="M1387" s="291"/>
      <c r="N1387" s="291"/>
      <c r="O1387" s="291"/>
      <c r="P1387" s="291"/>
      <c r="Q1387" s="291"/>
      <c r="R1387" s="291"/>
      <c r="S1387" s="291"/>
      <c r="Z1387" s="318"/>
      <c r="AA1387" s="318"/>
      <c r="AB1387" s="318"/>
      <c r="AC1387" s="318"/>
      <c r="AD1387" s="318"/>
      <c r="AE1387" s="318"/>
      <c r="AF1387" s="318"/>
      <c r="AG1387" s="318"/>
      <c r="AH1387" s="318"/>
      <c r="AI1387" s="318"/>
      <c r="AJ1387" s="318"/>
      <c r="AK1387" s="318"/>
      <c r="BP1387" s="306"/>
    </row>
    <row r="1388" spans="1:68" s="292" customFormat="1" ht="11.55" hidden="1" customHeight="1">
      <c r="A1388" s="291"/>
      <c r="B1388" s="291"/>
      <c r="C1388" s="307" t="s">
        <v>258</v>
      </c>
      <c r="D1388" s="291"/>
      <c r="E1388" s="291"/>
      <c r="F1388" s="291"/>
      <c r="G1388" s="1290" t="s">
        <v>49</v>
      </c>
      <c r="H1388" s="1290"/>
      <c r="I1388" s="291"/>
      <c r="J1388" s="1292">
        <f t="shared" ref="J1388:J1399" si="52">N990+N1003+N1016+N1029+N1046+N1059+N1072+N1085+N1098+N1111+N1124+N1137+N1150+N1167+N1180+N1193+N1206+N1219+N1232+N1245+N1258+N1275+N1288+N1301+N1318+N1331+N1344+N1357</f>
        <v>0</v>
      </c>
      <c r="K1388" s="1292"/>
      <c r="L1388" s="291"/>
      <c r="M1388" s="291"/>
      <c r="N1388" s="291"/>
      <c r="O1388" s="291"/>
      <c r="P1388" s="291"/>
      <c r="Q1388" s="291"/>
      <c r="R1388" s="291"/>
      <c r="S1388" s="291"/>
      <c r="Z1388" s="318"/>
      <c r="AA1388" s="318"/>
      <c r="AB1388" s="318"/>
      <c r="AC1388" s="318"/>
      <c r="AD1388" s="318"/>
      <c r="AE1388" s="318"/>
      <c r="AF1388" s="318"/>
      <c r="AG1388" s="318"/>
      <c r="AH1388" s="318"/>
      <c r="AI1388" s="318"/>
      <c r="AJ1388" s="318"/>
      <c r="AK1388" s="318"/>
      <c r="BP1388" s="306"/>
    </row>
    <row r="1389" spans="1:68" s="292" customFormat="1" ht="11.55" hidden="1" customHeight="1">
      <c r="A1389" s="291"/>
      <c r="B1389" s="291"/>
      <c r="C1389" s="293"/>
      <c r="D1389" s="291"/>
      <c r="E1389" s="291"/>
      <c r="F1389" s="291"/>
      <c r="G1389" s="1290" t="s">
        <v>554</v>
      </c>
      <c r="H1389" s="1290"/>
      <c r="I1389" s="291"/>
      <c r="J1389" s="1292">
        <f t="shared" si="52"/>
        <v>0</v>
      </c>
      <c r="K1389" s="1292"/>
      <c r="L1389" s="291"/>
      <c r="M1389" s="291"/>
      <c r="N1389" s="291"/>
      <c r="O1389" s="291"/>
      <c r="P1389" s="291"/>
      <c r="Q1389" s="291"/>
      <c r="R1389" s="291"/>
      <c r="S1389" s="291"/>
      <c r="Z1389" s="318"/>
      <c r="AA1389" s="318"/>
      <c r="AB1389" s="318"/>
      <c r="AC1389" s="318"/>
      <c r="AD1389" s="318"/>
      <c r="AE1389" s="318"/>
      <c r="AF1389" s="318"/>
      <c r="AG1389" s="318"/>
      <c r="AH1389" s="318"/>
      <c r="AI1389" s="318"/>
      <c r="AJ1389" s="318"/>
      <c r="AK1389" s="318"/>
      <c r="BP1389" s="306"/>
    </row>
    <row r="1390" spans="1:68" s="292" customFormat="1" ht="11.55" hidden="1" customHeight="1">
      <c r="A1390" s="291"/>
      <c r="B1390" s="291"/>
      <c r="C1390" s="293"/>
      <c r="D1390" s="291"/>
      <c r="E1390" s="291"/>
      <c r="F1390" s="291"/>
      <c r="G1390" s="1290" t="s">
        <v>306</v>
      </c>
      <c r="H1390" s="1290"/>
      <c r="I1390" s="291"/>
      <c r="J1390" s="1292">
        <f t="shared" si="52"/>
        <v>0</v>
      </c>
      <c r="K1390" s="1292"/>
      <c r="L1390" s="291"/>
      <c r="M1390" s="291"/>
      <c r="N1390" s="291"/>
      <c r="O1390" s="291"/>
      <c r="P1390" s="291"/>
      <c r="Q1390" s="291"/>
      <c r="R1390" s="291"/>
      <c r="S1390" s="291"/>
      <c r="Z1390" s="318"/>
      <c r="AA1390" s="318"/>
      <c r="AB1390" s="318"/>
      <c r="AC1390" s="318"/>
      <c r="AD1390" s="318"/>
      <c r="AE1390" s="318"/>
      <c r="AF1390" s="318"/>
      <c r="AG1390" s="318"/>
      <c r="AH1390" s="318"/>
      <c r="AI1390" s="318"/>
      <c r="AJ1390" s="318"/>
      <c r="AK1390" s="318"/>
      <c r="BP1390" s="306"/>
    </row>
    <row r="1391" spans="1:68" s="292" customFormat="1" ht="11.55" hidden="1" customHeight="1">
      <c r="A1391" s="291"/>
      <c r="B1391" s="291"/>
      <c r="C1391" s="293"/>
      <c r="D1391" s="291"/>
      <c r="E1391" s="291"/>
      <c r="F1391" s="291"/>
      <c r="G1391" s="1290" t="s">
        <v>409</v>
      </c>
      <c r="H1391" s="1290"/>
      <c r="I1391" s="291"/>
      <c r="J1391" s="1292">
        <f t="shared" si="52"/>
        <v>0</v>
      </c>
      <c r="K1391" s="1292"/>
      <c r="L1391" s="291"/>
      <c r="M1391" s="291"/>
      <c r="N1391" s="291"/>
      <c r="O1391" s="291"/>
      <c r="P1391" s="291"/>
      <c r="Q1391" s="291"/>
      <c r="R1391" s="291"/>
      <c r="S1391" s="291"/>
      <c r="Z1391" s="318"/>
      <c r="AA1391" s="318"/>
      <c r="AB1391" s="318"/>
      <c r="AC1391" s="318"/>
      <c r="AD1391" s="318"/>
      <c r="AE1391" s="318"/>
      <c r="AF1391" s="318"/>
      <c r="AG1391" s="318"/>
      <c r="AH1391" s="318"/>
      <c r="AI1391" s="318"/>
      <c r="AJ1391" s="318"/>
      <c r="AK1391" s="318"/>
      <c r="BP1391" s="306"/>
    </row>
    <row r="1392" spans="1:68" s="292" customFormat="1" ht="11.55" hidden="1" customHeight="1">
      <c r="A1392" s="291"/>
      <c r="B1392" s="291"/>
      <c r="C1392" s="293"/>
      <c r="D1392" s="291"/>
      <c r="E1392" s="291"/>
      <c r="F1392" s="291"/>
      <c r="G1392" s="1290" t="s">
        <v>410</v>
      </c>
      <c r="H1392" s="1290"/>
      <c r="I1392" s="291"/>
      <c r="J1392" s="1292">
        <f t="shared" si="52"/>
        <v>0</v>
      </c>
      <c r="K1392" s="1292"/>
      <c r="L1392" s="291"/>
      <c r="M1392" s="291"/>
      <c r="N1392" s="291"/>
      <c r="O1392" s="291"/>
      <c r="P1392" s="291"/>
      <c r="Q1392" s="291"/>
      <c r="R1392" s="291"/>
      <c r="S1392" s="291"/>
      <c r="Z1392" s="318"/>
      <c r="AA1392" s="318"/>
      <c r="AB1392" s="318"/>
      <c r="AC1392" s="318"/>
      <c r="AD1392" s="318"/>
      <c r="AE1392" s="318"/>
      <c r="AF1392" s="318"/>
      <c r="AG1392" s="318"/>
      <c r="AH1392" s="318"/>
      <c r="AI1392" s="318"/>
      <c r="AJ1392" s="318"/>
      <c r="AK1392" s="318"/>
      <c r="BP1392" s="306"/>
    </row>
    <row r="1393" spans="1:68" s="292" customFormat="1" ht="11.55" hidden="1" customHeight="1">
      <c r="A1393" s="291"/>
      <c r="B1393" s="291"/>
      <c r="C1393" s="293"/>
      <c r="D1393" s="291"/>
      <c r="E1393" s="291"/>
      <c r="F1393" s="291"/>
      <c r="G1393" s="1290" t="s">
        <v>411</v>
      </c>
      <c r="H1393" s="1290"/>
      <c r="I1393" s="291"/>
      <c r="J1393" s="1292">
        <f t="shared" si="52"/>
        <v>0</v>
      </c>
      <c r="K1393" s="1292"/>
      <c r="L1393" s="291"/>
      <c r="M1393" s="291"/>
      <c r="N1393" s="291"/>
      <c r="O1393" s="291"/>
      <c r="P1393" s="291"/>
      <c r="Q1393" s="291"/>
      <c r="R1393" s="291"/>
      <c r="S1393" s="291"/>
      <c r="Z1393" s="318"/>
      <c r="AA1393" s="318"/>
      <c r="AB1393" s="318"/>
      <c r="AC1393" s="318"/>
      <c r="AD1393" s="318"/>
      <c r="AE1393" s="318"/>
      <c r="AF1393" s="318"/>
      <c r="AG1393" s="318"/>
      <c r="AH1393" s="318"/>
      <c r="AI1393" s="318"/>
      <c r="AJ1393" s="318"/>
      <c r="AK1393" s="318"/>
      <c r="BP1393" s="306"/>
    </row>
    <row r="1394" spans="1:68" s="292" customFormat="1" ht="11.55" hidden="1" customHeight="1">
      <c r="A1394" s="291"/>
      <c r="B1394" s="291"/>
      <c r="C1394" s="293"/>
      <c r="D1394" s="291"/>
      <c r="E1394" s="291"/>
      <c r="F1394" s="291"/>
      <c r="G1394" s="1290" t="s">
        <v>221</v>
      </c>
      <c r="H1394" s="1290"/>
      <c r="I1394" s="291"/>
      <c r="J1394" s="1292">
        <f t="shared" si="52"/>
        <v>0</v>
      </c>
      <c r="K1394" s="1292"/>
      <c r="L1394" s="291"/>
      <c r="M1394" s="291"/>
      <c r="N1394" s="291"/>
      <c r="O1394" s="291"/>
      <c r="P1394" s="291"/>
      <c r="Q1394" s="291"/>
      <c r="R1394" s="291"/>
      <c r="S1394" s="291"/>
      <c r="Z1394" s="318"/>
      <c r="AA1394" s="318"/>
      <c r="AB1394" s="318"/>
      <c r="AC1394" s="318"/>
      <c r="AD1394" s="318"/>
      <c r="AE1394" s="318"/>
      <c r="AF1394" s="318"/>
      <c r="AG1394" s="318"/>
      <c r="AH1394" s="318"/>
      <c r="AI1394" s="318"/>
      <c r="AJ1394" s="318"/>
      <c r="AK1394" s="318"/>
      <c r="BP1394" s="306"/>
    </row>
    <row r="1395" spans="1:68" s="292" customFormat="1" ht="11.55" hidden="1" customHeight="1">
      <c r="A1395" s="291"/>
      <c r="B1395" s="291"/>
      <c r="C1395" s="293"/>
      <c r="D1395" s="291"/>
      <c r="E1395" s="291"/>
      <c r="F1395" s="291"/>
      <c r="G1395" s="1290" t="s">
        <v>138</v>
      </c>
      <c r="H1395" s="1290"/>
      <c r="I1395" s="291"/>
      <c r="J1395" s="1292">
        <f t="shared" si="52"/>
        <v>0</v>
      </c>
      <c r="K1395" s="1292"/>
      <c r="L1395" s="291"/>
      <c r="M1395" s="291"/>
      <c r="N1395" s="291"/>
      <c r="O1395" s="291"/>
      <c r="P1395" s="291"/>
      <c r="Q1395" s="291"/>
      <c r="R1395" s="291"/>
      <c r="S1395" s="291"/>
      <c r="Z1395" s="318"/>
      <c r="AA1395" s="318"/>
      <c r="AB1395" s="318"/>
      <c r="AC1395" s="318"/>
      <c r="AD1395" s="318"/>
      <c r="AE1395" s="318"/>
      <c r="AF1395" s="318"/>
      <c r="AG1395" s="318"/>
      <c r="AH1395" s="318"/>
      <c r="AI1395" s="318"/>
      <c r="AJ1395" s="318"/>
      <c r="AK1395" s="318"/>
      <c r="BP1395" s="306"/>
    </row>
    <row r="1396" spans="1:68" s="292" customFormat="1" ht="11.55" hidden="1" customHeight="1">
      <c r="A1396" s="291"/>
      <c r="B1396" s="291"/>
      <c r="C1396" s="293"/>
      <c r="D1396" s="291"/>
      <c r="E1396" s="291"/>
      <c r="F1396" s="291"/>
      <c r="G1396" s="1290" t="s">
        <v>139</v>
      </c>
      <c r="H1396" s="1290"/>
      <c r="I1396" s="291"/>
      <c r="J1396" s="1292">
        <f t="shared" si="52"/>
        <v>0</v>
      </c>
      <c r="K1396" s="1292"/>
      <c r="L1396" s="291"/>
      <c r="M1396" s="291"/>
      <c r="N1396" s="291"/>
      <c r="O1396" s="291"/>
      <c r="P1396" s="291"/>
      <c r="Q1396" s="291"/>
      <c r="R1396" s="291"/>
      <c r="S1396" s="291"/>
      <c r="Z1396" s="318"/>
      <c r="AA1396" s="318"/>
      <c r="AB1396" s="318"/>
      <c r="AC1396" s="318"/>
      <c r="AD1396" s="318"/>
      <c r="AE1396" s="318"/>
      <c r="AF1396" s="318"/>
      <c r="AG1396" s="318"/>
      <c r="AH1396" s="318"/>
      <c r="AI1396" s="318"/>
      <c r="AJ1396" s="318"/>
      <c r="AK1396" s="318"/>
      <c r="BP1396" s="306"/>
    </row>
    <row r="1397" spans="1:68" s="292" customFormat="1" ht="11.55" hidden="1" customHeight="1">
      <c r="A1397" s="291"/>
      <c r="B1397" s="291"/>
      <c r="C1397" s="293"/>
      <c r="D1397" s="291"/>
      <c r="E1397" s="291"/>
      <c r="F1397" s="291"/>
      <c r="G1397" s="1290" t="s">
        <v>269</v>
      </c>
      <c r="H1397" s="1290"/>
      <c r="I1397" s="291"/>
      <c r="J1397" s="1292">
        <f t="shared" si="52"/>
        <v>0</v>
      </c>
      <c r="K1397" s="1292"/>
      <c r="L1397" s="291"/>
      <c r="M1397" s="291"/>
      <c r="N1397" s="291"/>
      <c r="O1397" s="291"/>
      <c r="P1397" s="291"/>
      <c r="Q1397" s="291"/>
      <c r="R1397" s="291"/>
      <c r="S1397" s="291"/>
      <c r="Z1397" s="318"/>
      <c r="AA1397" s="318"/>
      <c r="AB1397" s="318"/>
      <c r="AC1397" s="318"/>
      <c r="AD1397" s="318"/>
      <c r="AE1397" s="318"/>
      <c r="AF1397" s="318"/>
      <c r="AG1397" s="318"/>
      <c r="AH1397" s="318"/>
      <c r="AI1397" s="318"/>
      <c r="AJ1397" s="318"/>
      <c r="AK1397" s="318"/>
      <c r="BP1397" s="306"/>
    </row>
    <row r="1398" spans="1:68" s="292" customFormat="1" ht="11.55" hidden="1" customHeight="1">
      <c r="A1398" s="291"/>
      <c r="B1398" s="291"/>
      <c r="C1398" s="293"/>
      <c r="D1398" s="291"/>
      <c r="E1398" s="291"/>
      <c r="F1398" s="291"/>
      <c r="G1398" s="1290" t="s">
        <v>366</v>
      </c>
      <c r="H1398" s="1290"/>
      <c r="I1398" s="291"/>
      <c r="J1398" s="1292">
        <f t="shared" si="52"/>
        <v>0</v>
      </c>
      <c r="K1398" s="1292"/>
      <c r="L1398" s="291"/>
      <c r="M1398" s="291"/>
      <c r="N1398" s="291"/>
      <c r="O1398" s="291"/>
      <c r="P1398" s="291"/>
      <c r="Q1398" s="291"/>
      <c r="R1398" s="291"/>
      <c r="S1398" s="291"/>
      <c r="Z1398" s="318"/>
      <c r="AA1398" s="318"/>
      <c r="AB1398" s="318"/>
      <c r="AC1398" s="318"/>
      <c r="AD1398" s="318"/>
      <c r="AE1398" s="318"/>
      <c r="AF1398" s="318"/>
      <c r="AG1398" s="318"/>
      <c r="AH1398" s="318"/>
      <c r="AI1398" s="318"/>
      <c r="AJ1398" s="318"/>
      <c r="AK1398" s="318"/>
      <c r="BP1398" s="306"/>
    </row>
    <row r="1399" spans="1:68" s="292" customFormat="1" ht="11.55" hidden="1" customHeight="1">
      <c r="A1399" s="291"/>
      <c r="B1399" s="291"/>
      <c r="C1399" s="293"/>
      <c r="D1399" s="291"/>
      <c r="E1399" s="291"/>
      <c r="F1399" s="291"/>
      <c r="G1399" s="1290" t="s">
        <v>465</v>
      </c>
      <c r="H1399" s="1290"/>
      <c r="I1399" s="291"/>
      <c r="J1399" s="1292">
        <f t="shared" si="52"/>
        <v>0</v>
      </c>
      <c r="K1399" s="1292"/>
      <c r="L1399" s="291"/>
      <c r="M1399" s="291"/>
      <c r="N1399" s="291"/>
      <c r="O1399" s="291"/>
      <c r="P1399" s="291"/>
      <c r="Q1399" s="291"/>
      <c r="R1399" s="291"/>
      <c r="S1399" s="291"/>
      <c r="Z1399" s="318"/>
      <c r="AA1399" s="318"/>
      <c r="AB1399" s="318"/>
      <c r="AC1399" s="318"/>
      <c r="AD1399" s="318"/>
      <c r="AE1399" s="318"/>
      <c r="AF1399" s="318"/>
      <c r="AG1399" s="318"/>
      <c r="AH1399" s="318"/>
      <c r="AI1399" s="318"/>
      <c r="AJ1399" s="318"/>
      <c r="AK1399" s="318"/>
      <c r="BP1399" s="306"/>
    </row>
    <row r="1400" spans="1:68" s="292" customFormat="1" ht="11.55" hidden="1" customHeight="1">
      <c r="A1400" s="291"/>
      <c r="B1400" s="291"/>
      <c r="C1400" s="293"/>
      <c r="D1400" s="291"/>
      <c r="E1400" s="291"/>
      <c r="F1400" s="291"/>
      <c r="G1400" s="291"/>
      <c r="H1400" s="291"/>
      <c r="I1400" s="291"/>
      <c r="J1400" s="291"/>
      <c r="K1400" s="291"/>
      <c r="L1400" s="291"/>
      <c r="M1400" s="291"/>
      <c r="N1400" s="291"/>
      <c r="O1400" s="291"/>
      <c r="P1400" s="291"/>
      <c r="Q1400" s="291"/>
      <c r="R1400" s="291"/>
      <c r="S1400" s="291"/>
      <c r="Z1400" s="318"/>
      <c r="AA1400" s="318"/>
      <c r="AB1400" s="318"/>
      <c r="AC1400" s="318"/>
      <c r="AD1400" s="318"/>
      <c r="AE1400" s="318"/>
      <c r="AF1400" s="318"/>
      <c r="AG1400" s="318"/>
      <c r="AH1400" s="318"/>
      <c r="AI1400" s="318"/>
      <c r="AJ1400" s="318"/>
      <c r="AK1400" s="318"/>
      <c r="BP1400" s="306"/>
    </row>
    <row r="1401" spans="1:68" s="292" customFormat="1" ht="11.55" hidden="1" customHeight="1">
      <c r="A1401" s="291"/>
      <c r="B1401" s="291"/>
      <c r="C1401" s="293"/>
      <c r="D1401" s="291"/>
      <c r="E1401" s="291"/>
      <c r="F1401" s="291"/>
      <c r="G1401" s="291"/>
      <c r="H1401" s="291"/>
      <c r="I1401" s="291"/>
      <c r="J1401" s="291"/>
      <c r="K1401" s="291"/>
      <c r="L1401" s="291"/>
      <c r="M1401" s="291"/>
      <c r="N1401" s="291"/>
      <c r="O1401" s="291"/>
      <c r="P1401" s="291"/>
      <c r="Q1401" s="291"/>
      <c r="R1401" s="291"/>
      <c r="S1401" s="291"/>
      <c r="Z1401" s="318"/>
      <c r="AA1401" s="318"/>
      <c r="AB1401" s="318"/>
      <c r="AC1401" s="318"/>
      <c r="AD1401" s="318"/>
      <c r="AE1401" s="318"/>
      <c r="AF1401" s="318"/>
      <c r="AG1401" s="318"/>
      <c r="AH1401" s="318"/>
      <c r="AI1401" s="318"/>
      <c r="AJ1401" s="318"/>
      <c r="AK1401" s="318"/>
      <c r="BP1401" s="306"/>
    </row>
    <row r="1402" spans="1:68" s="292" customFormat="1" ht="11.55" hidden="1" customHeight="1">
      <c r="A1402" s="291"/>
      <c r="B1402" s="291" t="s">
        <v>274</v>
      </c>
      <c r="C1402" s="307" t="s">
        <v>108</v>
      </c>
      <c r="D1402" s="291"/>
      <c r="E1402" s="291"/>
      <c r="F1402" s="291">
        <f>D9+D23+D36+D49+D62+D75+D88+D101+D114+D127+D144+D157+D170+D183+D196+D209+D222+D235+D248+D261+D278+D292+D306+D320+D334+D348+D362+D376+D390+D404+D418+D432+D446+D460+D474+D488+D502+D516+D530+D544+D562+D575+D592+D605+D618+D631+D644+D657+D674+D687+D700</f>
        <v>0</v>
      </c>
      <c r="G1402" s="291" t="s">
        <v>165</v>
      </c>
      <c r="H1402" s="291"/>
      <c r="I1402" s="291"/>
      <c r="J1402" s="291"/>
      <c r="K1402" s="291"/>
      <c r="L1402" s="291"/>
      <c r="M1402" s="291"/>
      <c r="N1402" s="291"/>
      <c r="O1402" s="291"/>
      <c r="P1402" s="291"/>
      <c r="Q1402" s="291"/>
      <c r="R1402" s="291"/>
      <c r="S1402" s="291"/>
      <c r="Z1402" s="318"/>
      <c r="AA1402" s="318"/>
      <c r="AB1402" s="318"/>
      <c r="AC1402" s="318"/>
      <c r="AD1402" s="318"/>
      <c r="AE1402" s="318"/>
      <c r="AF1402" s="318"/>
      <c r="AG1402" s="318"/>
      <c r="AH1402" s="318"/>
      <c r="AI1402" s="318"/>
      <c r="AJ1402" s="318"/>
      <c r="AK1402" s="318"/>
      <c r="BP1402" s="306"/>
    </row>
    <row r="1403" spans="1:68" s="292" customFormat="1" ht="11.55" hidden="1" customHeight="1">
      <c r="A1403" s="291"/>
      <c r="B1403" s="291"/>
      <c r="C1403" s="307" t="s">
        <v>516</v>
      </c>
      <c r="D1403" s="291"/>
      <c r="E1403" s="291"/>
      <c r="F1403" s="291">
        <f>D989+D1002+D1015+D1028+D1045+D1058+D1071+D1084+D1097+D1110+D1123+D1136+D1149+D1166+D1179+D1192+D1205+D1218+D1231+D1244+D1257+D1274+D1287+D1300+D1317+D1330+D1343+D1356</f>
        <v>0</v>
      </c>
      <c r="G1403" s="291" t="s">
        <v>165</v>
      </c>
      <c r="H1403" s="291"/>
      <c r="I1403" s="291"/>
      <c r="J1403" s="291"/>
      <c r="K1403" s="291"/>
      <c r="L1403" s="291"/>
      <c r="M1403" s="291"/>
      <c r="N1403" s="291"/>
      <c r="O1403" s="291"/>
      <c r="P1403" s="291"/>
      <c r="Q1403" s="291"/>
      <c r="R1403" s="291"/>
      <c r="S1403" s="291"/>
      <c r="Z1403" s="318"/>
      <c r="AA1403" s="318"/>
      <c r="AB1403" s="318"/>
      <c r="AC1403" s="318"/>
      <c r="AD1403" s="318"/>
      <c r="AE1403" s="318"/>
      <c r="AF1403" s="318"/>
      <c r="AG1403" s="318"/>
      <c r="AH1403" s="318"/>
      <c r="AI1403" s="318"/>
      <c r="AJ1403" s="318"/>
      <c r="AK1403" s="318"/>
      <c r="BP1403" s="306"/>
    </row>
    <row r="1404" spans="1:68" s="292" customFormat="1" ht="11.55" hidden="1" customHeight="1">
      <c r="A1404" s="291"/>
      <c r="B1404" s="291"/>
      <c r="C1404" s="293"/>
      <c r="D1404" s="291"/>
      <c r="E1404" s="291"/>
      <c r="F1404" s="291"/>
      <c r="G1404" s="291"/>
      <c r="H1404" s="291"/>
      <c r="I1404" s="291"/>
      <c r="J1404" s="291"/>
      <c r="K1404" s="291"/>
      <c r="L1404" s="291"/>
      <c r="M1404" s="291"/>
      <c r="N1404" s="291"/>
      <c r="O1404" s="291"/>
      <c r="P1404" s="291"/>
      <c r="Q1404" s="291"/>
      <c r="R1404" s="291"/>
      <c r="S1404" s="291"/>
      <c r="Z1404" s="318"/>
      <c r="AA1404" s="318"/>
      <c r="AB1404" s="318"/>
      <c r="AC1404" s="318"/>
      <c r="AD1404" s="318"/>
      <c r="AE1404" s="318"/>
      <c r="AF1404" s="318"/>
      <c r="AG1404" s="318"/>
      <c r="AH1404" s="318"/>
      <c r="AI1404" s="318"/>
      <c r="AJ1404" s="318"/>
      <c r="AK1404" s="318"/>
      <c r="BP1404" s="306"/>
    </row>
    <row r="1405" spans="1:68" s="292" customFormat="1" ht="11.55" hidden="1" customHeight="1">
      <c r="A1405" s="291"/>
      <c r="B1405" s="291"/>
      <c r="C1405" s="307" t="s">
        <v>517</v>
      </c>
      <c r="D1405" s="291"/>
      <c r="E1405" s="291"/>
      <c r="F1405" s="291">
        <f>F1402+F1403</f>
        <v>0</v>
      </c>
      <c r="G1405" s="291" t="s">
        <v>165</v>
      </c>
      <c r="H1405" s="291"/>
      <c r="I1405" s="291"/>
      <c r="J1405" s="291"/>
      <c r="K1405" s="291"/>
      <c r="L1405" s="291"/>
      <c r="M1405" s="291"/>
      <c r="N1405" s="291"/>
      <c r="O1405" s="291"/>
      <c r="P1405" s="291"/>
      <c r="Q1405" s="291"/>
      <c r="R1405" s="291"/>
      <c r="S1405" s="291"/>
      <c r="Z1405" s="318"/>
      <c r="AA1405" s="318"/>
      <c r="AB1405" s="318"/>
      <c r="AC1405" s="318"/>
      <c r="AD1405" s="318"/>
      <c r="AE1405" s="318"/>
      <c r="AF1405" s="318"/>
      <c r="AG1405" s="318"/>
      <c r="AH1405" s="318"/>
      <c r="AI1405" s="318"/>
      <c r="AJ1405" s="318"/>
      <c r="AK1405" s="318"/>
      <c r="BP1405" s="306"/>
    </row>
    <row r="1406" spans="1:68" s="292" customFormat="1" ht="11.55" hidden="1" customHeight="1">
      <c r="A1406" s="291"/>
      <c r="B1406" s="291"/>
      <c r="C1406" s="293"/>
      <c r="D1406" s="291"/>
      <c r="E1406" s="291"/>
      <c r="F1406" s="291"/>
      <c r="G1406" s="291"/>
      <c r="H1406" s="291"/>
      <c r="I1406" s="291"/>
      <c r="J1406" s="291"/>
      <c r="K1406" s="291"/>
      <c r="L1406" s="291"/>
      <c r="M1406" s="291"/>
      <c r="N1406" s="291"/>
      <c r="O1406" s="291"/>
      <c r="P1406" s="291"/>
      <c r="Q1406" s="291"/>
      <c r="R1406" s="291"/>
      <c r="S1406" s="291"/>
      <c r="Z1406" s="318"/>
      <c r="AA1406" s="318"/>
      <c r="AB1406" s="318"/>
      <c r="AC1406" s="318"/>
      <c r="AD1406" s="318"/>
      <c r="AE1406" s="318"/>
      <c r="AF1406" s="318"/>
      <c r="AG1406" s="318"/>
      <c r="AH1406" s="318"/>
      <c r="AI1406" s="318"/>
      <c r="AJ1406" s="318"/>
      <c r="AK1406" s="318"/>
      <c r="BP1406" s="306"/>
    </row>
    <row r="1407" spans="1:68" s="292" customFormat="1" ht="11.55" hidden="1" customHeight="1">
      <c r="A1407" s="291"/>
      <c r="B1407" s="291"/>
      <c r="C1407" s="293"/>
      <c r="D1407" s="291"/>
      <c r="E1407" s="291"/>
      <c r="F1407" s="291"/>
      <c r="G1407" s="291"/>
      <c r="H1407" s="291"/>
      <c r="I1407" s="291"/>
      <c r="J1407" s="291"/>
      <c r="K1407" s="291"/>
      <c r="L1407" s="291"/>
      <c r="M1407" s="291"/>
      <c r="N1407" s="291"/>
      <c r="O1407" s="291"/>
      <c r="P1407" s="291"/>
      <c r="Q1407" s="291"/>
      <c r="R1407" s="291"/>
      <c r="S1407" s="291"/>
      <c r="Z1407" s="318"/>
      <c r="AA1407" s="318"/>
      <c r="AB1407" s="318"/>
      <c r="AC1407" s="318"/>
      <c r="AD1407" s="318"/>
      <c r="AE1407" s="318"/>
      <c r="AF1407" s="318"/>
      <c r="AG1407" s="318"/>
      <c r="AH1407" s="318"/>
      <c r="AI1407" s="318"/>
      <c r="AJ1407" s="318"/>
      <c r="AK1407" s="318"/>
      <c r="BP1407" s="306"/>
    </row>
    <row r="1408" spans="1:68" s="292" customFormat="1" ht="11.55" hidden="1" customHeight="1">
      <c r="A1408" s="291"/>
      <c r="B1408" s="291"/>
      <c r="C1408" s="293"/>
      <c r="D1408" s="291"/>
      <c r="E1408" s="291"/>
      <c r="F1408" s="291"/>
      <c r="G1408" s="291"/>
      <c r="H1408" s="291"/>
      <c r="I1408" s="291"/>
      <c r="J1408" s="291"/>
      <c r="K1408" s="291"/>
      <c r="L1408" s="291"/>
      <c r="M1408" s="291"/>
      <c r="N1408" s="291"/>
      <c r="O1408" s="291"/>
      <c r="P1408" s="291"/>
      <c r="Q1408" s="291"/>
      <c r="R1408" s="291"/>
      <c r="S1408" s="291"/>
      <c r="Z1408" s="318"/>
      <c r="AA1408" s="318"/>
      <c r="AB1408" s="318"/>
      <c r="AC1408" s="318"/>
      <c r="AD1408" s="318"/>
      <c r="AE1408" s="318"/>
      <c r="AF1408" s="318"/>
      <c r="AG1408" s="318"/>
      <c r="AH1408" s="318"/>
      <c r="AI1408" s="318"/>
      <c r="AJ1408" s="318"/>
      <c r="AK1408" s="318"/>
      <c r="BP1408" s="306"/>
    </row>
    <row r="1409" spans="1:68" s="292" customFormat="1" ht="11.55" hidden="1" customHeight="1">
      <c r="A1409" s="291"/>
      <c r="B1409" s="291"/>
      <c r="C1409" s="293"/>
      <c r="D1409" s="291"/>
      <c r="E1409" s="291"/>
      <c r="F1409" s="291"/>
      <c r="G1409" s="291"/>
      <c r="H1409" s="291"/>
      <c r="I1409" s="291"/>
      <c r="J1409" s="291"/>
      <c r="K1409" s="291"/>
      <c r="L1409" s="291"/>
      <c r="M1409" s="291"/>
      <c r="N1409" s="291"/>
      <c r="O1409" s="291"/>
      <c r="P1409" s="291"/>
      <c r="Q1409" s="291"/>
      <c r="R1409" s="291"/>
      <c r="S1409" s="291"/>
      <c r="Z1409" s="318"/>
      <c r="AA1409" s="318"/>
      <c r="AB1409" s="318"/>
      <c r="AC1409" s="318"/>
      <c r="AD1409" s="318"/>
      <c r="AE1409" s="318"/>
      <c r="AF1409" s="318"/>
      <c r="AG1409" s="318"/>
      <c r="AH1409" s="318"/>
      <c r="AI1409" s="318"/>
      <c r="AJ1409" s="318"/>
      <c r="AK1409" s="318"/>
      <c r="BP1409" s="306"/>
    </row>
    <row r="1410" spans="1:68" s="292" customFormat="1" ht="11.55" hidden="1" customHeight="1">
      <c r="A1410" s="291"/>
      <c r="B1410" s="291" t="s">
        <v>123</v>
      </c>
      <c r="C1410" s="293" t="s">
        <v>474</v>
      </c>
      <c r="D1410" s="291"/>
      <c r="E1410" s="291"/>
      <c r="F1410" s="291"/>
      <c r="G1410" s="291"/>
      <c r="H1410" s="291"/>
      <c r="I1410" s="291"/>
      <c r="J1410" s="291"/>
      <c r="K1410" s="291"/>
      <c r="L1410" s="291"/>
      <c r="M1410" s="291"/>
      <c r="N1410" s="291"/>
      <c r="O1410" s="291"/>
      <c r="P1410" s="291"/>
      <c r="Q1410" s="291"/>
      <c r="R1410" s="291"/>
      <c r="S1410" s="291"/>
      <c r="Z1410" s="318"/>
      <c r="AA1410" s="318"/>
      <c r="AB1410" s="318"/>
      <c r="AC1410" s="318"/>
      <c r="AD1410" s="318"/>
      <c r="AE1410" s="318"/>
      <c r="AF1410" s="318"/>
      <c r="AG1410" s="318"/>
      <c r="AH1410" s="318"/>
      <c r="AI1410" s="318"/>
      <c r="AJ1410" s="318"/>
      <c r="AK1410" s="318"/>
      <c r="BP1410" s="306"/>
    </row>
    <row r="1411" spans="1:68" s="292" customFormat="1" ht="11.55" hidden="1" customHeight="1">
      <c r="A1411" s="291"/>
      <c r="B1411" s="291"/>
      <c r="C1411" s="258" t="s">
        <v>54</v>
      </c>
      <c r="D1411" s="291"/>
      <c r="E1411" s="291"/>
      <c r="F1411" s="291"/>
      <c r="G1411" s="291"/>
      <c r="H1411" s="291"/>
      <c r="I1411" s="291"/>
      <c r="J1411" s="291"/>
      <c r="K1411" s="291"/>
      <c r="L1411" s="291"/>
      <c r="M1411" s="291"/>
      <c r="N1411" s="291"/>
      <c r="O1411" s="291"/>
      <c r="P1411" s="291"/>
      <c r="Q1411" s="291"/>
      <c r="R1411" s="291"/>
      <c r="S1411" s="291"/>
      <c r="Z1411" s="318"/>
      <c r="AA1411" s="318"/>
      <c r="AB1411" s="318"/>
      <c r="AC1411" s="318"/>
      <c r="AD1411" s="318"/>
      <c r="AE1411" s="318"/>
      <c r="AF1411" s="318"/>
      <c r="AG1411" s="318"/>
      <c r="AH1411" s="318"/>
      <c r="AI1411" s="318"/>
      <c r="AJ1411" s="318"/>
      <c r="AK1411" s="318"/>
      <c r="BP1411" s="306"/>
    </row>
    <row r="1412" spans="1:68" s="292" customFormat="1" ht="11.55" hidden="1" customHeight="1">
      <c r="A1412" s="291"/>
      <c r="B1412" s="291"/>
      <c r="C1412" s="258" t="s">
        <v>588</v>
      </c>
      <c r="D1412" s="291"/>
      <c r="E1412" s="291"/>
      <c r="F1412" s="291"/>
      <c r="G1412" s="291"/>
      <c r="H1412" s="291"/>
      <c r="I1412" s="291"/>
      <c r="J1412" s="291"/>
      <c r="K1412" s="291"/>
      <c r="L1412" s="291"/>
      <c r="M1412" s="291"/>
      <c r="N1412" s="291"/>
      <c r="O1412" s="291"/>
      <c r="P1412" s="291"/>
      <c r="Q1412" s="291"/>
      <c r="R1412" s="291"/>
      <c r="S1412" s="291"/>
      <c r="Z1412" s="318"/>
      <c r="AA1412" s="318"/>
      <c r="AB1412" s="318"/>
      <c r="AC1412" s="318"/>
      <c r="AD1412" s="318"/>
      <c r="AE1412" s="318"/>
      <c r="AF1412" s="318"/>
      <c r="AG1412" s="318"/>
      <c r="AH1412" s="318"/>
      <c r="AI1412" s="318"/>
      <c r="AJ1412" s="318"/>
      <c r="AK1412" s="318"/>
      <c r="BP1412" s="306"/>
    </row>
    <row r="1413" spans="1:68" s="292" customFormat="1" ht="11.55" hidden="1" customHeight="1">
      <c r="A1413" s="291"/>
      <c r="B1413" s="291"/>
      <c r="C1413" s="258" t="s">
        <v>126</v>
      </c>
      <c r="D1413" s="291"/>
      <c r="E1413" s="291"/>
      <c r="F1413" s="291"/>
      <c r="G1413" s="291"/>
      <c r="H1413" s="291"/>
      <c r="I1413" s="291"/>
      <c r="J1413" s="291"/>
      <c r="K1413" s="291"/>
      <c r="L1413" s="291"/>
      <c r="M1413" s="291"/>
      <c r="N1413" s="291"/>
      <c r="O1413" s="291"/>
      <c r="P1413" s="291"/>
      <c r="Q1413" s="291"/>
      <c r="R1413" s="291"/>
      <c r="S1413" s="291"/>
      <c r="Z1413" s="318"/>
      <c r="AA1413" s="318"/>
      <c r="AB1413" s="318"/>
      <c r="AC1413" s="318"/>
      <c r="AD1413" s="318"/>
      <c r="AE1413" s="318"/>
      <c r="AF1413" s="318"/>
      <c r="AG1413" s="318"/>
      <c r="AH1413" s="318"/>
      <c r="AI1413" s="318"/>
      <c r="AJ1413" s="318"/>
      <c r="AK1413" s="318"/>
      <c r="BP1413" s="306"/>
    </row>
    <row r="1414" spans="1:68" s="292" customFormat="1" ht="11.55" hidden="1" customHeight="1">
      <c r="A1414" s="291"/>
      <c r="B1414" s="291"/>
      <c r="C1414" s="258" t="s">
        <v>672</v>
      </c>
      <c r="D1414" s="291"/>
      <c r="E1414" s="291"/>
      <c r="F1414" s="291"/>
      <c r="G1414" s="291"/>
      <c r="H1414" s="291"/>
      <c r="I1414" s="291"/>
      <c r="J1414" s="291"/>
      <c r="K1414" s="291"/>
      <c r="L1414" s="291"/>
      <c r="M1414" s="291"/>
      <c r="N1414" s="291"/>
      <c r="O1414" s="291"/>
      <c r="P1414" s="291"/>
      <c r="Q1414" s="291"/>
      <c r="R1414" s="291"/>
      <c r="S1414" s="291"/>
      <c r="Z1414" s="318"/>
      <c r="AA1414" s="318"/>
      <c r="AB1414" s="318"/>
      <c r="AC1414" s="318"/>
      <c r="AD1414" s="318"/>
      <c r="AE1414" s="318"/>
      <c r="AF1414" s="318"/>
      <c r="AG1414" s="318"/>
      <c r="AH1414" s="318"/>
      <c r="AI1414" s="318"/>
      <c r="AJ1414" s="318"/>
      <c r="AK1414" s="318"/>
      <c r="BP1414" s="306"/>
    </row>
    <row r="1415" spans="1:68" s="292" customFormat="1" ht="11.55" hidden="1" customHeight="1">
      <c r="A1415" s="291"/>
      <c r="B1415" s="291"/>
      <c r="C1415" s="258" t="s">
        <v>377</v>
      </c>
      <c r="D1415" s="291"/>
      <c r="E1415" s="291"/>
      <c r="F1415" s="291"/>
      <c r="G1415" s="291"/>
      <c r="H1415" s="291"/>
      <c r="I1415" s="291"/>
      <c r="J1415" s="291"/>
      <c r="K1415" s="291"/>
      <c r="L1415" s="291"/>
      <c r="M1415" s="291"/>
      <c r="N1415" s="291"/>
      <c r="O1415" s="291"/>
      <c r="P1415" s="291"/>
      <c r="Q1415" s="291"/>
      <c r="R1415" s="291"/>
      <c r="S1415" s="291"/>
      <c r="Z1415" s="318"/>
      <c r="AA1415" s="318"/>
      <c r="AB1415" s="318"/>
      <c r="AC1415" s="318"/>
      <c r="AD1415" s="318"/>
      <c r="AE1415" s="318"/>
      <c r="AF1415" s="318"/>
      <c r="AG1415" s="318"/>
      <c r="AH1415" s="318"/>
      <c r="AI1415" s="318"/>
      <c r="AJ1415" s="318"/>
      <c r="AK1415" s="318"/>
      <c r="BP1415" s="306"/>
    </row>
    <row r="1416" spans="1:68" s="292" customFormat="1" ht="11.55" hidden="1" customHeight="1">
      <c r="A1416" s="291"/>
      <c r="B1416" s="291"/>
      <c r="C1416" s="258" t="s">
        <v>590</v>
      </c>
      <c r="D1416" s="291"/>
      <c r="E1416" s="291"/>
      <c r="F1416" s="291"/>
      <c r="G1416" s="291"/>
      <c r="H1416" s="291"/>
      <c r="I1416" s="291"/>
      <c r="J1416" s="291"/>
      <c r="K1416" s="291"/>
      <c r="L1416" s="291"/>
      <c r="M1416" s="291"/>
      <c r="N1416" s="291"/>
      <c r="O1416" s="291"/>
      <c r="P1416" s="291"/>
      <c r="Q1416" s="291"/>
      <c r="R1416" s="291"/>
      <c r="S1416" s="291"/>
      <c r="Z1416" s="318"/>
      <c r="AA1416" s="318"/>
      <c r="AB1416" s="318"/>
      <c r="AC1416" s="318"/>
      <c r="AD1416" s="318"/>
      <c r="AE1416" s="318"/>
      <c r="AF1416" s="318"/>
      <c r="AG1416" s="318"/>
      <c r="AH1416" s="318"/>
      <c r="AI1416" s="318"/>
      <c r="AJ1416" s="318"/>
      <c r="AK1416" s="318"/>
      <c r="BP1416" s="306"/>
    </row>
    <row r="1417" spans="1:68" s="292" customFormat="1" ht="11.55" hidden="1" customHeight="1">
      <c r="A1417" s="291"/>
      <c r="B1417" s="291"/>
      <c r="C1417" s="258" t="s">
        <v>124</v>
      </c>
      <c r="D1417" s="291"/>
      <c r="E1417" s="291"/>
      <c r="F1417" s="291"/>
      <c r="G1417" s="291"/>
      <c r="H1417" s="291"/>
      <c r="I1417" s="291"/>
      <c r="J1417" s="291"/>
      <c r="K1417" s="291"/>
      <c r="L1417" s="291"/>
      <c r="M1417" s="291"/>
      <c r="N1417" s="291"/>
      <c r="O1417" s="291"/>
      <c r="P1417" s="291"/>
      <c r="Q1417" s="291"/>
      <c r="R1417" s="291"/>
      <c r="S1417" s="291"/>
      <c r="Z1417" s="318"/>
      <c r="AA1417" s="318"/>
      <c r="AB1417" s="318"/>
      <c r="AC1417" s="318"/>
      <c r="AD1417" s="318"/>
      <c r="AE1417" s="318"/>
      <c r="AF1417" s="318"/>
      <c r="AG1417" s="318"/>
      <c r="AH1417" s="318"/>
      <c r="AI1417" s="318"/>
      <c r="AJ1417" s="318"/>
      <c r="AK1417" s="318"/>
      <c r="BP1417" s="306"/>
    </row>
    <row r="1418" spans="1:68" s="292" customFormat="1" ht="11.55" hidden="1" customHeight="1">
      <c r="A1418" s="291"/>
      <c r="B1418" s="291"/>
      <c r="C1418" s="258" t="s">
        <v>591</v>
      </c>
      <c r="D1418" s="291"/>
      <c r="E1418" s="291"/>
      <c r="F1418" s="291"/>
      <c r="G1418" s="291"/>
      <c r="H1418" s="291"/>
      <c r="I1418" s="291"/>
      <c r="J1418" s="291"/>
      <c r="K1418" s="291"/>
      <c r="L1418" s="291"/>
      <c r="M1418" s="291"/>
      <c r="N1418" s="291"/>
      <c r="O1418" s="291"/>
      <c r="P1418" s="291"/>
      <c r="Q1418" s="291"/>
      <c r="R1418" s="291"/>
      <c r="S1418" s="291"/>
      <c r="Z1418" s="318"/>
      <c r="AA1418" s="318"/>
      <c r="AB1418" s="318"/>
      <c r="AC1418" s="318"/>
      <c r="AD1418" s="318"/>
      <c r="AE1418" s="318"/>
      <c r="AF1418" s="318"/>
      <c r="AG1418" s="318"/>
      <c r="AH1418" s="318"/>
      <c r="AI1418" s="318"/>
      <c r="AJ1418" s="318"/>
      <c r="AK1418" s="318"/>
      <c r="BP1418" s="306"/>
    </row>
    <row r="1419" spans="1:68" s="292" customFormat="1" ht="11.55" hidden="1" customHeight="1">
      <c r="A1419" s="291"/>
      <c r="B1419" s="291"/>
      <c r="C1419" s="258" t="s">
        <v>191</v>
      </c>
      <c r="D1419" s="291"/>
      <c r="E1419" s="291"/>
      <c r="F1419" s="291"/>
      <c r="G1419" s="291"/>
      <c r="H1419" s="291"/>
      <c r="I1419" s="291"/>
      <c r="J1419" s="291"/>
      <c r="K1419" s="291"/>
      <c r="L1419" s="291"/>
      <c r="M1419" s="291"/>
      <c r="N1419" s="291"/>
      <c r="O1419" s="291"/>
      <c r="P1419" s="291"/>
      <c r="Q1419" s="291"/>
      <c r="R1419" s="291"/>
      <c r="S1419" s="291"/>
      <c r="Z1419" s="318"/>
      <c r="AA1419" s="318"/>
      <c r="AB1419" s="318"/>
      <c r="AC1419" s="318"/>
      <c r="AD1419" s="318"/>
      <c r="AE1419" s="318"/>
      <c r="AF1419" s="318"/>
      <c r="AG1419" s="318"/>
      <c r="AH1419" s="318"/>
      <c r="AI1419" s="318"/>
      <c r="AJ1419" s="318"/>
      <c r="AK1419" s="318"/>
      <c r="BP1419" s="306"/>
    </row>
    <row r="1420" spans="1:68" s="292" customFormat="1" ht="11.55" hidden="1" customHeight="1">
      <c r="A1420" s="291"/>
      <c r="B1420" s="291"/>
      <c r="C1420" s="258" t="s">
        <v>592</v>
      </c>
      <c r="D1420" s="291"/>
      <c r="E1420" s="291"/>
      <c r="F1420" s="291"/>
      <c r="G1420" s="291"/>
      <c r="H1420" s="291"/>
      <c r="I1420" s="291"/>
      <c r="J1420" s="291"/>
      <c r="K1420" s="291"/>
      <c r="L1420" s="291"/>
      <c r="M1420" s="291"/>
      <c r="N1420" s="291"/>
      <c r="O1420" s="291"/>
      <c r="P1420" s="291"/>
      <c r="Q1420" s="291"/>
      <c r="R1420" s="291"/>
      <c r="S1420" s="291"/>
      <c r="Z1420" s="318"/>
      <c r="AA1420" s="318"/>
      <c r="AB1420" s="318"/>
      <c r="AC1420" s="318"/>
      <c r="AD1420" s="318"/>
      <c r="AE1420" s="318"/>
      <c r="AF1420" s="318"/>
      <c r="AG1420" s="318"/>
      <c r="AH1420" s="318"/>
      <c r="AI1420" s="318"/>
      <c r="AJ1420" s="318"/>
      <c r="AK1420" s="318"/>
      <c r="BP1420" s="306"/>
    </row>
    <row r="1421" spans="1:68" s="292" customFormat="1" ht="11.55" hidden="1" customHeight="1">
      <c r="A1421" s="291"/>
      <c r="B1421" s="291"/>
      <c r="C1421" s="258" t="s">
        <v>125</v>
      </c>
      <c r="D1421" s="291"/>
      <c r="E1421" s="291"/>
      <c r="F1421" s="291"/>
      <c r="G1421" s="291"/>
      <c r="H1421" s="291"/>
      <c r="I1421" s="291"/>
      <c r="J1421" s="291"/>
      <c r="K1421" s="291"/>
      <c r="L1421" s="291"/>
      <c r="M1421" s="291"/>
      <c r="N1421" s="291"/>
      <c r="O1421" s="291"/>
      <c r="P1421" s="291"/>
      <c r="Q1421" s="291"/>
      <c r="R1421" s="291"/>
      <c r="S1421" s="291"/>
      <c r="Z1421" s="318"/>
      <c r="AA1421" s="318"/>
      <c r="AB1421" s="318"/>
      <c r="AC1421" s="318"/>
      <c r="AD1421" s="318"/>
      <c r="AE1421" s="318"/>
      <c r="AF1421" s="318"/>
      <c r="AG1421" s="318"/>
      <c r="AH1421" s="318"/>
      <c r="AI1421" s="318"/>
      <c r="AJ1421" s="318"/>
      <c r="AK1421" s="318"/>
      <c r="BP1421" s="306"/>
    </row>
    <row r="1422" spans="1:68" s="292" customFormat="1" ht="11.55" hidden="1" customHeight="1">
      <c r="A1422" s="291"/>
      <c r="B1422" s="291"/>
      <c r="C1422" s="258" t="s">
        <v>593</v>
      </c>
      <c r="D1422" s="291"/>
      <c r="E1422" s="291"/>
      <c r="F1422" s="291"/>
      <c r="G1422" s="291"/>
      <c r="H1422" s="291"/>
      <c r="I1422" s="291"/>
      <c r="J1422" s="291"/>
      <c r="K1422" s="291"/>
      <c r="L1422" s="291"/>
      <c r="M1422" s="291"/>
      <c r="N1422" s="291"/>
      <c r="O1422" s="291"/>
      <c r="P1422" s="291"/>
      <c r="Q1422" s="291"/>
      <c r="R1422" s="291"/>
      <c r="S1422" s="291"/>
      <c r="Z1422" s="318"/>
      <c r="AA1422" s="318"/>
      <c r="AB1422" s="318"/>
      <c r="AC1422" s="318"/>
      <c r="AD1422" s="318"/>
      <c r="AE1422" s="318"/>
      <c r="AF1422" s="318"/>
      <c r="AG1422" s="318"/>
      <c r="AH1422" s="318"/>
      <c r="AI1422" s="318"/>
      <c r="AJ1422" s="318"/>
      <c r="AK1422" s="318"/>
      <c r="BP1422" s="306"/>
    </row>
    <row r="1423" spans="1:68" s="292" customFormat="1" ht="11.55" hidden="1" customHeight="1">
      <c r="A1423" s="291"/>
      <c r="B1423" s="291"/>
      <c r="C1423" s="258" t="s">
        <v>53</v>
      </c>
      <c r="D1423" s="291"/>
      <c r="E1423" s="291"/>
      <c r="F1423" s="291"/>
      <c r="G1423" s="291"/>
      <c r="H1423" s="291"/>
      <c r="I1423" s="291"/>
      <c r="J1423" s="291"/>
      <c r="K1423" s="291"/>
      <c r="L1423" s="291"/>
      <c r="M1423" s="291"/>
      <c r="N1423" s="291"/>
      <c r="O1423" s="291"/>
      <c r="P1423" s="291"/>
      <c r="Q1423" s="291"/>
      <c r="R1423" s="291"/>
      <c r="S1423" s="291"/>
      <c r="Z1423" s="318"/>
      <c r="AA1423" s="318"/>
      <c r="AB1423" s="318"/>
      <c r="AC1423" s="318"/>
      <c r="AD1423" s="318"/>
      <c r="AE1423" s="318"/>
      <c r="AF1423" s="318"/>
      <c r="AG1423" s="318"/>
      <c r="AH1423" s="318"/>
      <c r="AI1423" s="318"/>
      <c r="AJ1423" s="318"/>
      <c r="AK1423" s="318"/>
      <c r="BP1423" s="306"/>
    </row>
    <row r="1424" spans="1:68" s="292" customFormat="1" ht="11.55" hidden="1" customHeight="1">
      <c r="A1424" s="291"/>
      <c r="B1424" s="291"/>
      <c r="C1424" s="258" t="s">
        <v>594</v>
      </c>
      <c r="D1424" s="291"/>
      <c r="E1424" s="291"/>
      <c r="F1424" s="291"/>
      <c r="G1424" s="291"/>
      <c r="H1424" s="291"/>
      <c r="I1424" s="291"/>
      <c r="J1424" s="291"/>
      <c r="K1424" s="291"/>
      <c r="L1424" s="291"/>
      <c r="M1424" s="291"/>
      <c r="N1424" s="291"/>
      <c r="O1424" s="291"/>
      <c r="P1424" s="291"/>
      <c r="Q1424" s="291"/>
      <c r="R1424" s="291"/>
      <c r="S1424" s="291"/>
      <c r="Z1424" s="318"/>
      <c r="AA1424" s="318"/>
      <c r="AB1424" s="318"/>
      <c r="AC1424" s="318"/>
      <c r="AD1424" s="318"/>
      <c r="AE1424" s="318"/>
      <c r="AF1424" s="318"/>
      <c r="AG1424" s="318"/>
      <c r="AH1424" s="318"/>
      <c r="AI1424" s="318"/>
      <c r="AJ1424" s="318"/>
      <c r="AK1424" s="318"/>
      <c r="BP1424" s="306"/>
    </row>
    <row r="1425" spans="1:68" s="292" customFormat="1" ht="11.55" hidden="1" customHeight="1">
      <c r="A1425" s="291"/>
      <c r="B1425" s="291"/>
      <c r="C1425" s="258" t="s">
        <v>88</v>
      </c>
      <c r="D1425" s="291"/>
      <c r="E1425" s="291"/>
      <c r="F1425" s="291"/>
      <c r="G1425" s="291"/>
      <c r="H1425" s="291"/>
      <c r="I1425" s="291"/>
      <c r="J1425" s="291"/>
      <c r="K1425" s="291"/>
      <c r="L1425" s="291"/>
      <c r="M1425" s="291"/>
      <c r="N1425" s="291"/>
      <c r="O1425" s="291"/>
      <c r="P1425" s="291"/>
      <c r="Q1425" s="291"/>
      <c r="R1425" s="291"/>
      <c r="S1425" s="291"/>
      <c r="Z1425" s="318"/>
      <c r="AA1425" s="318"/>
      <c r="AB1425" s="318"/>
      <c r="AC1425" s="318"/>
      <c r="AD1425" s="318"/>
      <c r="AE1425" s="318"/>
      <c r="AF1425" s="318"/>
      <c r="AG1425" s="318"/>
      <c r="AH1425" s="318"/>
      <c r="AI1425" s="318"/>
      <c r="AJ1425" s="318"/>
      <c r="AK1425" s="318"/>
      <c r="BP1425" s="306"/>
    </row>
    <row r="1426" spans="1:68" s="292" customFormat="1" ht="11.55" hidden="1" customHeight="1">
      <c r="A1426" s="291"/>
      <c r="B1426" s="291"/>
      <c r="C1426" s="258" t="s">
        <v>595</v>
      </c>
      <c r="D1426" s="291"/>
      <c r="E1426" s="291"/>
      <c r="F1426" s="291"/>
      <c r="G1426" s="291"/>
      <c r="H1426" s="291"/>
      <c r="I1426" s="291"/>
      <c r="J1426" s="291"/>
      <c r="K1426" s="291"/>
      <c r="L1426" s="291"/>
      <c r="M1426" s="291"/>
      <c r="N1426" s="291"/>
      <c r="O1426" s="291"/>
      <c r="P1426" s="291"/>
      <c r="Q1426" s="291"/>
      <c r="R1426" s="291"/>
      <c r="S1426" s="291"/>
      <c r="Z1426" s="318"/>
      <c r="AA1426" s="318"/>
      <c r="AB1426" s="318"/>
      <c r="AC1426" s="318"/>
      <c r="AD1426" s="318"/>
      <c r="AE1426" s="318"/>
      <c r="AF1426" s="318"/>
      <c r="AG1426" s="318"/>
      <c r="AH1426" s="318"/>
      <c r="AI1426" s="318"/>
      <c r="AJ1426" s="318"/>
      <c r="AK1426" s="318"/>
      <c r="BP1426" s="306"/>
    </row>
    <row r="1427" spans="1:68" s="292" customFormat="1" ht="11.55" hidden="1" customHeight="1">
      <c r="A1427" s="291"/>
      <c r="B1427" s="291"/>
      <c r="C1427" s="293"/>
      <c r="D1427" s="291"/>
      <c r="E1427" s="291"/>
      <c r="F1427" s="291"/>
      <c r="G1427" s="291"/>
      <c r="H1427" s="291"/>
      <c r="I1427" s="291"/>
      <c r="J1427" s="291"/>
      <c r="K1427" s="291"/>
      <c r="L1427" s="291"/>
      <c r="M1427" s="291"/>
      <c r="N1427" s="291"/>
      <c r="O1427" s="291"/>
      <c r="P1427" s="291"/>
      <c r="Q1427" s="291"/>
      <c r="R1427" s="291"/>
      <c r="S1427" s="291"/>
      <c r="Z1427" s="318"/>
      <c r="AA1427" s="318"/>
      <c r="AB1427" s="318"/>
      <c r="AC1427" s="318"/>
      <c r="AD1427" s="318"/>
      <c r="AE1427" s="318"/>
      <c r="AF1427" s="318"/>
      <c r="AG1427" s="318"/>
      <c r="AH1427" s="318"/>
      <c r="AI1427" s="318"/>
      <c r="AJ1427" s="318"/>
      <c r="AK1427" s="318"/>
      <c r="BP1427" s="306"/>
    </row>
    <row r="1428" spans="1:68" s="292" customFormat="1" ht="11.55" hidden="1" customHeight="1">
      <c r="A1428" s="291"/>
      <c r="B1428" s="291"/>
      <c r="C1428" s="293"/>
      <c r="D1428" s="291"/>
      <c r="E1428" s="291"/>
      <c r="F1428" s="291"/>
      <c r="G1428" s="291"/>
      <c r="H1428" s="291"/>
      <c r="I1428" s="291"/>
      <c r="J1428" s="291"/>
      <c r="K1428" s="291"/>
      <c r="L1428" s="291"/>
      <c r="M1428" s="291"/>
      <c r="N1428" s="291"/>
      <c r="O1428" s="291"/>
      <c r="P1428" s="291"/>
      <c r="Q1428" s="291"/>
      <c r="R1428" s="291"/>
      <c r="S1428" s="291"/>
      <c r="Z1428" s="318"/>
      <c r="AA1428" s="318"/>
      <c r="AB1428" s="318"/>
      <c r="AC1428" s="318"/>
      <c r="AD1428" s="318"/>
      <c r="AE1428" s="318"/>
      <c r="AF1428" s="318"/>
      <c r="AG1428" s="318"/>
      <c r="AH1428" s="318"/>
      <c r="AI1428" s="318"/>
      <c r="AJ1428" s="318"/>
      <c r="AK1428" s="318"/>
      <c r="BP1428" s="306"/>
    </row>
    <row r="1429" spans="1:68" s="292" customFormat="1" ht="11.55" hidden="1" customHeight="1">
      <c r="A1429" s="291"/>
      <c r="B1429" s="291" t="s">
        <v>89</v>
      </c>
      <c r="C1429" s="293">
        <f>Nutzung!G29</f>
        <v>0</v>
      </c>
      <c r="D1429" s="291"/>
      <c r="E1429" s="291"/>
      <c r="F1429" s="291"/>
      <c r="G1429" s="291"/>
      <c r="H1429" s="291"/>
      <c r="I1429" s="291"/>
      <c r="J1429" s="291"/>
      <c r="K1429" s="291"/>
      <c r="L1429" s="291"/>
      <c r="M1429" s="291"/>
      <c r="N1429" s="291"/>
      <c r="O1429" s="291"/>
      <c r="P1429" s="291"/>
      <c r="Q1429" s="291"/>
      <c r="R1429" s="291"/>
      <c r="S1429" s="291"/>
      <c r="Z1429" s="318"/>
      <c r="AA1429" s="318"/>
      <c r="AB1429" s="318"/>
      <c r="AC1429" s="318"/>
      <c r="AD1429" s="318"/>
      <c r="AE1429" s="318"/>
      <c r="AF1429" s="318"/>
      <c r="AG1429" s="318"/>
      <c r="AH1429" s="318"/>
      <c r="AI1429" s="318"/>
      <c r="AJ1429" s="318"/>
      <c r="AK1429" s="318"/>
      <c r="BP1429" s="306"/>
    </row>
    <row r="1430" spans="1:68" s="292" customFormat="1" ht="11.55" hidden="1" customHeight="1">
      <c r="A1430" s="291"/>
      <c r="B1430" s="291"/>
      <c r="C1430" s="293"/>
      <c r="D1430" s="291"/>
      <c r="E1430" s="291"/>
      <c r="F1430" s="291"/>
      <c r="G1430" s="291"/>
      <c r="H1430" s="291"/>
      <c r="I1430" s="291"/>
      <c r="J1430" s="291"/>
      <c r="K1430" s="291"/>
      <c r="L1430" s="291"/>
      <c r="M1430" s="291"/>
      <c r="N1430" s="291"/>
      <c r="O1430" s="291"/>
      <c r="P1430" s="291"/>
      <c r="Q1430" s="291"/>
      <c r="R1430" s="291"/>
      <c r="S1430" s="291"/>
      <c r="Z1430" s="318"/>
      <c r="AA1430" s="318"/>
      <c r="AB1430" s="318"/>
      <c r="AC1430" s="318"/>
      <c r="AD1430" s="318"/>
      <c r="AE1430" s="318"/>
      <c r="AF1430" s="318"/>
      <c r="AG1430" s="318"/>
      <c r="AH1430" s="318"/>
      <c r="AI1430" s="318"/>
      <c r="AJ1430" s="318"/>
      <c r="AK1430" s="318"/>
      <c r="BP1430" s="306"/>
    </row>
    <row r="1431" spans="1:68" s="292" customFormat="1" ht="11.55" hidden="1" customHeight="1">
      <c r="A1431" s="291"/>
      <c r="B1431" s="291"/>
      <c r="C1431" s="293"/>
      <c r="D1431" s="291"/>
      <c r="E1431" s="291"/>
      <c r="F1431" s="291"/>
      <c r="G1431" s="291"/>
      <c r="H1431" s="291"/>
      <c r="I1431" s="291"/>
      <c r="J1431" s="291"/>
      <c r="K1431" s="291"/>
      <c r="L1431" s="291"/>
      <c r="M1431" s="291"/>
      <c r="N1431" s="291"/>
      <c r="O1431" s="291"/>
      <c r="P1431" s="291"/>
      <c r="Q1431" s="291"/>
      <c r="R1431" s="291"/>
      <c r="S1431" s="291"/>
      <c r="Z1431" s="318"/>
      <c r="AA1431" s="318"/>
      <c r="AB1431" s="318"/>
      <c r="AC1431" s="318"/>
      <c r="AD1431" s="318"/>
      <c r="AE1431" s="318"/>
      <c r="AF1431" s="318"/>
      <c r="AG1431" s="318"/>
      <c r="AH1431" s="318"/>
      <c r="AI1431" s="318"/>
      <c r="AJ1431" s="318"/>
      <c r="AK1431" s="318"/>
      <c r="BP1431" s="306"/>
    </row>
    <row r="1432" spans="1:68" s="292" customFormat="1" ht="11.55" hidden="1" customHeight="1">
      <c r="A1432" s="291"/>
      <c r="B1432" s="291"/>
      <c r="C1432" s="293"/>
      <c r="D1432" s="291"/>
      <c r="E1432" s="291"/>
      <c r="F1432" s="291"/>
      <c r="G1432" s="291"/>
      <c r="H1432" s="291"/>
      <c r="I1432" s="291"/>
      <c r="J1432" s="291"/>
      <c r="K1432" s="291"/>
      <c r="L1432" s="291"/>
      <c r="M1432" s="291"/>
      <c r="N1432" s="291"/>
      <c r="O1432" s="291"/>
      <c r="P1432" s="291"/>
      <c r="Q1432" s="291"/>
      <c r="R1432" s="291"/>
      <c r="S1432" s="291"/>
      <c r="Z1432" s="318"/>
      <c r="AA1432" s="318"/>
      <c r="AB1432" s="318"/>
      <c r="AC1432" s="318"/>
      <c r="AD1432" s="318"/>
      <c r="AE1432" s="318"/>
      <c r="AF1432" s="318"/>
      <c r="AG1432" s="318"/>
      <c r="AH1432" s="318"/>
      <c r="AI1432" s="318"/>
      <c r="AJ1432" s="318"/>
      <c r="AK1432" s="318"/>
      <c r="BP1432" s="306"/>
    </row>
    <row r="1433" spans="1:68" s="292" customFormat="1" ht="11.55" hidden="1" customHeight="1">
      <c r="A1433" s="291"/>
      <c r="B1433" s="291" t="s">
        <v>210</v>
      </c>
      <c r="C1433" s="293"/>
      <c r="D1433" s="291"/>
      <c r="E1433" s="291"/>
      <c r="F1433" s="291"/>
      <c r="G1433" s="1290" t="s">
        <v>48</v>
      </c>
      <c r="H1433" s="1290"/>
      <c r="I1433" s="291"/>
      <c r="J1433" s="291"/>
      <c r="K1433" s="291">
        <f>D9*E9+D23*E23+D36*E36+D49*E49+D62*E62+D75*E75+D88*E88+D101*E101+D114*E114+D127*E127+D144*E144+D157*E157+D170*E170+D183*E183+D196*E196+D209*E209+D222*E222+D235*E235+D248*E248+D261*E261+D278*E278+D292*E292+D306*E306+D320*E320+D334*E334+D348*E348+D362*E362+D376*E376+D390*E390+D404*E404+D418*E418+D432*E432+D446*E446+D460*E460+D474*E474+D488*E488+D502*E502+D516*E516+D530*E530+D544*E544+D562*E562+D575*E575+D592*E592+D605*E605+D618*E618+D631*E631+D644*E644+D657*E657+D674*E674+D687*E687+D700*E700+D719*E719+D732*E732+D745*E745+D758*E758+D771*E771+D784*E784+D797*E797+D810*E810+D823*E823+D836*E836+D849*E849+D862*E862+D875*E875+D888*E888+D901*E901+D914*E914+D931*E931+D944*E944+D957*E957+D970*E970</f>
        <v>0</v>
      </c>
      <c r="L1433" s="291"/>
      <c r="M1433" s="291"/>
      <c r="N1433" s="291"/>
      <c r="O1433" s="291"/>
      <c r="P1433" s="291"/>
      <c r="Q1433" s="291"/>
      <c r="R1433" s="291"/>
      <c r="S1433" s="291"/>
      <c r="Z1433" s="318"/>
      <c r="AA1433" s="318"/>
      <c r="AB1433" s="318"/>
      <c r="AC1433" s="318"/>
      <c r="AD1433" s="318"/>
      <c r="AE1433" s="318"/>
      <c r="AF1433" s="318"/>
      <c r="AG1433" s="318"/>
      <c r="AH1433" s="318"/>
      <c r="AI1433" s="318"/>
      <c r="AJ1433" s="318"/>
      <c r="AK1433" s="318"/>
      <c r="BP1433" s="306"/>
    </row>
    <row r="1434" spans="1:68" s="292" customFormat="1" ht="11.55" hidden="1" customHeight="1">
      <c r="A1434" s="291"/>
      <c r="B1434" s="291"/>
      <c r="C1434" s="293"/>
      <c r="D1434" s="291"/>
      <c r="E1434" s="291"/>
      <c r="F1434" s="291"/>
      <c r="G1434" s="1290" t="s">
        <v>293</v>
      </c>
      <c r="H1434" s="1290"/>
      <c r="I1434" s="291"/>
      <c r="J1434" s="291"/>
      <c r="K1434" s="291">
        <f>D989*E989+D1002*E1002+D1015*E1015+D1028*E1028+D1045*E1045+D1058*E1058+D1071*E1071+D1084*E1084+D1097*E1097+D1110*E1110+D1123*E1123+D1136*E1136+D1149*E1149+D1166*E1166+D1179*E1179+D1192*E1192+D1205*E1205+D1218*E1218+D1231*E1231+D1244*E1244+D1257*E1257+D1274*E1274+D1287*E1287+D1300*E1300+D1317*E1317+D1330*E1330+D1343*E1343+D1356*E1356</f>
        <v>0</v>
      </c>
      <c r="L1434" s="291"/>
      <c r="M1434" s="291"/>
      <c r="N1434" s="291"/>
      <c r="O1434" s="291"/>
      <c r="P1434" s="291"/>
      <c r="Q1434" s="291"/>
      <c r="R1434" s="291"/>
      <c r="S1434" s="291"/>
      <c r="Z1434" s="318"/>
      <c r="AA1434" s="318"/>
      <c r="AB1434" s="318"/>
      <c r="AC1434" s="318"/>
      <c r="AD1434" s="318"/>
      <c r="AE1434" s="318"/>
      <c r="AF1434" s="318"/>
      <c r="AG1434" s="318"/>
      <c r="AH1434" s="318"/>
      <c r="AI1434" s="318"/>
      <c r="AJ1434" s="318"/>
      <c r="AK1434" s="318"/>
      <c r="BP1434" s="306"/>
    </row>
    <row r="1435" spans="1:68" s="292" customFormat="1" ht="11.55" hidden="1" customHeight="1">
      <c r="A1435" s="291"/>
      <c r="B1435" s="291"/>
      <c r="C1435" s="293"/>
      <c r="D1435" s="291"/>
      <c r="E1435" s="291"/>
      <c r="F1435" s="291"/>
      <c r="G1435" s="1290"/>
      <c r="H1435" s="1290"/>
      <c r="I1435" s="291"/>
      <c r="J1435" s="291"/>
      <c r="K1435" s="291"/>
      <c r="L1435" s="291"/>
      <c r="M1435" s="291"/>
      <c r="N1435" s="291"/>
      <c r="O1435" s="291"/>
      <c r="P1435" s="291"/>
      <c r="Q1435" s="291"/>
      <c r="R1435" s="291"/>
      <c r="S1435" s="291"/>
      <c r="Z1435" s="318"/>
      <c r="AA1435" s="318"/>
      <c r="AB1435" s="318"/>
      <c r="AC1435" s="318"/>
      <c r="AD1435" s="318"/>
      <c r="AE1435" s="318"/>
      <c r="AF1435" s="318"/>
      <c r="AG1435" s="318"/>
      <c r="AH1435" s="318"/>
      <c r="AI1435" s="318"/>
      <c r="AJ1435" s="318"/>
      <c r="AK1435" s="318"/>
      <c r="BP1435" s="306"/>
    </row>
    <row r="1436" spans="1:68" s="292" customFormat="1" ht="11.55" hidden="1" customHeight="1">
      <c r="A1436" s="291"/>
      <c r="B1436" s="291"/>
      <c r="C1436" s="293"/>
      <c r="D1436" s="291"/>
      <c r="E1436" s="291"/>
      <c r="F1436" s="291"/>
      <c r="G1436" s="1290"/>
      <c r="H1436" s="1290"/>
      <c r="I1436" s="291"/>
      <c r="J1436" s="291"/>
      <c r="K1436" s="291"/>
      <c r="L1436" s="291"/>
      <c r="M1436" s="291"/>
      <c r="N1436" s="291"/>
      <c r="O1436" s="291"/>
      <c r="P1436" s="291"/>
      <c r="Q1436" s="291"/>
      <c r="R1436" s="291"/>
      <c r="S1436" s="291"/>
      <c r="Z1436" s="318"/>
      <c r="AA1436" s="318"/>
      <c r="AB1436" s="318"/>
      <c r="AC1436" s="318"/>
      <c r="AD1436" s="318"/>
      <c r="AE1436" s="318"/>
      <c r="AF1436" s="318"/>
      <c r="AG1436" s="318"/>
      <c r="AH1436" s="318"/>
      <c r="AI1436" s="318"/>
      <c r="AJ1436" s="318"/>
      <c r="AK1436" s="318"/>
      <c r="BP1436" s="306"/>
    </row>
    <row r="1437" spans="1:68" s="292" customFormat="1" ht="11.55" hidden="1" customHeight="1">
      <c r="A1437" s="291"/>
      <c r="B1437" s="291"/>
      <c r="C1437" s="293"/>
      <c r="D1437" s="291"/>
      <c r="E1437" s="291"/>
      <c r="F1437" s="291"/>
      <c r="G1437" s="1290"/>
      <c r="H1437" s="1290"/>
      <c r="I1437" s="291"/>
      <c r="J1437" s="291"/>
      <c r="K1437" s="291"/>
      <c r="L1437" s="291"/>
      <c r="M1437" s="291"/>
      <c r="N1437" s="291"/>
      <c r="O1437" s="291"/>
      <c r="P1437" s="291"/>
      <c r="Q1437" s="291"/>
      <c r="R1437" s="291"/>
      <c r="S1437" s="291"/>
      <c r="Z1437" s="318"/>
      <c r="AA1437" s="318"/>
      <c r="AB1437" s="318"/>
      <c r="AC1437" s="318"/>
      <c r="AD1437" s="318"/>
      <c r="AE1437" s="318"/>
      <c r="AF1437" s="318"/>
      <c r="AG1437" s="318"/>
      <c r="AH1437" s="318"/>
      <c r="AI1437" s="318"/>
      <c r="AJ1437" s="318"/>
      <c r="AK1437" s="318"/>
      <c r="BP1437" s="306"/>
    </row>
    <row r="1438" spans="1:68" s="292" customFormat="1" ht="11.55" hidden="1" customHeight="1">
      <c r="A1438" s="291"/>
      <c r="B1438" s="291"/>
      <c r="C1438" s="293"/>
      <c r="D1438" s="291"/>
      <c r="E1438" s="291"/>
      <c r="F1438" s="291"/>
      <c r="G1438" s="1290"/>
      <c r="H1438" s="1290"/>
      <c r="I1438" s="291"/>
      <c r="J1438" s="291"/>
      <c r="K1438" s="291"/>
      <c r="L1438" s="291"/>
      <c r="M1438" s="291"/>
      <c r="N1438" s="291"/>
      <c r="O1438" s="291"/>
      <c r="P1438" s="291"/>
      <c r="Q1438" s="291"/>
      <c r="R1438" s="291"/>
      <c r="S1438" s="291"/>
      <c r="Z1438" s="318"/>
      <c r="AA1438" s="318"/>
      <c r="AB1438" s="318"/>
      <c r="AC1438" s="318"/>
      <c r="AD1438" s="318"/>
      <c r="AE1438" s="318"/>
      <c r="AF1438" s="318"/>
      <c r="AG1438" s="318"/>
      <c r="AH1438" s="318"/>
      <c r="AI1438" s="318"/>
      <c r="AJ1438" s="318"/>
      <c r="AK1438" s="318"/>
      <c r="BP1438" s="306"/>
    </row>
    <row r="1439" spans="1:68" s="292" customFormat="1" ht="11.55" hidden="1" customHeight="1">
      <c r="A1439" s="291"/>
      <c r="B1439" s="291"/>
      <c r="C1439" s="293"/>
      <c r="D1439" s="291"/>
      <c r="E1439" s="291"/>
      <c r="F1439" s="291"/>
      <c r="G1439" s="1290"/>
      <c r="H1439" s="1290"/>
      <c r="I1439" s="291"/>
      <c r="J1439" s="291"/>
      <c r="K1439" s="291"/>
      <c r="L1439" s="291"/>
      <c r="M1439" s="291"/>
      <c r="N1439" s="291"/>
      <c r="O1439" s="291"/>
      <c r="P1439" s="291"/>
      <c r="Q1439" s="291"/>
      <c r="R1439" s="291"/>
      <c r="S1439" s="291"/>
      <c r="Z1439" s="318"/>
      <c r="AA1439" s="318"/>
      <c r="AB1439" s="318"/>
      <c r="AC1439" s="318"/>
      <c r="AD1439" s="318"/>
      <c r="AE1439" s="318"/>
      <c r="AF1439" s="318"/>
      <c r="AG1439" s="318"/>
      <c r="AH1439" s="318"/>
      <c r="AI1439" s="318"/>
      <c r="AJ1439" s="318"/>
      <c r="AK1439" s="318"/>
      <c r="BP1439" s="306"/>
    </row>
    <row r="1440" spans="1:68" s="292" customFormat="1" ht="11.55" hidden="1" customHeight="1">
      <c r="A1440" s="291"/>
      <c r="B1440" s="291"/>
      <c r="C1440" s="293"/>
      <c r="D1440" s="291"/>
      <c r="E1440" s="291"/>
      <c r="F1440" s="291"/>
      <c r="G1440" s="1290"/>
      <c r="H1440" s="1290"/>
      <c r="I1440" s="291"/>
      <c r="J1440" s="291"/>
      <c r="K1440" s="291"/>
      <c r="L1440" s="291"/>
      <c r="M1440" s="291"/>
      <c r="N1440" s="291"/>
      <c r="O1440" s="291"/>
      <c r="P1440" s="291"/>
      <c r="Q1440" s="291"/>
      <c r="R1440" s="291"/>
      <c r="S1440" s="291"/>
      <c r="Z1440" s="318"/>
      <c r="AA1440" s="318"/>
      <c r="AB1440" s="318"/>
      <c r="AC1440" s="318"/>
      <c r="AD1440" s="318"/>
      <c r="AE1440" s="318"/>
      <c r="AF1440" s="318"/>
      <c r="AG1440" s="318"/>
      <c r="AH1440" s="318"/>
      <c r="AI1440" s="318"/>
      <c r="AJ1440" s="318"/>
      <c r="AK1440" s="318"/>
      <c r="BP1440" s="306"/>
    </row>
    <row r="1441" spans="1:68" s="292" customFormat="1" ht="11.55" hidden="1" customHeight="1">
      <c r="A1441" s="291"/>
      <c r="B1441" s="291"/>
      <c r="C1441" s="293"/>
      <c r="D1441" s="291"/>
      <c r="E1441" s="291"/>
      <c r="F1441" s="291"/>
      <c r="G1441" s="1290"/>
      <c r="H1441" s="1290"/>
      <c r="I1441" s="291"/>
      <c r="J1441" s="291"/>
      <c r="K1441" s="291"/>
      <c r="L1441" s="291"/>
      <c r="M1441" s="291"/>
      <c r="N1441" s="291"/>
      <c r="O1441" s="291"/>
      <c r="P1441" s="291"/>
      <c r="Q1441" s="291"/>
      <c r="R1441" s="291"/>
      <c r="S1441" s="291"/>
      <c r="Z1441" s="318"/>
      <c r="AA1441" s="318"/>
      <c r="AB1441" s="318"/>
      <c r="AC1441" s="318"/>
      <c r="AD1441" s="318"/>
      <c r="AE1441" s="318"/>
      <c r="AF1441" s="318"/>
      <c r="AG1441" s="318"/>
      <c r="AH1441" s="318"/>
      <c r="AI1441" s="318"/>
      <c r="AJ1441" s="318"/>
      <c r="AK1441" s="318"/>
      <c r="BP1441" s="306"/>
    </row>
    <row r="1442" spans="1:68" s="292" customFormat="1" ht="11.55" hidden="1" customHeight="1">
      <c r="A1442" s="291"/>
      <c r="B1442" s="291"/>
      <c r="C1442" s="293"/>
      <c r="D1442" s="291"/>
      <c r="E1442" s="291"/>
      <c r="F1442" s="291"/>
      <c r="G1442" s="1290"/>
      <c r="H1442" s="1290"/>
      <c r="I1442" s="291"/>
      <c r="J1442" s="291"/>
      <c r="K1442" s="291"/>
      <c r="L1442" s="291"/>
      <c r="M1442" s="291"/>
      <c r="N1442" s="291"/>
      <c r="O1442" s="291"/>
      <c r="P1442" s="291"/>
      <c r="Q1442" s="291"/>
      <c r="R1442" s="291"/>
      <c r="S1442" s="291"/>
      <c r="Z1442" s="318"/>
      <c r="AA1442" s="318"/>
      <c r="AB1442" s="318"/>
      <c r="AC1442" s="318"/>
      <c r="AD1442" s="318"/>
      <c r="AE1442" s="318"/>
      <c r="AF1442" s="318"/>
      <c r="AG1442" s="318"/>
      <c r="AH1442" s="318"/>
      <c r="AI1442" s="318"/>
      <c r="AJ1442" s="318"/>
      <c r="AK1442" s="318"/>
      <c r="BP1442" s="306"/>
    </row>
    <row r="1443" spans="1:68" s="292" customFormat="1" ht="11.55" hidden="1" customHeight="1">
      <c r="A1443" s="291"/>
      <c r="B1443" s="291"/>
      <c r="C1443" s="293"/>
      <c r="D1443" s="291"/>
      <c r="E1443" s="291"/>
      <c r="F1443" s="291"/>
      <c r="G1443" s="1290"/>
      <c r="H1443" s="1290"/>
      <c r="I1443" s="291"/>
      <c r="J1443" s="291"/>
      <c r="K1443" s="291"/>
      <c r="L1443" s="291"/>
      <c r="M1443" s="291"/>
      <c r="N1443" s="291"/>
      <c r="O1443" s="291"/>
      <c r="P1443" s="291"/>
      <c r="Q1443" s="291"/>
      <c r="R1443" s="291"/>
      <c r="S1443" s="291"/>
      <c r="Z1443" s="318"/>
      <c r="AA1443" s="318"/>
      <c r="AB1443" s="318"/>
      <c r="AC1443" s="318"/>
      <c r="AD1443" s="318"/>
      <c r="AE1443" s="318"/>
      <c r="AF1443" s="318"/>
      <c r="AG1443" s="318"/>
      <c r="AH1443" s="318"/>
      <c r="AI1443" s="318"/>
      <c r="AJ1443" s="318"/>
      <c r="AK1443" s="318"/>
      <c r="BP1443" s="306"/>
    </row>
    <row r="1444" spans="1:68" s="292" customFormat="1" ht="11.55" hidden="1" customHeight="1">
      <c r="A1444" s="291"/>
      <c r="B1444" s="291"/>
      <c r="C1444" s="293"/>
      <c r="D1444" s="291"/>
      <c r="E1444" s="291"/>
      <c r="F1444" s="291"/>
      <c r="G1444" s="1290"/>
      <c r="H1444" s="1290"/>
      <c r="I1444" s="291"/>
      <c r="J1444" s="291"/>
      <c r="K1444" s="291"/>
      <c r="L1444" s="291"/>
      <c r="M1444" s="291"/>
      <c r="N1444" s="291"/>
      <c r="O1444" s="291"/>
      <c r="P1444" s="291"/>
      <c r="Q1444" s="291"/>
      <c r="R1444" s="291"/>
      <c r="S1444" s="291"/>
      <c r="Z1444" s="318"/>
      <c r="AA1444" s="318"/>
      <c r="AB1444" s="318"/>
      <c r="AC1444" s="318"/>
      <c r="AD1444" s="318"/>
      <c r="AE1444" s="318"/>
      <c r="AF1444" s="318"/>
      <c r="AG1444" s="318"/>
      <c r="AH1444" s="318"/>
      <c r="AI1444" s="318"/>
      <c r="AJ1444" s="318"/>
      <c r="AK1444" s="318"/>
      <c r="BP1444" s="306"/>
    </row>
    <row r="1445" spans="1:68" s="292" customFormat="1" ht="11.55" hidden="1" customHeight="1">
      <c r="A1445" s="291"/>
      <c r="B1445" s="291"/>
      <c r="C1445" s="293"/>
      <c r="D1445" s="291"/>
      <c r="E1445" s="291"/>
      <c r="F1445" s="291"/>
      <c r="G1445" s="291"/>
      <c r="H1445" s="291"/>
      <c r="I1445" s="291"/>
      <c r="J1445" s="291"/>
      <c r="K1445" s="291"/>
      <c r="L1445" s="291"/>
      <c r="M1445" s="291"/>
      <c r="N1445" s="291"/>
      <c r="O1445" s="291"/>
      <c r="P1445" s="291"/>
      <c r="Q1445" s="291"/>
      <c r="R1445" s="291"/>
      <c r="S1445" s="291"/>
      <c r="Z1445" s="318"/>
      <c r="AA1445" s="318"/>
      <c r="AB1445" s="318"/>
      <c r="AC1445" s="318"/>
      <c r="AD1445" s="318"/>
      <c r="AE1445" s="318"/>
      <c r="AF1445" s="318"/>
      <c r="AG1445" s="318"/>
      <c r="AH1445" s="318"/>
      <c r="AI1445" s="318"/>
      <c r="AJ1445" s="318"/>
      <c r="AK1445" s="318"/>
      <c r="BP1445" s="306"/>
    </row>
    <row r="1446" spans="1:68" s="292" customFormat="1" ht="11.55" hidden="1" customHeight="1">
      <c r="A1446" s="291"/>
      <c r="B1446" s="291"/>
      <c r="C1446" s="293"/>
      <c r="D1446" s="291"/>
      <c r="E1446" s="291"/>
      <c r="F1446" s="291"/>
      <c r="G1446" s="291"/>
      <c r="H1446" s="291"/>
      <c r="I1446" s="291"/>
      <c r="J1446" s="291"/>
      <c r="K1446" s="291"/>
      <c r="L1446" s="291"/>
      <c r="M1446" s="291"/>
      <c r="N1446" s="291"/>
      <c r="O1446" s="291"/>
      <c r="P1446" s="291"/>
      <c r="Q1446" s="291"/>
      <c r="R1446" s="291"/>
      <c r="S1446" s="291"/>
      <c r="Z1446" s="318"/>
      <c r="AA1446" s="318"/>
      <c r="AB1446" s="318"/>
      <c r="AC1446" s="318"/>
      <c r="AD1446" s="318"/>
      <c r="AE1446" s="318"/>
      <c r="AF1446" s="318"/>
      <c r="AG1446" s="318"/>
      <c r="AH1446" s="318"/>
      <c r="AI1446" s="318"/>
      <c r="AJ1446" s="318"/>
      <c r="AK1446" s="318"/>
      <c r="BP1446" s="306"/>
    </row>
    <row r="1447" spans="1:68" s="292" customFormat="1" ht="11.55" hidden="1" customHeight="1">
      <c r="A1447" s="291"/>
      <c r="B1447" s="291"/>
      <c r="C1447" s="293"/>
      <c r="D1447" s="291"/>
      <c r="E1447" s="291"/>
      <c r="F1447" s="291"/>
      <c r="G1447" s="291"/>
      <c r="H1447" s="291"/>
      <c r="I1447" s="291"/>
      <c r="J1447" s="291"/>
      <c r="K1447" s="291"/>
      <c r="L1447" s="291"/>
      <c r="M1447" s="291"/>
      <c r="N1447" s="291"/>
      <c r="O1447" s="291"/>
      <c r="P1447" s="291"/>
      <c r="Q1447" s="291"/>
      <c r="R1447" s="291"/>
      <c r="S1447" s="291"/>
      <c r="Z1447" s="318"/>
      <c r="AA1447" s="318"/>
      <c r="AB1447" s="318"/>
      <c r="AC1447" s="318"/>
      <c r="AD1447" s="318"/>
      <c r="AE1447" s="318"/>
      <c r="AF1447" s="318"/>
      <c r="AG1447" s="318"/>
      <c r="AH1447" s="318"/>
      <c r="AI1447" s="318"/>
      <c r="AJ1447" s="318"/>
      <c r="AK1447" s="318"/>
      <c r="BP1447" s="306"/>
    </row>
    <row r="1448" spans="1:68" s="292" customFormat="1" ht="11.55" hidden="1" customHeight="1">
      <c r="A1448" s="291"/>
      <c r="B1448" s="291"/>
      <c r="C1448" s="293"/>
      <c r="D1448" s="291"/>
      <c r="E1448" s="291"/>
      <c r="F1448" s="291"/>
      <c r="G1448" s="291"/>
      <c r="H1448" s="291"/>
      <c r="I1448" s="291"/>
      <c r="J1448" s="291"/>
      <c r="K1448" s="291"/>
      <c r="L1448" s="291"/>
      <c r="M1448" s="291"/>
      <c r="N1448" s="291"/>
      <c r="O1448" s="291"/>
      <c r="P1448" s="291"/>
      <c r="Q1448" s="291"/>
      <c r="R1448" s="291"/>
      <c r="S1448" s="291"/>
      <c r="Z1448" s="318"/>
      <c r="AA1448" s="318"/>
      <c r="AB1448" s="318"/>
      <c r="AC1448" s="318"/>
      <c r="AD1448" s="318"/>
      <c r="AE1448" s="318"/>
      <c r="AF1448" s="318"/>
      <c r="AG1448" s="318"/>
      <c r="AH1448" s="318"/>
      <c r="AI1448" s="318"/>
      <c r="AJ1448" s="318"/>
      <c r="AK1448" s="318"/>
      <c r="BP1448" s="306"/>
    </row>
    <row r="1449" spans="1:68" s="292" customFormat="1" ht="11.55" hidden="1" customHeight="1">
      <c r="A1449" s="291"/>
      <c r="B1449" s="291"/>
      <c r="C1449" s="293"/>
      <c r="D1449" s="291"/>
      <c r="E1449" s="291"/>
      <c r="F1449" s="291"/>
      <c r="G1449" s="291"/>
      <c r="H1449" s="291"/>
      <c r="I1449" s="291"/>
      <c r="J1449" s="291"/>
      <c r="K1449" s="291"/>
      <c r="L1449" s="291"/>
      <c r="M1449" s="291"/>
      <c r="N1449" s="291"/>
      <c r="O1449" s="291"/>
      <c r="P1449" s="291"/>
      <c r="Q1449" s="291"/>
      <c r="R1449" s="291"/>
      <c r="S1449" s="291"/>
      <c r="Z1449" s="318"/>
      <c r="AA1449" s="318"/>
      <c r="AB1449" s="318"/>
      <c r="AC1449" s="318"/>
      <c r="AD1449" s="318"/>
      <c r="AE1449" s="318"/>
      <c r="AF1449" s="318"/>
      <c r="AG1449" s="318"/>
      <c r="AH1449" s="318"/>
      <c r="AI1449" s="318"/>
      <c r="AJ1449" s="318"/>
      <c r="AK1449" s="318"/>
      <c r="BP1449" s="306"/>
    </row>
    <row r="1450" spans="1:68" s="292" customFormat="1" ht="11.55" hidden="1" customHeight="1">
      <c r="A1450" s="291"/>
      <c r="B1450" s="291"/>
      <c r="C1450" s="293"/>
      <c r="D1450" s="291"/>
      <c r="E1450" s="291"/>
      <c r="F1450" s="291"/>
      <c r="G1450" s="291"/>
      <c r="H1450" s="291"/>
      <c r="I1450" s="291"/>
      <c r="J1450" s="291"/>
      <c r="K1450" s="291"/>
      <c r="L1450" s="291"/>
      <c r="M1450" s="291"/>
      <c r="N1450" s="291"/>
      <c r="O1450" s="291"/>
      <c r="P1450" s="291"/>
      <c r="Q1450" s="291"/>
      <c r="R1450" s="291"/>
      <c r="S1450" s="291"/>
      <c r="Z1450" s="318"/>
      <c r="AA1450" s="318"/>
      <c r="AB1450" s="318"/>
      <c r="AC1450" s="318"/>
      <c r="AD1450" s="318"/>
      <c r="AE1450" s="318"/>
      <c r="AF1450" s="318"/>
      <c r="AG1450" s="318"/>
      <c r="AH1450" s="318"/>
      <c r="AI1450" s="318"/>
      <c r="AJ1450" s="318"/>
      <c r="AK1450" s="318"/>
      <c r="BP1450" s="306"/>
    </row>
    <row r="1451" spans="1:68" s="292" customFormat="1" ht="11.55" hidden="1" customHeight="1">
      <c r="A1451" s="291"/>
      <c r="B1451" s="291"/>
      <c r="C1451" s="293"/>
      <c r="D1451" s="291"/>
      <c r="E1451" s="291"/>
      <c r="F1451" s="291"/>
      <c r="G1451" s="291"/>
      <c r="H1451" s="291"/>
      <c r="I1451" s="291"/>
      <c r="J1451" s="291"/>
      <c r="K1451" s="291"/>
      <c r="L1451" s="291"/>
      <c r="M1451" s="291"/>
      <c r="N1451" s="291"/>
      <c r="O1451" s="291"/>
      <c r="P1451" s="291"/>
      <c r="Q1451" s="291"/>
      <c r="R1451" s="291"/>
      <c r="S1451" s="291"/>
      <c r="Z1451" s="318"/>
      <c r="AA1451" s="318"/>
      <c r="AB1451" s="318"/>
      <c r="AC1451" s="318"/>
      <c r="AD1451" s="318"/>
      <c r="AE1451" s="318"/>
      <c r="AF1451" s="318"/>
      <c r="AG1451" s="318"/>
      <c r="AH1451" s="318"/>
      <c r="AI1451" s="318"/>
      <c r="AJ1451" s="318"/>
      <c r="AK1451" s="318"/>
      <c r="BP1451" s="306"/>
    </row>
    <row r="1452" spans="1:68" s="292" customFormat="1" ht="11.55" hidden="1" customHeight="1">
      <c r="A1452" s="291"/>
      <c r="B1452" s="291"/>
      <c r="C1452" s="293"/>
      <c r="D1452" s="291"/>
      <c r="E1452" s="291"/>
      <c r="F1452" s="291"/>
      <c r="G1452" s="291"/>
      <c r="H1452" s="291"/>
      <c r="I1452" s="291"/>
      <c r="J1452" s="291"/>
      <c r="K1452" s="291"/>
      <c r="L1452" s="291"/>
      <c r="M1452" s="291"/>
      <c r="N1452" s="291"/>
      <c r="O1452" s="291"/>
      <c r="P1452" s="291"/>
      <c r="Q1452" s="291"/>
      <c r="R1452" s="291"/>
      <c r="S1452" s="291"/>
      <c r="Z1452" s="318"/>
      <c r="AA1452" s="318"/>
      <c r="AB1452" s="318"/>
      <c r="AC1452" s="318"/>
      <c r="AD1452" s="318"/>
      <c r="AE1452" s="318"/>
      <c r="AF1452" s="318"/>
      <c r="AG1452" s="318"/>
      <c r="AH1452" s="318"/>
      <c r="AI1452" s="318"/>
      <c r="AJ1452" s="318"/>
      <c r="AK1452" s="318"/>
      <c r="BP1452" s="306"/>
    </row>
    <row r="1453" spans="1:68" s="292" customFormat="1" ht="11.55" hidden="1" customHeight="1">
      <c r="A1453" s="291"/>
      <c r="B1453" s="291"/>
      <c r="C1453" s="293"/>
      <c r="D1453" s="291"/>
      <c r="E1453" s="291"/>
      <c r="F1453" s="291"/>
      <c r="G1453" s="291"/>
      <c r="H1453" s="291"/>
      <c r="I1453" s="291"/>
      <c r="J1453" s="291"/>
      <c r="K1453" s="291"/>
      <c r="L1453" s="291"/>
      <c r="M1453" s="291"/>
      <c r="N1453" s="291"/>
      <c r="O1453" s="291"/>
      <c r="P1453" s="291"/>
      <c r="Q1453" s="291"/>
      <c r="R1453" s="291"/>
      <c r="S1453" s="291"/>
      <c r="Z1453" s="318"/>
      <c r="AA1453" s="318"/>
      <c r="AB1453" s="318"/>
      <c r="AC1453" s="318"/>
      <c r="AD1453" s="318"/>
      <c r="AE1453" s="318"/>
      <c r="AF1453" s="318"/>
      <c r="AG1453" s="318"/>
      <c r="AH1453" s="318"/>
      <c r="AI1453" s="318"/>
      <c r="AJ1453" s="318"/>
      <c r="AK1453" s="318"/>
      <c r="BP1453" s="306"/>
    </row>
    <row r="1454" spans="1:68" s="292" customFormat="1" ht="11.55" hidden="1" customHeight="1">
      <c r="A1454" s="291"/>
      <c r="B1454" s="291"/>
      <c r="C1454" s="293"/>
      <c r="D1454" s="291"/>
      <c r="E1454" s="291"/>
      <c r="F1454" s="291"/>
      <c r="G1454" s="291"/>
      <c r="H1454" s="291"/>
      <c r="I1454" s="291"/>
      <c r="J1454" s="291"/>
      <c r="K1454" s="291"/>
      <c r="L1454" s="291"/>
      <c r="M1454" s="291"/>
      <c r="N1454" s="291"/>
      <c r="O1454" s="291"/>
      <c r="P1454" s="291"/>
      <c r="Q1454" s="291"/>
      <c r="R1454" s="291"/>
      <c r="S1454" s="291"/>
      <c r="Z1454" s="318"/>
      <c r="AA1454" s="318"/>
      <c r="AB1454" s="318"/>
      <c r="AC1454" s="318"/>
      <c r="AD1454" s="318"/>
      <c r="AE1454" s="318"/>
      <c r="AF1454" s="318"/>
      <c r="AG1454" s="318"/>
      <c r="AH1454" s="318"/>
      <c r="AI1454" s="318"/>
      <c r="AJ1454" s="318"/>
      <c r="AK1454" s="318"/>
      <c r="BP1454" s="306"/>
    </row>
    <row r="1455" spans="1:68" s="292" customFormat="1" ht="11.55" customHeight="1">
      <c r="A1455" s="291"/>
      <c r="B1455" s="291"/>
      <c r="C1455" s="293"/>
      <c r="D1455" s="291"/>
      <c r="E1455" s="291"/>
      <c r="F1455" s="291"/>
      <c r="G1455" s="291"/>
      <c r="H1455" s="291"/>
      <c r="I1455" s="291"/>
      <c r="J1455" s="291"/>
      <c r="K1455" s="291"/>
      <c r="L1455" s="291"/>
      <c r="M1455" s="291"/>
      <c r="N1455" s="291"/>
      <c r="O1455" s="291"/>
      <c r="P1455" s="291"/>
      <c r="Q1455" s="291"/>
      <c r="R1455" s="291"/>
      <c r="S1455" s="291"/>
      <c r="Z1455" s="318"/>
      <c r="AA1455" s="318"/>
      <c r="AB1455" s="318"/>
      <c r="AC1455" s="318"/>
      <c r="AD1455" s="318"/>
      <c r="AE1455" s="318"/>
      <c r="AF1455" s="318"/>
      <c r="AG1455" s="318"/>
      <c r="AH1455" s="318"/>
      <c r="AI1455" s="318"/>
      <c r="AJ1455" s="318"/>
      <c r="AK1455" s="318"/>
      <c r="BP1455" s="306"/>
    </row>
    <row r="1456" spans="1:68" s="292" customFormat="1" ht="11.55" customHeight="1">
      <c r="A1456" s="291"/>
      <c r="B1456" s="291"/>
      <c r="C1456" s="293"/>
      <c r="D1456" s="291"/>
      <c r="E1456" s="291"/>
      <c r="F1456" s="291"/>
      <c r="G1456" s="291"/>
      <c r="H1456" s="291"/>
      <c r="I1456" s="291"/>
      <c r="J1456" s="291"/>
      <c r="K1456" s="291"/>
      <c r="L1456" s="291"/>
      <c r="M1456" s="291"/>
      <c r="N1456" s="291"/>
      <c r="O1456" s="291"/>
      <c r="P1456" s="291"/>
      <c r="Q1456" s="291"/>
      <c r="R1456" s="291"/>
      <c r="S1456" s="291"/>
      <c r="Z1456" s="318"/>
      <c r="AA1456" s="318"/>
      <c r="AB1456" s="318"/>
      <c r="AC1456" s="318"/>
      <c r="AD1456" s="318"/>
      <c r="AE1456" s="318"/>
      <c r="AF1456" s="318"/>
      <c r="AG1456" s="318"/>
      <c r="AH1456" s="318"/>
      <c r="AI1456" s="318"/>
      <c r="AJ1456" s="318"/>
      <c r="AK1456" s="318"/>
      <c r="BP1456" s="306"/>
    </row>
    <row r="1457" spans="1:68" s="292" customFormat="1" ht="11.55" customHeight="1">
      <c r="A1457" s="291"/>
      <c r="B1457" s="291"/>
      <c r="C1457" s="293"/>
      <c r="D1457" s="291"/>
      <c r="E1457" s="291"/>
      <c r="F1457" s="291"/>
      <c r="G1457" s="291"/>
      <c r="H1457" s="291"/>
      <c r="I1457" s="291"/>
      <c r="J1457" s="291"/>
      <c r="K1457" s="291"/>
      <c r="L1457" s="291"/>
      <c r="M1457" s="291"/>
      <c r="N1457" s="291"/>
      <c r="O1457" s="291"/>
      <c r="P1457" s="291"/>
      <c r="Q1457" s="291"/>
      <c r="R1457" s="291"/>
      <c r="S1457" s="291"/>
      <c r="Z1457" s="318"/>
      <c r="AA1457" s="318"/>
      <c r="AB1457" s="318"/>
      <c r="AC1457" s="318"/>
      <c r="AD1457" s="318"/>
      <c r="AE1457" s="318"/>
      <c r="AF1457" s="318"/>
      <c r="AG1457" s="318"/>
      <c r="AH1457" s="318"/>
      <c r="AI1457" s="318"/>
      <c r="AJ1457" s="318"/>
      <c r="AK1457" s="318"/>
      <c r="BP1457" s="306"/>
    </row>
    <row r="1458" spans="1:68" s="292" customFormat="1" ht="11.55" customHeight="1">
      <c r="A1458" s="291"/>
      <c r="B1458" s="291"/>
      <c r="C1458" s="293"/>
      <c r="D1458" s="291"/>
      <c r="E1458" s="291"/>
      <c r="F1458" s="291"/>
      <c r="G1458" s="291"/>
      <c r="H1458" s="291"/>
      <c r="I1458" s="291"/>
      <c r="J1458" s="291"/>
      <c r="K1458" s="291"/>
      <c r="L1458" s="291"/>
      <c r="M1458" s="291"/>
      <c r="N1458" s="291"/>
      <c r="O1458" s="291"/>
      <c r="P1458" s="291"/>
      <c r="Q1458" s="291"/>
      <c r="R1458" s="291"/>
      <c r="S1458" s="291"/>
      <c r="Z1458" s="318"/>
      <c r="AA1458" s="318"/>
      <c r="AB1458" s="318"/>
      <c r="AC1458" s="318"/>
      <c r="AD1458" s="318"/>
      <c r="AE1458" s="318"/>
      <c r="AF1458" s="318"/>
      <c r="AG1458" s="318"/>
      <c r="AH1458" s="318"/>
      <c r="AI1458" s="318"/>
      <c r="AJ1458" s="318"/>
      <c r="AK1458" s="318"/>
      <c r="BP1458" s="306"/>
    </row>
    <row r="1459" spans="1:68" s="292" customFormat="1" ht="11.55" customHeight="1">
      <c r="A1459" s="291"/>
      <c r="B1459" s="291"/>
      <c r="C1459" s="293"/>
      <c r="D1459" s="291"/>
      <c r="E1459" s="291"/>
      <c r="F1459" s="291"/>
      <c r="G1459" s="291"/>
      <c r="H1459" s="291"/>
      <c r="I1459" s="291"/>
      <c r="J1459" s="291"/>
      <c r="K1459" s="291"/>
      <c r="L1459" s="291"/>
      <c r="M1459" s="291"/>
      <c r="N1459" s="291"/>
      <c r="O1459" s="291"/>
      <c r="P1459" s="291"/>
      <c r="Q1459" s="291"/>
      <c r="R1459" s="291"/>
      <c r="S1459" s="291"/>
      <c r="Z1459" s="318"/>
      <c r="AA1459" s="318"/>
      <c r="AB1459" s="318"/>
      <c r="AC1459" s="318"/>
      <c r="AD1459" s="318"/>
      <c r="AE1459" s="318"/>
      <c r="AF1459" s="318"/>
      <c r="AG1459" s="318"/>
      <c r="AH1459" s="318"/>
      <c r="AI1459" s="318"/>
      <c r="AJ1459" s="318"/>
      <c r="AK1459" s="318"/>
      <c r="BP1459" s="306"/>
    </row>
    <row r="1460" spans="1:68" s="292" customFormat="1" ht="11.55" customHeight="1">
      <c r="A1460" s="291"/>
      <c r="B1460" s="291"/>
      <c r="C1460" s="293"/>
      <c r="D1460" s="291"/>
      <c r="E1460" s="291"/>
      <c r="F1460" s="291"/>
      <c r="G1460" s="291"/>
      <c r="H1460" s="291"/>
      <c r="I1460" s="291"/>
      <c r="J1460" s="291"/>
      <c r="K1460" s="291"/>
      <c r="L1460" s="291"/>
      <c r="M1460" s="291"/>
      <c r="N1460" s="291"/>
      <c r="O1460" s="291"/>
      <c r="P1460" s="291"/>
      <c r="Q1460" s="291"/>
      <c r="R1460" s="291"/>
      <c r="S1460" s="291"/>
      <c r="Z1460" s="318"/>
      <c r="AA1460" s="318"/>
      <c r="AB1460" s="318"/>
      <c r="AC1460" s="318"/>
      <c r="AD1460" s="318"/>
      <c r="AE1460" s="318"/>
      <c r="AF1460" s="318"/>
      <c r="AG1460" s="318"/>
      <c r="AH1460" s="318"/>
      <c r="AI1460" s="318"/>
      <c r="AJ1460" s="318"/>
      <c r="AK1460" s="318"/>
      <c r="BP1460" s="306"/>
    </row>
    <row r="1461" spans="1:68" s="292" customFormat="1" ht="11.55" customHeight="1">
      <c r="A1461" s="291"/>
      <c r="B1461" s="291"/>
      <c r="C1461" s="293"/>
      <c r="D1461" s="291"/>
      <c r="E1461" s="291"/>
      <c r="F1461" s="291"/>
      <c r="G1461" s="291"/>
      <c r="H1461" s="291"/>
      <c r="I1461" s="291"/>
      <c r="J1461" s="291"/>
      <c r="K1461" s="291"/>
      <c r="L1461" s="291"/>
      <c r="M1461" s="291"/>
      <c r="N1461" s="291"/>
      <c r="O1461" s="291"/>
      <c r="P1461" s="291"/>
      <c r="Q1461" s="291"/>
      <c r="R1461" s="291"/>
      <c r="S1461" s="291"/>
      <c r="Z1461" s="318"/>
      <c r="AA1461" s="318"/>
      <c r="AB1461" s="318"/>
      <c r="AC1461" s="318"/>
      <c r="AD1461" s="318"/>
      <c r="AE1461" s="318"/>
      <c r="AF1461" s="318"/>
      <c r="AG1461" s="318"/>
      <c r="AH1461" s="318"/>
      <c r="AI1461" s="318"/>
      <c r="AJ1461" s="318"/>
      <c r="AK1461" s="318"/>
      <c r="BP1461" s="306"/>
    </row>
    <row r="1462" spans="1:68" s="292" customFormat="1" ht="11.55" customHeight="1">
      <c r="A1462" s="291"/>
      <c r="B1462" s="291"/>
      <c r="C1462" s="293"/>
      <c r="D1462" s="291"/>
      <c r="E1462" s="291"/>
      <c r="F1462" s="291"/>
      <c r="G1462" s="291"/>
      <c r="H1462" s="291"/>
      <c r="I1462" s="291"/>
      <c r="J1462" s="291"/>
      <c r="K1462" s="291"/>
      <c r="L1462" s="291"/>
      <c r="M1462" s="291"/>
      <c r="N1462" s="291"/>
      <c r="O1462" s="291"/>
      <c r="P1462" s="291"/>
      <c r="Q1462" s="291"/>
      <c r="R1462" s="291"/>
      <c r="S1462" s="291"/>
      <c r="Z1462" s="318"/>
      <c r="AA1462" s="318"/>
      <c r="AB1462" s="318"/>
      <c r="AC1462" s="318"/>
      <c r="AD1462" s="318"/>
      <c r="AE1462" s="318"/>
      <c r="AF1462" s="318"/>
      <c r="AG1462" s="318"/>
      <c r="AH1462" s="318"/>
      <c r="AI1462" s="318"/>
      <c r="AJ1462" s="318"/>
      <c r="AK1462" s="318"/>
      <c r="BP1462" s="306"/>
    </row>
    <row r="1463" spans="1:68" s="292" customFormat="1" ht="11.55" customHeight="1">
      <c r="A1463" s="291"/>
      <c r="B1463" s="291"/>
      <c r="C1463" s="293"/>
      <c r="D1463" s="291"/>
      <c r="E1463" s="291"/>
      <c r="F1463" s="291"/>
      <c r="G1463" s="291"/>
      <c r="H1463" s="291"/>
      <c r="I1463" s="291"/>
      <c r="J1463" s="291"/>
      <c r="K1463" s="291"/>
      <c r="L1463" s="291"/>
      <c r="M1463" s="291"/>
      <c r="N1463" s="291"/>
      <c r="O1463" s="291"/>
      <c r="P1463" s="291"/>
      <c r="Q1463" s="291"/>
      <c r="R1463" s="291"/>
      <c r="S1463" s="291"/>
      <c r="Z1463" s="318"/>
      <c r="AA1463" s="318"/>
      <c r="AB1463" s="318"/>
      <c r="AC1463" s="318"/>
      <c r="AD1463" s="318"/>
      <c r="AE1463" s="318"/>
      <c r="AF1463" s="318"/>
      <c r="AG1463" s="318"/>
      <c r="AH1463" s="318"/>
      <c r="AI1463" s="318"/>
      <c r="AJ1463" s="318"/>
      <c r="AK1463" s="318"/>
      <c r="BP1463" s="306"/>
    </row>
    <row r="1464" spans="1:68" s="292" customFormat="1" ht="11.55" customHeight="1">
      <c r="A1464" s="291"/>
      <c r="B1464" s="291"/>
      <c r="C1464" s="293"/>
      <c r="D1464" s="291"/>
      <c r="E1464" s="291"/>
      <c r="F1464" s="291"/>
      <c r="G1464" s="291"/>
      <c r="H1464" s="291"/>
      <c r="I1464" s="291"/>
      <c r="J1464" s="291"/>
      <c r="K1464" s="291"/>
      <c r="L1464" s="291"/>
      <c r="M1464" s="291"/>
      <c r="N1464" s="291"/>
      <c r="O1464" s="291"/>
      <c r="P1464" s="291"/>
      <c r="Q1464" s="291"/>
      <c r="R1464" s="291"/>
      <c r="S1464" s="291"/>
      <c r="Z1464" s="318"/>
      <c r="AA1464" s="318"/>
      <c r="AB1464" s="318"/>
      <c r="AC1464" s="318"/>
      <c r="AD1464" s="318"/>
      <c r="AE1464" s="318"/>
      <c r="AF1464" s="318"/>
      <c r="AG1464" s="318"/>
      <c r="AH1464" s="318"/>
      <c r="AI1464" s="318"/>
      <c r="AJ1464" s="318"/>
      <c r="AK1464" s="318"/>
      <c r="BP1464" s="306"/>
    </row>
    <row r="1465" spans="1:68" s="292" customFormat="1" ht="11.55" customHeight="1">
      <c r="A1465" s="291"/>
      <c r="B1465" s="291"/>
      <c r="C1465" s="293"/>
      <c r="D1465" s="291"/>
      <c r="E1465" s="291"/>
      <c r="F1465" s="291"/>
      <c r="G1465" s="291"/>
      <c r="H1465" s="291"/>
      <c r="I1465" s="291"/>
      <c r="J1465" s="291"/>
      <c r="K1465" s="291"/>
      <c r="L1465" s="291"/>
      <c r="M1465" s="291"/>
      <c r="N1465" s="291"/>
      <c r="O1465" s="291"/>
      <c r="P1465" s="291"/>
      <c r="Q1465" s="291"/>
      <c r="R1465" s="291"/>
      <c r="S1465" s="291"/>
      <c r="Z1465" s="318"/>
      <c r="AA1465" s="318"/>
      <c r="AB1465" s="318"/>
      <c r="AC1465" s="318"/>
      <c r="AD1465" s="318"/>
      <c r="AE1465" s="318"/>
      <c r="AF1465" s="318"/>
      <c r="AG1465" s="318"/>
      <c r="AH1465" s="318"/>
      <c r="AI1465" s="318"/>
      <c r="AJ1465" s="318"/>
      <c r="AK1465" s="318"/>
      <c r="BP1465" s="306"/>
    </row>
    <row r="1466" spans="1:68" s="292" customFormat="1" ht="11.55" customHeight="1">
      <c r="A1466" s="291"/>
      <c r="B1466" s="291"/>
      <c r="C1466" s="293"/>
      <c r="D1466" s="291"/>
      <c r="E1466" s="291"/>
      <c r="F1466" s="291"/>
      <c r="G1466" s="291"/>
      <c r="H1466" s="291"/>
      <c r="I1466" s="291"/>
      <c r="J1466" s="291"/>
      <c r="K1466" s="291"/>
      <c r="L1466" s="291"/>
      <c r="M1466" s="291"/>
      <c r="N1466" s="291"/>
      <c r="O1466" s="291"/>
      <c r="P1466" s="291"/>
      <c r="Q1466" s="291"/>
      <c r="R1466" s="291"/>
      <c r="S1466" s="291"/>
      <c r="Z1466" s="318"/>
      <c r="AA1466" s="318"/>
      <c r="AB1466" s="318"/>
      <c r="AC1466" s="318"/>
      <c r="AD1466" s="318"/>
      <c r="AE1466" s="318"/>
      <c r="AF1466" s="318"/>
      <c r="AG1466" s="318"/>
      <c r="AH1466" s="318"/>
      <c r="AI1466" s="318"/>
      <c r="AJ1466" s="318"/>
      <c r="AK1466" s="318"/>
      <c r="BP1466" s="306"/>
    </row>
    <row r="1467" spans="1:68" s="292" customFormat="1">
      <c r="A1467" s="291"/>
      <c r="B1467" s="291"/>
      <c r="C1467" s="293"/>
      <c r="D1467" s="291"/>
      <c r="E1467" s="291"/>
      <c r="F1467" s="291"/>
      <c r="G1467" s="291"/>
      <c r="H1467" s="291"/>
      <c r="I1467" s="291"/>
      <c r="J1467" s="291"/>
      <c r="K1467" s="291"/>
      <c r="L1467" s="291"/>
      <c r="M1467" s="291"/>
      <c r="N1467" s="291"/>
      <c r="O1467" s="291"/>
      <c r="P1467" s="291"/>
      <c r="Q1467" s="291"/>
      <c r="R1467" s="291"/>
      <c r="S1467" s="291"/>
      <c r="Z1467" s="318"/>
      <c r="AA1467" s="318"/>
      <c r="AB1467" s="318"/>
      <c r="AC1467" s="318"/>
      <c r="AD1467" s="318"/>
      <c r="AE1467" s="318"/>
      <c r="AF1467" s="318"/>
      <c r="AG1467" s="318"/>
      <c r="AH1467" s="318"/>
      <c r="AI1467" s="318"/>
      <c r="AJ1467" s="318"/>
      <c r="AK1467" s="318"/>
      <c r="BP1467" s="306"/>
    </row>
    <row r="1468" spans="1:68" s="292" customFormat="1">
      <c r="A1468" s="291"/>
      <c r="B1468" s="291"/>
      <c r="C1468" s="293"/>
      <c r="D1468" s="291"/>
      <c r="E1468" s="291"/>
      <c r="F1468" s="291"/>
      <c r="G1468" s="291"/>
      <c r="H1468" s="291"/>
      <c r="I1468" s="291"/>
      <c r="J1468" s="291"/>
      <c r="K1468" s="291"/>
      <c r="L1468" s="291"/>
      <c r="M1468" s="291"/>
      <c r="N1468" s="291"/>
      <c r="O1468" s="291"/>
      <c r="P1468" s="291"/>
      <c r="Q1468" s="291"/>
      <c r="R1468" s="291"/>
      <c r="S1468" s="291"/>
      <c r="Z1468" s="318"/>
      <c r="AA1468" s="318"/>
      <c r="AB1468" s="318"/>
      <c r="AC1468" s="318"/>
      <c r="AD1468" s="318"/>
      <c r="AE1468" s="318"/>
      <c r="AF1468" s="318"/>
      <c r="AG1468" s="318"/>
      <c r="AH1468" s="318"/>
      <c r="AI1468" s="318"/>
      <c r="AJ1468" s="318"/>
      <c r="AK1468" s="318"/>
      <c r="BP1468" s="306"/>
    </row>
    <row r="1469" spans="1:68" s="292" customFormat="1">
      <c r="A1469" s="291"/>
      <c r="B1469" s="291"/>
      <c r="C1469" s="293"/>
      <c r="D1469" s="291"/>
      <c r="E1469" s="291"/>
      <c r="F1469" s="291"/>
      <c r="G1469" s="291"/>
      <c r="H1469" s="291"/>
      <c r="I1469" s="291"/>
      <c r="J1469" s="291"/>
      <c r="K1469" s="291"/>
      <c r="L1469" s="291"/>
      <c r="M1469" s="291"/>
      <c r="N1469" s="291"/>
      <c r="O1469" s="291"/>
      <c r="P1469" s="291"/>
      <c r="Q1469" s="291"/>
      <c r="R1469" s="291"/>
      <c r="S1469" s="291"/>
      <c r="Z1469" s="318"/>
      <c r="AA1469" s="318"/>
      <c r="AB1469" s="318"/>
      <c r="AC1469" s="318"/>
      <c r="AD1469" s="318"/>
      <c r="AE1469" s="318"/>
      <c r="AF1469" s="318"/>
      <c r="AG1469" s="318"/>
      <c r="AH1469" s="318"/>
      <c r="AI1469" s="318"/>
      <c r="AJ1469" s="318"/>
      <c r="AK1469" s="318"/>
      <c r="BP1469" s="306"/>
    </row>
    <row r="1470" spans="1:68" s="292" customFormat="1">
      <c r="A1470" s="291"/>
      <c r="B1470" s="291"/>
      <c r="C1470" s="293"/>
      <c r="D1470" s="291"/>
      <c r="E1470" s="291"/>
      <c r="F1470" s="291"/>
      <c r="G1470" s="291"/>
      <c r="H1470" s="291"/>
      <c r="I1470" s="291"/>
      <c r="J1470" s="291"/>
      <c r="K1470" s="291"/>
      <c r="L1470" s="291"/>
      <c r="M1470" s="291"/>
      <c r="N1470" s="291"/>
      <c r="O1470" s="291"/>
      <c r="P1470" s="291"/>
      <c r="Q1470" s="291"/>
      <c r="R1470" s="291"/>
      <c r="S1470" s="291"/>
      <c r="Z1470" s="318"/>
      <c r="AA1470" s="318"/>
      <c r="AB1470" s="318"/>
      <c r="AC1470" s="318"/>
      <c r="AD1470" s="318"/>
      <c r="AE1470" s="318"/>
      <c r="AF1470" s="318"/>
      <c r="AG1470" s="318"/>
      <c r="AH1470" s="318"/>
      <c r="AI1470" s="318"/>
      <c r="AJ1470" s="318"/>
      <c r="AK1470" s="318"/>
      <c r="BP1470" s="306"/>
    </row>
    <row r="1471" spans="1:68" s="292" customFormat="1">
      <c r="A1471" s="291"/>
      <c r="B1471" s="291"/>
      <c r="C1471" s="293"/>
      <c r="D1471" s="291"/>
      <c r="E1471" s="291"/>
      <c r="F1471" s="291"/>
      <c r="G1471" s="291"/>
      <c r="H1471" s="291"/>
      <c r="I1471" s="291"/>
      <c r="J1471" s="291"/>
      <c r="K1471" s="291"/>
      <c r="L1471" s="291"/>
      <c r="M1471" s="291"/>
      <c r="N1471" s="291"/>
      <c r="O1471" s="291"/>
      <c r="P1471" s="291"/>
      <c r="Q1471" s="291"/>
      <c r="R1471" s="291"/>
      <c r="S1471" s="291"/>
      <c r="Z1471" s="318"/>
      <c r="AA1471" s="318"/>
      <c r="AB1471" s="318"/>
      <c r="AC1471" s="318"/>
      <c r="AD1471" s="318"/>
      <c r="AE1471" s="318"/>
      <c r="AF1471" s="318"/>
      <c r="AG1471" s="318"/>
      <c r="AH1471" s="318"/>
      <c r="AI1471" s="318"/>
      <c r="AJ1471" s="318"/>
      <c r="AK1471" s="318"/>
      <c r="BP1471" s="306"/>
    </row>
    <row r="1472" spans="1:68" s="292" customFormat="1">
      <c r="A1472" s="291"/>
      <c r="B1472" s="291"/>
      <c r="C1472" s="293"/>
      <c r="D1472" s="291"/>
      <c r="E1472" s="291"/>
      <c r="F1472" s="291"/>
      <c r="G1472" s="291"/>
      <c r="H1472" s="291"/>
      <c r="I1472" s="291"/>
      <c r="J1472" s="291"/>
      <c r="K1472" s="291"/>
      <c r="L1472" s="291"/>
      <c r="M1472" s="291"/>
      <c r="N1472" s="291"/>
      <c r="O1472" s="291"/>
      <c r="P1472" s="291"/>
      <c r="Q1472" s="291"/>
      <c r="R1472" s="291"/>
      <c r="S1472" s="291"/>
      <c r="Z1472" s="318"/>
      <c r="AA1472" s="318"/>
      <c r="AB1472" s="318"/>
      <c r="AC1472" s="318"/>
      <c r="AD1472" s="318"/>
      <c r="AE1472" s="318"/>
      <c r="AF1472" s="318"/>
      <c r="AG1472" s="318"/>
      <c r="AH1472" s="318"/>
      <c r="AI1472" s="318"/>
      <c r="AJ1472" s="318"/>
      <c r="AK1472" s="318"/>
      <c r="BP1472" s="306"/>
    </row>
    <row r="1473" spans="1:68" s="292" customFormat="1">
      <c r="A1473" s="291"/>
      <c r="B1473" s="291"/>
      <c r="C1473" s="293"/>
      <c r="D1473" s="291"/>
      <c r="E1473" s="291"/>
      <c r="F1473" s="291"/>
      <c r="G1473" s="291"/>
      <c r="H1473" s="291"/>
      <c r="I1473" s="291"/>
      <c r="J1473" s="291"/>
      <c r="K1473" s="291"/>
      <c r="L1473" s="291"/>
      <c r="M1473" s="291"/>
      <c r="N1473" s="291"/>
      <c r="O1473" s="291"/>
      <c r="P1473" s="291"/>
      <c r="Q1473" s="291"/>
      <c r="R1473" s="291"/>
      <c r="S1473" s="291"/>
      <c r="Z1473" s="318"/>
      <c r="AA1473" s="318"/>
      <c r="AB1473" s="318"/>
      <c r="AC1473" s="318"/>
      <c r="AD1473" s="318"/>
      <c r="AE1473" s="318"/>
      <c r="AF1473" s="318"/>
      <c r="AG1473" s="318"/>
      <c r="AH1473" s="318"/>
      <c r="AI1473" s="318"/>
      <c r="AJ1473" s="318"/>
      <c r="AK1473" s="318"/>
      <c r="BP1473" s="306"/>
    </row>
    <row r="1474" spans="1:68" s="292" customFormat="1">
      <c r="A1474" s="291"/>
      <c r="B1474" s="291"/>
      <c r="C1474" s="293"/>
      <c r="D1474" s="291"/>
      <c r="E1474" s="291"/>
      <c r="F1474" s="291"/>
      <c r="G1474" s="291"/>
      <c r="H1474" s="291"/>
      <c r="I1474" s="291"/>
      <c r="J1474" s="291"/>
      <c r="K1474" s="291"/>
      <c r="L1474" s="291"/>
      <c r="M1474" s="291"/>
      <c r="N1474" s="291"/>
      <c r="O1474" s="291"/>
      <c r="P1474" s="291"/>
      <c r="Q1474" s="291"/>
      <c r="R1474" s="291"/>
      <c r="S1474" s="291"/>
      <c r="Z1474" s="318"/>
      <c r="AA1474" s="318"/>
      <c r="AB1474" s="318"/>
      <c r="AC1474" s="318"/>
      <c r="AD1474" s="318"/>
      <c r="AE1474" s="318"/>
      <c r="AF1474" s="318"/>
      <c r="AG1474" s="318"/>
      <c r="AH1474" s="318"/>
      <c r="AI1474" s="318"/>
      <c r="AJ1474" s="318"/>
      <c r="AK1474" s="318"/>
      <c r="BP1474" s="306"/>
    </row>
    <row r="1475" spans="1:68" s="292" customFormat="1">
      <c r="A1475" s="291"/>
      <c r="B1475" s="291"/>
      <c r="C1475" s="293"/>
      <c r="D1475" s="291"/>
      <c r="E1475" s="291"/>
      <c r="F1475" s="291"/>
      <c r="G1475" s="291"/>
      <c r="H1475" s="291"/>
      <c r="I1475" s="291"/>
      <c r="J1475" s="291"/>
      <c r="K1475" s="291"/>
      <c r="L1475" s="291"/>
      <c r="M1475" s="291"/>
      <c r="N1475" s="291"/>
      <c r="O1475" s="291"/>
      <c r="P1475" s="291"/>
      <c r="Q1475" s="291"/>
      <c r="R1475" s="291"/>
      <c r="S1475" s="291"/>
      <c r="Z1475" s="318"/>
      <c r="AA1475" s="318"/>
      <c r="AB1475" s="318"/>
      <c r="AC1475" s="318"/>
      <c r="AD1475" s="318"/>
      <c r="AE1475" s="318"/>
      <c r="AF1475" s="318"/>
      <c r="AG1475" s="318"/>
      <c r="AH1475" s="318"/>
      <c r="AI1475" s="318"/>
      <c r="AJ1475" s="318"/>
      <c r="AK1475" s="318"/>
      <c r="BP1475" s="306"/>
    </row>
    <row r="1476" spans="1:68" s="292" customFormat="1">
      <c r="A1476" s="291"/>
      <c r="B1476" s="291"/>
      <c r="C1476" s="293"/>
      <c r="D1476" s="291"/>
      <c r="E1476" s="291"/>
      <c r="F1476" s="291"/>
      <c r="G1476" s="291"/>
      <c r="H1476" s="291"/>
      <c r="I1476" s="291"/>
      <c r="J1476" s="291"/>
      <c r="K1476" s="291"/>
      <c r="L1476" s="291"/>
      <c r="M1476" s="291"/>
      <c r="N1476" s="291"/>
      <c r="O1476" s="291"/>
      <c r="P1476" s="291"/>
      <c r="Q1476" s="291"/>
      <c r="R1476" s="291"/>
      <c r="S1476" s="291"/>
      <c r="Z1476" s="318"/>
      <c r="AA1476" s="318"/>
      <c r="AB1476" s="318"/>
      <c r="AC1476" s="318"/>
      <c r="AD1476" s="318"/>
      <c r="AE1476" s="318"/>
      <c r="AF1476" s="318"/>
      <c r="AG1476" s="318"/>
      <c r="AH1476" s="318"/>
      <c r="AI1476" s="318"/>
      <c r="AJ1476" s="318"/>
      <c r="AK1476" s="318"/>
      <c r="BP1476" s="306"/>
    </row>
    <row r="1477" spans="1:68" s="292" customFormat="1">
      <c r="A1477" s="291"/>
      <c r="B1477" s="291"/>
      <c r="C1477" s="293"/>
      <c r="D1477" s="291"/>
      <c r="E1477" s="291"/>
      <c r="F1477" s="291"/>
      <c r="G1477" s="291"/>
      <c r="H1477" s="291"/>
      <c r="I1477" s="291"/>
      <c r="J1477" s="291"/>
      <c r="K1477" s="291"/>
      <c r="L1477" s="291"/>
      <c r="M1477" s="291"/>
      <c r="N1477" s="291"/>
      <c r="O1477" s="291"/>
      <c r="P1477" s="291"/>
      <c r="Q1477" s="291"/>
      <c r="R1477" s="291"/>
      <c r="S1477" s="291"/>
      <c r="Z1477" s="318"/>
      <c r="AA1477" s="318"/>
      <c r="AB1477" s="318"/>
      <c r="AC1477" s="318"/>
      <c r="AD1477" s="318"/>
      <c r="AE1477" s="318"/>
      <c r="AF1477" s="318"/>
      <c r="AG1477" s="318"/>
      <c r="AH1477" s="318"/>
      <c r="AI1477" s="318"/>
      <c r="AJ1477" s="318"/>
      <c r="AK1477" s="318"/>
      <c r="BP1477" s="306"/>
    </row>
    <row r="1478" spans="1:68" s="292" customFormat="1">
      <c r="A1478" s="291"/>
      <c r="B1478" s="291"/>
      <c r="C1478" s="293"/>
      <c r="D1478" s="291"/>
      <c r="E1478" s="291"/>
      <c r="F1478" s="291"/>
      <c r="G1478" s="291"/>
      <c r="H1478" s="291"/>
      <c r="I1478" s="291"/>
      <c r="J1478" s="291"/>
      <c r="K1478" s="291"/>
      <c r="L1478" s="291"/>
      <c r="M1478" s="291"/>
      <c r="N1478" s="291"/>
      <c r="O1478" s="291"/>
      <c r="P1478" s="291"/>
      <c r="Q1478" s="291"/>
      <c r="R1478" s="291"/>
      <c r="S1478" s="291"/>
      <c r="Z1478" s="318"/>
      <c r="AA1478" s="318"/>
      <c r="AB1478" s="318"/>
      <c r="AC1478" s="318"/>
      <c r="AD1478" s="318"/>
      <c r="AE1478" s="318"/>
      <c r="AF1478" s="318"/>
      <c r="AG1478" s="318"/>
      <c r="AH1478" s="318"/>
      <c r="AI1478" s="318"/>
      <c r="AJ1478" s="318"/>
      <c r="AK1478" s="318"/>
      <c r="BP1478" s="306"/>
    </row>
    <row r="1479" spans="1:68" s="292" customFormat="1">
      <c r="A1479" s="291"/>
      <c r="B1479" s="291"/>
      <c r="C1479" s="293"/>
      <c r="D1479" s="291"/>
      <c r="E1479" s="291"/>
      <c r="F1479" s="291"/>
      <c r="G1479" s="291"/>
      <c r="H1479" s="291"/>
      <c r="I1479" s="291"/>
      <c r="J1479" s="291"/>
      <c r="K1479" s="291"/>
      <c r="L1479" s="291"/>
      <c r="M1479" s="291"/>
      <c r="N1479" s="291"/>
      <c r="O1479" s="291"/>
      <c r="P1479" s="291"/>
      <c r="Q1479" s="291"/>
      <c r="R1479" s="291"/>
      <c r="S1479" s="291"/>
      <c r="Z1479" s="318"/>
      <c r="AA1479" s="318"/>
      <c r="AB1479" s="318"/>
      <c r="AC1479" s="318"/>
      <c r="AD1479" s="318"/>
      <c r="AE1479" s="318"/>
      <c r="AF1479" s="318"/>
      <c r="AG1479" s="318"/>
      <c r="AH1479" s="318"/>
      <c r="AI1479" s="318"/>
      <c r="AJ1479" s="318"/>
      <c r="AK1479" s="318"/>
      <c r="BP1479" s="306"/>
    </row>
    <row r="1480" spans="1:68" s="292" customFormat="1">
      <c r="A1480" s="291"/>
      <c r="B1480" s="291"/>
      <c r="C1480" s="293"/>
      <c r="D1480" s="291"/>
      <c r="E1480" s="291"/>
      <c r="F1480" s="291"/>
      <c r="G1480" s="291"/>
      <c r="H1480" s="291"/>
      <c r="I1480" s="291"/>
      <c r="J1480" s="291"/>
      <c r="K1480" s="291"/>
      <c r="L1480" s="291"/>
      <c r="M1480" s="291"/>
      <c r="N1480" s="291"/>
      <c r="O1480" s="291"/>
      <c r="P1480" s="291"/>
      <c r="Q1480" s="291"/>
      <c r="R1480" s="291"/>
      <c r="S1480" s="291"/>
      <c r="Z1480" s="318"/>
      <c r="AA1480" s="318"/>
      <c r="AB1480" s="318"/>
      <c r="AC1480" s="318"/>
      <c r="AD1480" s="318"/>
      <c r="AE1480" s="318"/>
      <c r="AF1480" s="318"/>
      <c r="AG1480" s="318"/>
      <c r="AH1480" s="318"/>
      <c r="AI1480" s="318"/>
      <c r="AJ1480" s="318"/>
      <c r="AK1480" s="318"/>
      <c r="BP1480" s="306"/>
    </row>
    <row r="1481" spans="1:68" s="292" customFormat="1">
      <c r="A1481" s="291"/>
      <c r="B1481" s="291"/>
      <c r="C1481" s="293"/>
      <c r="D1481" s="291"/>
      <c r="E1481" s="291"/>
      <c r="F1481" s="291"/>
      <c r="G1481" s="291"/>
      <c r="H1481" s="291"/>
      <c r="I1481" s="291"/>
      <c r="J1481" s="291"/>
      <c r="K1481" s="291"/>
      <c r="L1481" s="291"/>
      <c r="M1481" s="291"/>
      <c r="N1481" s="291"/>
      <c r="O1481" s="291"/>
      <c r="P1481" s="291"/>
      <c r="Q1481" s="291"/>
      <c r="R1481" s="291"/>
      <c r="S1481" s="291"/>
      <c r="Z1481" s="318"/>
      <c r="AA1481" s="318"/>
      <c r="AB1481" s="318"/>
      <c r="AC1481" s="318"/>
      <c r="AD1481" s="318"/>
      <c r="AE1481" s="318"/>
      <c r="AF1481" s="318"/>
      <c r="AG1481" s="318"/>
      <c r="AH1481" s="318"/>
      <c r="AI1481" s="318"/>
      <c r="AJ1481" s="318"/>
      <c r="AK1481" s="318"/>
      <c r="BP1481" s="306"/>
    </row>
    <row r="1482" spans="1:68" s="292" customFormat="1">
      <c r="A1482" s="291"/>
      <c r="B1482" s="291"/>
      <c r="C1482" s="293"/>
      <c r="D1482" s="291"/>
      <c r="E1482" s="291"/>
      <c r="F1482" s="291"/>
      <c r="G1482" s="291"/>
      <c r="H1482" s="291"/>
      <c r="I1482" s="291"/>
      <c r="J1482" s="291"/>
      <c r="K1482" s="291"/>
      <c r="L1482" s="291"/>
      <c r="M1482" s="291"/>
      <c r="N1482" s="291"/>
      <c r="O1482" s="291"/>
      <c r="P1482" s="291"/>
      <c r="Q1482" s="291"/>
      <c r="R1482" s="291"/>
      <c r="S1482" s="291"/>
      <c r="Z1482" s="318"/>
      <c r="AA1482" s="318"/>
      <c r="AB1482" s="318"/>
      <c r="AC1482" s="318"/>
      <c r="AD1482" s="318"/>
      <c r="AE1482" s="318"/>
      <c r="AF1482" s="318"/>
      <c r="AG1482" s="318"/>
      <c r="AH1482" s="318"/>
      <c r="AI1482" s="318"/>
      <c r="AJ1482" s="318"/>
      <c r="AK1482" s="318"/>
      <c r="BP1482" s="306"/>
    </row>
    <row r="1483" spans="1:68" s="292" customFormat="1">
      <c r="A1483" s="291"/>
      <c r="B1483" s="291"/>
      <c r="C1483" s="293"/>
      <c r="D1483" s="291"/>
      <c r="E1483" s="291"/>
      <c r="F1483" s="291"/>
      <c r="G1483" s="291"/>
      <c r="H1483" s="291"/>
      <c r="I1483" s="291"/>
      <c r="J1483" s="291"/>
      <c r="K1483" s="291"/>
      <c r="L1483" s="291"/>
      <c r="M1483" s="291"/>
      <c r="N1483" s="291"/>
      <c r="O1483" s="291"/>
      <c r="P1483" s="291"/>
      <c r="Q1483" s="291"/>
      <c r="R1483" s="291"/>
      <c r="S1483" s="291"/>
      <c r="Z1483" s="318"/>
      <c r="AA1483" s="318"/>
      <c r="AB1483" s="318"/>
      <c r="AC1483" s="318"/>
      <c r="AD1483" s="318"/>
      <c r="AE1483" s="318"/>
      <c r="AF1483" s="318"/>
      <c r="AG1483" s="318"/>
      <c r="AH1483" s="318"/>
      <c r="AI1483" s="318"/>
      <c r="AJ1483" s="318"/>
      <c r="AK1483" s="318"/>
      <c r="BP1483" s="306"/>
    </row>
    <row r="1484" spans="1:68" s="292" customFormat="1">
      <c r="A1484" s="291"/>
      <c r="B1484" s="291"/>
      <c r="C1484" s="293"/>
      <c r="D1484" s="291"/>
      <c r="E1484" s="291"/>
      <c r="F1484" s="291"/>
      <c r="G1484" s="291"/>
      <c r="H1484" s="291"/>
      <c r="I1484" s="291"/>
      <c r="J1484" s="291"/>
      <c r="K1484" s="291"/>
      <c r="L1484" s="291"/>
      <c r="M1484" s="291"/>
      <c r="N1484" s="291"/>
      <c r="O1484" s="291"/>
      <c r="P1484" s="291"/>
      <c r="Q1484" s="291"/>
      <c r="R1484" s="291"/>
      <c r="S1484" s="291"/>
      <c r="Z1484" s="318"/>
      <c r="AA1484" s="318"/>
      <c r="AB1484" s="318"/>
      <c r="AC1484" s="318"/>
      <c r="AD1484" s="318"/>
      <c r="AE1484" s="318"/>
      <c r="AF1484" s="318"/>
      <c r="AG1484" s="318"/>
      <c r="AH1484" s="318"/>
      <c r="AI1484" s="318"/>
      <c r="AJ1484" s="318"/>
      <c r="AK1484" s="318"/>
      <c r="BP1484" s="306"/>
    </row>
    <row r="1485" spans="1:68" s="292" customFormat="1">
      <c r="A1485" s="291"/>
      <c r="B1485" s="291"/>
      <c r="C1485" s="293"/>
      <c r="D1485" s="291"/>
      <c r="E1485" s="291"/>
      <c r="F1485" s="291"/>
      <c r="G1485" s="291"/>
      <c r="H1485" s="291"/>
      <c r="I1485" s="291"/>
      <c r="J1485" s="291"/>
      <c r="K1485" s="291"/>
      <c r="L1485" s="291"/>
      <c r="M1485" s="291"/>
      <c r="N1485" s="291"/>
      <c r="O1485" s="291"/>
      <c r="P1485" s="291"/>
      <c r="Q1485" s="291"/>
      <c r="R1485" s="291"/>
      <c r="S1485" s="291"/>
      <c r="Z1485" s="318"/>
      <c r="AA1485" s="318"/>
      <c r="AB1485" s="318"/>
      <c r="AC1485" s="318"/>
      <c r="AD1485" s="318"/>
      <c r="AE1485" s="318"/>
      <c r="AF1485" s="318"/>
      <c r="AG1485" s="318"/>
      <c r="AH1485" s="318"/>
      <c r="AI1485" s="318"/>
      <c r="AJ1485" s="318"/>
      <c r="AK1485" s="318"/>
      <c r="BP1485" s="306"/>
    </row>
  </sheetData>
  <sheetProtection algorithmName="SHA-512" hashValue="ZNX53RDfJOppcjMeHKiOWjZVuEYm6V4uzmKTZmCKx1Cm+1wM+mp53KTR++u3qgdV/IEu85B1NMLAkLLWB/5Y0A==" saltValue="Lymk0ZKPmWjfEzMaU6tXCw==" spinCount="100000" sheet="1" objects="1" scenarios="1" selectLockedCells="1"/>
  <mergeCells count="61">
    <mergeCell ref="G1442:H1442"/>
    <mergeCell ref="G1443:H1443"/>
    <mergeCell ref="G1444:H1444"/>
    <mergeCell ref="G1435:H1435"/>
    <mergeCell ref="G1436:H1436"/>
    <mergeCell ref="G1437:H1437"/>
    <mergeCell ref="G1438:H1438"/>
    <mergeCell ref="G1439:H1439"/>
    <mergeCell ref="G1440:H1440"/>
    <mergeCell ref="G1433:H1433"/>
    <mergeCell ref="G1434:H1434"/>
    <mergeCell ref="G1398:H1398"/>
    <mergeCell ref="G1399:H1399"/>
    <mergeCell ref="G1441:H1441"/>
    <mergeCell ref="J1388:K1388"/>
    <mergeCell ref="J1389:K1389"/>
    <mergeCell ref="J1390:K1390"/>
    <mergeCell ref="J1391:K1391"/>
    <mergeCell ref="J1392:K1392"/>
    <mergeCell ref="J1393:K1393"/>
    <mergeCell ref="J1394:K1394"/>
    <mergeCell ref="J1399:K1399"/>
    <mergeCell ref="G1392:H1392"/>
    <mergeCell ref="G1393:H1393"/>
    <mergeCell ref="G1394:H1394"/>
    <mergeCell ref="G1395:H1395"/>
    <mergeCell ref="G1396:H1396"/>
    <mergeCell ref="G1397:H1397"/>
    <mergeCell ref="J1395:K1395"/>
    <mergeCell ref="J1396:K1396"/>
    <mergeCell ref="J1397:K1397"/>
    <mergeCell ref="J1398:K1398"/>
    <mergeCell ref="G1388:H1388"/>
    <mergeCell ref="G1386:H1386"/>
    <mergeCell ref="G1385:H1385"/>
    <mergeCell ref="G1389:H1389"/>
    <mergeCell ref="G1390:H1390"/>
    <mergeCell ref="G1391:H1391"/>
    <mergeCell ref="J1378:K1378"/>
    <mergeCell ref="J1384:K1384"/>
    <mergeCell ref="J1385:K1385"/>
    <mergeCell ref="J1386:K1386"/>
    <mergeCell ref="J1379:K1379"/>
    <mergeCell ref="J1380:K1380"/>
    <mergeCell ref="J1381:K1381"/>
    <mergeCell ref="J1382:K1382"/>
    <mergeCell ref="J1383:K1383"/>
    <mergeCell ref="G1382:H1382"/>
    <mergeCell ref="G1383:H1383"/>
    <mergeCell ref="G1384:H1384"/>
    <mergeCell ref="G1378:H1378"/>
    <mergeCell ref="G1379:H1379"/>
    <mergeCell ref="G1380:H1380"/>
    <mergeCell ref="G1381:H1381"/>
    <mergeCell ref="B2:O2"/>
    <mergeCell ref="G1375:H1375"/>
    <mergeCell ref="G1376:H1376"/>
    <mergeCell ref="G1377:H1377"/>
    <mergeCell ref="J1375:K1375"/>
    <mergeCell ref="J1376:K1376"/>
    <mergeCell ref="J1377:K1377"/>
  </mergeCells>
  <phoneticPr fontId="18" type="noConversion"/>
  <conditionalFormatting sqref="A1330 A1179 A1058 A944 A771 A687 A618 A320:A321 A196 A62">
    <cfRule type="cellIs" dxfId="136" priority="1" stopIfTrue="1" operator="greaterThan">
      <formula>1</formula>
    </cfRule>
    <cfRule type="cellIs" dxfId="135" priority="2" stopIfTrue="1" operator="lessThan">
      <formula>0.7</formula>
    </cfRule>
  </conditionalFormatting>
  <conditionalFormatting sqref="N9 N23 N36 N49 N62 N75 N88 N101 N114 N127 N144 N157 N170 N183 N196 N209 N222 N235 N248 N261 N278 N292:N293 N306:N307 N320:N321 N334:N335 N348:N349 N362:N363 N376:N377 N390:N391 N404:N405 N418:N419 N432:N433 N446:N447 N460:N461 N474:N475 N488:N489 N592 N605 N618 N631 N644 N657 N674 N687 N700 N719 N732 N745 N758 N771 N784 N797 N810 N931 N944 N957 N989 N1015 N1002 N1045 N1110 N1071 N1084 N1097 N1058 N1166 N1218 N1192 N1179 N1205 N1274 N1300 N1287 N1317 N1356 N1330 N1343 N823 N836 N849 N862 N875 N888 N901 N914 N970 N1028 N1123 N1136 N1149 N1231 N1244 N1257 N502:N503 N516:N517 N530:N531 N544:N545 N562 N575">
    <cfRule type="cellIs" dxfId="134" priority="3" stopIfTrue="1" operator="equal">
      <formula>0</formula>
    </cfRule>
  </conditionalFormatting>
  <dataValidations xWindow="769" yWindow="754" count="44">
    <dataValidation type="decimal" operator="greaterThan" allowBlank="1" showInputMessage="1" showErrorMessage="1" errorTitle="Dicke der Wärmedämmung" error="Geben Sie die Dicke der Wärmedämmung in cm ein!" sqref="C9 G24 G37 G50 G63 G76 G89 G102 G115 C23:C127 G145 G158 G171 G184 G197 G210 G223 G236 G249 G262 C144:C261 F593 F606 F619 F632 F645 C592:C657 H990:H1001 H1003 C989:C1015 H1046:H1057 H1059 H1072 H1085 H1098 C1045:C1110 H1167:H1178 H1180 H1193 H1206 C1166:C1218" xr:uid="{00000000-0002-0000-0200-000000000000}">
      <formula1>0.99</formula1>
    </dataValidation>
    <dataValidation type="decimal" operator="lessThan" allowBlank="1" showInputMessage="1" showErrorMessage="1" errorTitle="g-Wert der Verglasung" error="Der g-Wert der Verglasung muss zwischen 0 und 1 liegen!" sqref="F278 F292:F293 F306:F307 F320:F321 F334:F335 F348:F349 F362:F363 F376:F377 F390:F391 F404:F405 F418:F419 F432:F433 F446:F447 F460:F461 F474:F475 F488:F489 F502:F503 F516:F517 F530:F531 F544:F545 F562 F575" xr:uid="{00000000-0002-0000-0200-000001000000}">
      <formula1>1</formula1>
    </dataValidation>
    <dataValidation type="decimal" operator="lessThan" allowBlank="1" showInputMessage="1" showErrorMessage="1" errorTitle="Abminderungsfaktor Fensterrahmen" error="Der Wert muss zwischen 0 und 1 liegen" sqref="G278 G488 G292 G306 G320 G334 G348 G362 G376 G390 G404 G418 G432 G446 G460 G575 G562 G530 G516 G502 G474" xr:uid="{00000000-0002-0000-0200-000002000000}">
      <formula1>1</formula1>
    </dataValidation>
    <dataValidation type="decimal" operator="lessThan" allowBlank="1" showErrorMessage="1" errorTitle="Reduktionsfaktor Wärmeverluste" error="Der Wert muss zwischen 0 und 1 liegen!" promptTitle="Reduktionsfaktor Wärmeverluste" prompt="Eine Eingabe ist zwingend erforderlich!" sqref="F771 F719 F732 F745 F758 F784 F914 F901 F888 F875 F862 F849 F836 F823" xr:uid="{00000000-0002-0000-0200-000003000000}">
      <formula1>1.00000000001</formula1>
    </dataValidation>
    <dataValidation type="decimal" operator="lessThan" allowBlank="1" showErrorMessage="1" errorTitle="Reduktionsfaktor Wärmeverluste" error="Der Wert muss zwischen 0 und 1 liegen!" promptTitle="Reduktionsfaktor Wärmeverluste" prompt="Eine Eingabe ist zwingend erforderlich!" sqref="F931 F944 F957 F970" xr:uid="{00000000-0002-0000-0200-000004000000}">
      <formula1>1.00000001</formula1>
    </dataValidation>
    <dataValidation type="decimal" operator="lessThan" allowBlank="1" showInputMessage="1" showErrorMessage="1" errorTitle="Reduktionsfaktor Wärmeverluste" error="Der Wert muss zwischen 0 und 1 liegen!" promptTitle="Reduktionsfaktor Wärmeverluste" prompt="Eine Eingabe ist zwingend erforderlich!" sqref="F798:F809" xr:uid="{00000000-0002-0000-0200-000005000000}">
      <formula1>1</formula1>
    </dataValidation>
    <dataValidation type="decimal" operator="greaterThanOrEqual" allowBlank="1" showInputMessage="1" showErrorMessage="1" errorTitle="Bauteilheizung" error="Die Eingabe kann nicht kleiner als die Innentemperatur sein!_x000d_Geben Sie die maximale Vorlauftemperatur der Bauteilheizung ein." sqref="L1331:L1342 L990:L1001 L1003:L1014 L1318:L1329 L1344:L1355 L1167:L1178 L1206:L1217 L1180:L1191 L1193:L1204" xr:uid="{00000000-0002-0000-0200-000006000000}">
      <formula1>$C$1429</formula1>
    </dataValidation>
    <dataValidation operator="greaterThanOrEqual" allowBlank="1" showInputMessage="1" showErrorMessage="1" errorTitle="Bauteilheizung" error="Die Eingabe kann nicht kleiner als die Innentemperatur sein!_x000d_Geben Sie die maximale Vorlauftemperatur der Bauteilheizung ein." sqref="L308:L319 L279:L291 L294:L305 L322:L333 L336:L347 L350:L361 L364:L375 L378:L389 L392:L403 L406:L417 L420:L431 L434:L445 L448:L459 L462:L473 L476:L487 L490:L501 L532:L543 L504:L515 L518:L529 Q576:Q587 Q563:Q574 L561 L546:L558" xr:uid="{00000000-0002-0000-0200-000007000000}"/>
    <dataValidation operator="lessThan" allowBlank="1" showErrorMessage="1" errorTitle="Reduktionsfaktor Wärmeverluste" error="Der Wert muss zwischen 0 und 1 liegen!" sqref="F733:F744 F746:F757" xr:uid="{00000000-0002-0000-0200-000008000000}"/>
    <dataValidation allowBlank="1" showErrorMessage="1" sqref="F759:F770 F1003:F1014 F1098:F1109" xr:uid="{00000000-0002-0000-0200-000009000000}"/>
    <dataValidation operator="lessThan" allowBlank="1" showInputMessage="1" showErrorMessage="1" errorTitle="g-Wert der Verglasung" error="Der g-Wert der Verglasung muss zwischen 0 und 1 liegen!" sqref="B279" xr:uid="{00000000-0002-0000-0200-00000A000000}"/>
    <dataValidation type="decimal" operator="lessThan" allowBlank="1" showErrorMessage="1" errorTitle="Reduktionsfaktor Wärmeverluste" error="Der Wert muss zwischen 0 und 1 liegen!" promptTitle="Reduktionsfaktor Wärmeverluste" prompt="Eine Eingabe ist zwingend erforderlich!" sqref="F810" xr:uid="{00000000-0002-0000-0200-00000B000000}">
      <formula1>1.000000001</formula1>
    </dataValidation>
    <dataValidation type="decimal" operator="lessThan" allowBlank="1" showErrorMessage="1" errorTitle="Reduktionsfaktor Wärmeverluste" error="Der Wert muss zwischen 0 und 1 liegen!" promptTitle="Reduktionsfaktor Wärmeverluste" prompt="Eine Eingabe ist zwingend erforderlich!" sqref="F797" xr:uid="{00000000-0002-0000-0200-00000C000000}">
      <formula1>1.0000000001</formula1>
    </dataValidation>
    <dataValidation type="decimal" operator="lessThan" allowBlank="1" showErrorMessage="1" errorTitle="Reduktionsfaktor Wärmeverluste" error="Der Wert muss zwischen 0 und 1 liegen!" promptTitle="Reduktionsfaktor Wärmeverluste" prompt="Eine Eingabe ist zwingend erforderlich!" sqref="F989 F1002 F1015 F1028" xr:uid="{00000000-0002-0000-0200-00000D000000}">
      <formula1>1</formula1>
    </dataValidation>
    <dataValidation type="decimal" operator="lessThan" allowBlank="1" showErrorMessage="1" errorTitle="Reduktionskator Wärmeverluste" error="Der Wert muss zwischen 0 und 1 liegen!" promptTitle="Reduktionsfaktor Wärmeverluste" prompt="Eine Eingabe ist zwingend erforderlich!" sqref="F1045 F1058 F1071 F1084 F1097 F1356 F1166 F1179 F1192 F1205 F1149 F1274 F1287 F1300 F1317 F1330 F1343 F1110 F1123 F1136 F1218 F1231 F1244 F1257" xr:uid="{00000000-0002-0000-0200-00000E000000}">
      <formula1>1</formula1>
    </dataValidation>
    <dataValidation type="whole" operator="lessThanOrEqual" allowBlank="1" showErrorMessage="1" errorTitle="Überhang" error="Bitte geben Sie nur ganzzahlige Werte ein._x000d__x000d_Beachten Sie: der Überhang beträgt max. 60°" sqref="I531 I517 I293 I307 I321 I335 I349 I363 I377 I391 I405 I419 I433 I447 I461 I475 I489 I503 I545" xr:uid="{00000000-0002-0000-0200-00000F000000}">
      <formula1>60</formula1>
    </dataValidation>
    <dataValidation type="whole" operator="lessThanOrEqual" allowBlank="1" showErrorMessage="1" errorTitle="Seitenblende" error="Bitte geben Sie nur ganzzahlige Werte ein._x000d__x000d_Beachten Sie: die Seitenblende beträgt max. 60°!" sqref="J531 J517 J293 J307 J321 J335 J349 J363 J377 J391 J405 J419 J433 J447 J461 J475 J489 J503 J545" xr:uid="{00000000-0002-0000-0200-000010000000}">
      <formula1>60</formula1>
    </dataValidation>
    <dataValidation type="list" allowBlank="1" showDropDown="1" showErrorMessage="1" errorTitle="Orientierung" error="Folgende Eingaben sind möglich:_x000d_H, S, O, W, N, SO, SW, NO, NW" sqref="C532:C543" xr:uid="{00000000-0002-0000-0200-000011000000}">
      <formula1>C1655:C1663</formula1>
    </dataValidation>
    <dataValidation type="list" allowBlank="1" showDropDown="1" showErrorMessage="1" errorTitle="Orientierung" error="Folgende Eingaben sind möglich:_x000d_S, O, W, N, SO, SW, NO, NW" sqref="C531 C517 C293 C307 C321 C335 C349 C363 C377 C391 C405 C419 C433 C447 C461 C475 C489 C503 C545" xr:uid="{00000000-0002-0000-0200-000012000000}">
      <formula1>$C$1411:$C$1418</formula1>
    </dataValidation>
    <dataValidation type="decimal" operator="greaterThanOrEqual" allowBlank="1" showInputMessage="1" showErrorMessage="1" errorTitle="Bauteilheizung" error="Die Eingabe kann nicht kleiner als die Raumtemperatur sein!_x000d_Geben Sie die maximale Vorlauftemperatur der Bauteilheizung ein." sqref="L157 L488:L489 L1343 L1330 L1317 L1257 L1244 L1231 L1218 L1205 L1192 L1179 L1166 L183 L170 L278 L261 L248 L235 L222 L1028 L1356 L989 L1002 L530:L531 L1015 L657 L644 L631 L618 L605 L209 L575 L562 L544:L545 L516:L517 L502:L503 L404:L405 L474:L475 L460:L461 L446:L447 L432:L433 L418:L419 L196 L390:L391 L376:L377 L362:L363 L348:L349 L334:L335 L320:L321 L306:L307 L292:L293" xr:uid="{00000000-0002-0000-0200-000013000000}">
      <formula1>$C$1429</formula1>
    </dataValidation>
    <dataValidation type="whole" operator="lessThanOrEqual" allowBlank="1" showErrorMessage="1" errorTitle="Horizont" error="Bitte geben Sie nur ganzzahlige Werte ein._x000d__x000d_Beachten Sie: der Horizont beträgt max. 40°" sqref="H531 H307 H321 H335 H349 H363 H377 H391 H405 H419 H433 H447 H461 H475 H489 H503 H517 H293 H545" xr:uid="{00000000-0002-0000-0200-000014000000}">
      <formula1>40</formula1>
    </dataValidation>
    <dataValidation type="custom" showInputMessage="1" showErrorMessage="1" errorTitle="Seitenblende" error="Füllen Sie dieses Feld nur bei Südfenstern mit beidseitiger Seitenblende aus!" sqref="K279:K291 K293:K305 K307:K319 K321:K333 K335:K347 K349:K361 K363:K375 K377:K389 K391:K403 K405:K417 K419:K431 K433:K445 K447:K459 K461:K473 K475:K487 K489:K501 K503:K515 K517:K529 K531:K543 K545" xr:uid="{00000000-0002-0000-0200-000015000000}">
      <formula1>#REF!="S"</formula1>
    </dataValidation>
    <dataValidation type="custom" showInputMessage="1" showErrorMessage="1" errorTitle="Seitenblende" error="Füllen Sie dieses Feld nur bei Südfenstern mit beidseitiger Seitenblende aus!" sqref="B281:B282" xr:uid="{00000000-0002-0000-0200-000016000000}">
      <formula1>IP289="S"</formula1>
    </dataValidation>
    <dataValidation type="list" allowBlank="1" showDropDown="1" showErrorMessage="1" errorTitle="Orientierung" error="Folgende Eingaben sind möglich:_x000d_H, S, O, W, N, SO, SW, NO, NW" sqref="C294:C305" xr:uid="{00000000-0002-0000-0200-000017000000}">
      <formula1>C1434:C1442</formula1>
    </dataValidation>
    <dataValidation type="list" allowBlank="1" showDropDown="1" showErrorMessage="1" errorTitle="Orientierung" error="Folgende Eingaben sind möglich:_x000d_H, S, O, W, N, SO, SW, NO, NW" sqref="C308:C319" xr:uid="{00000000-0002-0000-0200-000018000000}">
      <formula1>C1447:C1455</formula1>
    </dataValidation>
    <dataValidation type="list" allowBlank="1" showDropDown="1" showErrorMessage="1" errorTitle="Orientierung" error="Folgende Eingaben sind möglich:_x000d_H, S, O, W, N, SO, SW, NO, NW" sqref="C322:C333" xr:uid="{00000000-0002-0000-0200-000019000000}">
      <formula1>C1460:C1468</formula1>
    </dataValidation>
    <dataValidation type="list" allowBlank="1" showDropDown="1" showErrorMessage="1" errorTitle="Orientierung" error="Folgende Eingaben sind möglich:_x000d_H, S, O, W, N, SO, SW, NO, NW" sqref="C336:C347" xr:uid="{00000000-0002-0000-0200-00001A000000}">
      <formula1>C1473:C1481</formula1>
    </dataValidation>
    <dataValidation type="list" allowBlank="1" showDropDown="1" showErrorMessage="1" errorTitle="Orientierung" error="Folgende Eingaben sind möglich:_x000d_H, S, O, W, N, SO, SW, NO, NW" sqref="C350:C361" xr:uid="{00000000-0002-0000-0200-00001B000000}">
      <formula1>C1486:C1494</formula1>
    </dataValidation>
    <dataValidation type="list" allowBlank="1" showDropDown="1" showErrorMessage="1" errorTitle="Orientierung" error="Folgende Eingaben sind möglich:_x000d_H, S, O, W, N, SO, SW, NO, NW" sqref="C364:C375" xr:uid="{00000000-0002-0000-0200-00001C000000}">
      <formula1>C1499:C1507</formula1>
    </dataValidation>
    <dataValidation type="list" allowBlank="1" showDropDown="1" showErrorMessage="1" errorTitle="Orientierung" error="Folgende Eingaben sind möglich:_x000d_H, S, O, W, N, SO, SW, NO, NW" sqref="C378:C389" xr:uid="{00000000-0002-0000-0200-00001D000000}">
      <formula1>C1512:C1520</formula1>
    </dataValidation>
    <dataValidation type="list" allowBlank="1" showDropDown="1" showErrorMessage="1" errorTitle="Orientierung" error="Folgende Eingaben sind möglich:_x000d_H, S, O, W, N, SO, SW, NO, NW" sqref="C392:C403" xr:uid="{00000000-0002-0000-0200-00001E000000}">
      <formula1>C1525:C1533</formula1>
    </dataValidation>
    <dataValidation type="list" allowBlank="1" showDropDown="1" showErrorMessage="1" errorTitle="Orientierung" error="Folgende Eingaben sind möglich:_x000d_H, S, O, W, N, SO, SW, NO, NW" sqref="C406:C417" xr:uid="{00000000-0002-0000-0200-00001F000000}">
      <formula1>C1538:C1546</formula1>
    </dataValidation>
    <dataValidation type="list" allowBlank="1" showDropDown="1" showErrorMessage="1" errorTitle="Orientierung" error="Folgende Eingaben sind möglich:_x000d_H, S, O, W, N, SO, SW, NO, NW" sqref="C420:C431" xr:uid="{00000000-0002-0000-0200-000020000000}">
      <formula1>C1551:C1559</formula1>
    </dataValidation>
    <dataValidation type="list" allowBlank="1" showDropDown="1" showErrorMessage="1" errorTitle="Orientierung" error="Folgende Eingaben sind möglich:_x000d_H, S, O, W, N, SO, SW, NO, NW" sqref="C434:C445" xr:uid="{00000000-0002-0000-0200-000021000000}">
      <formula1>C1564:C1572</formula1>
    </dataValidation>
    <dataValidation type="list" allowBlank="1" showDropDown="1" showErrorMessage="1" errorTitle="Orientierung" error="Folgende Eingaben sind möglich:_x000d_H, S, O, W, N, SO, SW, NO, NW" sqref="C448:C459" xr:uid="{00000000-0002-0000-0200-000022000000}">
      <formula1>C1577:C1585</formula1>
    </dataValidation>
    <dataValidation type="list" allowBlank="1" showDropDown="1" showErrorMessage="1" errorTitle="Orientierung" error="Folgende Eingaben sind möglich:_x000d_H, S, O, W, N, SO, SW, NO, NW" sqref="C462:C473" xr:uid="{00000000-0002-0000-0200-000023000000}">
      <formula1>C1590:C1598</formula1>
    </dataValidation>
    <dataValidation type="list" allowBlank="1" showDropDown="1" showErrorMessage="1" errorTitle="Orientierung" error="Folgende Eingaben sind möglich:_x000d_H, S, O, W, N, SO, SW, NO, NW" sqref="C476:C487" xr:uid="{00000000-0002-0000-0200-000024000000}">
      <formula1>C1603:C1611</formula1>
    </dataValidation>
    <dataValidation type="list" allowBlank="1" showDropDown="1" showErrorMessage="1" errorTitle="Orientierung" error="Folgende Eingaben sind möglich:_x000d_H, S, O, W, N, SO, SW, NO, NW" sqref="C490:C501" xr:uid="{00000000-0002-0000-0200-000025000000}">
      <formula1>C1616:C1624</formula1>
    </dataValidation>
    <dataValidation type="list" allowBlank="1" showDropDown="1" showErrorMessage="1" errorTitle="Orientierung" error="Folgende Eingaben sind möglich:_x000d_H, S, O, W, N, SO, SW, NO, NW" sqref="C504:C515" xr:uid="{00000000-0002-0000-0200-000026000000}">
      <formula1>C1629:C1637</formula1>
    </dataValidation>
    <dataValidation type="list" allowBlank="1" showDropDown="1" showErrorMessage="1" errorTitle="Orientierung" error="Folgende Eingaben sind möglich:_x000d_H, S, O, W, N, SO, SW, NO, NW" sqref="C518:C529" xr:uid="{00000000-0002-0000-0200-000027000000}">
      <formula1>C1642:C1650</formula1>
    </dataValidation>
    <dataValidation type="list" allowBlank="1" showDropDown="1" showErrorMessage="1" errorTitle="Orientierung" error="Folgende Eingaben sind möglich:_x000d_H, S, O, W, N, SO, SW, NO, NW" sqref="C279:C280" xr:uid="{00000000-0002-0000-0200-000028000000}">
      <formula1>#REF!</formula1>
    </dataValidation>
    <dataValidation type="list" allowBlank="1" showDropDown="1" showErrorMessage="1" errorTitle="Orientierung" error="Folgende Eingaben sind möglich:_x000d_H, S, O, W, N, SO, SW, NO, NW" sqref="C287:C291" xr:uid="{00000000-0002-0000-0200-000029000000}">
      <formula1>C1428:C1436</formula1>
    </dataValidation>
    <dataValidation type="list" allowBlank="1" showDropDown="1" showErrorMessage="1" errorTitle="Orientierung" error="Folgende Eingaben sind möglich:_x000d_H, S, O, W, N, SO, SW, NO, NW" sqref="C281:C286" xr:uid="{00000000-0002-0000-0200-00002A000000}">
      <formula1>C1413:C1430</formula1>
    </dataValidation>
    <dataValidation type="list" allowBlank="1" showDropDown="1" showErrorMessage="1" errorTitle="Orientierung" error="Folgende Eingaben sind möglich:_x000d_S, O, W, N, SO, SW, NO, NW" sqref="C278 C292 C306 C320 C334 C348 C362 C376 C390 C404 C418 C432 C446 C460 C474 C488 C502 C516 C530 C544" xr:uid="{00000000-0002-0000-0200-00002B000000}">
      <formula1>$C$1411:$C$1426</formula1>
    </dataValidation>
  </dataValidations>
  <pageMargins left="0.59055118110236227" right="0.59055118110236227" top="0.39370078740157483" bottom="0.39370078740157483" header="0.51181102362204722" footer="0.51181102362204722"/>
  <pageSetup paperSize="9" scale="73" orientation="portrait" horizontalDpi="4294967292" verticalDpi="4294967292"/>
  <rowBreaks count="2" manualBreakCount="2">
    <brk id="983" max="15" man="1"/>
    <brk id="1371" max="15" man="1"/>
  </rowBreaks>
  <colBreaks count="1" manualBreakCount="1">
    <brk id="16" max="1048575" man="1"/>
  </colBreaks>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B2:J64"/>
  <sheetViews>
    <sheetView showRowColHeaders="0" workbookViewId="0">
      <selection activeCell="H7" sqref="H7"/>
    </sheetView>
  </sheetViews>
  <sheetFormatPr baseColWidth="10" defaultColWidth="10.875" defaultRowHeight="15"/>
  <cols>
    <col min="1" max="5" width="10.875" style="1095"/>
    <col min="6" max="6" width="11.625" style="1095" bestFit="1" customWidth="1"/>
    <col min="7" max="7" width="10.875" style="1095"/>
    <col min="8" max="8" width="10.875" style="1095" customWidth="1"/>
    <col min="9" max="16384" width="10.875" style="1095"/>
  </cols>
  <sheetData>
    <row r="2" spans="2:9" ht="23.4">
      <c r="B2" s="1094" t="s">
        <v>721</v>
      </c>
    </row>
    <row r="7" spans="2:9" ht="25.05" customHeight="1">
      <c r="B7" s="1101" t="str">
        <f>IF(C64=2,"","Therm. wirksamer Aussenl. Volumenstr. Vth [m3/hm2]:")</f>
        <v/>
      </c>
      <c r="H7" s="1102"/>
    </row>
    <row r="13" spans="2:9">
      <c r="B13" s="1095" t="s">
        <v>717</v>
      </c>
      <c r="H13" s="1096">
        <f>EBF!F39</f>
        <v>1.0000000000000001E-31</v>
      </c>
    </row>
    <row r="14" spans="2:9">
      <c r="B14" s="1095" t="s">
        <v>711</v>
      </c>
      <c r="H14" s="1097">
        <f>IF(C64=1,H7,Nutzung!J31)</f>
        <v>0</v>
      </c>
      <c r="I14" s="1095" t="str">
        <f>IF(C64=2,"Aussenluftvolumenstrom gemäss Standardnutzung","effektiver Volumenstrom unter Berücksichtigung der mech. Lüftung")</f>
        <v>Aussenluftvolumenstrom gemäss Standardnutzung</v>
      </c>
    </row>
    <row r="15" spans="2:9">
      <c r="B15" s="1095" t="s">
        <v>712</v>
      </c>
      <c r="H15" s="1095">
        <f>Klima!F136</f>
        <v>0</v>
      </c>
    </row>
    <row r="16" spans="2:9">
      <c r="B16" s="1095" t="s">
        <v>383</v>
      </c>
      <c r="H16" s="1095">
        <f>Nutzung!G29</f>
        <v>0</v>
      </c>
    </row>
    <row r="18" spans="2:8">
      <c r="B18" s="1095" t="s">
        <v>713</v>
      </c>
      <c r="H18" s="1095" t="str">
        <f>IF(Nutzung="","",VLOOKUP(Nutzung,Daten!$A$4:$P$16,15))</f>
        <v>SIA 384/3</v>
      </c>
    </row>
    <row r="20" spans="2:8" hidden="1">
      <c r="B20" s="1095" t="s">
        <v>716</v>
      </c>
    </row>
    <row r="21" spans="2:8" hidden="1">
      <c r="B21" s="1095" t="s">
        <v>297</v>
      </c>
      <c r="H21" s="1098">
        <f>Bauteile!D9*Bauteile!E9+Bauteile!D23*Bauteile!E23+Bauteile!D36*Bauteile!E36+Bauteile!D49*Bauteile!E49+Bauteile!D62*Bauteile!E62+Bauteile!D75*Bauteile!E75+Bauteile!D88*Bauteile!E88+Bauteile!D101*Bauteile!E101+Bauteile!D114*Bauteile!E114+Bauteile!D127*Bauteile!E127</f>
        <v>0</v>
      </c>
    </row>
    <row r="22" spans="2:8" hidden="1">
      <c r="B22" s="1095" t="s">
        <v>329</v>
      </c>
      <c r="H22" s="1098">
        <f>Bauteile!D144*Bauteile!E144+Bauteile!D157*Bauteile!E157+Bauteile!D170*Bauteile!E170+Bauteile!D183*Bauteile!E183+Bauteile!D196*Bauteile!E196+Bauteile!D209*Bauteile!E209+Bauteile!D222*Bauteile!E222+Bauteile!D235*Bauteile!E235+Bauteile!D248*Bauteile!E248+Bauteile!D261*Bauteile!E261</f>
        <v>0</v>
      </c>
    </row>
    <row r="23" spans="2:8" hidden="1">
      <c r="B23" s="1095" t="s">
        <v>299</v>
      </c>
      <c r="H23" s="1098">
        <f>Bauteile!D278*Bauteile!E278+Bauteile!D292*Bauteile!E292+Bauteile!D306*Bauteile!E306+Bauteile!D320*Bauteile!E320+Bauteile!D334*Bauteile!E334+Bauteile!D348*Bauteile!E348+Bauteile!D362*Bauteile!E362+Bauteile!D376*Bauteile!E376+Bauteile!D390*Bauteile!E390+Bauteile!D404*Bauteile!E404+Bauteile!D418*Bauteile!E418+Bauteile!D432*Bauteile!E432+Bauteile!D446*Bauteile!E446+Bauteile!D460*Bauteile!E460+Bauteile!D474*Bauteile!E474+Bauteile!D488*Bauteile!E488+Bauteile!D502*Bauteile!E502+Bauteile!D516*Bauteile!E516+Bauteile!D530*Bauteile!E530+Bauteile!D544*Bauteile!E544</f>
        <v>0</v>
      </c>
    </row>
    <row r="24" spans="2:8" hidden="1">
      <c r="B24" s="1095" t="s">
        <v>330</v>
      </c>
      <c r="H24" s="1098">
        <f>Bauteile!D562*Bauteile!E562+Bauteile!D575*Bauteile!E575</f>
        <v>0</v>
      </c>
    </row>
    <row r="25" spans="2:8" hidden="1">
      <c r="B25" s="1095" t="s">
        <v>195</v>
      </c>
      <c r="H25" s="1098">
        <f>Bauteile!D592*Bauteile!E592+Bauteile!D605*Bauteile!E605+Bauteile!D618*Bauteile!E618+Bauteile!D631*Bauteile!E631+Bauteile!D644*Bauteile!E644+Bauteile!D657*Bauteile!E657</f>
        <v>0</v>
      </c>
    </row>
    <row r="26" spans="2:8" hidden="1">
      <c r="B26" s="1095" t="s">
        <v>196</v>
      </c>
      <c r="H26" s="1098">
        <f>Bauteile!D674*Bauteile!E674+Bauteile!D687*Bauteile!E687+Bauteile!D700*Bauteile!E700</f>
        <v>0</v>
      </c>
    </row>
    <row r="27" spans="2:8" hidden="1">
      <c r="H27" s="1098"/>
    </row>
    <row r="28" spans="2:8" hidden="1">
      <c r="B28" s="1095" t="s">
        <v>197</v>
      </c>
      <c r="H28" s="1098">
        <f>Bauteile!D719*Bauteile!E719*Bauteile!F719+Bauteile!D732*Bauteile!E732*Bauteile!F732+Bauteile!D745*Bauteile!E745*Bauteile!F745+Bauteile!D758*Bauteile!E758*Bauteile!F758+Bauteile!D771*Bauteile!E771*Bauteile!F771+Bauteile!D784*Bauteile!E784*Bauteile!F784+Bauteile!D797*Bauteile!E797*Bauteile!F797+Bauteile!D810*Bauteile!E810*Bauteile!F810+Bauteile!D823*Bauteile!E823*Bauteile!F823+Bauteile!D836*Bauteile!E836*Bauteile!F836+Bauteile!D849*Bauteile!E849*Bauteile!F849+Bauteile!D862*Bauteile!E862*Bauteile!F862+Bauteile!D875*Bauteile!E875*Bauteile!F875+Bauteile!D888*Bauteile!E888*Bauteile!F888+Bauteile!D901*Bauteile!E901*Bauteile!F901+Bauteile!D914*Bauteile!E914*Bauteile!F914</f>
        <v>0</v>
      </c>
    </row>
    <row r="29" spans="2:8" hidden="1">
      <c r="B29" s="1095" t="s">
        <v>331</v>
      </c>
      <c r="H29" s="1098">
        <f>Bauteile!D931*Bauteile!E931*Bauteile!F931+Bauteile!D944*Bauteile!E944*Bauteile!F944+Bauteile!D957*Bauteile!E957*Bauteile!F957+Bauteile!D970*Bauteile!E970*Bauteile!F970</f>
        <v>0</v>
      </c>
    </row>
    <row r="30" spans="2:8" hidden="1">
      <c r="H30" s="1098"/>
    </row>
    <row r="31" spans="2:8" hidden="1">
      <c r="B31" s="1095" t="s">
        <v>324</v>
      </c>
      <c r="H31" s="1098">
        <f>Bauteile!D989*Bauteile!E989*Bauteile!F989+Bauteile!D1002*Bauteile!E1002*Bauteile!F1002+Bauteile!D1015*Bauteile!E1015*Bauteile!F1015+Bauteile!D1028*Bauteile!E1028*Bauteile!F1028</f>
        <v>0</v>
      </c>
    </row>
    <row r="32" spans="2:8" hidden="1">
      <c r="B32" s="1095" t="s">
        <v>332</v>
      </c>
      <c r="H32" s="1098">
        <f>Bauteile!D1045*Bauteile!E1045*Bauteile!F1045+Bauteile!D1058*Bauteile!E1058*Bauteile!F1058+Bauteile!D1071*Bauteile!E1071*Bauteile!F1071+Bauteile!D1084*Bauteile!E1084*Bauteile!F1084+Bauteile!D1097*Bauteile!E1097*Bauteile!F1097+Bauteile!D1110*Bauteile!E1110*Bauteile!F1110+Bauteile!D1123*Bauteile!E1123*Bauteile!F1123+Bauteile!D1136*Bauteile!E1136*Bauteile!F1136+Bauteile!D1149*Bauteile!E1149*Bauteile!F1149</f>
        <v>0</v>
      </c>
    </row>
    <row r="33" spans="2:8" hidden="1">
      <c r="B33" s="1095" t="s">
        <v>326</v>
      </c>
      <c r="H33" s="1098">
        <f>Bauteile!D1166*Bauteile!E1166*Bauteile!F1166+Bauteile!D1179*Bauteile!E1179*Bauteile!F1179+Bauteile!D1192*Bauteile!E1192*Bauteile!F1192+Bauteile!D1205*Bauteile!E1205*Bauteile!F1205+Bauteile!D1218*Bauteile!E1218*Bauteile!F1218+Bauteile!D1231*Bauteile!E1231*Bauteile!F1231+Bauteile!D1244*Bauteile!E1244*Bauteile!F1244+Bauteile!D1257*Bauteile!E1257*Bauteile!F1257</f>
        <v>0</v>
      </c>
    </row>
    <row r="34" spans="2:8" hidden="1">
      <c r="B34" s="1095" t="s">
        <v>327</v>
      </c>
      <c r="H34" s="1098">
        <f>Bauteile!D1274*Bauteile!E1274*Bauteile!F1274+Bauteile!D1287*Bauteile!E1287*Bauteile!F1287+Bauteile!D1300*Bauteile!E1300*Bauteile!F1300</f>
        <v>0</v>
      </c>
    </row>
    <row r="35" spans="2:8" hidden="1">
      <c r="B35" s="1095" t="s">
        <v>328</v>
      </c>
      <c r="H35" s="1098">
        <f>Bauteile!D1317*Bauteile!E1317*Bauteile!F1317+Bauteile!D1330*Bauteile!E1330*Bauteile!F1330+Bauteile!D1343*Bauteile!E1343*Bauteile!F1343+Bauteile!D1356*Bauteile!E1356*Bauteile!F1356</f>
        <v>0</v>
      </c>
    </row>
    <row r="36" spans="2:8" hidden="1">
      <c r="H36" s="1098"/>
    </row>
    <row r="37" spans="2:8" hidden="1">
      <c r="B37" s="1095" t="s">
        <v>714</v>
      </c>
      <c r="H37" s="1098">
        <f>H13*Lüftung!E4*Heizlast!H14</f>
        <v>0</v>
      </c>
    </row>
    <row r="38" spans="2:8" hidden="1">
      <c r="H38" s="1098"/>
    </row>
    <row r="39" spans="2:8" hidden="1">
      <c r="B39" s="1095" t="s">
        <v>375</v>
      </c>
      <c r="H39" s="1098">
        <f>SUM(H21:H37)</f>
        <v>0</v>
      </c>
    </row>
    <row r="40" spans="2:8" hidden="1">
      <c r="H40" s="1098"/>
    </row>
    <row r="41" spans="2:8" ht="15.6">
      <c r="B41" s="1103" t="s">
        <v>715</v>
      </c>
      <c r="C41" s="1103"/>
      <c r="D41" s="1103"/>
      <c r="E41" s="1103"/>
      <c r="F41" s="1103"/>
      <c r="G41" s="1103"/>
      <c r="H41" s="1104" t="e">
        <f>(H39*(H16-H15)/H13)-H18</f>
        <v>#VALUE!</v>
      </c>
    </row>
    <row r="44" spans="2:8">
      <c r="B44" s="1095" t="s">
        <v>718</v>
      </c>
      <c r="H44" s="1098" t="str">
        <f>IF(Nutzung="","",VLOOKUP(Nutzung,Daten!$A$4:$P$16,16))</f>
        <v>Ph,li</v>
      </c>
    </row>
    <row r="45" spans="2:8">
      <c r="B45" s="1096"/>
    </row>
    <row r="46" spans="2:8">
      <c r="B46" s="1095" t="s">
        <v>719</v>
      </c>
      <c r="H46" s="1098" t="str">
        <f>IF(H15&lt;-8,H44*(H16-H15)/(H16-(-8)),H44)</f>
        <v>Ph,li</v>
      </c>
    </row>
    <row r="48" spans="2:8" ht="15.6">
      <c r="B48" s="1103" t="str">
        <f>IF(H46&gt;H44,B46,B44)</f>
        <v xml:space="preserve"> Grenzwert Ph,li [W/m2]</v>
      </c>
      <c r="C48" s="1103"/>
      <c r="D48" s="1103"/>
      <c r="E48" s="1103"/>
      <c r="F48" s="1103"/>
      <c r="G48" s="1103"/>
      <c r="H48" s="1104">
        <f>MAX(H44:H46)</f>
        <v>0</v>
      </c>
    </row>
    <row r="51" spans="2:10" ht="16.05" customHeight="1">
      <c r="B51" s="1293" t="s">
        <v>724</v>
      </c>
      <c r="C51" s="1293"/>
      <c r="D51" s="1293"/>
      <c r="E51" s="1293"/>
      <c r="F51" s="1293"/>
      <c r="G51" s="1293"/>
      <c r="H51" s="1293"/>
      <c r="I51" s="1105"/>
      <c r="J51" s="1105"/>
    </row>
    <row r="52" spans="2:10">
      <c r="B52" s="1293"/>
      <c r="C52" s="1293"/>
      <c r="D52" s="1293"/>
      <c r="E52" s="1293"/>
      <c r="F52" s="1293"/>
      <c r="G52" s="1293"/>
      <c r="H52" s="1293"/>
      <c r="I52" s="1105"/>
      <c r="J52" s="1105"/>
    </row>
    <row r="53" spans="2:10">
      <c r="B53" s="1293"/>
      <c r="C53" s="1293"/>
      <c r="D53" s="1293"/>
      <c r="E53" s="1293"/>
      <c r="F53" s="1293"/>
      <c r="G53" s="1293"/>
      <c r="H53" s="1293"/>
      <c r="I53" s="1105"/>
      <c r="J53" s="1105"/>
    </row>
    <row r="54" spans="2:10">
      <c r="B54" s="1293"/>
      <c r="C54" s="1293"/>
      <c r="D54" s="1293"/>
      <c r="E54" s="1293"/>
      <c r="F54" s="1293"/>
      <c r="G54" s="1293"/>
      <c r="H54" s="1293"/>
      <c r="I54" s="1105"/>
      <c r="J54" s="1105"/>
    </row>
    <row r="55" spans="2:10">
      <c r="B55" s="1293"/>
      <c r="C55" s="1293"/>
      <c r="D55" s="1293"/>
      <c r="E55" s="1293"/>
      <c r="F55" s="1293"/>
      <c r="G55" s="1293"/>
      <c r="H55" s="1293"/>
      <c r="I55" s="1105"/>
      <c r="J55" s="1105"/>
    </row>
    <row r="56" spans="2:10">
      <c r="B56" s="1293"/>
      <c r="C56" s="1293"/>
      <c r="D56" s="1293"/>
      <c r="E56" s="1293"/>
      <c r="F56" s="1293"/>
      <c r="G56" s="1293"/>
      <c r="H56" s="1293"/>
      <c r="I56" s="1105"/>
      <c r="J56" s="1105"/>
    </row>
    <row r="57" spans="2:10">
      <c r="B57" s="1293"/>
      <c r="C57" s="1293"/>
      <c r="D57" s="1293"/>
      <c r="E57" s="1293"/>
      <c r="F57" s="1293"/>
      <c r="G57" s="1293"/>
      <c r="H57" s="1293"/>
      <c r="I57" s="1105"/>
      <c r="J57" s="1105"/>
    </row>
    <row r="58" spans="2:10">
      <c r="B58" s="1293"/>
      <c r="C58" s="1293"/>
      <c r="D58" s="1293"/>
      <c r="E58" s="1293"/>
      <c r="F58" s="1293"/>
      <c r="G58" s="1293"/>
      <c r="H58" s="1293"/>
      <c r="I58" s="1105"/>
      <c r="J58" s="1105"/>
    </row>
    <row r="60" spans="2:10" hidden="1">
      <c r="B60" s="1095" t="s">
        <v>722</v>
      </c>
    </row>
    <row r="61" spans="2:10" hidden="1">
      <c r="B61" s="1095" t="s">
        <v>723</v>
      </c>
    </row>
    <row r="62" spans="2:10" hidden="1"/>
    <row r="63" spans="2:10" hidden="1"/>
    <row r="64" spans="2:10" hidden="1">
      <c r="B64" s="1099" t="s">
        <v>268</v>
      </c>
      <c r="C64" s="1100">
        <v>2</v>
      </c>
    </row>
  </sheetData>
  <sheetProtection password="D950" sheet="1" objects="1" scenarios="1" selectLockedCells="1"/>
  <mergeCells count="1">
    <mergeCell ref="B51:H58"/>
  </mergeCells>
  <conditionalFormatting sqref="H7">
    <cfRule type="cellIs" dxfId="133" priority="1" operator="equal">
      <formula>$C$64=2</formula>
    </cfRule>
  </conditionalFormatting>
  <pageMargins left="0.7" right="0.7" top="0.75" bottom="0.75" header="0.3" footer="0.3"/>
  <pageSetup orientation="portrait" horizontalDpi="0" verticalDpi="0"/>
  <drawing r:id="rId1"/>
  <legacyDrawing r:id="rId2"/>
  <mc:AlternateContent xmlns:mc="http://schemas.openxmlformats.org/markup-compatibility/2006">
    <mc:Choice Requires="x14">
      <controls>
        <mc:AlternateContent xmlns:mc="http://schemas.openxmlformats.org/markup-compatibility/2006">
          <mc:Choice Requires="x14">
            <control shapeId="230401" r:id="rId3" name="Drop Down 1">
              <controlPr defaultSize="0" autoLine="0" autoPict="0">
                <anchor moveWithCells="1">
                  <from>
                    <xdr:col>1</xdr:col>
                    <xdr:colOff>15240</xdr:colOff>
                    <xdr:row>3</xdr:row>
                    <xdr:rowOff>38100</xdr:rowOff>
                  </from>
                  <to>
                    <xdr:col>5</xdr:col>
                    <xdr:colOff>53340</xdr:colOff>
                    <xdr:row>4</xdr:row>
                    <xdr:rowOff>137160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0">
    <tabColor rgb="FF0070C0"/>
    <pageSetUpPr fitToPage="1"/>
  </sheetPr>
  <dimension ref="B1:Y247"/>
  <sheetViews>
    <sheetView showGridLines="0" showRowColHeaders="0" zoomScale="145" zoomScaleNormal="145" zoomScalePageLayoutView="145" workbookViewId="0">
      <selection activeCell="N7" sqref="N7"/>
    </sheetView>
  </sheetViews>
  <sheetFormatPr baseColWidth="10" defaultColWidth="10.875" defaultRowHeight="10.199999999999999"/>
  <cols>
    <col min="1" max="1" width="2.875" style="37" customWidth="1"/>
    <col min="2" max="2" width="14.625" style="37" customWidth="1"/>
    <col min="3" max="3" width="5.375" style="37" customWidth="1"/>
    <col min="4" max="5" width="2.375" style="37" customWidth="1"/>
    <col min="6" max="6" width="18.375" style="37" customWidth="1"/>
    <col min="7" max="7" width="6" style="37" customWidth="1"/>
    <col min="8" max="8" width="5.375" style="37" customWidth="1"/>
    <col min="9" max="9" width="5.125" style="37" customWidth="1"/>
    <col min="10" max="10" width="4" style="37" customWidth="1"/>
    <col min="11" max="11" width="7.375" style="37" customWidth="1"/>
    <col min="12" max="12" width="6.875" style="37" customWidth="1"/>
    <col min="13" max="13" width="6.625" style="37" customWidth="1"/>
    <col min="14" max="14" width="5.375" style="37" customWidth="1"/>
    <col min="15" max="15" width="2.875" style="37" customWidth="1"/>
    <col min="16" max="16" width="2.125" style="37" customWidth="1"/>
    <col min="17" max="64" width="5.375" style="37" customWidth="1"/>
    <col min="65" max="16384" width="10.875" style="37"/>
  </cols>
  <sheetData>
    <row r="1" spans="2:25">
      <c r="O1" s="36"/>
      <c r="Q1" s="36"/>
    </row>
    <row r="2" spans="2:25" ht="19.2">
      <c r="B2" s="1295" t="s">
        <v>271</v>
      </c>
      <c r="C2" s="1295"/>
      <c r="D2" s="1295"/>
      <c r="E2" s="1295"/>
      <c r="F2" s="1295"/>
      <c r="G2" s="1295"/>
      <c r="H2" s="1295"/>
      <c r="I2" s="1295"/>
      <c r="J2" s="1295"/>
      <c r="K2" s="1295"/>
      <c r="L2" s="1295"/>
      <c r="M2" s="1295"/>
      <c r="N2" s="1295"/>
      <c r="O2" s="1295"/>
      <c r="Q2" s="36"/>
    </row>
    <row r="3" spans="2:25" ht="4.95" customHeight="1">
      <c r="B3" s="68"/>
      <c r="O3" s="36"/>
      <c r="Q3" s="36"/>
    </row>
    <row r="4" spans="2:25" ht="9.75" customHeight="1">
      <c r="B4" s="1296" t="s">
        <v>308</v>
      </c>
      <c r="C4" s="1296"/>
      <c r="D4" s="1296"/>
      <c r="E4" s="1296"/>
      <c r="F4" s="1296"/>
      <c r="G4" s="1296"/>
      <c r="H4" s="1296"/>
      <c r="I4" s="1296"/>
      <c r="J4" s="1296"/>
      <c r="K4" s="1296"/>
      <c r="L4" s="1296"/>
      <c r="M4" s="1296"/>
      <c r="N4" s="1296"/>
      <c r="O4" s="1296"/>
      <c r="Q4" s="36"/>
    </row>
    <row r="5" spans="2:25" ht="9.75" customHeight="1">
      <c r="B5" s="40"/>
      <c r="C5" s="40"/>
      <c r="D5" s="40"/>
      <c r="E5" s="40"/>
      <c r="F5" s="40"/>
      <c r="G5" s="40"/>
      <c r="H5" s="40"/>
      <c r="I5" s="40"/>
      <c r="J5" s="40"/>
      <c r="K5" s="40"/>
      <c r="L5" s="40"/>
      <c r="M5" s="40"/>
      <c r="N5" s="40"/>
      <c r="O5" s="44"/>
      <c r="Q5" s="36"/>
    </row>
    <row r="6" spans="2:25" ht="7.95" customHeight="1">
      <c r="B6" s="42"/>
      <c r="C6" s="35"/>
      <c r="D6" s="35"/>
      <c r="E6" s="35"/>
      <c r="F6" s="35"/>
      <c r="G6" s="35"/>
      <c r="H6" s="35"/>
      <c r="I6" s="35"/>
      <c r="J6" s="35"/>
      <c r="K6" s="35"/>
      <c r="L6" s="35"/>
      <c r="M6" s="35"/>
      <c r="N6" s="35"/>
      <c r="O6" s="84"/>
      <c r="Q6" s="36"/>
    </row>
    <row r="7" spans="2:25" ht="13.05" customHeight="1">
      <c r="B7" s="43"/>
      <c r="F7" s="288"/>
      <c r="G7" s="36"/>
      <c r="I7" s="1297" t="s">
        <v>220</v>
      </c>
      <c r="J7" s="1297"/>
      <c r="K7" s="1297"/>
      <c r="L7" s="1297"/>
      <c r="M7" s="1298"/>
      <c r="N7" s="313">
        <v>1</v>
      </c>
      <c r="O7" s="85"/>
      <c r="Q7" s="1294" t="s">
        <v>725</v>
      </c>
      <c r="R7" s="1294"/>
      <c r="S7" s="1294"/>
      <c r="T7" s="1294"/>
      <c r="U7" s="1294"/>
      <c r="V7" s="1294"/>
      <c r="W7" s="1294"/>
      <c r="X7" s="1294"/>
      <c r="Y7" s="1294"/>
    </row>
    <row r="8" spans="2:25" ht="9.75" customHeight="1">
      <c r="B8" s="43"/>
      <c r="C8" s="314"/>
      <c r="F8" s="289"/>
      <c r="G8" s="36"/>
      <c r="I8" s="36"/>
      <c r="K8" s="36"/>
      <c r="L8" s="36"/>
      <c r="N8" s="77"/>
      <c r="O8" s="85"/>
      <c r="Q8" s="1294"/>
      <c r="R8" s="1294"/>
      <c r="S8" s="1294"/>
      <c r="T8" s="1294"/>
      <c r="U8" s="1294"/>
      <c r="V8" s="1294"/>
      <c r="W8" s="1294"/>
      <c r="X8" s="1294"/>
      <c r="Y8" s="1294"/>
    </row>
    <row r="9" spans="2:25" ht="10.95" hidden="1" customHeight="1">
      <c r="B9" s="43"/>
      <c r="C9" s="26"/>
      <c r="F9" s="290" t="b">
        <v>0</v>
      </c>
      <c r="G9" s="117">
        <v>2</v>
      </c>
      <c r="I9" s="44">
        <f>IF(G9=1,1,0)</f>
        <v>0</v>
      </c>
      <c r="J9" s="37">
        <f>IF(Drucken!K23="Berechnung Minergie",0,Komfortlüftung!I9)</f>
        <v>0</v>
      </c>
      <c r="K9" s="44">
        <f>IF(F9=TRUE,1,0)</f>
        <v>0</v>
      </c>
      <c r="L9" s="36"/>
      <c r="N9" s="77"/>
      <c r="O9" s="85"/>
      <c r="Q9" s="1294"/>
      <c r="R9" s="1294"/>
      <c r="S9" s="1294"/>
      <c r="T9" s="1294"/>
      <c r="U9" s="1294"/>
      <c r="V9" s="1294"/>
      <c r="W9" s="1294"/>
      <c r="X9" s="1294"/>
      <c r="Y9" s="1294"/>
    </row>
    <row r="10" spans="2:25" ht="13.05" customHeight="1">
      <c r="B10" s="43"/>
      <c r="F10" s="287"/>
      <c r="G10" s="36"/>
      <c r="I10" s="36"/>
      <c r="M10" s="70" t="s">
        <v>219</v>
      </c>
      <c r="N10" s="313">
        <v>0.8</v>
      </c>
      <c r="O10" s="85"/>
      <c r="Q10" s="1294"/>
      <c r="R10" s="1294"/>
      <c r="S10" s="1294"/>
      <c r="T10" s="1294"/>
      <c r="U10" s="1294"/>
      <c r="V10" s="1294"/>
      <c r="W10" s="1294"/>
      <c r="X10" s="1294"/>
      <c r="Y10" s="1294"/>
    </row>
    <row r="11" spans="2:25" ht="7.95" customHeight="1" thickBot="1">
      <c r="B11" s="81"/>
      <c r="C11" s="82"/>
      <c r="D11" s="82"/>
      <c r="E11" s="82"/>
      <c r="F11" s="82"/>
      <c r="G11" s="82"/>
      <c r="H11" s="82"/>
      <c r="I11" s="82"/>
      <c r="J11" s="82"/>
      <c r="K11" s="82"/>
      <c r="L11" s="82"/>
      <c r="M11" s="82"/>
      <c r="N11" s="82"/>
      <c r="O11" s="83"/>
      <c r="Q11" s="1294"/>
      <c r="R11" s="1294"/>
      <c r="S11" s="1294"/>
      <c r="T11" s="1294"/>
      <c r="U11" s="1294"/>
      <c r="V11" s="1294"/>
      <c r="W11" s="1294"/>
      <c r="X11" s="1294"/>
      <c r="Y11" s="1294"/>
    </row>
    <row r="12" spans="2:25" ht="7.95" customHeight="1">
      <c r="B12" s="36"/>
      <c r="C12" s="36"/>
      <c r="D12" s="36"/>
      <c r="E12" s="36"/>
      <c r="F12" s="36"/>
      <c r="G12" s="36"/>
      <c r="H12" s="36"/>
      <c r="I12" s="36"/>
      <c r="J12" s="36"/>
      <c r="K12" s="36"/>
      <c r="L12" s="36"/>
      <c r="M12" s="36"/>
      <c r="N12" s="36"/>
      <c r="O12" s="36"/>
      <c r="Q12" s="1294"/>
      <c r="R12" s="1294"/>
      <c r="S12" s="1294"/>
      <c r="T12" s="1294"/>
      <c r="U12" s="1294"/>
      <c r="V12" s="1294"/>
      <c r="W12" s="1294"/>
      <c r="X12" s="1294"/>
      <c r="Y12" s="1294"/>
    </row>
    <row r="13" spans="2:25" ht="7.95" customHeight="1">
      <c r="B13" s="42"/>
      <c r="C13" s="35"/>
      <c r="D13" s="35"/>
      <c r="E13" s="35"/>
      <c r="F13" s="35"/>
      <c r="G13" s="35"/>
      <c r="H13" s="35"/>
      <c r="I13" s="35"/>
      <c r="J13" s="74"/>
      <c r="K13" s="35"/>
      <c r="L13" s="35"/>
      <c r="M13" s="35"/>
      <c r="N13" s="35"/>
      <c r="O13" s="84"/>
      <c r="Q13" s="1294"/>
      <c r="R13" s="1294"/>
      <c r="S13" s="1294"/>
      <c r="T13" s="1294"/>
      <c r="U13" s="1294"/>
      <c r="V13" s="1294"/>
      <c r="W13" s="1294"/>
      <c r="X13" s="1294"/>
      <c r="Y13" s="1294"/>
    </row>
    <row r="14" spans="2:25" ht="12.6">
      <c r="B14" s="43" t="s">
        <v>485</v>
      </c>
      <c r="C14" s="36"/>
      <c r="D14" s="36"/>
      <c r="E14" s="36"/>
      <c r="F14" s="36" t="s">
        <v>678</v>
      </c>
      <c r="G14" s="36"/>
      <c r="H14" s="36"/>
      <c r="I14" s="36"/>
      <c r="J14" s="36"/>
      <c r="K14" s="36"/>
      <c r="L14" s="36"/>
      <c r="N14" s="73">
        <f>SUM(Bilanz!D25:O25)</f>
        <v>0</v>
      </c>
      <c r="O14" s="85"/>
      <c r="Q14" s="1294"/>
      <c r="R14" s="1294"/>
      <c r="S14" s="1294"/>
      <c r="T14" s="1294"/>
      <c r="U14" s="1294"/>
      <c r="V14" s="1294"/>
      <c r="W14" s="1294"/>
      <c r="X14" s="1294"/>
      <c r="Y14" s="1294"/>
    </row>
    <row r="15" spans="2:25" ht="7.95" customHeight="1">
      <c r="B15" s="43"/>
      <c r="C15" s="36"/>
      <c r="D15" s="36"/>
      <c r="E15" s="36"/>
      <c r="F15" s="36"/>
      <c r="G15" s="36"/>
      <c r="H15" s="36"/>
      <c r="I15" s="36"/>
      <c r="J15" s="36"/>
      <c r="K15" s="36"/>
      <c r="L15" s="36"/>
      <c r="N15" s="36"/>
      <c r="O15" s="85"/>
      <c r="Q15" s="1294"/>
      <c r="R15" s="1294"/>
      <c r="S15" s="1294"/>
      <c r="T15" s="1294"/>
      <c r="U15" s="1294"/>
      <c r="V15" s="1294"/>
      <c r="W15" s="1294"/>
      <c r="X15" s="1294"/>
      <c r="Y15" s="1294"/>
    </row>
    <row r="16" spans="2:25" ht="14.4">
      <c r="B16" s="43"/>
      <c r="C16" s="36"/>
      <c r="D16" s="36"/>
      <c r="E16" s="36"/>
      <c r="F16" s="75" t="s">
        <v>679</v>
      </c>
      <c r="G16" s="75"/>
      <c r="H16" s="75"/>
      <c r="I16" s="75"/>
      <c r="J16" s="75"/>
      <c r="K16" s="75"/>
      <c r="L16" s="75"/>
      <c r="N16" s="76">
        <f>I52+I53+I54+I55+I56+I57+N52+N53+N54+N55+N56+N57</f>
        <v>4.6756499999999982E+32</v>
      </c>
      <c r="O16" s="85"/>
      <c r="Q16" s="1294"/>
      <c r="R16" s="1294"/>
      <c r="S16" s="1294"/>
      <c r="T16" s="1294"/>
      <c r="U16" s="1294"/>
      <c r="V16" s="1294"/>
      <c r="W16" s="1294"/>
      <c r="X16" s="1294"/>
      <c r="Y16" s="1294"/>
    </row>
    <row r="17" spans="2:25" ht="7.95" customHeight="1">
      <c r="B17" s="43"/>
      <c r="C17" s="36"/>
      <c r="D17" s="36"/>
      <c r="E17" s="36"/>
      <c r="F17" s="36"/>
      <c r="G17" s="36"/>
      <c r="H17" s="36"/>
      <c r="I17" s="36"/>
      <c r="J17" s="36"/>
      <c r="K17" s="36"/>
      <c r="L17" s="36"/>
      <c r="N17" s="36"/>
      <c r="O17" s="85"/>
      <c r="Q17" s="1294"/>
      <c r="R17" s="1294"/>
      <c r="S17" s="1294"/>
      <c r="T17" s="1294"/>
      <c r="U17" s="1294"/>
      <c r="V17" s="1294"/>
      <c r="W17" s="1294"/>
      <c r="X17" s="1294"/>
      <c r="Y17" s="1294"/>
    </row>
    <row r="18" spans="2:25" ht="11.4">
      <c r="B18" s="43"/>
      <c r="C18" s="36"/>
      <c r="D18" s="36"/>
      <c r="E18" s="36"/>
      <c r="F18" s="36" t="s">
        <v>680</v>
      </c>
      <c r="G18" s="36"/>
      <c r="H18" s="36"/>
      <c r="I18" s="36"/>
      <c r="J18" s="36"/>
      <c r="K18" s="36"/>
      <c r="L18" s="36"/>
      <c r="N18" s="73">
        <f>(N14-N16)*-1</f>
        <v>4.6756499999999982E+32</v>
      </c>
      <c r="O18" s="85"/>
      <c r="Q18" s="1294" t="s">
        <v>726</v>
      </c>
      <c r="R18" s="1294"/>
      <c r="S18" s="1294"/>
      <c r="T18" s="1294"/>
      <c r="U18" s="1294"/>
      <c r="V18" s="1294"/>
      <c r="W18" s="1294"/>
      <c r="X18" s="1294"/>
      <c r="Y18" s="1294"/>
    </row>
    <row r="19" spans="2:25" ht="7.95" customHeight="1">
      <c r="B19" s="43"/>
      <c r="C19" s="36"/>
      <c r="D19" s="36"/>
      <c r="E19" s="36"/>
      <c r="F19" s="36"/>
      <c r="G19" s="36"/>
      <c r="H19" s="36"/>
      <c r="I19" s="36"/>
      <c r="J19" s="36"/>
      <c r="K19" s="36"/>
      <c r="L19" s="36"/>
      <c r="N19" s="73"/>
      <c r="O19" s="85"/>
      <c r="Q19" s="1294"/>
      <c r="R19" s="1294"/>
      <c r="S19" s="1294"/>
      <c r="T19" s="1294"/>
      <c r="U19" s="1294"/>
      <c r="V19" s="1294"/>
      <c r="W19" s="1294"/>
      <c r="X19" s="1294"/>
      <c r="Y19" s="1294"/>
    </row>
    <row r="20" spans="2:25" ht="12.6">
      <c r="B20" s="43"/>
      <c r="C20" s="36"/>
      <c r="D20" s="36"/>
      <c r="E20" s="36"/>
      <c r="F20" s="36" t="s">
        <v>681</v>
      </c>
      <c r="H20" s="36" t="str">
        <f>IF(G9=1,"mit WRG","ohne WRG")</f>
        <v>ohne WRG</v>
      </c>
      <c r="I20" s="36"/>
      <c r="J20" s="36"/>
      <c r="K20" s="36"/>
      <c r="L20" s="36"/>
      <c r="N20" s="46">
        <f>Bilanz!J16</f>
        <v>0</v>
      </c>
      <c r="O20" s="85"/>
      <c r="Q20" s="1294"/>
      <c r="R20" s="1294"/>
      <c r="S20" s="1294"/>
      <c r="T20" s="1294"/>
      <c r="U20" s="1294"/>
      <c r="V20" s="1294"/>
      <c r="W20" s="1294"/>
      <c r="X20" s="1294"/>
      <c r="Y20" s="1294"/>
    </row>
    <row r="21" spans="2:25" ht="6" customHeight="1">
      <c r="B21" s="43"/>
      <c r="C21" s="36"/>
      <c r="D21" s="36"/>
      <c r="E21" s="36"/>
      <c r="F21" s="36"/>
      <c r="G21" s="36"/>
      <c r="H21" s="36"/>
      <c r="I21" s="36"/>
      <c r="J21" s="36"/>
      <c r="K21" s="36"/>
      <c r="L21" s="36"/>
      <c r="N21" s="73"/>
      <c r="O21" s="85"/>
      <c r="Q21" s="1294"/>
      <c r="R21" s="1294"/>
      <c r="S21" s="1294"/>
      <c r="T21" s="1294"/>
      <c r="U21" s="1294"/>
      <c r="V21" s="1294"/>
      <c r="W21" s="1294"/>
      <c r="X21" s="1294"/>
      <c r="Y21" s="1294"/>
    </row>
    <row r="22" spans="2:25">
      <c r="B22" s="43"/>
      <c r="C22" s="36"/>
      <c r="D22" s="36"/>
      <c r="E22" s="36"/>
      <c r="F22" s="36"/>
      <c r="G22" s="36"/>
      <c r="H22" s="36"/>
      <c r="I22" s="36"/>
      <c r="J22" s="36"/>
      <c r="K22" s="36"/>
      <c r="L22" s="36"/>
      <c r="N22" s="329">
        <f>Bilanz!M16*100</f>
        <v>0</v>
      </c>
      <c r="O22" s="328" t="s">
        <v>446</v>
      </c>
      <c r="Q22" s="1294"/>
      <c r="R22" s="1294"/>
      <c r="S22" s="1294"/>
      <c r="T22" s="1294"/>
      <c r="U22" s="1294"/>
      <c r="V22" s="1294"/>
      <c r="W22" s="1294"/>
      <c r="X22" s="1294"/>
      <c r="Y22" s="1294"/>
    </row>
    <row r="23" spans="2:25" ht="7.95" customHeight="1" thickBot="1">
      <c r="B23" s="81"/>
      <c r="C23" s="82"/>
      <c r="D23" s="82"/>
      <c r="E23" s="82"/>
      <c r="F23" s="82"/>
      <c r="G23" s="82"/>
      <c r="H23" s="82"/>
      <c r="I23" s="82"/>
      <c r="J23" s="82"/>
      <c r="K23" s="82"/>
      <c r="L23" s="82"/>
      <c r="M23" s="82"/>
      <c r="N23" s="82"/>
      <c r="O23" s="83"/>
      <c r="Q23" s="1294"/>
      <c r="R23" s="1294"/>
      <c r="S23" s="1294"/>
      <c r="T23" s="1294"/>
      <c r="U23" s="1294"/>
      <c r="V23" s="1294"/>
      <c r="W23" s="1294"/>
      <c r="X23" s="1294"/>
      <c r="Y23" s="1294"/>
    </row>
    <row r="24" spans="2:25" ht="7.95" customHeight="1">
      <c r="B24" s="36"/>
      <c r="C24" s="36"/>
      <c r="D24" s="36"/>
      <c r="E24" s="36"/>
      <c r="F24" s="36"/>
      <c r="G24" s="36"/>
      <c r="H24" s="36"/>
      <c r="I24" s="36"/>
      <c r="J24" s="36"/>
      <c r="K24" s="36"/>
      <c r="L24" s="36"/>
      <c r="M24" s="36"/>
      <c r="N24" s="36"/>
      <c r="O24" s="36"/>
      <c r="Q24" s="1294"/>
      <c r="R24" s="1294"/>
      <c r="S24" s="1294"/>
      <c r="T24" s="1294"/>
      <c r="U24" s="1294"/>
      <c r="V24" s="1294"/>
      <c r="W24" s="1294"/>
      <c r="X24" s="1294"/>
      <c r="Y24" s="1294"/>
    </row>
    <row r="25" spans="2:25" ht="7.95" customHeight="1">
      <c r="B25" s="42"/>
      <c r="C25" s="35"/>
      <c r="D25" s="35"/>
      <c r="E25" s="35"/>
      <c r="F25" s="35"/>
      <c r="G25" s="35"/>
      <c r="H25" s="35"/>
      <c r="I25" s="35"/>
      <c r="J25" s="35"/>
      <c r="K25" s="35"/>
      <c r="L25" s="35"/>
      <c r="M25" s="35"/>
      <c r="N25" s="35"/>
      <c r="O25" s="84"/>
      <c r="Q25" s="1294"/>
      <c r="R25" s="1294"/>
      <c r="S25" s="1294"/>
      <c r="T25" s="1294"/>
      <c r="U25" s="1294"/>
      <c r="V25" s="1294"/>
      <c r="W25" s="1294"/>
      <c r="X25" s="1294"/>
      <c r="Y25" s="1294"/>
    </row>
    <row r="26" spans="2:25" ht="9.75" customHeight="1">
      <c r="B26" s="43" t="s">
        <v>15</v>
      </c>
      <c r="C26" s="1076" t="s">
        <v>682</v>
      </c>
      <c r="D26" s="36"/>
      <c r="G26" s="36"/>
      <c r="H26" s="36"/>
      <c r="I26" s="70">
        <v>0.15</v>
      </c>
      <c r="K26" s="36"/>
      <c r="L26" s="36"/>
      <c r="M26" s="36"/>
      <c r="N26" s="36"/>
      <c r="O26" s="85"/>
      <c r="Q26" s="36"/>
    </row>
    <row r="27" spans="2:25" ht="7.95" customHeight="1">
      <c r="B27" s="43"/>
      <c r="C27" s="36"/>
      <c r="D27" s="36"/>
      <c r="G27" s="36"/>
      <c r="H27" s="36"/>
      <c r="I27" s="70"/>
      <c r="K27" s="36"/>
      <c r="L27" s="36"/>
      <c r="M27" s="36"/>
      <c r="N27" s="36"/>
      <c r="O27" s="85"/>
      <c r="Q27" s="36"/>
    </row>
    <row r="28" spans="2:25" ht="12.6">
      <c r="B28" s="43"/>
      <c r="C28" s="36" t="s">
        <v>216</v>
      </c>
      <c r="D28" s="36"/>
      <c r="G28" s="36" t="s">
        <v>276</v>
      </c>
      <c r="I28" s="70" t="s">
        <v>683</v>
      </c>
      <c r="K28" s="36" t="s">
        <v>492</v>
      </c>
      <c r="M28" s="36" t="s">
        <v>276</v>
      </c>
      <c r="N28" s="36">
        <v>84</v>
      </c>
      <c r="O28" s="85"/>
      <c r="Q28" s="36"/>
    </row>
    <row r="29" spans="2:25" ht="12.6">
      <c r="B29" s="43"/>
      <c r="C29" s="36"/>
      <c r="D29" s="36"/>
      <c r="G29" s="36" t="s">
        <v>273</v>
      </c>
      <c r="I29" s="70" t="s">
        <v>684</v>
      </c>
      <c r="K29" s="36"/>
      <c r="M29" s="36" t="s">
        <v>273</v>
      </c>
      <c r="N29" s="36">
        <v>70</v>
      </c>
      <c r="O29" s="85"/>
      <c r="Q29" s="36"/>
    </row>
    <row r="30" spans="2:25" ht="12.6">
      <c r="B30" s="43"/>
      <c r="C30" s="36"/>
      <c r="D30" s="36"/>
      <c r="G30" s="36" t="s">
        <v>161</v>
      </c>
      <c r="I30" s="70" t="s">
        <v>685</v>
      </c>
      <c r="K30" s="36"/>
      <c r="M30" s="36" t="s">
        <v>161</v>
      </c>
      <c r="N30" s="36">
        <v>14</v>
      </c>
      <c r="O30" s="85"/>
      <c r="Q30" s="36"/>
    </row>
    <row r="31" spans="2:25" ht="7.95" customHeight="1">
      <c r="B31" s="47"/>
      <c r="C31" s="36"/>
      <c r="D31" s="36"/>
      <c r="G31" s="36"/>
      <c r="H31" s="36"/>
      <c r="I31" s="36"/>
      <c r="K31" s="36"/>
      <c r="M31" s="36"/>
      <c r="N31" s="36"/>
      <c r="O31" s="85"/>
      <c r="Q31" s="36"/>
    </row>
    <row r="32" spans="2:25" ht="12.6">
      <c r="B32" s="43"/>
      <c r="C32" s="36" t="s">
        <v>686</v>
      </c>
      <c r="D32" s="36"/>
      <c r="G32" s="36"/>
      <c r="H32" s="36"/>
      <c r="I32" s="71">
        <f>EBF!F39</f>
        <v>1.0000000000000001E-31</v>
      </c>
      <c r="K32" s="36"/>
      <c r="M32" s="36"/>
      <c r="N32" s="69"/>
      <c r="O32" s="85"/>
      <c r="Q32" s="36"/>
    </row>
    <row r="33" spans="2:19" ht="7.95" customHeight="1">
      <c r="B33" s="43"/>
      <c r="C33" s="36"/>
      <c r="D33" s="36"/>
      <c r="G33" s="36"/>
      <c r="H33" s="36"/>
      <c r="I33" s="70"/>
      <c r="K33" s="36"/>
      <c r="M33" s="36"/>
      <c r="N33" s="69"/>
      <c r="O33" s="85"/>
      <c r="Q33" s="36"/>
    </row>
    <row r="34" spans="2:19" ht="12.6">
      <c r="B34" s="43"/>
      <c r="C34" s="36" t="s">
        <v>687</v>
      </c>
      <c r="D34" s="36"/>
      <c r="G34" s="36"/>
      <c r="H34" s="36"/>
      <c r="I34" s="1092">
        <f>Lüftung!E4</f>
        <v>0.33888888888888891</v>
      </c>
      <c r="K34" s="36" t="s">
        <v>56</v>
      </c>
      <c r="M34" s="36"/>
      <c r="N34" s="70">
        <f>Lüftung!B11</f>
        <v>0</v>
      </c>
      <c r="O34" s="85"/>
      <c r="Q34" s="36"/>
    </row>
    <row r="35" spans="2:19" ht="12.6">
      <c r="B35" s="43"/>
      <c r="C35" s="36" t="s">
        <v>132</v>
      </c>
      <c r="D35" s="36"/>
      <c r="G35" s="36"/>
      <c r="H35" s="36"/>
      <c r="I35" s="70">
        <f>Lüftung!E6</f>
        <v>0</v>
      </c>
      <c r="K35" s="36"/>
      <c r="M35" s="36"/>
      <c r="N35" s="36"/>
      <c r="O35" s="78"/>
      <c r="Q35" s="36"/>
    </row>
    <row r="36" spans="2:19" ht="7.95" customHeight="1">
      <c r="B36" s="43"/>
      <c r="C36" s="36"/>
      <c r="D36" s="36"/>
      <c r="G36" s="36"/>
      <c r="H36" s="36"/>
      <c r="I36" s="36"/>
      <c r="K36" s="36"/>
      <c r="N36" s="36"/>
      <c r="O36" s="78"/>
      <c r="Q36" s="36"/>
    </row>
    <row r="37" spans="2:19" ht="12.6">
      <c r="B37" s="43"/>
      <c r="C37" s="36" t="s">
        <v>688</v>
      </c>
      <c r="D37" s="36"/>
      <c r="G37" s="69" t="s">
        <v>49</v>
      </c>
      <c r="I37" s="70">
        <f>Lüftung!E8</f>
        <v>0</v>
      </c>
      <c r="K37" s="36" t="s">
        <v>221</v>
      </c>
      <c r="N37" s="36">
        <f>Lüftung!H8</f>
        <v>0</v>
      </c>
      <c r="O37" s="78"/>
      <c r="Q37" s="36"/>
    </row>
    <row r="38" spans="2:19" ht="9.75" customHeight="1">
      <c r="B38" s="43"/>
      <c r="C38" s="36"/>
      <c r="D38" s="36"/>
      <c r="E38" s="36"/>
      <c r="F38" s="36"/>
      <c r="G38" s="69" t="s">
        <v>554</v>
      </c>
      <c r="I38" s="70">
        <f>Lüftung!E9</f>
        <v>0</v>
      </c>
      <c r="K38" s="36" t="s">
        <v>138</v>
      </c>
      <c r="N38" s="36">
        <f>Lüftung!H9</f>
        <v>0</v>
      </c>
      <c r="O38" s="78"/>
      <c r="Q38" s="36"/>
    </row>
    <row r="39" spans="2:19" ht="9.75" customHeight="1">
      <c r="B39" s="43"/>
      <c r="C39" s="36"/>
      <c r="D39" s="36"/>
      <c r="E39" s="36"/>
      <c r="F39" s="36"/>
      <c r="G39" s="69" t="s">
        <v>306</v>
      </c>
      <c r="I39" s="70">
        <f>Lüftung!E10</f>
        <v>0</v>
      </c>
      <c r="K39" s="36" t="s">
        <v>139</v>
      </c>
      <c r="N39" s="36">
        <f>Lüftung!H10</f>
        <v>0</v>
      </c>
      <c r="O39" s="78"/>
      <c r="Q39" s="36"/>
    </row>
    <row r="40" spans="2:19" ht="9.75" customHeight="1">
      <c r="B40" s="43"/>
      <c r="C40" s="36"/>
      <c r="D40" s="36"/>
      <c r="E40" s="36"/>
      <c r="F40" s="36"/>
      <c r="G40" s="69" t="s">
        <v>409</v>
      </c>
      <c r="I40" s="70">
        <f>Lüftung!E11</f>
        <v>0</v>
      </c>
      <c r="K40" s="36" t="s">
        <v>269</v>
      </c>
      <c r="N40" s="36">
        <f>Lüftung!H11</f>
        <v>0</v>
      </c>
      <c r="O40" s="85"/>
      <c r="Q40" s="36"/>
    </row>
    <row r="41" spans="2:19" ht="9.75" customHeight="1">
      <c r="B41" s="43"/>
      <c r="C41" s="36"/>
      <c r="D41" s="36"/>
      <c r="E41" s="36"/>
      <c r="F41" s="36"/>
      <c r="G41" s="69" t="s">
        <v>410</v>
      </c>
      <c r="I41" s="70">
        <f>Lüftung!E12</f>
        <v>0</v>
      </c>
      <c r="K41" s="36" t="s">
        <v>366</v>
      </c>
      <c r="N41" s="36">
        <f>Lüftung!H12</f>
        <v>0</v>
      </c>
      <c r="O41" s="85"/>
      <c r="Q41" s="36"/>
    </row>
    <row r="42" spans="2:19" ht="9.75" customHeight="1">
      <c r="B42" s="43"/>
      <c r="C42" s="36"/>
      <c r="D42" s="36"/>
      <c r="E42" s="36"/>
      <c r="F42" s="36"/>
      <c r="G42" s="69" t="s">
        <v>411</v>
      </c>
      <c r="I42" s="70">
        <f>Lüftung!E13</f>
        <v>0</v>
      </c>
      <c r="K42" s="36" t="s">
        <v>465</v>
      </c>
      <c r="N42" s="36">
        <f>Lüftung!H13</f>
        <v>0</v>
      </c>
      <c r="O42" s="85"/>
      <c r="Q42" s="36"/>
    </row>
    <row r="43" spans="2:19" ht="7.95" customHeight="1" thickBot="1">
      <c r="B43" s="81"/>
      <c r="C43" s="82"/>
      <c r="D43" s="82"/>
      <c r="E43" s="82"/>
      <c r="F43" s="82"/>
      <c r="G43" s="82"/>
      <c r="H43" s="79"/>
      <c r="I43" s="82"/>
      <c r="J43" s="80"/>
      <c r="K43" s="82"/>
      <c r="L43" s="82"/>
      <c r="M43" s="82"/>
      <c r="N43" s="82"/>
      <c r="O43" s="83"/>
      <c r="Q43" s="36"/>
    </row>
    <row r="44" spans="2:19">
      <c r="B44" s="36"/>
      <c r="C44" s="36"/>
      <c r="D44" s="36"/>
      <c r="E44" s="36"/>
      <c r="F44" s="36"/>
      <c r="G44" s="36"/>
      <c r="H44" s="69"/>
      <c r="I44" s="36"/>
      <c r="J44" s="70"/>
      <c r="K44" s="36"/>
      <c r="L44" s="36"/>
      <c r="M44" s="36"/>
      <c r="N44" s="36"/>
      <c r="O44" s="36"/>
      <c r="Q44" s="36"/>
    </row>
    <row r="45" spans="2:19" ht="7.95" customHeight="1">
      <c r="B45" s="42"/>
      <c r="C45" s="35"/>
      <c r="D45" s="35"/>
      <c r="E45" s="35"/>
      <c r="F45" s="35"/>
      <c r="G45" s="35"/>
      <c r="H45" s="35"/>
      <c r="I45" s="72"/>
      <c r="J45" s="35"/>
      <c r="K45" s="35"/>
      <c r="L45" s="35"/>
      <c r="M45" s="35"/>
      <c r="N45" s="35"/>
      <c r="O45" s="84"/>
      <c r="Q45" s="36"/>
      <c r="S45" s="1093"/>
    </row>
    <row r="46" spans="2:19" ht="9.75" customHeight="1">
      <c r="B46" s="43" t="s">
        <v>493</v>
      </c>
      <c r="C46" s="1076" t="s">
        <v>689</v>
      </c>
      <c r="D46" s="36"/>
      <c r="E46" s="36"/>
      <c r="G46" s="36" t="s">
        <v>276</v>
      </c>
      <c r="I46" s="73">
        <f>IF($K$9=0,((1-$N$10)*($N$7*20/$I$32))+$I$26,(((1-$N$10)*($N$7*20/$I$32))*0.8)+$I$26)</f>
        <v>3.9999999999999985E+31</v>
      </c>
      <c r="K46" s="36"/>
      <c r="L46" s="36"/>
      <c r="M46" s="36"/>
      <c r="N46" s="36"/>
      <c r="O46" s="85"/>
      <c r="Q46" s="36"/>
    </row>
    <row r="47" spans="2:19" ht="9.75" customHeight="1">
      <c r="B47" s="43"/>
      <c r="C47" s="36"/>
      <c r="D47" s="36"/>
      <c r="E47" s="36"/>
      <c r="G47" s="36" t="s">
        <v>273</v>
      </c>
      <c r="I47" s="73">
        <f>IF($K$9=0,((1-$N$10)*($N$7*30/$I$32))+$I$26,(((1-$N$10)*($N$7*30/$I$32))*0.8)+$I$26)</f>
        <v>5.999999999999998E+31</v>
      </c>
      <c r="K47" s="36"/>
      <c r="L47" s="36"/>
      <c r="M47" s="36"/>
      <c r="N47" s="36"/>
      <c r="O47" s="85"/>
      <c r="Q47" s="36"/>
    </row>
    <row r="48" spans="2:19" ht="9.75" customHeight="1">
      <c r="B48" s="43"/>
      <c r="C48" s="36"/>
      <c r="D48" s="36"/>
      <c r="E48" s="36"/>
      <c r="G48" s="36" t="s">
        <v>161</v>
      </c>
      <c r="I48" s="73">
        <f>IF($K$9=0,((1-$N$10)*($N$7*45/$I$32))+$I$26,(((1-$N$10)*($N$7*45/$I$32))*0.8)+$I$26)</f>
        <v>8.9999999999999974E+31</v>
      </c>
      <c r="K48" s="36"/>
      <c r="L48" s="36"/>
      <c r="M48" s="36"/>
      <c r="N48" s="36"/>
      <c r="O48" s="85"/>
      <c r="Q48" s="36"/>
    </row>
    <row r="49" spans="2:17" ht="7.95" customHeight="1">
      <c r="B49" s="43"/>
      <c r="C49" s="36"/>
      <c r="D49" s="36"/>
      <c r="E49" s="36"/>
      <c r="G49" s="36"/>
      <c r="I49" s="36"/>
      <c r="K49" s="36"/>
      <c r="L49" s="36"/>
      <c r="M49" s="36"/>
      <c r="N49" s="36"/>
      <c r="O49" s="85"/>
      <c r="Q49" s="36"/>
    </row>
    <row r="50" spans="2:17" ht="12.75" customHeight="1">
      <c r="B50" s="43"/>
      <c r="C50" s="45" t="s">
        <v>690</v>
      </c>
      <c r="D50" s="45"/>
      <c r="E50" s="45"/>
      <c r="F50" s="39"/>
      <c r="G50" s="45"/>
      <c r="H50" s="39"/>
      <c r="I50" s="178">
        <f>(I46*N28+I47*N29+I48*N30)/168</f>
        <v>5.2499999999999974E+31</v>
      </c>
      <c r="K50" s="36"/>
      <c r="L50" s="36"/>
      <c r="M50" s="36"/>
      <c r="N50" s="36"/>
      <c r="O50" s="85"/>
      <c r="Q50" s="36"/>
    </row>
    <row r="51" spans="2:17" ht="7.95" customHeight="1">
      <c r="B51" s="43"/>
      <c r="C51" s="36"/>
      <c r="D51" s="36"/>
      <c r="E51" s="36"/>
      <c r="G51" s="36"/>
      <c r="I51" s="36"/>
      <c r="K51" s="36"/>
      <c r="L51" s="36"/>
      <c r="M51" s="36"/>
      <c r="N51" s="36"/>
      <c r="O51" s="85"/>
      <c r="Q51" s="36"/>
    </row>
    <row r="52" spans="2:17" ht="9.75" customHeight="1">
      <c r="B52" s="43"/>
      <c r="C52" s="1076" t="s">
        <v>691</v>
      </c>
      <c r="D52" s="36"/>
      <c r="E52" s="36"/>
      <c r="G52" s="36" t="s">
        <v>49</v>
      </c>
      <c r="I52" s="73">
        <f>IF(($I$35+Regelung-1-I37)*$I$50*31*$I$32*$I$34*24/($I$32*1000)&lt;0,0,($I$35+Regelung-1-I37)*$I$50*31*$I$32*$I$34*24/($I$32*1000))</f>
        <v>3.9710999999999981E+31</v>
      </c>
      <c r="K52" s="36" t="s">
        <v>221</v>
      </c>
      <c r="N52" s="73">
        <f>IF(($I$35+Regelung-1-N37)*$I$50*31*$I$32*$I$34*24/($I$32*1000)&lt;0,0,($I$35+Regelung-1-N37)*$I$50*31*$I$32*$I$34*24/($I$32*1000))</f>
        <v>3.9710999999999981E+31</v>
      </c>
      <c r="O52" s="85"/>
      <c r="Q52" s="36"/>
    </row>
    <row r="53" spans="2:17" ht="9.75" customHeight="1">
      <c r="B53" s="43"/>
      <c r="C53" s="36"/>
      <c r="D53" s="36"/>
      <c r="E53" s="36"/>
      <c r="F53" s="36"/>
      <c r="G53" s="36" t="s">
        <v>554</v>
      </c>
      <c r="I53" s="73">
        <f>IF(($I$35+Regelung-1-I38)*$I$50*28*$I$32*$I$34*24/($I$32*1000)&lt;0,0,($I$35+Regelung-1-I38)*$I$50*28*$I$32*$I$34*24/($I$32*1000))</f>
        <v>3.5867999999999991E+31</v>
      </c>
      <c r="K53" s="36" t="s">
        <v>138</v>
      </c>
      <c r="N53" s="73">
        <f>IF(($I$35+Regelung-1-N38)*$I$50*31*$I$32*$I$34*24/($I$32*1000)&lt;0,0,($I$35+Regelung-1-N38)*$I$50*31*$I$32*$I$34*24/($I$32*1000))</f>
        <v>3.9710999999999981E+31</v>
      </c>
      <c r="O53" s="85"/>
      <c r="Q53" s="36"/>
    </row>
    <row r="54" spans="2:17" ht="9.75" customHeight="1">
      <c r="B54" s="43"/>
      <c r="C54" s="36"/>
      <c r="D54" s="36"/>
      <c r="E54" s="36"/>
      <c r="F54" s="36"/>
      <c r="G54" s="36" t="s">
        <v>306</v>
      </c>
      <c r="I54" s="73">
        <f>IF(($I$35+Regelung-1-I39)*$I$50*31*$I$32*$I$34*24/($I$32*1000)&lt;0,0,($I$35+Regelung-1-I39)*$I$50*31*$I$32*$I$34*24/($I$32*1000))</f>
        <v>3.9710999999999981E+31</v>
      </c>
      <c r="K54" s="36" t="s">
        <v>139</v>
      </c>
      <c r="N54" s="73">
        <f>IF(($I$35+Regelung-1-N39)*$I$50*30*$I$32*$I$34*24/($I$32*1000)&lt;0,0,($I$35+Regelung-1-N39)*$I$50*30*$I$32*$I$34*24/($I$32*1000))</f>
        <v>3.8429999999999981E+31</v>
      </c>
      <c r="O54" s="85"/>
      <c r="Q54" s="36"/>
    </row>
    <row r="55" spans="2:17" ht="9.75" customHeight="1">
      <c r="B55" s="43"/>
      <c r="C55" s="36"/>
      <c r="D55" s="36"/>
      <c r="E55" s="36"/>
      <c r="F55" s="36"/>
      <c r="G55" s="36" t="s">
        <v>409</v>
      </c>
      <c r="I55" s="73">
        <f>IF(($I$35+Regelung-1-I40)*$I$50*30*$I$32*$I$34*24/($I$32*1000)&lt;0,0,($I$35+Regelung-1-I40)*$I$50*30*$I$32*$I$34*24/($I$32*1000))</f>
        <v>3.8429999999999981E+31</v>
      </c>
      <c r="K55" s="36" t="s">
        <v>269</v>
      </c>
      <c r="N55" s="73">
        <f>IF(($I$35+Regelung-1-N40)*$I$50*31*$I$32*$I$34*24/($I$32*1000)&lt;0,0,($I$35+Regelung-1-N40)*$I$50*31*$I$32*$I$34*24/($I$32*1000))</f>
        <v>3.9710999999999981E+31</v>
      </c>
      <c r="O55" s="85"/>
      <c r="Q55" s="36"/>
    </row>
    <row r="56" spans="2:17" ht="9.75" customHeight="1">
      <c r="B56" s="43"/>
      <c r="C56" s="36"/>
      <c r="D56" s="36"/>
      <c r="E56" s="36"/>
      <c r="F56" s="36"/>
      <c r="G56" s="36" t="s">
        <v>410</v>
      </c>
      <c r="I56" s="73">
        <f>IF(($I$35+Regelung-1-I41)*$I$50*31*$I$32*$I$34*24/($I$32*1000)&lt;0,0,($I$35+Regelung-1-I41)*$I$50*31*$I$32*$I$34*24/($I$32*1000))</f>
        <v>3.9710999999999981E+31</v>
      </c>
      <c r="K56" s="36" t="s">
        <v>366</v>
      </c>
      <c r="N56" s="73">
        <f>IF(($I$35+Regelung-1-N41)*$I$50*30*$I$32*$I$34*24/($I$32*1000)&lt;0,0,($I$35+Regelung-1-N41)*$I$50*30*$I$32*$I$34*24/($I$32*1000))</f>
        <v>3.8429999999999981E+31</v>
      </c>
      <c r="O56" s="85"/>
      <c r="Q56" s="36"/>
    </row>
    <row r="57" spans="2:17" ht="9.75" customHeight="1">
      <c r="B57" s="43"/>
      <c r="C57" s="36"/>
      <c r="D57" s="36"/>
      <c r="E57" s="36"/>
      <c r="F57" s="36"/>
      <c r="G57" s="36" t="s">
        <v>411</v>
      </c>
      <c r="I57" s="73">
        <f>IF(($I$35+Regelung-1-I42)*$I$50*30*$I$32*$I$34*24/($I$32*1000)&lt;0,0,($I$35+Regelung-1-I42)*$I$50*30*$I$32*$I$34*24/($I$32*1000))</f>
        <v>3.8429999999999981E+31</v>
      </c>
      <c r="K57" s="36" t="s">
        <v>465</v>
      </c>
      <c r="N57" s="73">
        <f>IF(($I$35+Regelung-1-N42)*$I$50*31*$I$32*$I$34*24/($I$32*1000)&lt;0,0,($I$35+Regelung-1-N42)*$I$50*31*$I$32*$I$34*24/($I$32*1000))</f>
        <v>3.9710999999999981E+31</v>
      </c>
      <c r="O57" s="85"/>
      <c r="Q57" s="36"/>
    </row>
    <row r="58" spans="2:17" ht="7.95" customHeight="1" thickBot="1">
      <c r="B58" s="81"/>
      <c r="C58" s="82"/>
      <c r="D58" s="82"/>
      <c r="E58" s="82"/>
      <c r="F58" s="82"/>
      <c r="G58" s="82"/>
      <c r="H58" s="82"/>
      <c r="I58" s="82"/>
      <c r="J58" s="82"/>
      <c r="K58" s="82"/>
      <c r="L58" s="82"/>
      <c r="M58" s="82"/>
      <c r="N58" s="82"/>
      <c r="O58" s="83"/>
      <c r="Q58" s="36"/>
    </row>
    <row r="59" spans="2:17">
      <c r="B59" s="36"/>
      <c r="C59" s="36"/>
      <c r="D59" s="36"/>
      <c r="E59" s="36"/>
      <c r="F59" s="36"/>
      <c r="G59" s="36"/>
      <c r="H59" s="36"/>
      <c r="I59" s="36"/>
      <c r="J59" s="36"/>
      <c r="K59" s="36"/>
      <c r="L59" s="36"/>
      <c r="M59" s="36"/>
      <c r="N59" s="36"/>
      <c r="O59" s="36"/>
      <c r="Q59" s="36"/>
    </row>
    <row r="60" spans="2:17" ht="7.95" customHeight="1">
      <c r="B60" s="42"/>
      <c r="C60" s="35"/>
      <c r="D60" s="35"/>
      <c r="E60" s="35"/>
      <c r="F60" s="35"/>
      <c r="G60" s="35"/>
      <c r="H60" s="35"/>
      <c r="I60" s="35"/>
      <c r="J60" s="35"/>
      <c r="K60" s="35"/>
      <c r="L60" s="35"/>
      <c r="M60" s="35"/>
      <c r="N60" s="35"/>
      <c r="O60" s="84"/>
      <c r="Q60" s="36"/>
    </row>
    <row r="61" spans="2:17" ht="10.95" customHeight="1">
      <c r="B61" s="43" t="s">
        <v>250</v>
      </c>
      <c r="C61" s="36"/>
      <c r="D61" s="36"/>
      <c r="E61" s="36"/>
      <c r="F61" s="1076" t="s">
        <v>692</v>
      </c>
      <c r="G61" s="36"/>
      <c r="H61" s="36"/>
      <c r="I61" s="36"/>
      <c r="J61" s="36"/>
      <c r="K61" s="36" t="s">
        <v>276</v>
      </c>
      <c r="L61" s="36"/>
      <c r="M61" s="36"/>
      <c r="N61" s="73">
        <v>0.3</v>
      </c>
      <c r="O61" s="85"/>
      <c r="Q61" s="36"/>
    </row>
    <row r="62" spans="2:17" ht="9.75" customHeight="1">
      <c r="B62" s="43"/>
      <c r="C62" s="36"/>
      <c r="D62" s="36"/>
      <c r="E62" s="36"/>
      <c r="F62" s="36"/>
      <c r="G62" s="36"/>
      <c r="H62" s="36"/>
      <c r="I62" s="36"/>
      <c r="J62" s="36"/>
      <c r="K62" s="36" t="s">
        <v>273</v>
      </c>
      <c r="L62" s="36"/>
      <c r="M62" s="36"/>
      <c r="N62" s="73">
        <v>0.35</v>
      </c>
      <c r="O62" s="85"/>
      <c r="Q62" s="36"/>
    </row>
    <row r="63" spans="2:17" ht="9.75" customHeight="1">
      <c r="B63" s="43"/>
      <c r="C63" s="36"/>
      <c r="D63" s="36"/>
      <c r="E63" s="36"/>
      <c r="F63" s="36"/>
      <c r="G63" s="36"/>
      <c r="H63" s="36"/>
      <c r="I63" s="36"/>
      <c r="J63" s="36"/>
      <c r="K63" s="36" t="s">
        <v>161</v>
      </c>
      <c r="L63" s="36"/>
      <c r="M63" s="36"/>
      <c r="N63" s="73">
        <v>0.5</v>
      </c>
      <c r="O63" s="85"/>
      <c r="Q63" s="36"/>
    </row>
    <row r="64" spans="2:17" ht="7.95" customHeight="1">
      <c r="B64" s="43"/>
      <c r="C64" s="36"/>
      <c r="D64" s="36"/>
      <c r="E64" s="36"/>
      <c r="F64" s="36"/>
      <c r="G64" s="36"/>
      <c r="H64" s="36"/>
      <c r="I64" s="36"/>
      <c r="J64" s="36"/>
      <c r="K64" s="36"/>
      <c r="L64" s="36"/>
      <c r="M64" s="36"/>
      <c r="N64" s="36"/>
      <c r="O64" s="85"/>
      <c r="Q64" s="36"/>
    </row>
    <row r="65" spans="2:17" ht="9.75" customHeight="1">
      <c r="B65" s="43"/>
      <c r="C65" s="36"/>
      <c r="D65" s="36"/>
      <c r="E65" s="36"/>
      <c r="F65" s="36" t="s">
        <v>205</v>
      </c>
      <c r="G65" s="36"/>
      <c r="H65" s="36"/>
      <c r="I65" s="36"/>
      <c r="J65" s="36"/>
      <c r="K65" s="36" t="s">
        <v>276</v>
      </c>
      <c r="L65" s="36" t="s">
        <v>185</v>
      </c>
      <c r="M65" s="36"/>
      <c r="N65" s="73">
        <f>$N$7*20*N61*N28/1000</f>
        <v>0.504</v>
      </c>
      <c r="O65" s="85"/>
      <c r="Q65" s="36"/>
    </row>
    <row r="66" spans="2:17" ht="9.75" customHeight="1">
      <c r="B66" s="43"/>
      <c r="C66" s="36"/>
      <c r="D66" s="36"/>
      <c r="E66" s="36"/>
      <c r="F66" s="36"/>
      <c r="G66" s="36"/>
      <c r="H66" s="36"/>
      <c r="I66" s="36"/>
      <c r="J66" s="36"/>
      <c r="K66" s="36" t="s">
        <v>273</v>
      </c>
      <c r="L66" s="36" t="s">
        <v>185</v>
      </c>
      <c r="M66" s="36"/>
      <c r="N66" s="73">
        <f>$N$7*30*N62*N29/1000</f>
        <v>0.73499999999999999</v>
      </c>
      <c r="O66" s="85"/>
      <c r="Q66" s="36"/>
    </row>
    <row r="67" spans="2:17" ht="9.75" customHeight="1">
      <c r="B67" s="43"/>
      <c r="C67" s="36"/>
      <c r="D67" s="36"/>
      <c r="E67" s="36"/>
      <c r="F67" s="36"/>
      <c r="G67" s="36"/>
      <c r="H67" s="36"/>
      <c r="I67" s="36"/>
      <c r="J67" s="36"/>
      <c r="K67" s="36" t="s">
        <v>161</v>
      </c>
      <c r="L67" s="36" t="s">
        <v>185</v>
      </c>
      <c r="M67" s="36"/>
      <c r="N67" s="73">
        <f>$N$7*45*N63*N30/1000</f>
        <v>0.315</v>
      </c>
      <c r="O67" s="85"/>
      <c r="Q67" s="36"/>
    </row>
    <row r="68" spans="2:17" ht="7.95" customHeight="1">
      <c r="B68" s="43"/>
      <c r="C68" s="36"/>
      <c r="D68" s="36"/>
      <c r="E68" s="36"/>
      <c r="F68" s="36"/>
      <c r="G68" s="36"/>
      <c r="H68" s="36"/>
      <c r="I68" s="36"/>
      <c r="J68" s="36"/>
      <c r="K68" s="36"/>
      <c r="L68" s="36"/>
      <c r="M68" s="36"/>
      <c r="N68" s="36"/>
      <c r="O68" s="85"/>
      <c r="Q68" s="36"/>
    </row>
    <row r="69" spans="2:17" s="1081" customFormat="1" ht="10.95" customHeight="1">
      <c r="B69" s="1077"/>
      <c r="C69" s="1078"/>
      <c r="D69" s="1078"/>
      <c r="E69" s="1078"/>
      <c r="F69" s="1078"/>
      <c r="G69" s="1078"/>
      <c r="H69" s="1078"/>
      <c r="I69" s="1078"/>
      <c r="J69" s="1078"/>
      <c r="K69" s="1078" t="s">
        <v>480</v>
      </c>
      <c r="L69" s="1078" t="s">
        <v>693</v>
      </c>
      <c r="M69" s="1078"/>
      <c r="N69" s="1079">
        <f>(((N65+N66+N67)*52)/I32)</f>
        <v>8.0807999999999984E+32</v>
      </c>
      <c r="O69" s="1080"/>
      <c r="Q69" s="1078"/>
    </row>
    <row r="70" spans="2:17" ht="9.75" customHeight="1">
      <c r="B70" s="43"/>
      <c r="C70" s="36"/>
      <c r="D70" s="36"/>
      <c r="E70" s="36"/>
      <c r="F70" s="36"/>
      <c r="G70" s="36"/>
      <c r="H70" s="36"/>
      <c r="I70" s="36"/>
      <c r="J70" s="36"/>
      <c r="K70" s="36"/>
      <c r="L70" s="36"/>
      <c r="M70" s="36"/>
      <c r="N70" s="73"/>
      <c r="O70" s="85"/>
      <c r="Q70" s="36"/>
    </row>
    <row r="71" spans="2:17" ht="7.95" customHeight="1" thickBot="1">
      <c r="B71" s="81"/>
      <c r="C71" s="82"/>
      <c r="D71" s="82"/>
      <c r="E71" s="82"/>
      <c r="F71" s="82"/>
      <c r="G71" s="82"/>
      <c r="H71" s="82"/>
      <c r="I71" s="82"/>
      <c r="J71" s="82"/>
      <c r="K71" s="82"/>
      <c r="L71" s="82"/>
      <c r="M71" s="82"/>
      <c r="N71" s="82"/>
      <c r="O71" s="83"/>
      <c r="Q71" s="36"/>
    </row>
    <row r="72" spans="2:17">
      <c r="Q72" s="36"/>
    </row>
    <row r="73" spans="2:17">
      <c r="Q73" s="36"/>
    </row>
    <row r="74" spans="2:17">
      <c r="Q74" s="36"/>
    </row>
    <row r="75" spans="2:17">
      <c r="Q75" s="36"/>
    </row>
    <row r="76" spans="2:17">
      <c r="Q76" s="36"/>
    </row>
    <row r="77" spans="2:17">
      <c r="Q77" s="36"/>
    </row>
    <row r="78" spans="2:17">
      <c r="Q78" s="36"/>
    </row>
    <row r="79" spans="2:17">
      <c r="Q79" s="36"/>
    </row>
    <row r="80" spans="2:17">
      <c r="Q80" s="36"/>
    </row>
    <row r="81" spans="17:17">
      <c r="Q81" s="36"/>
    </row>
    <row r="82" spans="17:17">
      <c r="Q82" s="36"/>
    </row>
    <row r="83" spans="17:17">
      <c r="Q83" s="36"/>
    </row>
    <row r="84" spans="17:17">
      <c r="Q84" s="36"/>
    </row>
    <row r="85" spans="17:17">
      <c r="Q85" s="36"/>
    </row>
    <row r="86" spans="17:17">
      <c r="Q86" s="36"/>
    </row>
    <row r="87" spans="17:17">
      <c r="Q87" s="36"/>
    </row>
    <row r="88" spans="17:17">
      <c r="Q88" s="36"/>
    </row>
    <row r="89" spans="17:17">
      <c r="Q89" s="36"/>
    </row>
    <row r="90" spans="17:17">
      <c r="Q90" s="36"/>
    </row>
    <row r="91" spans="17:17">
      <c r="Q91" s="36"/>
    </row>
    <row r="92" spans="17:17">
      <c r="Q92" s="36"/>
    </row>
    <row r="93" spans="17:17">
      <c r="Q93" s="36"/>
    </row>
    <row r="94" spans="17:17">
      <c r="Q94" s="36"/>
    </row>
    <row r="95" spans="17:17">
      <c r="Q95" s="36"/>
    </row>
    <row r="96" spans="17:17">
      <c r="Q96" s="36"/>
    </row>
    <row r="97" spans="17:17">
      <c r="Q97" s="36"/>
    </row>
    <row r="98" spans="17:17">
      <c r="Q98" s="36"/>
    </row>
    <row r="99" spans="17:17">
      <c r="Q99" s="36"/>
    </row>
    <row r="100" spans="17:17">
      <c r="Q100" s="36"/>
    </row>
    <row r="101" spans="17:17">
      <c r="Q101" s="36"/>
    </row>
    <row r="102" spans="17:17">
      <c r="Q102" s="36"/>
    </row>
    <row r="103" spans="17:17">
      <c r="Q103" s="36"/>
    </row>
    <row r="104" spans="17:17">
      <c r="Q104" s="36"/>
    </row>
    <row r="105" spans="17:17">
      <c r="Q105" s="36"/>
    </row>
    <row r="106" spans="17:17">
      <c r="Q106" s="36"/>
    </row>
    <row r="107" spans="17:17">
      <c r="Q107" s="36"/>
    </row>
    <row r="108" spans="17:17">
      <c r="Q108" s="36"/>
    </row>
    <row r="109" spans="17:17">
      <c r="Q109" s="36"/>
    </row>
    <row r="110" spans="17:17">
      <c r="Q110" s="36"/>
    </row>
    <row r="111" spans="17:17">
      <c r="Q111" s="36"/>
    </row>
    <row r="112" spans="17:17">
      <c r="Q112" s="36"/>
    </row>
    <row r="113" spans="17:17">
      <c r="Q113" s="36"/>
    </row>
    <row r="114" spans="17:17">
      <c r="Q114" s="36"/>
    </row>
    <row r="115" spans="17:17">
      <c r="Q115" s="36"/>
    </row>
    <row r="116" spans="17:17">
      <c r="Q116" s="36"/>
    </row>
    <row r="117" spans="17:17">
      <c r="Q117" s="36"/>
    </row>
    <row r="118" spans="17:17">
      <c r="Q118" s="36"/>
    </row>
    <row r="119" spans="17:17">
      <c r="Q119" s="36"/>
    </row>
    <row r="120" spans="17:17">
      <c r="Q120" s="36"/>
    </row>
    <row r="121" spans="17:17">
      <c r="Q121" s="36"/>
    </row>
    <row r="122" spans="17:17">
      <c r="Q122" s="36"/>
    </row>
    <row r="123" spans="17:17">
      <c r="Q123" s="36"/>
    </row>
    <row r="124" spans="17:17">
      <c r="Q124" s="36"/>
    </row>
    <row r="125" spans="17:17">
      <c r="Q125" s="36"/>
    </row>
    <row r="126" spans="17:17">
      <c r="Q126" s="36"/>
    </row>
    <row r="127" spans="17:17">
      <c r="Q127" s="36"/>
    </row>
    <row r="128" spans="17:17">
      <c r="Q128" s="36"/>
    </row>
    <row r="129" spans="17:17">
      <c r="Q129" s="36"/>
    </row>
    <row r="130" spans="17:17">
      <c r="Q130" s="36"/>
    </row>
    <row r="131" spans="17:17">
      <c r="Q131" s="36"/>
    </row>
    <row r="132" spans="17:17">
      <c r="Q132" s="36"/>
    </row>
    <row r="133" spans="17:17">
      <c r="Q133" s="36"/>
    </row>
    <row r="134" spans="17:17">
      <c r="Q134" s="36"/>
    </row>
    <row r="135" spans="17:17">
      <c r="Q135" s="36"/>
    </row>
    <row r="136" spans="17:17">
      <c r="Q136" s="36"/>
    </row>
    <row r="137" spans="17:17">
      <c r="Q137" s="36"/>
    </row>
    <row r="138" spans="17:17">
      <c r="Q138" s="36"/>
    </row>
    <row r="139" spans="17:17">
      <c r="Q139" s="36"/>
    </row>
    <row r="140" spans="17:17">
      <c r="Q140" s="36"/>
    </row>
    <row r="141" spans="17:17">
      <c r="Q141" s="36"/>
    </row>
    <row r="142" spans="17:17">
      <c r="Q142" s="36"/>
    </row>
    <row r="143" spans="17:17">
      <c r="Q143" s="36"/>
    </row>
    <row r="144" spans="17:17">
      <c r="Q144" s="36"/>
    </row>
    <row r="145" spans="17:17">
      <c r="Q145" s="36"/>
    </row>
    <row r="146" spans="17:17">
      <c r="Q146" s="36"/>
    </row>
    <row r="147" spans="17:17">
      <c r="Q147" s="36"/>
    </row>
    <row r="148" spans="17:17">
      <c r="Q148" s="36"/>
    </row>
    <row r="149" spans="17:17">
      <c r="Q149" s="36"/>
    </row>
    <row r="150" spans="17:17">
      <c r="Q150" s="36"/>
    </row>
    <row r="151" spans="17:17">
      <c r="Q151" s="36"/>
    </row>
    <row r="152" spans="17:17">
      <c r="Q152" s="36"/>
    </row>
    <row r="153" spans="17:17">
      <c r="Q153" s="36"/>
    </row>
    <row r="154" spans="17:17">
      <c r="Q154" s="36"/>
    </row>
    <row r="155" spans="17:17">
      <c r="Q155" s="36"/>
    </row>
    <row r="156" spans="17:17">
      <c r="Q156" s="36"/>
    </row>
    <row r="157" spans="17:17">
      <c r="Q157" s="36"/>
    </row>
    <row r="158" spans="17:17">
      <c r="Q158" s="36"/>
    </row>
    <row r="159" spans="17:17">
      <c r="Q159" s="36"/>
    </row>
    <row r="160" spans="17:17">
      <c r="Q160" s="36"/>
    </row>
    <row r="161" spans="17:17">
      <c r="Q161" s="36"/>
    </row>
    <row r="162" spans="17:17">
      <c r="Q162" s="36"/>
    </row>
    <row r="163" spans="17:17">
      <c r="Q163" s="36"/>
    </row>
    <row r="164" spans="17:17">
      <c r="Q164" s="36"/>
    </row>
    <row r="165" spans="17:17">
      <c r="Q165" s="36"/>
    </row>
    <row r="166" spans="17:17">
      <c r="Q166" s="36"/>
    </row>
    <row r="167" spans="17:17">
      <c r="Q167" s="36"/>
    </row>
    <row r="168" spans="17:17">
      <c r="Q168" s="36"/>
    </row>
    <row r="169" spans="17:17">
      <c r="Q169" s="36"/>
    </row>
    <row r="170" spans="17:17">
      <c r="Q170" s="36"/>
    </row>
    <row r="171" spans="17:17">
      <c r="Q171" s="36"/>
    </row>
    <row r="172" spans="17:17">
      <c r="Q172" s="36"/>
    </row>
    <row r="173" spans="17:17">
      <c r="Q173" s="36"/>
    </row>
    <row r="174" spans="17:17">
      <c r="Q174" s="36"/>
    </row>
    <row r="175" spans="17:17">
      <c r="Q175" s="36"/>
    </row>
    <row r="176" spans="17:17">
      <c r="Q176" s="36"/>
    </row>
    <row r="177" spans="17:17">
      <c r="Q177" s="36"/>
    </row>
    <row r="178" spans="17:17">
      <c r="Q178" s="36"/>
    </row>
    <row r="179" spans="17:17">
      <c r="Q179" s="36"/>
    </row>
    <row r="180" spans="17:17">
      <c r="Q180" s="36"/>
    </row>
    <row r="181" spans="17:17">
      <c r="Q181" s="36"/>
    </row>
    <row r="182" spans="17:17">
      <c r="Q182" s="36"/>
    </row>
    <row r="183" spans="17:17">
      <c r="Q183" s="36"/>
    </row>
    <row r="184" spans="17:17">
      <c r="Q184" s="36"/>
    </row>
    <row r="185" spans="17:17">
      <c r="Q185" s="36"/>
    </row>
    <row r="186" spans="17:17">
      <c r="Q186" s="36"/>
    </row>
    <row r="187" spans="17:17">
      <c r="Q187" s="36"/>
    </row>
    <row r="188" spans="17:17">
      <c r="Q188" s="36"/>
    </row>
    <row r="189" spans="17:17">
      <c r="Q189" s="36"/>
    </row>
    <row r="190" spans="17:17">
      <c r="Q190" s="36"/>
    </row>
    <row r="191" spans="17:17">
      <c r="Q191" s="36"/>
    </row>
    <row r="192" spans="17:17">
      <c r="Q192" s="36"/>
    </row>
    <row r="193" spans="17:17">
      <c r="Q193" s="36"/>
    </row>
    <row r="194" spans="17:17">
      <c r="Q194" s="36"/>
    </row>
    <row r="195" spans="17:17">
      <c r="Q195" s="36"/>
    </row>
    <row r="196" spans="17:17">
      <c r="Q196" s="36"/>
    </row>
    <row r="197" spans="17:17">
      <c r="Q197" s="36"/>
    </row>
    <row r="198" spans="17:17">
      <c r="Q198" s="36"/>
    </row>
    <row r="199" spans="17:17">
      <c r="Q199" s="36"/>
    </row>
    <row r="200" spans="17:17">
      <c r="Q200" s="36"/>
    </row>
    <row r="201" spans="17:17">
      <c r="Q201" s="36"/>
    </row>
    <row r="202" spans="17:17">
      <c r="Q202" s="36"/>
    </row>
    <row r="203" spans="17:17">
      <c r="Q203" s="36"/>
    </row>
    <row r="204" spans="17:17">
      <c r="Q204" s="36"/>
    </row>
    <row r="205" spans="17:17">
      <c r="Q205" s="36"/>
    </row>
    <row r="206" spans="17:17">
      <c r="Q206" s="36"/>
    </row>
    <row r="207" spans="17:17">
      <c r="Q207" s="36"/>
    </row>
    <row r="208" spans="17:17">
      <c r="Q208" s="36"/>
    </row>
    <row r="209" spans="17:17">
      <c r="Q209" s="36"/>
    </row>
    <row r="210" spans="17:17">
      <c r="Q210" s="36"/>
    </row>
    <row r="211" spans="17:17">
      <c r="Q211" s="36"/>
    </row>
    <row r="212" spans="17:17">
      <c r="Q212" s="36"/>
    </row>
    <row r="213" spans="17:17">
      <c r="Q213" s="36"/>
    </row>
    <row r="214" spans="17:17">
      <c r="Q214" s="36"/>
    </row>
    <row r="215" spans="17:17">
      <c r="Q215" s="36"/>
    </row>
    <row r="216" spans="17:17">
      <c r="Q216" s="36"/>
    </row>
    <row r="217" spans="17:17">
      <c r="Q217" s="36"/>
    </row>
    <row r="218" spans="17:17">
      <c r="Q218" s="36"/>
    </row>
    <row r="219" spans="17:17">
      <c r="Q219" s="36"/>
    </row>
    <row r="220" spans="17:17">
      <c r="Q220" s="36"/>
    </row>
    <row r="221" spans="17:17">
      <c r="Q221" s="36"/>
    </row>
    <row r="222" spans="17:17">
      <c r="Q222" s="36"/>
    </row>
    <row r="223" spans="17:17">
      <c r="Q223" s="36"/>
    </row>
    <row r="224" spans="17:17">
      <c r="Q224" s="36"/>
    </row>
    <row r="225" spans="17:17">
      <c r="Q225" s="36"/>
    </row>
    <row r="226" spans="17:17">
      <c r="Q226" s="36"/>
    </row>
    <row r="227" spans="17:17">
      <c r="Q227" s="36"/>
    </row>
    <row r="228" spans="17:17">
      <c r="Q228" s="36"/>
    </row>
    <row r="229" spans="17:17">
      <c r="Q229" s="36"/>
    </row>
    <row r="230" spans="17:17">
      <c r="Q230" s="36"/>
    </row>
    <row r="231" spans="17:17">
      <c r="Q231" s="36"/>
    </row>
    <row r="232" spans="17:17">
      <c r="Q232" s="36"/>
    </row>
    <row r="233" spans="17:17">
      <c r="Q233" s="36"/>
    </row>
    <row r="234" spans="17:17">
      <c r="Q234" s="36"/>
    </row>
    <row r="235" spans="17:17">
      <c r="Q235" s="36"/>
    </row>
    <row r="236" spans="17:17">
      <c r="Q236" s="36"/>
    </row>
    <row r="237" spans="17:17">
      <c r="Q237" s="36"/>
    </row>
    <row r="238" spans="17:17">
      <c r="Q238" s="36"/>
    </row>
    <row r="239" spans="17:17">
      <c r="Q239" s="36"/>
    </row>
    <row r="240" spans="17:17">
      <c r="Q240" s="36"/>
    </row>
    <row r="241" spans="17:17">
      <c r="Q241" s="36"/>
    </row>
    <row r="242" spans="17:17">
      <c r="Q242" s="36"/>
    </row>
    <row r="243" spans="17:17">
      <c r="Q243" s="36"/>
    </row>
    <row r="244" spans="17:17">
      <c r="Q244" s="36"/>
    </row>
    <row r="245" spans="17:17">
      <c r="Q245" s="36"/>
    </row>
    <row r="246" spans="17:17">
      <c r="Q246" s="36"/>
    </row>
    <row r="247" spans="17:17">
      <c r="Q247" s="36"/>
    </row>
  </sheetData>
  <sheetProtection password="D950" sheet="1" objects="1" scenarios="1" selectLockedCells="1"/>
  <mergeCells count="5">
    <mergeCell ref="Q18:Y25"/>
    <mergeCell ref="B2:O2"/>
    <mergeCell ref="B4:O4"/>
    <mergeCell ref="Q7:Y17"/>
    <mergeCell ref="I7:M7"/>
  </mergeCells>
  <phoneticPr fontId="18" type="noConversion"/>
  <printOptions horizontalCentered="1"/>
  <pageMargins left="0.78740157480314965" right="0.78740157480314965" top="0.98425196850393704" bottom="0.98425196850393704" header="0.51181102362204722" footer="0.51181102362204722"/>
  <pageSetup paperSize="9" scale="67" orientation="portrait" horizontalDpi="4294967292" verticalDpi="4294967292" r:id="rId1"/>
  <drawing r:id="rId2"/>
  <legacyDrawing r:id="rId3"/>
  <mc:AlternateContent xmlns:mc="http://schemas.openxmlformats.org/markup-compatibility/2006">
    <mc:Choice Requires="x14">
      <controls>
        <mc:AlternateContent xmlns:mc="http://schemas.openxmlformats.org/markup-compatibility/2006">
          <mc:Choice Requires="x14">
            <control shapeId="9225" r:id="rId4" name="Check Box 9">
              <controlPr locked="0" defaultSize="0" autoFill="0" autoLine="0" autoPict="0">
                <anchor moveWithCells="1">
                  <from>
                    <xdr:col>1</xdr:col>
                    <xdr:colOff>91440</xdr:colOff>
                    <xdr:row>7</xdr:row>
                    <xdr:rowOff>91440</xdr:rowOff>
                  </from>
                  <to>
                    <xdr:col>5</xdr:col>
                    <xdr:colOff>746760</xdr:colOff>
                    <xdr:row>10</xdr:row>
                    <xdr:rowOff>22860</xdr:rowOff>
                  </to>
                </anchor>
              </controlPr>
            </control>
          </mc:Choice>
        </mc:AlternateContent>
        <mc:AlternateContent xmlns:mc="http://schemas.openxmlformats.org/markup-compatibility/2006">
          <mc:Choice Requires="x14">
            <control shapeId="9226" r:id="rId5" name="Option Button 10">
              <controlPr defaultSize="0" autoFill="0" autoLine="0" autoPict="0">
                <anchor moveWithCells="1">
                  <from>
                    <xdr:col>1</xdr:col>
                    <xdr:colOff>76200</xdr:colOff>
                    <xdr:row>6</xdr:row>
                    <xdr:rowOff>0</xdr:rowOff>
                  </from>
                  <to>
                    <xdr:col>1</xdr:col>
                    <xdr:colOff>1013460</xdr:colOff>
                    <xdr:row>7</xdr:row>
                    <xdr:rowOff>22860</xdr:rowOff>
                  </to>
                </anchor>
              </controlPr>
            </control>
          </mc:Choice>
        </mc:AlternateContent>
        <mc:AlternateContent xmlns:mc="http://schemas.openxmlformats.org/markup-compatibility/2006">
          <mc:Choice Requires="x14">
            <control shapeId="9227" r:id="rId6" name="Option Button 11">
              <controlPr defaultSize="0" autoFill="0" autoLine="0" autoPict="0">
                <anchor moveWithCells="1">
                  <from>
                    <xdr:col>2</xdr:col>
                    <xdr:colOff>129540</xdr:colOff>
                    <xdr:row>6</xdr:row>
                    <xdr:rowOff>0</xdr:rowOff>
                  </from>
                  <to>
                    <xdr:col>5</xdr:col>
                    <xdr:colOff>510540</xdr:colOff>
                    <xdr:row>7</xdr:row>
                    <xdr:rowOff>22860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2">
    <tabColor rgb="FF0070C0"/>
  </sheetPr>
  <dimension ref="A1:U389"/>
  <sheetViews>
    <sheetView showGridLines="0" showRowColHeaders="0" zoomScale="162" zoomScaleNormal="162" zoomScaleSheetLayoutView="150" zoomScalePageLayoutView="162" workbookViewId="0">
      <selection activeCell="O1" sqref="O1"/>
    </sheetView>
  </sheetViews>
  <sheetFormatPr baseColWidth="10" defaultColWidth="10.875" defaultRowHeight="10.199999999999999"/>
  <cols>
    <col min="1" max="1" width="3.625" style="24" customWidth="1"/>
    <col min="2" max="2" width="19.5" style="24" customWidth="1"/>
    <col min="3" max="3" width="3.5" style="25" customWidth="1"/>
    <col min="4" max="4" width="5.875" style="24" customWidth="1"/>
    <col min="5" max="5" width="6" style="24" customWidth="1"/>
    <col min="6" max="7" width="5.5" style="24" customWidth="1"/>
    <col min="8" max="9" width="6.125" style="24" customWidth="1"/>
    <col min="10" max="10" width="5.5" style="24" customWidth="1"/>
    <col min="11" max="11" width="6" style="24" customWidth="1"/>
    <col min="12" max="15" width="5.375" style="24" customWidth="1"/>
    <col min="16" max="16" width="5.5" style="24" customWidth="1"/>
    <col min="17" max="17" width="2.125" style="24" customWidth="1"/>
    <col min="18" max="16384" width="10.875" style="24"/>
  </cols>
  <sheetData>
    <row r="1" spans="2:21" ht="9.75" customHeight="1">
      <c r="B1" s="835">
        <f>Nutzung!G10</f>
        <v>0</v>
      </c>
      <c r="O1" s="140" t="s">
        <v>229</v>
      </c>
    </row>
    <row r="2" spans="2:21" ht="28.05" customHeight="1"/>
    <row r="3" spans="2:21" ht="12" customHeight="1">
      <c r="B3" s="1106" t="s">
        <v>522</v>
      </c>
      <c r="C3" s="1330" t="str">
        <f>IF(Nutzung!E9="","",Nutzung!E9)</f>
        <v/>
      </c>
      <c r="D3" s="1330"/>
      <c r="E3" s="1330"/>
      <c r="F3" s="1330"/>
      <c r="G3" s="1330"/>
      <c r="H3" s="1330"/>
      <c r="I3" s="1330"/>
      <c r="J3" s="1330"/>
      <c r="K3" s="1330"/>
      <c r="L3" s="1330"/>
      <c r="M3" s="1330"/>
      <c r="N3" s="1330"/>
      <c r="O3" s="1330"/>
      <c r="P3" s="27"/>
      <c r="Q3" s="86"/>
      <c r="R3" s="86"/>
      <c r="S3" s="86"/>
      <c r="T3" s="86"/>
      <c r="U3" s="86"/>
    </row>
    <row r="4" spans="2:21" ht="10.95" customHeight="1">
      <c r="B4" s="1107" t="s">
        <v>469</v>
      </c>
      <c r="C4" s="1299" t="str">
        <f>IF(Nutzung!E8="","",Nutzung!E8)</f>
        <v/>
      </c>
      <c r="D4" s="1299"/>
      <c r="E4" s="1107"/>
      <c r="F4" s="1107"/>
      <c r="G4" s="1107"/>
      <c r="H4" s="1107"/>
      <c r="I4" s="1108" t="b">
        <f>IF(Daten!C64=1,IF((Komfortlüftung!I9)*1.105&gt;1,"Optimierung",Daten!H70))</f>
        <v>0</v>
      </c>
      <c r="J4" s="1107"/>
      <c r="K4" s="1107"/>
      <c r="L4" s="1107"/>
      <c r="M4" s="1107"/>
      <c r="N4" s="1107"/>
      <c r="O4" s="1107"/>
      <c r="P4" s="27"/>
      <c r="Q4" s="86"/>
      <c r="R4" s="86"/>
      <c r="S4" s="86"/>
      <c r="T4" s="86"/>
      <c r="U4" s="86"/>
    </row>
    <row r="5" spans="2:21" ht="10.95" customHeight="1">
      <c r="B5" s="1107" t="s">
        <v>233</v>
      </c>
      <c r="C5" s="1109" t="str">
        <f>IF(Nutzung!G8="","",Nutzung!G8)</f>
        <v/>
      </c>
      <c r="D5" s="1107"/>
      <c r="E5" s="1107"/>
      <c r="F5" s="1107"/>
      <c r="G5" s="1107"/>
      <c r="H5" s="1107"/>
      <c r="I5" s="1110"/>
      <c r="J5" s="1107"/>
      <c r="K5" s="1107"/>
      <c r="L5" s="1107"/>
      <c r="M5" s="1107"/>
      <c r="N5" s="1306">
        <f>IF(Daten!C64&gt;1,Daten!H70)</f>
        <v>0</v>
      </c>
      <c r="O5" s="1306"/>
      <c r="P5" s="27"/>
      <c r="Q5" s="86"/>
      <c r="R5" s="86"/>
      <c r="S5" s="86"/>
      <c r="T5" s="86"/>
      <c r="U5" s="86"/>
    </row>
    <row r="6" spans="2:21" ht="10.95" customHeight="1">
      <c r="B6" s="1107" t="s">
        <v>130</v>
      </c>
      <c r="C6" s="1107" t="str">
        <f>IF(Nutzung!E10="","",Nutzung!E10)</f>
        <v/>
      </c>
      <c r="D6" s="1107"/>
      <c r="E6" s="1107"/>
      <c r="F6" s="1107"/>
      <c r="G6" s="1107"/>
      <c r="H6" s="1107"/>
      <c r="I6" s="1107"/>
      <c r="J6" s="1107"/>
      <c r="K6" s="1107"/>
      <c r="L6" s="1107"/>
      <c r="M6" s="1107"/>
      <c r="N6" s="1107"/>
      <c r="O6" s="1107"/>
      <c r="P6" s="27"/>
      <c r="Q6" s="86"/>
      <c r="R6" s="86"/>
      <c r="S6" s="86"/>
      <c r="T6" s="86"/>
      <c r="U6" s="86"/>
    </row>
    <row r="7" spans="2:21" ht="9.75" customHeight="1">
      <c r="B7" s="86"/>
      <c r="C7" s="86"/>
      <c r="D7" s="86"/>
      <c r="E7" s="86"/>
      <c r="F7" s="86"/>
      <c r="G7" s="86"/>
      <c r="H7" s="86"/>
      <c r="I7" s="86"/>
      <c r="J7" s="86"/>
      <c r="K7" s="86"/>
      <c r="L7" s="86"/>
      <c r="M7" s="86"/>
      <c r="N7" s="86"/>
      <c r="O7" s="86"/>
      <c r="P7" s="27"/>
      <c r="Q7" s="86"/>
      <c r="R7" s="86"/>
      <c r="S7" s="86"/>
      <c r="T7" s="86"/>
      <c r="U7" s="86"/>
    </row>
    <row r="8" spans="2:21" ht="9.75" customHeight="1">
      <c r="B8" s="27"/>
      <c r="C8" s="27"/>
      <c r="D8" s="27"/>
      <c r="E8" s="27"/>
      <c r="F8" s="27"/>
      <c r="G8" s="27"/>
      <c r="H8" s="27"/>
      <c r="I8" s="27"/>
      <c r="J8" s="27"/>
      <c r="K8" s="27"/>
      <c r="L8" s="27"/>
      <c r="M8" s="27"/>
      <c r="N8" s="27"/>
      <c r="O8" s="27"/>
      <c r="P8" s="27"/>
      <c r="Q8" s="86"/>
      <c r="R8" s="86"/>
      <c r="S8" s="86"/>
      <c r="T8" s="86"/>
      <c r="U8" s="86"/>
    </row>
    <row r="9" spans="2:21" ht="12" customHeight="1">
      <c r="B9" s="1111" t="s">
        <v>75</v>
      </c>
      <c r="C9" s="1335" t="str">
        <f>IF(Daten!I83=0,"",Daten!I83)</f>
        <v/>
      </c>
      <c r="D9" s="1335"/>
      <c r="E9" s="1335"/>
      <c r="F9" s="1335"/>
      <c r="G9" s="1112"/>
      <c r="H9" s="1335" t="str">
        <f>IF(Daten!J83=0,"",Daten!J83)</f>
        <v/>
      </c>
      <c r="I9" s="1335"/>
      <c r="J9" s="1335"/>
      <c r="K9" s="1113"/>
      <c r="L9" s="1335" t="str">
        <f>IF(Daten!K83=0,"",Daten!K83)</f>
        <v/>
      </c>
      <c r="M9" s="1335"/>
      <c r="N9" s="1335"/>
      <c r="O9" s="1112"/>
      <c r="P9" s="27"/>
      <c r="Q9" s="86"/>
      <c r="R9" s="86"/>
      <c r="S9" s="86"/>
      <c r="T9" s="86"/>
      <c r="U9" s="86"/>
    </row>
    <row r="10" spans="2:21" ht="9.75" customHeight="1">
      <c r="B10" s="27"/>
      <c r="C10" s="28"/>
      <c r="D10" s="27"/>
      <c r="E10" s="27"/>
      <c r="F10" s="27"/>
      <c r="G10" s="27"/>
      <c r="H10" s="27"/>
      <c r="I10" s="27"/>
      <c r="J10" s="27"/>
      <c r="K10" s="27"/>
      <c r="L10" s="27"/>
      <c r="M10" s="27"/>
      <c r="N10" s="27"/>
      <c r="O10" s="27"/>
      <c r="P10" s="27"/>
      <c r="Q10" s="86"/>
      <c r="R10" s="86"/>
      <c r="S10" s="86"/>
      <c r="T10" s="86"/>
      <c r="U10" s="86"/>
    </row>
    <row r="11" spans="2:21" ht="9.75" customHeight="1">
      <c r="B11" s="135"/>
      <c r="C11" s="1325" t="str">
        <f>IF(Nutzung!C16="","",Nutzung!C16)</f>
        <v/>
      </c>
      <c r="D11" s="1325"/>
      <c r="E11" s="1325"/>
      <c r="F11" s="1325"/>
      <c r="G11" s="876"/>
      <c r="H11" s="1325" t="str">
        <f>IF(Nutzung!G16="","",Nutzung!G16)</f>
        <v/>
      </c>
      <c r="I11" s="1325"/>
      <c r="J11" s="1325"/>
      <c r="K11" s="877"/>
      <c r="L11" s="1325" t="str">
        <f>IF(Nutzung!J16="","",Nutzung!J16)</f>
        <v/>
      </c>
      <c r="M11" s="1325"/>
      <c r="N11" s="1325"/>
      <c r="O11" s="27"/>
      <c r="P11" s="27"/>
      <c r="Q11" s="86"/>
      <c r="R11" s="86"/>
      <c r="S11" s="86"/>
      <c r="T11" s="86"/>
      <c r="U11" s="86"/>
    </row>
    <row r="12" spans="2:21" ht="9.75" customHeight="1">
      <c r="B12" s="27"/>
      <c r="C12" s="1325" t="str">
        <f>IF(Nutzung!C17="","",Nutzung!C17)</f>
        <v/>
      </c>
      <c r="D12" s="1325"/>
      <c r="E12" s="1325"/>
      <c r="F12" s="1325"/>
      <c r="G12" s="226"/>
      <c r="H12" s="1325" t="str">
        <f>IF(Nutzung!G17="","",Nutzung!G17)</f>
        <v/>
      </c>
      <c r="I12" s="1325"/>
      <c r="J12" s="1325"/>
      <c r="K12" s="227"/>
      <c r="L12" s="1325" t="str">
        <f>IF(Nutzung!J17="","",Nutzung!J17)</f>
        <v/>
      </c>
      <c r="M12" s="1325"/>
      <c r="N12" s="1325"/>
      <c r="O12" s="27"/>
      <c r="P12" s="27"/>
      <c r="Q12" s="86"/>
      <c r="R12" s="86"/>
      <c r="S12" s="86"/>
      <c r="T12" s="86"/>
      <c r="U12" s="86"/>
    </row>
    <row r="13" spans="2:21" ht="9.75" customHeight="1">
      <c r="B13" s="27"/>
      <c r="C13" s="1325" t="str">
        <f>IF(Nutzung!C18="","",Nutzung!C18)</f>
        <v/>
      </c>
      <c r="D13" s="1325"/>
      <c r="E13" s="1325"/>
      <c r="F13" s="1325"/>
      <c r="G13" s="226"/>
      <c r="H13" s="1325" t="str">
        <f>IF(Nutzung!G18="","",Nutzung!G18)</f>
        <v/>
      </c>
      <c r="I13" s="1325"/>
      <c r="J13" s="1325"/>
      <c r="K13" s="227"/>
      <c r="L13" s="1325" t="str">
        <f>IF(Nutzung!J18="","",Nutzung!J18)</f>
        <v/>
      </c>
      <c r="M13" s="1325"/>
      <c r="N13" s="1325"/>
      <c r="O13" s="27"/>
      <c r="P13" s="27"/>
      <c r="Q13" s="86"/>
      <c r="R13" s="86"/>
      <c r="S13" s="86"/>
      <c r="T13" s="86"/>
      <c r="U13" s="86"/>
    </row>
    <row r="14" spans="2:21" ht="9.75" customHeight="1">
      <c r="B14" s="135"/>
      <c r="C14" s="1325" t="str">
        <f>IF(Nutzung!C19="","",Nutzung!C19)</f>
        <v/>
      </c>
      <c r="D14" s="1325"/>
      <c r="E14" s="1325"/>
      <c r="F14" s="1325"/>
      <c r="G14" s="876"/>
      <c r="H14" s="1325" t="str">
        <f>IF(Nutzung!G19="","",Nutzung!G19)</f>
        <v/>
      </c>
      <c r="I14" s="1325"/>
      <c r="J14" s="1325"/>
      <c r="K14" s="228"/>
      <c r="L14" s="1325" t="str">
        <f>IF(Nutzung!J19="","",Nutzung!J19)</f>
        <v/>
      </c>
      <c r="M14" s="1325"/>
      <c r="N14" s="1325"/>
      <c r="O14" s="27"/>
      <c r="P14" s="27"/>
      <c r="Q14" s="86"/>
      <c r="R14" s="86"/>
      <c r="S14" s="86"/>
      <c r="T14" s="86"/>
      <c r="U14" s="86"/>
    </row>
    <row r="15" spans="2:21" ht="9.75" customHeight="1">
      <c r="B15" s="135"/>
      <c r="C15" s="1325" t="str">
        <f>IF(Nutzung!C20="","",Nutzung!C20)</f>
        <v/>
      </c>
      <c r="D15" s="1325"/>
      <c r="E15" s="1325"/>
      <c r="F15" s="1325"/>
      <c r="G15" s="876"/>
      <c r="H15" s="1325" t="str">
        <f>IF(Nutzung!G20="","",Nutzung!G20)</f>
        <v/>
      </c>
      <c r="I15" s="1325"/>
      <c r="J15" s="1325"/>
      <c r="K15" s="228"/>
      <c r="L15" s="1325" t="str">
        <f>IF(Nutzung!J20="","",Nutzung!J20)</f>
        <v/>
      </c>
      <c r="M15" s="1325"/>
      <c r="N15" s="1325"/>
      <c r="O15" s="135"/>
      <c r="P15" s="27"/>
      <c r="Q15" s="86"/>
      <c r="R15" s="86"/>
      <c r="S15" s="86"/>
      <c r="T15" s="86"/>
      <c r="U15" s="86"/>
    </row>
    <row r="16" spans="2:21" ht="9.75" customHeight="1">
      <c r="B16" s="27"/>
      <c r="C16" s="28"/>
      <c r="D16" s="27"/>
      <c r="E16" s="31"/>
      <c r="F16" s="27"/>
      <c r="G16" s="32"/>
      <c r="H16" s="27"/>
      <c r="I16" s="27"/>
      <c r="J16" s="27"/>
      <c r="K16" s="27"/>
      <c r="L16" s="27"/>
      <c r="M16" s="27"/>
      <c r="N16" s="27"/>
      <c r="O16" s="27"/>
      <c r="P16" s="27"/>
      <c r="Q16" s="86"/>
      <c r="R16" s="86"/>
      <c r="S16" s="86"/>
      <c r="T16" s="86"/>
      <c r="U16" s="86"/>
    </row>
    <row r="17" spans="2:21" ht="9.75" customHeight="1">
      <c r="B17" s="27" t="s">
        <v>313</v>
      </c>
      <c r="C17" s="1114"/>
      <c r="D17" s="1115"/>
      <c r="E17" s="1116"/>
      <c r="F17" s="1115"/>
      <c r="G17" s="32"/>
      <c r="H17" s="1115"/>
      <c r="I17" s="1115"/>
      <c r="J17" s="1115"/>
      <c r="K17" s="27"/>
      <c r="L17" s="1115"/>
      <c r="M17" s="1115"/>
      <c r="N17" s="1115"/>
      <c r="O17" s="1115"/>
      <c r="P17" s="27"/>
      <c r="Q17" s="86"/>
      <c r="R17" s="86"/>
      <c r="S17" s="86"/>
      <c r="T17" s="86"/>
      <c r="U17" s="86"/>
    </row>
    <row r="18" spans="2:21" ht="9.75" customHeight="1">
      <c r="B18" s="135"/>
      <c r="C18" s="134"/>
      <c r="D18" s="135"/>
      <c r="E18" s="135"/>
      <c r="F18" s="135"/>
      <c r="G18" s="643"/>
      <c r="H18" s="135"/>
      <c r="I18" s="135"/>
      <c r="J18" s="135"/>
      <c r="K18" s="135"/>
      <c r="L18" s="135"/>
      <c r="M18" s="135"/>
      <c r="N18" s="135"/>
      <c r="O18" s="135"/>
      <c r="P18" s="27"/>
      <c r="Q18" s="86"/>
      <c r="R18" s="86"/>
      <c r="S18" s="86"/>
      <c r="T18" s="86"/>
      <c r="U18" s="86"/>
    </row>
    <row r="19" spans="2:21" ht="9.75" customHeight="1">
      <c r="B19" s="135"/>
      <c r="C19" s="134"/>
      <c r="D19" s="135"/>
      <c r="E19" s="135"/>
      <c r="F19" s="135"/>
      <c r="G19" s="643"/>
      <c r="H19" s="135"/>
      <c r="I19" s="135"/>
      <c r="J19" s="135"/>
      <c r="K19" s="135"/>
      <c r="L19" s="135"/>
      <c r="M19" s="135"/>
      <c r="N19" s="135"/>
      <c r="O19" s="135"/>
      <c r="P19" s="27"/>
      <c r="Q19" s="86"/>
      <c r="R19" s="86"/>
      <c r="S19" s="86"/>
      <c r="T19" s="86"/>
      <c r="U19" s="86"/>
    </row>
    <row r="20" spans="2:21" ht="9.75" customHeight="1">
      <c r="B20" s="135" t="s">
        <v>234</v>
      </c>
      <c r="C20" s="1117"/>
      <c r="D20" s="1118"/>
      <c r="E20" s="1118"/>
      <c r="F20" s="1118"/>
      <c r="G20" s="643"/>
      <c r="H20" s="1118"/>
      <c r="I20" s="1118"/>
      <c r="J20" s="1118"/>
      <c r="K20" s="135"/>
      <c r="L20" s="1118"/>
      <c r="M20" s="1118"/>
      <c r="N20" s="1118"/>
      <c r="O20" s="1118"/>
      <c r="P20" s="27"/>
      <c r="Q20" s="86"/>
      <c r="R20" s="86"/>
      <c r="S20" s="86"/>
      <c r="T20" s="86"/>
      <c r="U20" s="86"/>
    </row>
    <row r="21" spans="2:21" ht="9.75" customHeight="1">
      <c r="B21" s="135"/>
      <c r="C21" s="134"/>
      <c r="D21" s="135"/>
      <c r="E21" s="135"/>
      <c r="F21" s="135"/>
      <c r="G21" s="643"/>
      <c r="H21" s="135"/>
      <c r="I21" s="135"/>
      <c r="J21" s="135"/>
      <c r="K21" s="135"/>
      <c r="L21" s="135"/>
      <c r="M21" s="135"/>
      <c r="N21" s="135"/>
      <c r="O21" s="135"/>
      <c r="P21" s="27"/>
      <c r="Q21" s="86"/>
      <c r="R21" s="86"/>
      <c r="S21" s="86"/>
      <c r="T21" s="86"/>
      <c r="U21" s="86"/>
    </row>
    <row r="22" spans="2:21" ht="9.75" customHeight="1">
      <c r="B22" s="1119"/>
      <c r="C22" s="1119"/>
      <c r="D22" s="1119"/>
      <c r="E22" s="1119"/>
      <c r="F22" s="1119"/>
      <c r="G22" s="1119"/>
      <c r="H22" s="1119"/>
      <c r="I22" s="1119"/>
      <c r="J22" s="1119"/>
      <c r="K22" s="1119"/>
      <c r="L22" s="1119"/>
      <c r="M22" s="1119"/>
      <c r="N22" s="1119"/>
      <c r="O22" s="1119"/>
      <c r="P22" s="27"/>
      <c r="Q22" s="86"/>
      <c r="R22" s="86"/>
      <c r="S22" s="86"/>
      <c r="T22" s="86"/>
      <c r="U22" s="86"/>
    </row>
    <row r="23" spans="2:21" ht="15" customHeight="1">
      <c r="B23" s="881" t="s">
        <v>651</v>
      </c>
      <c r="C23" s="882"/>
      <c r="D23" s="882"/>
      <c r="E23" s="882"/>
      <c r="F23" s="882"/>
      <c r="G23" s="882"/>
      <c r="H23" s="882"/>
      <c r="I23" s="882"/>
      <c r="J23" s="882"/>
      <c r="K23" s="1334">
        <f>IF(I4=FALSE,N5,I4)</f>
        <v>0</v>
      </c>
      <c r="L23" s="1334"/>
      <c r="M23" s="1334"/>
      <c r="N23" s="1334"/>
      <c r="O23" s="1334"/>
      <c r="P23" s="129"/>
      <c r="Q23" s="86"/>
      <c r="R23" s="86"/>
      <c r="S23" s="86"/>
      <c r="T23" s="86"/>
      <c r="U23" s="86"/>
    </row>
    <row r="24" spans="2:21" ht="9.75" customHeight="1">
      <c r="B24" s="1120"/>
      <c r="C24" s="1121"/>
      <c r="D24" s="1121"/>
      <c r="E24" s="1121"/>
      <c r="F24" s="1121"/>
      <c r="G24" s="1121"/>
      <c r="H24" s="1121"/>
      <c r="I24" s="1121"/>
      <c r="J24" s="1121"/>
      <c r="K24" s="1121"/>
      <c r="L24" s="1121"/>
      <c r="M24" s="1121"/>
      <c r="N24" s="1121"/>
      <c r="O24" s="1121"/>
      <c r="P24" s="27"/>
      <c r="Q24" s="86"/>
      <c r="R24" s="86"/>
      <c r="S24" s="86"/>
      <c r="T24" s="86"/>
      <c r="U24" s="86"/>
    </row>
    <row r="25" spans="2:21" ht="9.75" customHeight="1">
      <c r="B25" s="27"/>
      <c r="C25" s="27"/>
      <c r="D25" s="27"/>
      <c r="E25" s="27"/>
      <c r="F25" s="27"/>
      <c r="G25" s="27"/>
      <c r="H25" s="27"/>
      <c r="I25" s="27"/>
      <c r="J25" s="27"/>
      <c r="K25" s="27"/>
      <c r="L25" s="27"/>
      <c r="M25" s="27"/>
      <c r="N25" s="27"/>
      <c r="O25" s="27"/>
      <c r="P25" s="27"/>
      <c r="Q25" s="86"/>
      <c r="R25" s="86"/>
      <c r="S25" s="86"/>
      <c r="T25" s="86"/>
      <c r="U25" s="86"/>
    </row>
    <row r="26" spans="2:21" ht="9" customHeight="1">
      <c r="B26" s="27" t="s">
        <v>541</v>
      </c>
      <c r="C26" s="27"/>
      <c r="D26" s="27"/>
      <c r="E26" s="27"/>
      <c r="F26" s="27"/>
      <c r="G26" s="27"/>
      <c r="H26" s="27"/>
      <c r="I26" s="27"/>
      <c r="J26" s="27"/>
      <c r="K26" s="27"/>
      <c r="L26" s="27"/>
      <c r="M26" s="27"/>
      <c r="N26" s="27"/>
      <c r="O26" s="27"/>
      <c r="P26" s="27"/>
      <c r="Q26" s="86"/>
      <c r="R26" s="86"/>
      <c r="S26" s="86"/>
      <c r="T26" s="86"/>
      <c r="U26" s="86"/>
    </row>
    <row r="27" spans="2:21" ht="9" customHeight="1">
      <c r="B27" s="86"/>
      <c r="C27" s="86"/>
      <c r="D27" s="86"/>
      <c r="E27" s="86"/>
      <c r="F27" s="86"/>
      <c r="G27" s="86"/>
      <c r="H27" s="86"/>
      <c r="I27" s="86"/>
      <c r="J27" s="86"/>
      <c r="K27" s="86"/>
      <c r="L27" s="86"/>
      <c r="M27" s="86"/>
      <c r="N27" s="86"/>
      <c r="O27" s="86"/>
      <c r="P27" s="27"/>
      <c r="Q27" s="86"/>
      <c r="R27" s="86"/>
      <c r="S27" s="86"/>
      <c r="T27" s="86"/>
      <c r="U27" s="86"/>
    </row>
    <row r="28" spans="2:21" ht="9.75" customHeight="1">
      <c r="B28" s="86"/>
      <c r="C28" s="86"/>
      <c r="D28" s="86"/>
      <c r="E28" s="86"/>
      <c r="F28" s="86"/>
      <c r="G28" s="86"/>
      <c r="H28" s="86"/>
      <c r="I28" s="86"/>
      <c r="J28" s="86"/>
      <c r="K28" s="86"/>
      <c r="L28" s="86"/>
      <c r="M28" s="86"/>
      <c r="N28" s="86"/>
      <c r="O28" s="86"/>
      <c r="P28" s="27"/>
      <c r="Q28" s="86"/>
      <c r="R28" s="86"/>
      <c r="S28" s="86"/>
      <c r="T28" s="86"/>
      <c r="U28" s="86"/>
    </row>
    <row r="29" spans="2:21" ht="12" customHeight="1">
      <c r="B29" s="1106" t="s">
        <v>67</v>
      </c>
      <c r="C29" s="1122"/>
      <c r="D29" s="1112"/>
      <c r="E29" s="1112"/>
      <c r="F29" s="1112"/>
      <c r="G29" s="1112"/>
      <c r="H29" s="1112"/>
      <c r="I29" s="1112"/>
      <c r="J29" s="1112"/>
      <c r="K29" s="1112"/>
      <c r="L29" s="1112"/>
      <c r="M29" s="1112"/>
      <c r="N29" s="1112"/>
      <c r="O29" s="1112"/>
      <c r="P29" s="27"/>
      <c r="Q29" s="86"/>
      <c r="R29" s="86"/>
      <c r="S29" s="86"/>
      <c r="T29" s="86"/>
      <c r="U29" s="86"/>
    </row>
    <row r="30" spans="2:21" ht="9.75" customHeight="1">
      <c r="B30" s="1123"/>
      <c r="C30" s="1124"/>
      <c r="D30" s="1107"/>
      <c r="E30" s="1107"/>
      <c r="F30" s="1107"/>
      <c r="G30" s="1107"/>
      <c r="H30" s="1107"/>
      <c r="I30" s="1107"/>
      <c r="J30" s="1107"/>
      <c r="K30" s="1107"/>
      <c r="L30" s="1107"/>
      <c r="M30" s="1107"/>
      <c r="N30" s="1107"/>
      <c r="O30" s="1107"/>
      <c r="P30" s="27"/>
      <c r="Q30" s="86"/>
      <c r="R30" s="86"/>
      <c r="S30" s="86"/>
      <c r="T30" s="86"/>
      <c r="U30" s="86"/>
    </row>
    <row r="31" spans="2:21" ht="10.95" customHeight="1">
      <c r="B31" s="1107" t="s">
        <v>105</v>
      </c>
      <c r="C31" s="1125" t="str">
        <f>IF(Nutzung=1,"",VLOOKUP(Nutzung,Daten!$A$5:$N$16,14))</f>
        <v/>
      </c>
      <c r="D31" s="1107"/>
      <c r="E31" s="1107"/>
      <c r="F31" s="1107"/>
      <c r="G31" s="1126"/>
      <c r="H31" s="1126"/>
      <c r="I31" s="1127"/>
      <c r="J31" s="1126"/>
      <c r="K31" s="1126"/>
      <c r="L31" s="1126"/>
      <c r="M31" s="1126"/>
      <c r="N31" s="1126"/>
      <c r="O31" s="1126"/>
      <c r="P31" s="27"/>
      <c r="Q31" s="86"/>
      <c r="R31" s="86"/>
      <c r="S31" s="86"/>
      <c r="T31" s="86"/>
      <c r="U31" s="86"/>
    </row>
    <row r="32" spans="2:21" ht="10.95" customHeight="1">
      <c r="B32" s="1107" t="s">
        <v>406</v>
      </c>
      <c r="C32" s="1128">
        <f>Klima!E136</f>
        <v>0</v>
      </c>
      <c r="D32" s="1107"/>
      <c r="E32" s="1110"/>
      <c r="F32" s="1110"/>
      <c r="G32" s="1110"/>
      <c r="H32" s="1110"/>
      <c r="I32" s="1109" t="str">
        <f>IF(Klimastation=42,"","Temp.Korrektur:")</f>
        <v>Temp.Korrektur:</v>
      </c>
      <c r="J32" s="1129"/>
      <c r="K32" s="1130">
        <f>IF(Klimastation=42,"",(1-Bilanz!J8)*-1)</f>
        <v>0.56400000000000006</v>
      </c>
      <c r="L32" s="1110"/>
      <c r="M32" s="1110"/>
      <c r="N32" s="1110"/>
      <c r="O32" s="1110"/>
      <c r="P32" s="27"/>
      <c r="Q32" s="86"/>
      <c r="R32" s="86"/>
      <c r="S32" s="86"/>
      <c r="T32" s="86"/>
      <c r="U32" s="86"/>
    </row>
    <row r="33" spans="2:21" ht="10.95" customHeight="1">
      <c r="B33" s="1107" t="s">
        <v>247</v>
      </c>
      <c r="C33" s="1128" t="str">
        <f>IF(Daten!C61=1,"Neubau","Umbau")</f>
        <v>Umbau</v>
      </c>
      <c r="D33" s="1107"/>
      <c r="E33" s="1107"/>
      <c r="F33" s="1107"/>
      <c r="G33" s="1110"/>
      <c r="H33" s="1110"/>
      <c r="I33" s="1107"/>
      <c r="J33" s="1129"/>
      <c r="K33" s="1126"/>
      <c r="L33" s="1126"/>
      <c r="M33" s="1126"/>
      <c r="N33" s="1126"/>
      <c r="O33" s="1126"/>
      <c r="P33" s="27"/>
      <c r="Q33" s="86"/>
      <c r="R33" s="86"/>
      <c r="S33" s="86"/>
      <c r="T33" s="86"/>
      <c r="U33" s="86"/>
    </row>
    <row r="34" spans="2:21" ht="10.95" customHeight="1">
      <c r="B34" s="1110"/>
      <c r="C34" s="1131"/>
      <c r="D34" s="1110"/>
      <c r="E34" s="1110"/>
      <c r="F34" s="1107"/>
      <c r="G34" s="1110"/>
      <c r="H34" s="1110"/>
      <c r="I34" s="1107"/>
      <c r="J34" s="1129"/>
      <c r="K34" s="1110"/>
      <c r="L34" s="1110"/>
      <c r="M34" s="1110"/>
      <c r="N34" s="1110"/>
      <c r="O34" s="1110"/>
      <c r="P34" s="27"/>
      <c r="Q34" s="86"/>
      <c r="R34" s="86"/>
      <c r="S34" s="86"/>
      <c r="T34" s="86"/>
      <c r="U34" s="86"/>
    </row>
    <row r="35" spans="2:21" ht="10.95" customHeight="1">
      <c r="B35" s="1107" t="s">
        <v>254</v>
      </c>
      <c r="C35" s="1110"/>
      <c r="D35" s="1110"/>
      <c r="E35" s="1110"/>
      <c r="F35" s="1107"/>
      <c r="G35" s="1110"/>
      <c r="H35" s="1110"/>
      <c r="I35" s="1107"/>
      <c r="J35" s="1132"/>
      <c r="K35" s="1107"/>
      <c r="L35" s="1107"/>
      <c r="M35" s="1107"/>
      <c r="N35" s="1107"/>
      <c r="O35" s="1107"/>
      <c r="P35" s="27"/>
      <c r="Q35" s="86"/>
      <c r="R35" s="86"/>
      <c r="S35" s="86"/>
      <c r="T35" s="86"/>
      <c r="U35" s="86"/>
    </row>
    <row r="36" spans="2:21" ht="10.95" customHeight="1">
      <c r="B36" s="1107" t="s">
        <v>652</v>
      </c>
      <c r="C36" s="1336" t="str">
        <f>Nutzung!D42</f>
        <v/>
      </c>
      <c r="D36" s="1336"/>
      <c r="E36" s="1133" t="str">
        <f>IF(Bauweise=5,"",VLOOKUP(Bauweise,Daten!$A$21:$E$24,5))</f>
        <v/>
      </c>
      <c r="F36" s="1134"/>
      <c r="G36" s="1135"/>
      <c r="H36" s="1135"/>
      <c r="I36" s="1134"/>
      <c r="J36" s="1326" t="str">
        <f>IF(Daten!C64=6,"",IF(Komfortlüftung!$J$9=1,"Wirkungsgrad der WRG",""))</f>
        <v/>
      </c>
      <c r="K36" s="1326"/>
      <c r="L36" s="1326"/>
      <c r="M36" s="1326"/>
      <c r="N36" s="1326"/>
      <c r="O36" s="1136" t="str">
        <f>IF(Daten!C64=6,"",IF(Komfortlüftung!$J$9=1,Komfortlüftung!N10,""))</f>
        <v/>
      </c>
      <c r="P36" s="27"/>
      <c r="Q36" s="86"/>
      <c r="R36" s="86"/>
      <c r="S36" s="86"/>
      <c r="T36" s="86"/>
      <c r="U36" s="86"/>
    </row>
    <row r="37" spans="2:21" ht="10.95" customHeight="1">
      <c r="B37" s="1107" t="s">
        <v>653</v>
      </c>
      <c r="C37" s="1337" t="str">
        <f>Nutzung!D46</f>
        <v/>
      </c>
      <c r="D37" s="1337"/>
      <c r="E37" s="1133" t="str">
        <f>IF(Regelung=4,"",VLOOKUP(Regelung,Daten!$A$29:$F$31,6))</f>
        <v/>
      </c>
      <c r="F37" s="1134"/>
      <c r="G37" s="1134"/>
      <c r="H37" s="1134"/>
      <c r="I37" s="1134"/>
      <c r="J37" s="1137" t="str">
        <f>IF(Komfortlüftung!$I$9=1,"Therm. wirksamer Aussenl.-Volumenstr. V'/EBF0:","")</f>
        <v/>
      </c>
      <c r="K37" s="1137"/>
      <c r="L37" s="1137"/>
      <c r="M37" s="1137"/>
      <c r="N37" s="1137"/>
      <c r="O37" s="1138">
        <f>IF(Daten!C64=6,Nutzung!J31,IF(Komfortlüftung!$I$9=0,"",Komfortlüftung!I50))</f>
        <v>0</v>
      </c>
      <c r="P37" s="27"/>
      <c r="Q37" s="86"/>
      <c r="R37" s="86"/>
      <c r="S37" s="86"/>
      <c r="T37" s="86"/>
      <c r="U37" s="86"/>
    </row>
    <row r="38" spans="2:21" ht="9.75" customHeight="1">
      <c r="B38" s="86"/>
      <c r="C38" s="86"/>
      <c r="D38" s="86"/>
      <c r="E38" s="86"/>
      <c r="F38" s="86"/>
      <c r="G38" s="86"/>
      <c r="H38" s="86"/>
      <c r="I38" s="86"/>
      <c r="J38" s="86"/>
      <c r="K38" s="86"/>
      <c r="L38" s="86"/>
      <c r="M38" s="86"/>
      <c r="N38" s="86"/>
      <c r="O38" s="86"/>
      <c r="P38" s="27"/>
      <c r="Q38" s="86"/>
      <c r="R38" s="86"/>
      <c r="S38" s="86"/>
      <c r="T38" s="86"/>
      <c r="U38" s="86"/>
    </row>
    <row r="39" spans="2:21" ht="9.75" customHeight="1">
      <c r="B39" s="86"/>
      <c r="C39" s="86"/>
      <c r="D39" s="86"/>
      <c r="E39" s="86"/>
      <c r="F39" s="86"/>
      <c r="G39" s="86"/>
      <c r="H39" s="86"/>
      <c r="I39" s="86"/>
      <c r="J39" s="86"/>
      <c r="K39" s="86"/>
      <c r="L39" s="86"/>
      <c r="M39" s="86"/>
      <c r="N39" s="86"/>
      <c r="O39" s="86"/>
      <c r="P39" s="27"/>
      <c r="Q39" s="86"/>
      <c r="R39" s="86"/>
      <c r="S39" s="86"/>
      <c r="T39" s="86"/>
      <c r="U39" s="86"/>
    </row>
    <row r="40" spans="2:21" ht="9.75" customHeight="1">
      <c r="B40" s="27"/>
      <c r="C40" s="28"/>
      <c r="D40" s="27"/>
      <c r="E40" s="27"/>
      <c r="F40" s="27"/>
      <c r="G40" s="32"/>
      <c r="H40" s="27"/>
      <c r="I40" s="27"/>
      <c r="J40" s="27"/>
      <c r="K40" s="27"/>
      <c r="L40" s="27"/>
      <c r="M40" s="27"/>
      <c r="N40" s="27"/>
      <c r="O40" s="27"/>
      <c r="P40" s="27"/>
      <c r="Q40" s="86"/>
      <c r="R40" s="86"/>
      <c r="S40" s="86"/>
      <c r="T40" s="86"/>
      <c r="U40" s="86"/>
    </row>
    <row r="41" spans="2:21" ht="15" customHeight="1">
      <c r="B41" s="1139" t="str">
        <f>IF(Daten!C64&gt;4," Heizwärmebedarf QH [kWh/m2a]:",IF(Komfortlüftung!I9=1," Heizwärmebedarf QH [kWh/m2a]*:"," Heizwärmebedarf QH [kWh/m2a]:"))</f>
        <v xml:space="preserve"> Heizwärmebedarf QH [kWh/m2a]:</v>
      </c>
      <c r="C41" s="1140"/>
      <c r="D41" s="1140"/>
      <c r="E41" s="1141"/>
      <c r="F41" s="1142"/>
      <c r="G41" s="1143">
        <f>Bilanz!J16</f>
        <v>0</v>
      </c>
      <c r="H41" s="1144" t="e">
        <f>IF(Daten!C61=1,G41/G47,G41/(G47/150*100))</f>
        <v>#DIV/0!</v>
      </c>
      <c r="I41" s="1145" t="str">
        <f>IF(G41&lt;G47,"Anforderung erfüllt","Anforderung nicht erfüllt")</f>
        <v>Anforderung nicht erfüllt</v>
      </c>
      <c r="J41" s="1119"/>
      <c r="K41" s="1119"/>
      <c r="L41" s="1119"/>
      <c r="M41" s="1145"/>
      <c r="N41" s="1145"/>
      <c r="O41" s="1145"/>
      <c r="P41" s="27"/>
      <c r="Q41" s="86"/>
      <c r="R41" s="86"/>
      <c r="S41" s="86"/>
      <c r="T41" s="86"/>
      <c r="U41" s="86"/>
    </row>
    <row r="42" spans="2:21" ht="15" customHeight="1">
      <c r="B42" s="1146" t="str">
        <f>IF(Daten!C61=2,"",IF(Nutzung&lt;6," Heizlast Ph [W/m2]:",""))</f>
        <v xml:space="preserve"> Heizlast Ph [W/m2]:</v>
      </c>
      <c r="C42" s="1146"/>
      <c r="D42" s="1146"/>
      <c r="E42" s="1147"/>
      <c r="F42" s="1148"/>
      <c r="G42" s="1149" t="e">
        <f>IF(Daten!C61=2,"",IF(Nutzung&lt;6,Heizlast!H41,""))</f>
        <v>#VALUE!</v>
      </c>
      <c r="H42" s="1150"/>
      <c r="I42" s="1120" t="e">
        <f>IF(Daten!C61=2,"",IF(Nutzung&gt;5,"",IF(G42&lt;MAX(Heizlast!H44:H46),"Anforderung erfüllt","Anforderung nicht erfüllt")))</f>
        <v>#VALUE!</v>
      </c>
      <c r="J42" s="1121"/>
      <c r="K42" s="1121"/>
      <c r="L42" s="1121"/>
      <c r="M42" s="1120"/>
      <c r="N42" s="1120"/>
      <c r="O42" s="1120"/>
      <c r="P42" s="27"/>
      <c r="Q42" s="86"/>
      <c r="R42" s="1087"/>
      <c r="S42" s="86"/>
      <c r="T42" s="86"/>
      <c r="U42" s="86"/>
    </row>
    <row r="43" spans="2:21" ht="13.8">
      <c r="B43" s="91"/>
      <c r="C43" s="29"/>
      <c r="D43" s="91"/>
      <c r="E43" s="91"/>
      <c r="F43" s="91"/>
      <c r="G43" s="878"/>
      <c r="H43" s="27"/>
      <c r="I43" s="879"/>
      <c r="J43" s="27"/>
      <c r="K43" s="27"/>
      <c r="L43" s="27"/>
      <c r="M43" s="27"/>
      <c r="N43" s="27"/>
      <c r="O43" s="27"/>
      <c r="P43" s="129"/>
      <c r="Q43" s="86"/>
      <c r="R43" s="86"/>
      <c r="S43" s="86"/>
      <c r="T43" s="86"/>
      <c r="U43" s="86"/>
    </row>
    <row r="44" spans="2:21" ht="9.75" customHeight="1">
      <c r="B44" s="86"/>
      <c r="C44" s="87"/>
      <c r="D44" s="86"/>
      <c r="E44" s="86"/>
      <c r="F44" s="86"/>
      <c r="G44" s="86"/>
      <c r="H44" s="86"/>
      <c r="I44" s="27"/>
      <c r="J44" s="86"/>
      <c r="K44" s="86"/>
      <c r="L44" s="86"/>
      <c r="M44" s="86"/>
      <c r="N44" s="86"/>
      <c r="O44" s="86"/>
      <c r="P44" s="27"/>
      <c r="Q44" s="86"/>
      <c r="R44" s="86"/>
      <c r="S44" s="86"/>
      <c r="T44" s="86"/>
      <c r="U44" s="86"/>
    </row>
    <row r="45" spans="2:21" ht="12" customHeight="1">
      <c r="B45" s="1106" t="s">
        <v>512</v>
      </c>
      <c r="C45" s="1122"/>
      <c r="D45" s="1112"/>
      <c r="E45" s="1112"/>
      <c r="F45" s="1112"/>
      <c r="G45" s="1112"/>
      <c r="H45" s="1112"/>
      <c r="I45" s="1112"/>
      <c r="J45" s="1112"/>
      <c r="K45" s="1112"/>
      <c r="L45" s="1112"/>
      <c r="M45" s="1112"/>
      <c r="N45" s="1112"/>
      <c r="O45" s="1112"/>
      <c r="P45" s="27"/>
      <c r="Q45" s="86"/>
      <c r="R45" s="86"/>
      <c r="S45" s="86"/>
      <c r="T45" s="86"/>
      <c r="U45" s="86"/>
    </row>
    <row r="46" spans="2:21">
      <c r="B46" s="1107"/>
      <c r="C46" s="1151"/>
      <c r="D46" s="1107"/>
      <c r="E46" s="1107"/>
      <c r="F46" s="1107"/>
      <c r="G46" s="1107"/>
      <c r="H46" s="1107"/>
      <c r="I46" s="1107"/>
      <c r="J46" s="1107"/>
      <c r="K46" s="1107"/>
      <c r="L46" s="1107"/>
      <c r="M46" s="1107"/>
      <c r="N46" s="1107"/>
      <c r="O46" s="1107"/>
      <c r="P46" s="27"/>
      <c r="Q46" s="86"/>
      <c r="R46" s="86"/>
      <c r="S46" s="86"/>
      <c r="T46" s="86"/>
      <c r="U46" s="86"/>
    </row>
    <row r="47" spans="2:21" ht="10.95" customHeight="1">
      <c r="B47" s="1107" t="str">
        <f>IF(Daten!C61=1," Grenzwert QH,li [kWh/m2a] Neubau:"," Grenzwert QH,li,re [kWh/m2a] Umbau:")</f>
        <v xml:space="preserve"> Grenzwert QH,li,re [kWh/m2a] Umbau:</v>
      </c>
      <c r="C47" s="1131"/>
      <c r="D47" s="1107"/>
      <c r="E47" s="1152"/>
      <c r="F47" s="1107"/>
      <c r="G47" s="1153">
        <f>Bilanz!J13</f>
        <v>0</v>
      </c>
      <c r="H47" s="1154" t="str">
        <f>IF(Daten!C61=1,"100%","150%")</f>
        <v>150%</v>
      </c>
      <c r="I47" s="1107"/>
      <c r="J47" s="1333" t="str">
        <f>IF(Daten!C64=6,"",IF(Komfortlüftung!I9=1,"Berechnung inkl. Komfortlüftung mit WRG! ",""))</f>
        <v/>
      </c>
      <c r="K47" s="1333"/>
      <c r="L47" s="1333"/>
      <c r="M47" s="1333"/>
      <c r="N47" s="1333"/>
      <c r="O47" s="1333"/>
      <c r="P47" s="27"/>
      <c r="Q47" s="86"/>
      <c r="R47" s="86"/>
      <c r="S47" s="86"/>
      <c r="T47" s="86"/>
      <c r="U47" s="86"/>
    </row>
    <row r="48" spans="2:21" ht="10.95" customHeight="1">
      <c r="B48" s="1107" t="str">
        <f xml:space="preserve"> IF(Daten!C61=1, " Zielwert QH,ta [kWh/m2a] Neubau:"," Zielwert QH,ta,re [kWh/m2a] Umbau:")</f>
        <v xml:space="preserve"> Zielwert QH,ta,re [kWh/m2a] Umbau:</v>
      </c>
      <c r="C48" s="1151"/>
      <c r="D48" s="1107"/>
      <c r="E48" s="1152"/>
      <c r="F48" s="1107"/>
      <c r="G48" s="1153">
        <f>Bilanz!J14</f>
        <v>0</v>
      </c>
      <c r="H48" s="1154" t="str">
        <f>IF(Daten!C61=1,"70%","100%")</f>
        <v>100%</v>
      </c>
      <c r="I48" s="1107"/>
      <c r="J48" s="1107"/>
      <c r="K48" s="1110"/>
      <c r="L48" s="1110"/>
      <c r="M48" s="1110"/>
      <c r="N48" s="1110"/>
      <c r="O48" s="1110"/>
      <c r="P48" s="27"/>
      <c r="Q48" s="86"/>
      <c r="R48" s="86"/>
      <c r="S48" s="86"/>
      <c r="T48" s="86"/>
      <c r="U48" s="86"/>
    </row>
    <row r="49" spans="2:21" ht="10.95" customHeight="1">
      <c r="B49" s="1107"/>
      <c r="C49" s="1151"/>
      <c r="D49" s="1107"/>
      <c r="E49" s="1107"/>
      <c r="F49" s="1107"/>
      <c r="G49" s="1107"/>
      <c r="H49" s="1107"/>
      <c r="I49" s="1107"/>
      <c r="J49" s="1107"/>
      <c r="K49" s="1155"/>
      <c r="L49" s="1155"/>
      <c r="M49" s="1155"/>
      <c r="N49" s="1156" t="str">
        <f>IF(Daten!C64=6,"",IF(Komfortlüftung!J9=1,"* inkl. Reduktion Lüftungsverluste durch WRG [kWh/m2a]:",""))</f>
        <v/>
      </c>
      <c r="O49" s="1157" t="str">
        <f>IF(Daten!C64=6,"",IF(Komfortlüftung!J9=1,Lüftung!E41-Lüftung!H49,""))</f>
        <v/>
      </c>
      <c r="P49" s="27"/>
      <c r="Q49" s="86"/>
      <c r="R49" s="86"/>
      <c r="S49" s="86"/>
      <c r="T49" s="86"/>
      <c r="U49" s="86"/>
    </row>
    <row r="50" spans="2:21" ht="10.95" customHeight="1">
      <c r="B50" s="1107" t="str">
        <f>IF(Daten!C61=1,Heizlast!B48,"")</f>
        <v/>
      </c>
      <c r="C50" s="1151"/>
      <c r="D50" s="1107"/>
      <c r="E50" s="1107"/>
      <c r="F50" s="1107"/>
      <c r="G50" s="1153" t="str">
        <f>IF(Daten!C61=1,Heizlast!H48,"")</f>
        <v/>
      </c>
      <c r="H50" s="1107"/>
      <c r="I50" s="1107"/>
      <c r="J50" s="1107"/>
      <c r="K50" s="1126"/>
      <c r="L50" s="1126"/>
      <c r="M50" s="1126"/>
      <c r="N50" s="1156" t="str">
        <f>IF(Daten!E43&gt;1,"inkl. Zuschlag für Wärmebrücken [%]:","")</f>
        <v/>
      </c>
      <c r="O50" s="1158" t="str">
        <f>IF(Daten!E43&gt;1,Daten!I43*100,"")</f>
        <v/>
      </c>
      <c r="P50" s="27"/>
      <c r="Q50" s="86"/>
      <c r="R50" s="86"/>
      <c r="S50" s="86"/>
      <c r="T50" s="86"/>
      <c r="U50" s="86"/>
    </row>
    <row r="51" spans="2:21" ht="10.95" customHeight="1">
      <c r="C51" s="24"/>
      <c r="P51" s="27"/>
      <c r="Q51" s="86"/>
      <c r="R51" s="86"/>
      <c r="S51" s="86"/>
      <c r="T51" s="86"/>
      <c r="U51" s="86"/>
    </row>
    <row r="52" spans="2:21" ht="12" customHeight="1">
      <c r="B52" s="1159" t="s">
        <v>453</v>
      </c>
      <c r="C52" s="1159"/>
      <c r="D52" s="1159"/>
      <c r="E52" s="1159"/>
      <c r="F52" s="1159"/>
      <c r="G52" s="1159"/>
      <c r="H52" s="880"/>
      <c r="I52" s="1159" t="s">
        <v>321</v>
      </c>
      <c r="J52" s="1159"/>
      <c r="K52" s="1159"/>
      <c r="L52" s="1159"/>
      <c r="M52" s="1159"/>
      <c r="N52" s="1159"/>
      <c r="O52" s="1159"/>
      <c r="P52" s="27"/>
      <c r="Q52" s="86"/>
      <c r="R52" s="86"/>
      <c r="S52" s="86"/>
      <c r="T52" s="86"/>
      <c r="U52" s="86"/>
    </row>
    <row r="53" spans="2:21" ht="12" customHeight="1">
      <c r="B53" s="880"/>
      <c r="C53" s="880"/>
      <c r="D53" s="880"/>
      <c r="E53" s="880"/>
      <c r="F53" s="880"/>
      <c r="G53" s="880"/>
      <c r="H53" s="880"/>
      <c r="I53" s="880"/>
      <c r="J53" s="880"/>
      <c r="K53" s="880"/>
      <c r="L53" s="880"/>
      <c r="M53" s="880"/>
      <c r="N53" s="880"/>
      <c r="O53" s="880"/>
      <c r="P53" s="27"/>
      <c r="Q53" s="86"/>
      <c r="R53" s="86"/>
      <c r="S53" s="86"/>
      <c r="T53" s="86"/>
      <c r="U53" s="86"/>
    </row>
    <row r="54" spans="2:21" ht="10.050000000000001" customHeight="1">
      <c r="B54" s="1160" t="s">
        <v>654</v>
      </c>
      <c r="C54" s="1161"/>
      <c r="D54" s="1162"/>
      <c r="E54" s="1112"/>
      <c r="F54" s="1163">
        <f>SUM(Bilanz!D22:O23)</f>
        <v>0</v>
      </c>
      <c r="G54" s="1164" t="e">
        <f>F54/(F54+F58)</f>
        <v>#DIV/0!</v>
      </c>
      <c r="I54" s="1162" t="s">
        <v>363</v>
      </c>
      <c r="J54" s="1113"/>
      <c r="K54" s="1113"/>
      <c r="L54" s="1113"/>
      <c r="M54" s="1161"/>
      <c r="N54" s="1328" t="s">
        <v>66</v>
      </c>
      <c r="O54" s="1328"/>
      <c r="P54" s="27"/>
      <c r="Q54" s="86"/>
      <c r="R54" s="86"/>
      <c r="S54" s="86"/>
      <c r="T54" s="86"/>
      <c r="U54" s="86"/>
    </row>
    <row r="55" spans="2:21" ht="9.75" customHeight="1">
      <c r="B55" s="1165" t="s">
        <v>655</v>
      </c>
      <c r="C55" s="1151"/>
      <c r="D55" s="1107"/>
      <c r="E55" s="1110"/>
      <c r="F55" s="1166">
        <f>Bilanz!D22+Bilanz!E22+Bilanz!F22+Bilanz!G22+Bilanz!H22+Bilanz!I22+Bilanz!J22+Bilanz!K22+Bilanz!L22+Bilanz!M22+Bilanz!N22+Bilanz!O22</f>
        <v>0</v>
      </c>
      <c r="G55" s="1110"/>
      <c r="I55" s="1109" t="str">
        <f>IF(EBF!C9="","",EBF!C9)</f>
        <v/>
      </c>
      <c r="J55" s="1109"/>
      <c r="K55" s="1109"/>
      <c r="L55" s="1109"/>
      <c r="M55" s="1175"/>
      <c r="N55" s="1110"/>
      <c r="O55" s="1176" t="str">
        <f>IF(EBF!F9="","",EBF!F9)</f>
        <v/>
      </c>
      <c r="P55" s="27"/>
      <c r="Q55" s="86"/>
      <c r="R55" s="86"/>
      <c r="S55" s="86"/>
      <c r="T55" s="86"/>
      <c r="U55" s="86"/>
    </row>
    <row r="56" spans="2:21" ht="9.75" customHeight="1">
      <c r="B56" s="1165" t="s">
        <v>694</v>
      </c>
      <c r="C56" s="1151"/>
      <c r="D56" s="1107"/>
      <c r="E56" s="1110"/>
      <c r="F56" s="1166">
        <f>SUM(Bilanz!D23:O23)</f>
        <v>0</v>
      </c>
      <c r="G56" s="1110"/>
      <c r="I56" s="1109" t="str">
        <f>IF(EBF!C11="","",EBF!C11)</f>
        <v/>
      </c>
      <c r="J56" s="1109"/>
      <c r="K56" s="1109"/>
      <c r="L56" s="1109"/>
      <c r="M56" s="1175"/>
      <c r="N56" s="1110"/>
      <c r="O56" s="1176" t="str">
        <f>IF(EBF!F11="","",EBF!F11)</f>
        <v/>
      </c>
      <c r="P56" s="27"/>
      <c r="Q56" s="86"/>
      <c r="R56" s="86"/>
      <c r="S56" s="86"/>
      <c r="T56" s="86"/>
      <c r="U56" s="86"/>
    </row>
    <row r="57" spans="2:21" s="144" customFormat="1" ht="9.75" customHeight="1">
      <c r="B57" s="1110"/>
      <c r="C57" s="1131"/>
      <c r="D57" s="1110"/>
      <c r="E57" s="1110"/>
      <c r="F57" s="1110"/>
      <c r="G57" s="1110"/>
      <c r="I57" s="1109" t="str">
        <f>IF(EBF!C13="","",EBF!C13)</f>
        <v/>
      </c>
      <c r="J57" s="1109"/>
      <c r="K57" s="1109"/>
      <c r="L57" s="1109"/>
      <c r="M57" s="1175"/>
      <c r="N57" s="1169"/>
      <c r="O57" s="1176" t="str">
        <f>IF(EBF!F13="","",EBF!F13)</f>
        <v/>
      </c>
      <c r="P57" s="145"/>
      <c r="Q57" s="133"/>
      <c r="R57" s="133"/>
      <c r="S57" s="133"/>
      <c r="T57" s="133"/>
      <c r="U57" s="133"/>
    </row>
    <row r="58" spans="2:21" ht="10.050000000000001" customHeight="1">
      <c r="B58" s="1160" t="s">
        <v>656</v>
      </c>
      <c r="C58" s="1167"/>
      <c r="D58" s="1112"/>
      <c r="E58" s="1112"/>
      <c r="F58" s="1163">
        <f>Lüftung!E43+Lüftung!E44+Lüftung!E45+Lüftung!E46+Lüftung!E47+Lüftung!E48+Lüftung!H43+Lüftung!H44+Lüftung!H45+Lüftung!H46+Lüftung!H47+Lüftung!H48</f>
        <v>0</v>
      </c>
      <c r="G58" s="1164" t="e">
        <f>F58/(F54+F58)</f>
        <v>#DIV/0!</v>
      </c>
      <c r="I58" s="1109" t="str">
        <f>IF(EBF!C15="","",EBF!C15)</f>
        <v/>
      </c>
      <c r="J58" s="1109"/>
      <c r="K58" s="1109"/>
      <c r="L58" s="1109"/>
      <c r="M58" s="1175"/>
      <c r="N58" s="1110"/>
      <c r="O58" s="1176" t="str">
        <f>IF(EBF!F15="","",EBF!F15)</f>
        <v/>
      </c>
      <c r="P58" s="27"/>
      <c r="Q58" s="86"/>
      <c r="R58" s="86"/>
      <c r="S58" s="86"/>
      <c r="T58" s="86"/>
      <c r="U58" s="86"/>
    </row>
    <row r="59" spans="2:21" ht="9.75" customHeight="1">
      <c r="B59" s="1168" t="str">
        <f>IF(Komfortlüftung!I9=1,"2.1 WRG Lüftung berücksichtigt","")</f>
        <v/>
      </c>
      <c r="C59" s="1131"/>
      <c r="D59" s="1110"/>
      <c r="E59" s="1110"/>
      <c r="F59" s="1110"/>
      <c r="G59" s="1110"/>
      <c r="I59" s="1109" t="str">
        <f>IF(EBF!C17="","",EBF!C17)</f>
        <v/>
      </c>
      <c r="J59" s="1109"/>
      <c r="K59" s="1109"/>
      <c r="L59" s="1109"/>
      <c r="M59" s="1175"/>
      <c r="N59" s="1110"/>
      <c r="O59" s="1176" t="str">
        <f>IF(EBF!F17="","",EBF!F17)</f>
        <v/>
      </c>
      <c r="P59" s="27"/>
      <c r="Q59" s="86"/>
      <c r="R59" s="86"/>
      <c r="S59" s="86"/>
      <c r="T59" s="86"/>
      <c r="U59" s="86"/>
    </row>
    <row r="60" spans="2:21" s="144" customFormat="1" ht="9.75" customHeight="1">
      <c r="B60" s="1110"/>
      <c r="C60" s="1169"/>
      <c r="D60" s="1169"/>
      <c r="E60" s="1169"/>
      <c r="F60" s="1110"/>
      <c r="G60" s="1110"/>
      <c r="I60" s="1109" t="str">
        <f>IF(EBF!C19="","",EBF!C19)</f>
        <v/>
      </c>
      <c r="J60" s="1109"/>
      <c r="K60" s="1109"/>
      <c r="L60" s="1109"/>
      <c r="M60" s="1175"/>
      <c r="N60" s="1169"/>
      <c r="O60" s="1176" t="str">
        <f>IF(EBF!F19="","",EBF!F19)</f>
        <v/>
      </c>
      <c r="P60" s="132"/>
      <c r="Q60" s="133"/>
      <c r="R60" s="133"/>
      <c r="S60" s="133"/>
      <c r="T60" s="133"/>
      <c r="U60" s="133"/>
    </row>
    <row r="61" spans="2:21" s="144" customFormat="1" ht="10.050000000000001" customHeight="1">
      <c r="B61" s="1160" t="s">
        <v>657</v>
      </c>
      <c r="C61" s="1167"/>
      <c r="D61" s="1112"/>
      <c r="E61" s="1112"/>
      <c r="F61" s="1163">
        <f>(SUM(Bilanz!D56:O56))*-1</f>
        <v>0</v>
      </c>
      <c r="G61" s="1113"/>
      <c r="I61" s="1109" t="str">
        <f>IF(EBF!C21="","",EBF!C21)</f>
        <v/>
      </c>
      <c r="J61" s="1109"/>
      <c r="K61" s="1109"/>
      <c r="L61" s="1109"/>
      <c r="M61" s="1175"/>
      <c r="N61" s="1169"/>
      <c r="O61" s="1176" t="str">
        <f>IF(EBF!F21="","",EBF!F21)</f>
        <v/>
      </c>
      <c r="P61" s="135"/>
      <c r="Q61" s="133"/>
      <c r="R61" s="133"/>
      <c r="S61" s="133"/>
      <c r="T61" s="133"/>
      <c r="U61" s="133"/>
    </row>
    <row r="62" spans="2:21" ht="9.75" customHeight="1">
      <c r="B62" s="1170" t="s">
        <v>658</v>
      </c>
      <c r="C62" s="1151"/>
      <c r="D62" s="1107"/>
      <c r="E62" s="1171">
        <f>Einträge!F12+Einträge!F23</f>
        <v>0</v>
      </c>
      <c r="F62" s="1110"/>
      <c r="G62" s="1110"/>
      <c r="I62" s="1109" t="str">
        <f>IF(EBF!C23="","",EBF!C23)</f>
        <v/>
      </c>
      <c r="J62" s="1109"/>
      <c r="K62" s="1109"/>
      <c r="L62" s="1109"/>
      <c r="M62" s="1175"/>
      <c r="N62" s="1110"/>
      <c r="O62" s="1176" t="str">
        <f>IF(EBF!F23="","",EBF!F23)</f>
        <v/>
      </c>
      <c r="P62" s="27"/>
      <c r="Q62" s="86"/>
      <c r="R62" s="86"/>
      <c r="S62" s="86"/>
      <c r="T62" s="86"/>
      <c r="U62" s="86"/>
    </row>
    <row r="63" spans="2:21" ht="9.75" customHeight="1">
      <c r="B63" s="1165" t="s">
        <v>659</v>
      </c>
      <c r="C63" s="1151"/>
      <c r="D63" s="1107"/>
      <c r="E63" s="1166">
        <f>Einträge!F23</f>
        <v>0</v>
      </c>
      <c r="F63" s="1110"/>
      <c r="G63" s="1110"/>
      <c r="I63" s="1109" t="str">
        <f>IF(EBF!C25="","",EBF!C25)</f>
        <v/>
      </c>
      <c r="J63" s="1109"/>
      <c r="K63" s="1109"/>
      <c r="L63" s="1109"/>
      <c r="M63" s="1175"/>
      <c r="N63" s="1110"/>
      <c r="O63" s="1176" t="str">
        <f>IF(EBF!F25="","",EBF!F25)</f>
        <v/>
      </c>
      <c r="P63" s="27"/>
      <c r="Q63" s="86"/>
      <c r="R63" s="86"/>
      <c r="S63" s="86"/>
      <c r="T63" s="86"/>
      <c r="U63" s="86"/>
    </row>
    <row r="64" spans="2:21" s="144" customFormat="1" ht="9.75" customHeight="1">
      <c r="B64" s="1165" t="s">
        <v>660</v>
      </c>
      <c r="C64" s="1151"/>
      <c r="D64" s="1107"/>
      <c r="E64" s="1166">
        <f>Einträge!F12</f>
        <v>0</v>
      </c>
      <c r="F64" s="1110"/>
      <c r="G64" s="1110"/>
      <c r="I64" s="1109" t="str">
        <f>IF(EBF!C27="","",EBF!C27)</f>
        <v/>
      </c>
      <c r="J64" s="1109"/>
      <c r="K64" s="1109"/>
      <c r="L64" s="1109"/>
      <c r="M64" s="1175"/>
      <c r="N64" s="1169"/>
      <c r="O64" s="1176" t="str">
        <f>IF(EBF!F27="","",EBF!F27)</f>
        <v/>
      </c>
      <c r="P64" s="135"/>
      <c r="Q64" s="133"/>
      <c r="R64" s="133"/>
      <c r="S64" s="133"/>
      <c r="T64" s="133"/>
      <c r="U64" s="133"/>
    </row>
    <row r="65" spans="2:21" s="144" customFormat="1" ht="9.75" customHeight="1">
      <c r="B65" s="1170" t="s">
        <v>661</v>
      </c>
      <c r="C65" s="1151"/>
      <c r="D65" s="1107"/>
      <c r="E65" s="1171">
        <f>Einträge!Q319</f>
        <v>0</v>
      </c>
      <c r="F65" s="1110"/>
      <c r="G65" s="1110"/>
      <c r="I65" s="1109" t="str">
        <f>IF(EBF!C29="","",EBF!C29)</f>
        <v/>
      </c>
      <c r="J65" s="1109"/>
      <c r="K65" s="1109"/>
      <c r="L65" s="1109"/>
      <c r="M65" s="1175"/>
      <c r="N65" s="1169"/>
      <c r="O65" s="1176" t="str">
        <f>IF(EBF!F29="","",EBF!F29)</f>
        <v/>
      </c>
      <c r="P65" s="135"/>
      <c r="Q65" s="133"/>
      <c r="R65" s="133"/>
      <c r="S65" s="133"/>
      <c r="T65" s="133"/>
      <c r="U65" s="133"/>
    </row>
    <row r="66" spans="2:21" s="144" customFormat="1" ht="9.75" customHeight="1">
      <c r="B66" s="1169"/>
      <c r="C66" s="1169"/>
      <c r="D66" s="1169"/>
      <c r="E66" s="1169"/>
      <c r="F66" s="1110"/>
      <c r="G66" s="1110"/>
      <c r="I66" s="1109" t="str">
        <f>IF(EBF!C31="","",EBF!C31)</f>
        <v/>
      </c>
      <c r="J66" s="1109"/>
      <c r="K66" s="1109"/>
      <c r="L66" s="1109"/>
      <c r="M66" s="1175"/>
      <c r="N66" s="1169"/>
      <c r="O66" s="1176" t="str">
        <f>IF(EBF!F31="","",EBF!F31)</f>
        <v/>
      </c>
      <c r="P66" s="135"/>
      <c r="Q66" s="133"/>
      <c r="R66" s="133"/>
      <c r="S66" s="133"/>
      <c r="T66" s="133"/>
      <c r="U66" s="133"/>
    </row>
    <row r="67" spans="2:21" s="144" customFormat="1" ht="9.75" customHeight="1">
      <c r="B67" s="1172" t="s">
        <v>227</v>
      </c>
      <c r="C67" s="1151"/>
      <c r="D67" s="1107"/>
      <c r="E67" s="1173" t="e">
        <f>(SUM(Bilanz!D56:O56))/(SUM(Bilanz!D27:O27))</f>
        <v>#DIV/0!</v>
      </c>
      <c r="F67" s="1110"/>
      <c r="G67" s="1110"/>
      <c r="I67" s="1109" t="str">
        <f>IF(EBF!C33="","",EBF!C33)</f>
        <v/>
      </c>
      <c r="J67" s="1109"/>
      <c r="K67" s="1109"/>
      <c r="L67" s="1109"/>
      <c r="M67" s="1175"/>
      <c r="N67" s="1169"/>
      <c r="O67" s="1176" t="str">
        <f>IF(EBF!F33="","",EBF!F33)</f>
        <v/>
      </c>
      <c r="P67" s="135"/>
      <c r="Q67" s="133"/>
      <c r="R67" s="133"/>
      <c r="S67" s="133"/>
      <c r="T67" s="133"/>
      <c r="U67" s="133"/>
    </row>
    <row r="68" spans="2:21" ht="9.75" customHeight="1">
      <c r="B68" s="1172" t="s">
        <v>226</v>
      </c>
      <c r="C68" s="1151"/>
      <c r="D68" s="1107"/>
      <c r="E68" s="1174" t="e">
        <f>Bilanz!D46</f>
        <v>#VALUE!</v>
      </c>
      <c r="F68" s="1110"/>
      <c r="G68" s="1110"/>
      <c r="I68" s="1109" t="str">
        <f>IF(EBF!C35="","",EBF!C35)</f>
        <v/>
      </c>
      <c r="J68" s="1109"/>
      <c r="K68" s="1109"/>
      <c r="L68" s="1109"/>
      <c r="M68" s="1175"/>
      <c r="N68" s="1110"/>
      <c r="O68" s="1176" t="str">
        <f>IF(EBF!F35="","",EBF!F35)</f>
        <v/>
      </c>
      <c r="P68" s="27"/>
      <c r="Q68" s="86"/>
      <c r="R68" s="86"/>
      <c r="S68" s="86"/>
      <c r="T68" s="86"/>
      <c r="U68" s="86"/>
    </row>
    <row r="69" spans="2:21" ht="9.75" customHeight="1">
      <c r="B69" s="1110"/>
      <c r="C69" s="1151"/>
      <c r="D69" s="1107"/>
      <c r="E69" s="1107"/>
      <c r="F69" s="1110"/>
      <c r="G69" s="1107"/>
      <c r="I69" s="1109" t="str">
        <f>IF(EBF!C37="","",EBF!C37)</f>
        <v/>
      </c>
      <c r="J69" s="1109"/>
      <c r="K69" s="1109"/>
      <c r="L69" s="1109"/>
      <c r="M69" s="1175"/>
      <c r="N69" s="1110"/>
      <c r="O69" s="1176" t="str">
        <f>IF(EBF!F37="","",EBF!F37)</f>
        <v/>
      </c>
      <c r="P69" s="27"/>
      <c r="Q69" s="86"/>
      <c r="R69" s="86"/>
      <c r="S69" s="86"/>
      <c r="T69" s="86"/>
      <c r="U69" s="86"/>
    </row>
    <row r="70" spans="2:21" ht="10.050000000000001" customHeight="1">
      <c r="B70" s="1160" t="s">
        <v>662</v>
      </c>
      <c r="C70" s="1167"/>
      <c r="D70" s="1112"/>
      <c r="E70" s="1112"/>
      <c r="F70" s="1163">
        <f>G41</f>
        <v>0</v>
      </c>
      <c r="G70" s="1164">
        <v>1</v>
      </c>
      <c r="I70" s="1160" t="s">
        <v>33</v>
      </c>
      <c r="J70" s="1162"/>
      <c r="K70" s="1177"/>
      <c r="L70" s="1177"/>
      <c r="M70" s="1161"/>
      <c r="N70" s="1113"/>
      <c r="O70" s="1178">
        <f>EBF!F39</f>
        <v>1.0000000000000001E-31</v>
      </c>
      <c r="P70" s="27"/>
      <c r="Q70" s="86"/>
      <c r="R70" s="86"/>
      <c r="S70" s="86"/>
      <c r="T70" s="86"/>
      <c r="U70" s="86"/>
    </row>
    <row r="71" spans="2:21" ht="9.75" customHeight="1">
      <c r="P71" s="27"/>
      <c r="Q71" s="86"/>
      <c r="R71" s="86"/>
      <c r="S71" s="86"/>
      <c r="T71" s="86"/>
      <c r="U71" s="86"/>
    </row>
    <row r="72" spans="2:21" ht="10.050000000000001" customHeight="1">
      <c r="B72" s="1159" t="s">
        <v>387</v>
      </c>
      <c r="C72" s="1167"/>
      <c r="D72" s="1112"/>
      <c r="E72" s="1112"/>
      <c r="F72" s="1113"/>
      <c r="G72" s="1112"/>
      <c r="H72" s="1179"/>
      <c r="I72" s="1113"/>
      <c r="J72" s="1179"/>
      <c r="K72" s="1177"/>
      <c r="L72" s="1177"/>
      <c r="M72" s="1180"/>
      <c r="N72" s="1177"/>
      <c r="O72" s="1177"/>
      <c r="P72" s="27"/>
      <c r="Q72" s="86"/>
      <c r="R72" s="86"/>
      <c r="S72" s="86"/>
      <c r="T72" s="86"/>
      <c r="U72" s="86"/>
    </row>
    <row r="73" spans="2:21" ht="9.75" customHeight="1">
      <c r="B73" s="1172" t="s">
        <v>454</v>
      </c>
      <c r="C73" s="1181"/>
      <c r="D73" s="1181"/>
      <c r="E73" s="1107"/>
      <c r="F73" s="1110"/>
      <c r="G73" s="1182">
        <f>Bauteile!D278+Bauteile!D292+Bauteile!D306+Bauteile!D320+Bauteile!D334+Bauteile!D348+Bauteile!D362+Bauteile!D376+Bauteile!D390+Bauteile!D404+Bauteile!D418+Bauteile!D432+Bauteile!D446+Bauteile!D460+Bauteile!D474+Bauteile!D488+Bauteile!D502+Bauteile!D516+Bauteile!D530+Bauteile!D544+Bauteile!D562+Bauteile!D575+Bauteile!D674+Bauteile!D687+Bauteile!D700+Bauteile!D1274+Bauteile!D1287+Bauteile!D1300+Bauteile!D1317+Bauteile!D1330+Bauteile!D1343+Bauteile!D1356</f>
        <v>0</v>
      </c>
      <c r="H73" s="1110"/>
      <c r="I73" s="1183" t="s">
        <v>282</v>
      </c>
      <c r="J73" s="1110"/>
      <c r="K73" s="1184"/>
      <c r="L73" s="1172"/>
      <c r="M73" s="1172"/>
      <c r="N73" s="1110"/>
      <c r="O73" s="1185">
        <f>G73/O70*100</f>
        <v>0</v>
      </c>
      <c r="P73" s="27"/>
      <c r="Q73" s="86"/>
      <c r="R73" s="86"/>
      <c r="S73" s="86"/>
      <c r="T73" s="86"/>
      <c r="U73" s="86"/>
    </row>
    <row r="74" spans="2:21" ht="9.75" customHeight="1">
      <c r="B74" s="1172" t="s">
        <v>663</v>
      </c>
      <c r="C74" s="1107"/>
      <c r="D74" s="1107"/>
      <c r="E74" s="1107"/>
      <c r="F74" s="1110"/>
      <c r="G74" s="1182">
        <f>Bilanz!I10</f>
        <v>0</v>
      </c>
      <c r="H74" s="1110"/>
      <c r="I74" s="1183" t="s">
        <v>386</v>
      </c>
      <c r="J74" s="1110"/>
      <c r="K74" s="1184"/>
      <c r="L74" s="1172"/>
      <c r="M74" s="1172"/>
      <c r="N74" s="1110"/>
      <c r="O74" s="1186">
        <f>G74/O70</f>
        <v>0</v>
      </c>
      <c r="P74" s="27"/>
      <c r="Q74" s="86"/>
      <c r="R74" s="86"/>
      <c r="S74" s="86"/>
      <c r="T74" s="86"/>
      <c r="U74" s="86"/>
    </row>
    <row r="75" spans="2:21" ht="9.75" customHeight="1">
      <c r="B75" s="1110"/>
      <c r="C75" s="1131"/>
      <c r="D75" s="1110"/>
      <c r="E75" s="1110"/>
      <c r="F75" s="1110"/>
      <c r="G75" s="1110"/>
      <c r="H75" s="1172"/>
      <c r="I75" s="1172"/>
      <c r="J75" s="1172"/>
      <c r="K75" s="1110"/>
      <c r="L75" s="1110"/>
      <c r="M75" s="1172"/>
      <c r="N75" s="1172"/>
      <c r="O75" s="1172"/>
      <c r="P75" s="27"/>
      <c r="Q75" s="86"/>
      <c r="R75" s="86"/>
      <c r="S75" s="86"/>
      <c r="T75" s="86"/>
      <c r="U75" s="86"/>
    </row>
    <row r="76" spans="2:21" ht="9.75" customHeight="1">
      <c r="B76" s="1110" t="s">
        <v>733</v>
      </c>
      <c r="C76" s="1131"/>
      <c r="D76" s="1110"/>
      <c r="E76" s="1110"/>
      <c r="F76" s="1110"/>
      <c r="G76" s="1110"/>
      <c r="H76" s="1172"/>
      <c r="I76" s="1339" t="s">
        <v>312</v>
      </c>
      <c r="J76" s="1339"/>
      <c r="K76" s="1340">
        <f ca="1">NOW()</f>
        <v>42122.346852083334</v>
      </c>
      <c r="L76" s="1340"/>
      <c r="M76" s="1340"/>
      <c r="N76" s="1340"/>
      <c r="O76" s="1340"/>
      <c r="P76" s="27"/>
      <c r="Q76" s="86"/>
      <c r="R76" s="86"/>
      <c r="S76" s="86"/>
      <c r="T76" s="86"/>
      <c r="U76" s="86"/>
    </row>
    <row r="77" spans="2:21" ht="12.45" customHeight="1">
      <c r="C77" s="134"/>
      <c r="D77" s="135"/>
      <c r="E77" s="135"/>
      <c r="F77" s="31"/>
      <c r="G77" s="190"/>
      <c r="H77" s="135"/>
      <c r="I77" s="31"/>
      <c r="J77" s="135"/>
      <c r="K77" s="31"/>
      <c r="L77" s="31"/>
      <c r="M77" s="135"/>
      <c r="N77" s="135"/>
      <c r="P77" s="27"/>
      <c r="Q77" s="86"/>
      <c r="R77" s="86"/>
      <c r="S77" s="86"/>
      <c r="T77" s="86"/>
      <c r="U77" s="86"/>
    </row>
    <row r="78" spans="2:21" ht="9.75" customHeight="1">
      <c r="C78" s="86"/>
      <c r="D78" s="86"/>
      <c r="E78" s="86"/>
      <c r="F78" s="86"/>
      <c r="G78" s="86"/>
      <c r="H78" s="86"/>
      <c r="I78" s="86"/>
      <c r="P78" s="27"/>
      <c r="Q78" s="86"/>
      <c r="R78" s="86"/>
      <c r="S78" s="86"/>
      <c r="T78" s="86"/>
      <c r="U78" s="86"/>
    </row>
    <row r="79" spans="2:21" ht="9.75" customHeight="1">
      <c r="F79" s="1329"/>
      <c r="G79" s="1329"/>
      <c r="H79" s="1329"/>
      <c r="I79" s="1329"/>
      <c r="J79" s="1313"/>
      <c r="K79" s="1313"/>
      <c r="L79" s="1312"/>
      <c r="M79" s="1312"/>
      <c r="N79" s="1312"/>
      <c r="O79" s="1312"/>
      <c r="Q79" s="86"/>
      <c r="R79" s="86"/>
      <c r="S79" s="86"/>
      <c r="T79" s="86"/>
      <c r="U79" s="86"/>
    </row>
    <row r="80" spans="2:21" ht="9.75" customHeight="1">
      <c r="B80" s="141">
        <f>B1</f>
        <v>0</v>
      </c>
      <c r="C80" s="86"/>
      <c r="D80" s="86"/>
      <c r="E80" s="86"/>
      <c r="F80" s="86"/>
      <c r="H80" s="280" t="str">
        <f>IF(Nutzung!$E$8="","",Nutzung!$E$8)</f>
        <v/>
      </c>
      <c r="I80" s="86"/>
      <c r="J80" s="86"/>
      <c r="K80" s="86"/>
      <c r="L80" s="86"/>
      <c r="M80" s="86"/>
      <c r="N80" s="86"/>
      <c r="O80" s="140" t="s">
        <v>17</v>
      </c>
      <c r="P80" s="86"/>
      <c r="Q80" s="86"/>
      <c r="R80" s="86"/>
      <c r="S80" s="86"/>
      <c r="T80" s="86"/>
      <c r="U80" s="86"/>
    </row>
    <row r="81" spans="2:21" ht="10.95" customHeight="1">
      <c r="D81" s="86"/>
      <c r="E81" s="86"/>
      <c r="F81" s="86"/>
      <c r="J81" s="86"/>
      <c r="K81" s="86"/>
      <c r="L81" s="86"/>
      <c r="M81" s="86"/>
      <c r="N81" s="86"/>
      <c r="O81" s="142"/>
      <c r="P81" s="86"/>
      <c r="Q81" s="86"/>
      <c r="R81" s="86"/>
      <c r="S81" s="86"/>
      <c r="T81" s="86"/>
      <c r="U81" s="86"/>
    </row>
    <row r="82" spans="2:21" ht="10.95" customHeight="1">
      <c r="B82" s="141"/>
      <c r="C82" s="86"/>
      <c r="D82" s="86"/>
      <c r="E82" s="86"/>
      <c r="F82" s="86"/>
      <c r="H82" s="280"/>
      <c r="I82" s="86"/>
      <c r="J82" s="86"/>
      <c r="K82" s="86"/>
      <c r="L82" s="86"/>
      <c r="M82" s="86"/>
      <c r="N82" s="86"/>
      <c r="O82" s="142"/>
      <c r="P82" s="86"/>
      <c r="Q82" s="86"/>
      <c r="R82" s="86"/>
      <c r="S82" s="86"/>
      <c r="T82" s="86"/>
      <c r="U82" s="86"/>
    </row>
    <row r="83" spans="2:21" ht="10.95" customHeight="1">
      <c r="B83" s="86"/>
      <c r="C83" s="86"/>
      <c r="D83" s="86"/>
      <c r="E83" s="86"/>
      <c r="F83" s="86"/>
      <c r="H83" s="89"/>
      <c r="I83" s="86"/>
      <c r="J83" s="86"/>
      <c r="K83" s="86"/>
      <c r="L83" s="86"/>
      <c r="M83" s="86"/>
      <c r="N83" s="86"/>
      <c r="O83" s="143"/>
      <c r="P83" s="86"/>
      <c r="Q83" s="86"/>
      <c r="R83" s="86"/>
      <c r="S83" s="86"/>
      <c r="T83" s="86"/>
      <c r="U83" s="86"/>
    </row>
    <row r="84" spans="2:21" ht="15" customHeight="1">
      <c r="B84" s="594" t="s">
        <v>397</v>
      </c>
      <c r="C84" s="86"/>
      <c r="D84" s="86"/>
      <c r="E84" s="86"/>
      <c r="F84" s="86"/>
      <c r="H84" s="637" t="str">
        <f>IF(Nutzung!$G$8="","","Variante:")</f>
        <v/>
      </c>
      <c r="I84" s="637" t="str">
        <f>IF(Nutzung!G8="","",Nutzung!G8)</f>
        <v/>
      </c>
      <c r="J84" s="86"/>
      <c r="K84" s="86"/>
      <c r="L84" s="86"/>
      <c r="M84" s="86"/>
      <c r="N84" s="86"/>
      <c r="O84" s="143"/>
      <c r="P84" s="86"/>
      <c r="Q84" s="86"/>
      <c r="R84" s="86"/>
      <c r="S84" s="86"/>
      <c r="T84" s="86"/>
      <c r="U84" s="86"/>
    </row>
    <row r="85" spans="2:21" ht="7.95" customHeight="1">
      <c r="B85" s="594"/>
      <c r="C85" s="86"/>
      <c r="D85" s="86"/>
      <c r="E85" s="86"/>
      <c r="F85" s="86"/>
      <c r="H85" s="89"/>
      <c r="I85" s="86"/>
      <c r="J85" s="86"/>
      <c r="K85" s="86"/>
      <c r="L85" s="86"/>
      <c r="M85" s="86"/>
      <c r="N85" s="86"/>
      <c r="O85" s="143"/>
      <c r="P85" s="86"/>
      <c r="Q85" s="86"/>
      <c r="R85" s="86"/>
      <c r="S85" s="86"/>
      <c r="T85" s="86"/>
      <c r="U85" s="86"/>
    </row>
    <row r="86" spans="2:21" ht="7.95" customHeight="1">
      <c r="B86" s="86"/>
      <c r="C86" s="86"/>
      <c r="D86" s="86"/>
      <c r="E86" s="86"/>
      <c r="F86" s="86"/>
      <c r="H86" s="89"/>
      <c r="I86" s="86"/>
      <c r="J86" s="86"/>
      <c r="K86" s="86"/>
      <c r="L86" s="86"/>
      <c r="M86" s="86"/>
      <c r="N86" s="86"/>
      <c r="O86" s="143"/>
      <c r="P86" s="86"/>
      <c r="Q86" s="86"/>
      <c r="R86" s="86"/>
      <c r="S86" s="86"/>
      <c r="T86" s="86"/>
      <c r="U86" s="86"/>
    </row>
    <row r="87" spans="2:21" ht="9.75" customHeight="1">
      <c r="B87" s="1152" t="s">
        <v>383</v>
      </c>
      <c r="C87" s="1152"/>
      <c r="D87" s="1152"/>
      <c r="E87" s="1152">
        <f>Nutzung!G29</f>
        <v>0</v>
      </c>
      <c r="F87" s="1152"/>
      <c r="G87" s="1187"/>
      <c r="H87" s="1133" t="s">
        <v>665</v>
      </c>
      <c r="I87" s="1152"/>
      <c r="J87" s="1152"/>
      <c r="K87" s="1152"/>
      <c r="L87" s="1152"/>
      <c r="M87" s="1152"/>
      <c r="N87" s="1187"/>
      <c r="O87" s="1152">
        <f>Nutzung!J32</f>
        <v>0</v>
      </c>
      <c r="P87" s="86"/>
      <c r="Q87" s="86"/>
      <c r="R87" s="86"/>
      <c r="S87" s="86"/>
      <c r="T87" s="86"/>
      <c r="U87" s="86"/>
    </row>
    <row r="88" spans="2:21" ht="9.75" customHeight="1">
      <c r="B88" s="1107" t="s">
        <v>174</v>
      </c>
      <c r="C88" s="1107"/>
      <c r="D88" s="1107"/>
      <c r="E88" s="1107">
        <f>Nutzung!G30</f>
        <v>0</v>
      </c>
      <c r="F88" s="1107"/>
      <c r="G88" s="1110"/>
      <c r="H88" s="1109" t="s">
        <v>666</v>
      </c>
      <c r="I88" s="1107"/>
      <c r="J88" s="1107"/>
      <c r="K88" s="1107"/>
      <c r="L88" s="1107"/>
      <c r="M88" s="1107"/>
      <c r="N88" s="1110"/>
      <c r="O88" s="1107">
        <f>Nutzung!J33</f>
        <v>0</v>
      </c>
      <c r="P88" s="86"/>
      <c r="Q88" s="86"/>
      <c r="R88" s="86"/>
      <c r="S88" s="86"/>
      <c r="T88" s="86"/>
      <c r="U88" s="86"/>
    </row>
    <row r="89" spans="2:21" ht="9.75" customHeight="1">
      <c r="B89" s="1152" t="s">
        <v>350</v>
      </c>
      <c r="C89" s="1152"/>
      <c r="D89" s="1152"/>
      <c r="E89" s="1152">
        <f>Nutzung!G31</f>
        <v>0</v>
      </c>
      <c r="F89" s="1152"/>
      <c r="G89" s="1187"/>
      <c r="H89" s="1133" t="s">
        <v>535</v>
      </c>
      <c r="I89" s="1152"/>
      <c r="J89" s="1152"/>
      <c r="K89" s="1152"/>
      <c r="L89" s="1152"/>
      <c r="M89" s="1152"/>
      <c r="N89" s="1187"/>
      <c r="O89" s="1152">
        <f>Nutzung!G34</f>
        <v>0</v>
      </c>
      <c r="P89" s="86"/>
      <c r="Q89" s="86"/>
      <c r="R89" s="86"/>
      <c r="S89" s="86"/>
      <c r="T89" s="86"/>
      <c r="U89" s="86"/>
    </row>
    <row r="90" spans="2:21" ht="9.75" customHeight="1">
      <c r="B90" s="1107" t="s">
        <v>484</v>
      </c>
      <c r="C90" s="1107"/>
      <c r="D90" s="1107"/>
      <c r="E90" s="1107">
        <f>Nutzung!G32</f>
        <v>0</v>
      </c>
      <c r="F90" s="1107"/>
      <c r="G90" s="1110"/>
      <c r="H90" s="1109" t="s">
        <v>352</v>
      </c>
      <c r="I90" s="1107"/>
      <c r="J90" s="1107"/>
      <c r="K90" s="1107"/>
      <c r="L90" s="1107"/>
      <c r="M90" s="1107"/>
      <c r="N90" s="1110"/>
      <c r="O90" s="1107">
        <f>Nutzung!J34</f>
        <v>0</v>
      </c>
      <c r="P90" s="86"/>
      <c r="Q90" s="86"/>
      <c r="R90" s="86"/>
      <c r="S90" s="86"/>
      <c r="T90" s="86"/>
      <c r="U90" s="86"/>
    </row>
    <row r="91" spans="2:21" ht="9.75" customHeight="1">
      <c r="B91" s="1152" t="s">
        <v>664</v>
      </c>
      <c r="C91" s="1152"/>
      <c r="D91" s="1152"/>
      <c r="E91" s="1152">
        <f>Nutzung!J29</f>
        <v>0</v>
      </c>
      <c r="F91" s="1152"/>
      <c r="G91" s="1187"/>
      <c r="H91" s="1188" t="s">
        <v>667</v>
      </c>
      <c r="I91" s="1152"/>
      <c r="J91" s="1152"/>
      <c r="K91" s="1152"/>
      <c r="L91" s="1152"/>
      <c r="M91" s="1152"/>
      <c r="N91" s="1187"/>
      <c r="O91" s="1189">
        <f>Nutzung!G33</f>
        <v>0</v>
      </c>
      <c r="P91" s="86"/>
      <c r="Q91" s="86"/>
      <c r="R91" s="86"/>
      <c r="S91" s="86"/>
      <c r="T91" s="86"/>
      <c r="U91" s="86"/>
    </row>
    <row r="92" spans="2:21" ht="9.75" customHeight="1">
      <c r="B92" s="1107" t="s">
        <v>180</v>
      </c>
      <c r="C92" s="1107"/>
      <c r="D92" s="1107"/>
      <c r="E92" s="1107">
        <f>Nutzung!J30</f>
        <v>0</v>
      </c>
      <c r="F92" s="1107"/>
      <c r="G92" s="1110"/>
      <c r="H92" s="1315"/>
      <c r="I92" s="1315"/>
      <c r="J92" s="1315"/>
      <c r="K92" s="1315"/>
      <c r="L92" s="1315"/>
      <c r="M92" s="1315"/>
      <c r="N92" s="1315"/>
      <c r="O92" s="1107"/>
      <c r="P92" s="86"/>
      <c r="Q92" s="86"/>
      <c r="R92" s="86"/>
      <c r="S92" s="86"/>
      <c r="T92" s="86"/>
      <c r="U92" s="86"/>
    </row>
    <row r="93" spans="2:21" ht="9.75" customHeight="1">
      <c r="B93" s="1152" t="s">
        <v>143</v>
      </c>
      <c r="C93" s="1152"/>
      <c r="D93" s="1152"/>
      <c r="E93" s="1190">
        <f>IF(Komfortlüftung!$I$9=1,Komfortlüftung!I50,Nutzung!J31)</f>
        <v>0</v>
      </c>
      <c r="F93" s="1152"/>
      <c r="G93" s="1187"/>
      <c r="H93" s="1332" t="str">
        <f>IF(Bauteile!X114&gt;Nutzung!G29,"** Vorlauftemperatur bei Auslegungstemp. Heizkörper [°C]:","keine Fenster mit vorgelagerten Heizkörpern")</f>
        <v>keine Fenster mit vorgelagerten Heizkörpern</v>
      </c>
      <c r="I93" s="1332"/>
      <c r="J93" s="1332"/>
      <c r="K93" s="1332"/>
      <c r="L93" s="1332"/>
      <c r="M93" s="1332"/>
      <c r="N93" s="1332"/>
      <c r="O93" s="1152" t="str">
        <f>IF(Bauteile!X114&gt;Nutzung!G29,Bauteile!X114,"")</f>
        <v/>
      </c>
      <c r="P93" s="86"/>
      <c r="Q93" s="86"/>
      <c r="R93" s="86"/>
      <c r="S93" s="86"/>
      <c r="T93" s="86"/>
      <c r="U93" s="86"/>
    </row>
    <row r="94" spans="2:21" ht="9.75" customHeight="1">
      <c r="B94" s="1191"/>
      <c r="C94" s="1107"/>
      <c r="D94" s="1107"/>
      <c r="E94" s="1191"/>
      <c r="F94" s="1107"/>
      <c r="G94" s="1110"/>
      <c r="H94" s="1331" t="str">
        <f>IF(Bauteile!W114&gt;Nutzung!G29,"*  Vorlauftemperatur bei Auslegungstemp. Flächenheizung [°C]:","keine Bauteilheizung")</f>
        <v>keine Bauteilheizung</v>
      </c>
      <c r="I94" s="1331"/>
      <c r="J94" s="1331"/>
      <c r="K94" s="1331"/>
      <c r="L94" s="1331"/>
      <c r="M94" s="1331"/>
      <c r="N94" s="1331"/>
      <c r="O94" s="1192" t="str">
        <f>IF(Bauteile!W114&gt;Nutzung!G29,Bauteile!W114,"")</f>
        <v/>
      </c>
      <c r="P94" s="86"/>
      <c r="Q94" s="86"/>
      <c r="R94" s="86"/>
      <c r="S94" s="86"/>
      <c r="T94" s="86"/>
      <c r="U94" s="86"/>
    </row>
    <row r="95" spans="2:21" ht="9.75" customHeight="1">
      <c r="B95" s="86"/>
      <c r="C95" s="86"/>
      <c r="D95" s="86"/>
      <c r="E95" s="86"/>
      <c r="F95" s="86"/>
      <c r="H95" s="89"/>
      <c r="I95" s="86"/>
      <c r="J95" s="86"/>
      <c r="K95" s="86"/>
      <c r="L95" s="86"/>
      <c r="M95" s="86"/>
      <c r="N95" s="86"/>
      <c r="O95" s="143"/>
      <c r="P95" s="86"/>
      <c r="Q95" s="86"/>
      <c r="R95" s="86"/>
      <c r="S95" s="86"/>
      <c r="T95" s="86"/>
      <c r="U95" s="86"/>
    </row>
    <row r="96" spans="2:21" ht="9.75" customHeight="1">
      <c r="B96" s="86"/>
      <c r="C96" s="86"/>
      <c r="D96" s="86"/>
      <c r="E96" s="86"/>
      <c r="F96" s="86"/>
      <c r="H96" s="89"/>
      <c r="I96" s="86"/>
      <c r="J96" s="86"/>
      <c r="K96" s="86"/>
      <c r="L96" s="86"/>
      <c r="M96" s="86"/>
      <c r="N96" s="86"/>
      <c r="O96" s="143"/>
      <c r="P96" s="86"/>
      <c r="Q96" s="86"/>
      <c r="R96" s="86"/>
      <c r="S96" s="86"/>
      <c r="T96" s="86"/>
      <c r="U96" s="86"/>
    </row>
    <row r="97" spans="1:21" ht="15" customHeight="1">
      <c r="A97" s="636"/>
      <c r="B97" s="594" t="s">
        <v>259</v>
      </c>
      <c r="C97" s="86"/>
      <c r="D97" s="86"/>
      <c r="E97" s="86"/>
      <c r="F97" s="86"/>
      <c r="J97" s="86"/>
      <c r="K97" s="86"/>
      <c r="L97" s="86"/>
      <c r="M97" s="86"/>
      <c r="N97" s="86"/>
      <c r="O97" s="86"/>
      <c r="P97" s="86"/>
      <c r="Q97" s="86"/>
      <c r="R97" s="86"/>
      <c r="S97" s="86"/>
      <c r="T97" s="86"/>
      <c r="U97" s="86"/>
    </row>
    <row r="98" spans="1:21" ht="7.95" customHeight="1">
      <c r="A98" s="636"/>
      <c r="B98" s="86"/>
      <c r="C98" s="86"/>
      <c r="D98" s="86"/>
      <c r="E98" s="86"/>
      <c r="F98" s="86"/>
      <c r="G98" s="86"/>
      <c r="H98" s="86"/>
      <c r="I98" s="86"/>
      <c r="J98" s="86"/>
      <c r="K98" s="86"/>
      <c r="L98" s="86"/>
      <c r="M98" s="86"/>
      <c r="N98" s="86"/>
      <c r="O98" s="86"/>
      <c r="P98" s="86"/>
      <c r="Q98" s="86"/>
      <c r="R98" s="86"/>
      <c r="S98" s="86"/>
      <c r="T98" s="86"/>
      <c r="U98" s="86"/>
    </row>
    <row r="99" spans="1:21" ht="7.95" customHeight="1">
      <c r="A99" s="636"/>
      <c r="B99" s="86"/>
      <c r="C99" s="86"/>
      <c r="D99" s="86"/>
      <c r="E99" s="86"/>
      <c r="F99" s="86"/>
      <c r="G99" s="86"/>
      <c r="H99" s="86"/>
      <c r="I99" s="86"/>
      <c r="J99" s="86"/>
      <c r="K99" s="86"/>
      <c r="L99" s="86"/>
      <c r="M99" s="86"/>
      <c r="N99" s="86"/>
      <c r="O99" s="86"/>
      <c r="P99" s="86"/>
      <c r="Q99" s="86"/>
      <c r="R99" s="86"/>
      <c r="S99" s="86"/>
      <c r="T99" s="86"/>
      <c r="U99" s="86"/>
    </row>
    <row r="100" spans="1:21" ht="12" customHeight="1">
      <c r="A100" s="1300" t="s">
        <v>131</v>
      </c>
      <c r="B100" s="1193" t="s">
        <v>297</v>
      </c>
      <c r="C100" s="1194"/>
      <c r="D100" s="1305" t="s">
        <v>230</v>
      </c>
      <c r="E100" s="1305"/>
      <c r="F100" s="1305" t="s">
        <v>508</v>
      </c>
      <c r="G100" s="1305"/>
      <c r="H100" s="1305" t="s">
        <v>464</v>
      </c>
      <c r="I100" s="1305"/>
      <c r="J100" s="1305" t="s">
        <v>521</v>
      </c>
      <c r="K100" s="1305"/>
      <c r="L100" s="1305" t="s">
        <v>668</v>
      </c>
      <c r="M100" s="1305"/>
      <c r="N100" s="1195" t="s">
        <v>349</v>
      </c>
      <c r="O100" s="1195" t="s">
        <v>55</v>
      </c>
      <c r="P100" s="90"/>
      <c r="Q100" s="86"/>
      <c r="R100" s="86"/>
      <c r="S100" s="86"/>
      <c r="T100" s="86"/>
      <c r="U100" s="86"/>
    </row>
    <row r="101" spans="1:21" ht="10.050000000000001" customHeight="1">
      <c r="A101" s="1300"/>
      <c r="B101" s="1236"/>
      <c r="C101" s="1237"/>
      <c r="D101" s="1321" t="s">
        <v>206</v>
      </c>
      <c r="E101" s="1321"/>
      <c r="F101" s="1321" t="s">
        <v>552</v>
      </c>
      <c r="G101" s="1321"/>
      <c r="H101" s="1321" t="s">
        <v>181</v>
      </c>
      <c r="I101" s="1321"/>
      <c r="J101" s="1321" t="s">
        <v>372</v>
      </c>
      <c r="K101" s="1321"/>
      <c r="L101" s="1321" t="s">
        <v>200</v>
      </c>
      <c r="M101" s="1321"/>
      <c r="N101" s="1238" t="s">
        <v>372</v>
      </c>
      <c r="O101" s="1238" t="s">
        <v>364</v>
      </c>
      <c r="Q101" s="86"/>
      <c r="R101" s="86"/>
      <c r="S101" s="86"/>
      <c r="T101" s="86"/>
      <c r="U101" s="86"/>
    </row>
    <row r="102" spans="1:21" ht="15" customHeight="1">
      <c r="A102" s="1300"/>
      <c r="B102" s="101"/>
      <c r="C102" s="99"/>
      <c r="D102" s="101"/>
      <c r="F102" s="101"/>
      <c r="G102" s="101"/>
      <c r="H102" s="101"/>
      <c r="I102" s="101"/>
      <c r="J102" s="33"/>
      <c r="K102" s="101"/>
      <c r="L102" s="101"/>
      <c r="M102" s="101"/>
      <c r="N102" s="101"/>
      <c r="O102" s="101"/>
      <c r="P102" s="101"/>
      <c r="Q102" s="86"/>
      <c r="R102" s="86"/>
      <c r="S102" s="86"/>
      <c r="T102" s="86"/>
      <c r="U102" s="86"/>
    </row>
    <row r="103" spans="1:21" ht="9" customHeight="1">
      <c r="A103" s="586" t="str">
        <f>IF(Bauteile!$K11&gt;Nutzung!$G$29,"*","")</f>
        <v/>
      </c>
      <c r="B103" s="1316" t="str">
        <f>IF(Bauteile!B9="","-",Bauteile!B9)</f>
        <v>-</v>
      </c>
      <c r="C103" s="1316"/>
      <c r="D103" s="1302" t="str">
        <f>IF(Bauteile!C9="","",Bauteile!C9)</f>
        <v/>
      </c>
      <c r="E103" s="1302"/>
      <c r="F103" s="1303" t="str">
        <f>IF(Bauteile!D9="","",Bauteile!D9)</f>
        <v/>
      </c>
      <c r="G103" s="1303"/>
      <c r="H103" s="1307" t="str">
        <f>IF(Bauteile!E9="","",Bauteile!E9)</f>
        <v/>
      </c>
      <c r="I103" s="1307"/>
      <c r="J103" s="1309" t="str">
        <f>IF(Bauteile!F9="","",Bauteile!F9)</f>
        <v/>
      </c>
      <c r="K103" s="1309"/>
      <c r="L103" s="1307" t="str">
        <f>IF(Bauteile!N9=0,"",Bauteile!N9)</f>
        <v/>
      </c>
      <c r="M103" s="1307"/>
      <c r="N103" s="1239" t="str">
        <f>IF(Bauteile!M9="","",Bauteile!M9)</f>
        <v/>
      </c>
      <c r="O103" s="1240" t="str">
        <f>IF(Bauteile!O9="","",Bauteile!O9)</f>
        <v/>
      </c>
      <c r="Q103" s="86"/>
      <c r="R103" s="86"/>
      <c r="S103" s="86"/>
      <c r="T103" s="86"/>
      <c r="U103" s="86"/>
    </row>
    <row r="104" spans="1:21" ht="9" customHeight="1">
      <c r="A104" s="586" t="str">
        <f>IF(Bauteile!$K24&gt;Nutzung!$G$29,"*","")</f>
        <v/>
      </c>
      <c r="B104" s="1324" t="str">
        <f>IF(Bauteile!B23="","-",Bauteile!B23)</f>
        <v>-</v>
      </c>
      <c r="C104" s="1324"/>
      <c r="D104" s="1318" t="str">
        <f>IF(Bauteile!C23="","",Bauteile!C23)</f>
        <v/>
      </c>
      <c r="E104" s="1318"/>
      <c r="F104" s="1304" t="str">
        <f>IF(Bauteile!D23="","",Bauteile!D23)</f>
        <v/>
      </c>
      <c r="G104" s="1304"/>
      <c r="H104" s="1311" t="str">
        <f>IF(Bauteile!E23="","",Bauteile!E23)</f>
        <v/>
      </c>
      <c r="I104" s="1311"/>
      <c r="J104" s="1322" t="str">
        <f>IF(Bauteile!F23="","",Bauteile!F23)</f>
        <v/>
      </c>
      <c r="K104" s="1322"/>
      <c r="L104" s="1311" t="str">
        <f>IF(Bauteile!N23=0,"",Bauteile!N23)</f>
        <v/>
      </c>
      <c r="M104" s="1311"/>
      <c r="N104" s="1184" t="str">
        <f>IF(Bauteile!M23="","",Bauteile!M23)</f>
        <v/>
      </c>
      <c r="O104" s="1241" t="str">
        <f>IF(Bauteile!O23="","",Bauteile!O23)</f>
        <v/>
      </c>
      <c r="Q104" s="86"/>
      <c r="R104" s="86"/>
      <c r="S104" s="86"/>
      <c r="T104" s="86"/>
      <c r="U104" s="86"/>
    </row>
    <row r="105" spans="1:21" ht="9" customHeight="1">
      <c r="A105" s="586" t="str">
        <f>IF(Bauteile!$K37&gt;Nutzung!$G$29,"*","")</f>
        <v/>
      </c>
      <c r="B105" s="1316" t="str">
        <f>IF(Bauteile!B36="","-",Bauteile!B36)</f>
        <v>-</v>
      </c>
      <c r="C105" s="1316"/>
      <c r="D105" s="1302" t="str">
        <f>IF(Bauteile!C36="","",Bauteile!C36)</f>
        <v/>
      </c>
      <c r="E105" s="1302"/>
      <c r="F105" s="1303" t="str">
        <f>IF(Bauteile!D36="","",Bauteile!D36)</f>
        <v/>
      </c>
      <c r="G105" s="1303"/>
      <c r="H105" s="1307" t="str">
        <f>IF(Bauteile!E36="","",Bauteile!E36)</f>
        <v/>
      </c>
      <c r="I105" s="1307"/>
      <c r="J105" s="1309" t="str">
        <f>IF(Bauteile!F36="","",Bauteile!F36)</f>
        <v/>
      </c>
      <c r="K105" s="1309"/>
      <c r="L105" s="1307" t="str">
        <f>IF(Bauteile!N36=0,"",Bauteile!N36)</f>
        <v/>
      </c>
      <c r="M105" s="1307"/>
      <c r="N105" s="1229" t="str">
        <f>IF(Bauteile!M36="","",Bauteile!M36)</f>
        <v/>
      </c>
      <c r="O105" s="1240" t="str">
        <f>IF(Bauteile!O36="","",Bauteile!O36)</f>
        <v/>
      </c>
      <c r="Q105" s="86"/>
      <c r="R105" s="86"/>
      <c r="S105" s="86"/>
      <c r="T105" s="86"/>
      <c r="U105" s="86"/>
    </row>
    <row r="106" spans="1:21" ht="9" customHeight="1">
      <c r="A106" s="586" t="str">
        <f>IF(Bauteile!$K50&gt;Nutzung!$G$29,"*","")</f>
        <v/>
      </c>
      <c r="B106" s="1324" t="str">
        <f>IF(Bauteile!B49="","-",Bauteile!B49)</f>
        <v>-</v>
      </c>
      <c r="C106" s="1324"/>
      <c r="D106" s="1318" t="str">
        <f>IF(Bauteile!C49="","",Bauteile!C49)</f>
        <v/>
      </c>
      <c r="E106" s="1318"/>
      <c r="F106" s="1304" t="str">
        <f>IF(Bauteile!D49="","",Bauteile!D49)</f>
        <v/>
      </c>
      <c r="G106" s="1304"/>
      <c r="H106" s="1311" t="str">
        <f>IF(Bauteile!E49="","",Bauteile!E49)</f>
        <v/>
      </c>
      <c r="I106" s="1311"/>
      <c r="J106" s="1322" t="str">
        <f>IF(Bauteile!F49="","",Bauteile!F49)</f>
        <v/>
      </c>
      <c r="K106" s="1322"/>
      <c r="L106" s="1311" t="str">
        <f>IF(Bauteile!N49=0,"",Bauteile!N49)</f>
        <v/>
      </c>
      <c r="M106" s="1311"/>
      <c r="N106" s="1233" t="str">
        <f>IF(Bauteile!M49="","",Bauteile!M49)</f>
        <v/>
      </c>
      <c r="O106" s="1241" t="str">
        <f>IF(Bauteile!O49="","",Bauteile!O49)</f>
        <v/>
      </c>
      <c r="Q106" s="86"/>
      <c r="R106" s="86"/>
      <c r="S106" s="86"/>
      <c r="T106" s="86"/>
      <c r="U106" s="86"/>
    </row>
    <row r="107" spans="1:21" ht="9" customHeight="1">
      <c r="A107" s="586" t="str">
        <f>IF(Bauteile!$K63&gt;Nutzung!$G$29,"*","")</f>
        <v/>
      </c>
      <c r="B107" s="1316" t="str">
        <f>IF(Bauteile!B62="","-",Bauteile!B62)</f>
        <v>-</v>
      </c>
      <c r="C107" s="1316"/>
      <c r="D107" s="1302" t="str">
        <f>IF(Bauteile!C62="","",Bauteile!C62)</f>
        <v/>
      </c>
      <c r="E107" s="1302"/>
      <c r="F107" s="1303" t="str">
        <f>IF(Bauteile!D62="","",Bauteile!D62)</f>
        <v/>
      </c>
      <c r="G107" s="1303"/>
      <c r="H107" s="1307" t="str">
        <f>IF(Bauteile!E62="","",Bauteile!E62)</f>
        <v/>
      </c>
      <c r="I107" s="1307"/>
      <c r="J107" s="1309" t="str">
        <f>IF(Bauteile!F62="","",Bauteile!F62)</f>
        <v/>
      </c>
      <c r="K107" s="1309"/>
      <c r="L107" s="1307" t="str">
        <f>IF(Bauteile!N62=0,"",Bauteile!N62)</f>
        <v/>
      </c>
      <c r="M107" s="1307"/>
      <c r="N107" s="1229" t="str">
        <f>IF(Bauteile!M62="","",Bauteile!M62)</f>
        <v/>
      </c>
      <c r="O107" s="1240" t="str">
        <f>IF(Bauteile!O62="","",Bauteile!O62)</f>
        <v/>
      </c>
      <c r="Q107" s="86"/>
      <c r="R107" s="86"/>
      <c r="S107" s="86"/>
      <c r="T107" s="86"/>
      <c r="U107" s="86"/>
    </row>
    <row r="108" spans="1:21" ht="9" customHeight="1">
      <c r="A108" s="586" t="str">
        <f>IF(Bauteile!$K76&gt;Nutzung!$G$29,"*","")</f>
        <v/>
      </c>
      <c r="B108" s="1324" t="str">
        <f>IF(Bauteile!B75="","-",Bauteile!B75)</f>
        <v>-</v>
      </c>
      <c r="C108" s="1324"/>
      <c r="D108" s="1318" t="str">
        <f>IF(Bauteile!C75="","",Bauteile!C75)</f>
        <v/>
      </c>
      <c r="E108" s="1318"/>
      <c r="F108" s="1304" t="str">
        <f>IF(Bauteile!D75="","",Bauteile!D75)</f>
        <v/>
      </c>
      <c r="G108" s="1304"/>
      <c r="H108" s="1311" t="str">
        <f>IF(Bauteile!E75="","",Bauteile!E75)</f>
        <v/>
      </c>
      <c r="I108" s="1311"/>
      <c r="J108" s="1322" t="str">
        <f>IF(Bauteile!F75="","",Bauteile!F75)</f>
        <v/>
      </c>
      <c r="K108" s="1322"/>
      <c r="L108" s="1311" t="str">
        <f>IF(Bauteile!N75=0,"",Bauteile!N75)</f>
        <v/>
      </c>
      <c r="M108" s="1311"/>
      <c r="N108" s="1233" t="str">
        <f>IF(Bauteile!M75="","",Bauteile!M75)</f>
        <v/>
      </c>
      <c r="O108" s="1241" t="str">
        <f>IF(Bauteile!O75="","",Bauteile!O75)</f>
        <v/>
      </c>
      <c r="Q108" s="86"/>
      <c r="R108" s="86"/>
      <c r="S108" s="86"/>
      <c r="T108" s="86"/>
      <c r="U108" s="86"/>
    </row>
    <row r="109" spans="1:21" ht="9" customHeight="1">
      <c r="A109" s="586" t="str">
        <f>IF(Bauteile!$K89&gt;Nutzung!$G$29,"*","")</f>
        <v/>
      </c>
      <c r="B109" s="1316" t="str">
        <f>IF(Bauteile!B88="","-",Bauteile!B88)</f>
        <v>-</v>
      </c>
      <c r="C109" s="1316"/>
      <c r="D109" s="1302" t="str">
        <f>IF(Bauteile!C88="","",Bauteile!C88)</f>
        <v/>
      </c>
      <c r="E109" s="1302"/>
      <c r="F109" s="1303" t="str">
        <f>IF(Bauteile!D88="","",Bauteile!D88)</f>
        <v/>
      </c>
      <c r="G109" s="1303"/>
      <c r="H109" s="1307" t="str">
        <f>IF(Bauteile!E88="","",Bauteile!E88)</f>
        <v/>
      </c>
      <c r="I109" s="1307"/>
      <c r="J109" s="1309" t="str">
        <f>IF(Bauteile!F88="","",Bauteile!F88)</f>
        <v/>
      </c>
      <c r="K109" s="1309"/>
      <c r="L109" s="1307" t="str">
        <f>IF(Bauteile!N88=0,"",Bauteile!N88)</f>
        <v/>
      </c>
      <c r="M109" s="1307"/>
      <c r="N109" s="1229" t="str">
        <f>IF(Bauteile!M88="","",Bauteile!M88)</f>
        <v/>
      </c>
      <c r="O109" s="1240" t="str">
        <f>IF(Bauteile!O88="","",Bauteile!O88)</f>
        <v/>
      </c>
      <c r="Q109" s="86"/>
      <c r="R109" s="86"/>
      <c r="S109" s="86"/>
      <c r="T109" s="86"/>
      <c r="U109" s="86"/>
    </row>
    <row r="110" spans="1:21" ht="9" customHeight="1">
      <c r="A110" s="586" t="str">
        <f>IF(Bauteile!$K102&gt;Nutzung!$G$29,"*","")</f>
        <v/>
      </c>
      <c r="B110" s="1324" t="str">
        <f>IF(Bauteile!B101="","-",Bauteile!B101)</f>
        <v>-</v>
      </c>
      <c r="C110" s="1324"/>
      <c r="D110" s="1318" t="str">
        <f>IF(Bauteile!C101="","",Bauteile!C101)</f>
        <v/>
      </c>
      <c r="E110" s="1318"/>
      <c r="F110" s="1304" t="str">
        <f>IF(Bauteile!D101="","",Bauteile!D101)</f>
        <v/>
      </c>
      <c r="G110" s="1304"/>
      <c r="H110" s="1311" t="str">
        <f>IF(Bauteile!E101="","",Bauteile!E101)</f>
        <v/>
      </c>
      <c r="I110" s="1311"/>
      <c r="J110" s="1322" t="str">
        <f>IF(Bauteile!F101="","",Bauteile!F101)</f>
        <v/>
      </c>
      <c r="K110" s="1322"/>
      <c r="L110" s="1311" t="str">
        <f>IF(Bauteile!N101=0,"",Bauteile!N101)</f>
        <v/>
      </c>
      <c r="M110" s="1311"/>
      <c r="N110" s="1233" t="str">
        <f>IF(Bauteile!M101="","",Bauteile!M101)</f>
        <v/>
      </c>
      <c r="O110" s="1241" t="str">
        <f>IF(Bauteile!O101="","",Bauteile!O101)</f>
        <v/>
      </c>
      <c r="Q110" s="86"/>
      <c r="R110" s="86"/>
      <c r="S110" s="86"/>
      <c r="T110" s="86"/>
      <c r="U110" s="86"/>
    </row>
    <row r="111" spans="1:21" ht="9" customHeight="1">
      <c r="A111" s="586" t="str">
        <f>IF(Bauteile!$K115&gt;Nutzung!$G$29,"*","")</f>
        <v/>
      </c>
      <c r="B111" s="1316" t="str">
        <f>IF(Bauteile!B114="","-",Bauteile!B114)</f>
        <v>-</v>
      </c>
      <c r="C111" s="1316"/>
      <c r="D111" s="1302" t="str">
        <f>IF(Bauteile!C114="","",Bauteile!C114)</f>
        <v/>
      </c>
      <c r="E111" s="1302"/>
      <c r="F111" s="1303" t="str">
        <f>IF(Bauteile!D114="","",Bauteile!D114)</f>
        <v/>
      </c>
      <c r="G111" s="1303"/>
      <c r="H111" s="1307" t="str">
        <f>IF(Bauteile!E114="","",Bauteile!E114)</f>
        <v/>
      </c>
      <c r="I111" s="1307"/>
      <c r="J111" s="1309" t="str">
        <f>IF(Bauteile!F114="","",Bauteile!F114)</f>
        <v/>
      </c>
      <c r="K111" s="1309"/>
      <c r="L111" s="1307" t="str">
        <f>IF(Bauteile!N114=0,"",Bauteile!N114)</f>
        <v/>
      </c>
      <c r="M111" s="1307"/>
      <c r="N111" s="1229" t="str">
        <f>IF(Bauteile!M114="","",Bauteile!M114)</f>
        <v/>
      </c>
      <c r="O111" s="1240" t="str">
        <f>IF(Bauteile!O114="","",Bauteile!O114)</f>
        <v/>
      </c>
      <c r="Q111" s="86"/>
      <c r="R111" s="86"/>
      <c r="S111" s="86"/>
      <c r="T111" s="86"/>
      <c r="U111" s="86"/>
    </row>
    <row r="112" spans="1:21" ht="9" customHeight="1">
      <c r="A112" s="586" t="str">
        <f>IF(Bauteile!$K128&gt;Nutzung!$G$29,"*","")</f>
        <v/>
      </c>
      <c r="B112" s="1324" t="str">
        <f>IF(Bauteile!B127="","-",Bauteile!B127)</f>
        <v>-</v>
      </c>
      <c r="C112" s="1324"/>
      <c r="D112" s="1318" t="str">
        <f>IF(Bauteile!C127="","",Bauteile!C127)</f>
        <v/>
      </c>
      <c r="E112" s="1318"/>
      <c r="F112" s="1304" t="str">
        <f>IF(Bauteile!D127="","",Bauteile!D127)</f>
        <v/>
      </c>
      <c r="G112" s="1304"/>
      <c r="H112" s="1311" t="str">
        <f>IF(Bauteile!E127="","",Bauteile!E127)</f>
        <v/>
      </c>
      <c r="I112" s="1311"/>
      <c r="J112" s="1322" t="str">
        <f>IF(Bauteile!F127="","",Bauteile!F127)</f>
        <v/>
      </c>
      <c r="K112" s="1322"/>
      <c r="L112" s="1311" t="str">
        <f>IF(Bauteile!N127=0,"",Bauteile!N127)</f>
        <v/>
      </c>
      <c r="M112" s="1311"/>
      <c r="N112" s="1233" t="str">
        <f>IF(Bauteile!M127="","",Bauteile!M127)</f>
        <v/>
      </c>
      <c r="O112" s="1241" t="str">
        <f>IF(Bauteile!O127="","",Bauteile!O127)</f>
        <v/>
      </c>
      <c r="Q112" s="86"/>
      <c r="R112" s="86"/>
      <c r="S112" s="86"/>
      <c r="T112" s="86"/>
      <c r="U112" s="86"/>
    </row>
    <row r="113" spans="1:21" ht="9" customHeight="1">
      <c r="B113" s="1109"/>
      <c r="C113" s="1109"/>
      <c r="D113" s="1209"/>
      <c r="E113" s="1209"/>
      <c r="F113" s="1210"/>
      <c r="G113" s="1210"/>
      <c r="H113" s="1175"/>
      <c r="I113" s="1175"/>
      <c r="J113" s="1151"/>
      <c r="K113" s="1151"/>
      <c r="L113" s="1175"/>
      <c r="M113" s="1110"/>
      <c r="N113" s="1151"/>
      <c r="O113" s="1242"/>
      <c r="Q113" s="86"/>
      <c r="R113" s="86"/>
      <c r="S113" s="86"/>
      <c r="T113" s="86"/>
      <c r="U113" s="86"/>
    </row>
    <row r="114" spans="1:21" ht="9" customHeight="1">
      <c r="B114" s="1128" t="s">
        <v>375</v>
      </c>
      <c r="C114" s="1128"/>
      <c r="D114" s="1212"/>
      <c r="E114" s="1212"/>
      <c r="F114" s="1301" t="str">
        <f>IF(SUM(F103:G112)=0,"",(SUM(F103:G112)))</f>
        <v/>
      </c>
      <c r="G114" s="1301"/>
      <c r="H114" s="1213"/>
      <c r="I114" s="1213"/>
      <c r="J114" s="1181"/>
      <c r="K114" s="1181"/>
      <c r="L114" s="1213"/>
      <c r="M114" s="1219"/>
      <c r="N114" s="1243"/>
      <c r="O114" s="1244" t="str">
        <f>IF(SUM(O103:O112)=0,"",(SUM(O103:O112)))</f>
        <v/>
      </c>
      <c r="Q114" s="86"/>
      <c r="R114" s="86"/>
      <c r="S114" s="86"/>
      <c r="T114" s="86"/>
      <c r="U114" s="86"/>
    </row>
    <row r="115" spans="1:21" ht="9" customHeight="1">
      <c r="B115" s="89"/>
      <c r="C115" s="89"/>
      <c r="D115" s="94"/>
      <c r="E115" s="94"/>
      <c r="F115" s="591"/>
      <c r="G115" s="591"/>
      <c r="H115" s="30"/>
      <c r="I115" s="30"/>
      <c r="J115" s="28"/>
      <c r="K115" s="28"/>
      <c r="L115" s="30"/>
      <c r="M115" s="31"/>
      <c r="N115" s="92"/>
      <c r="O115" s="592"/>
      <c r="Q115" s="86"/>
      <c r="R115" s="86"/>
      <c r="S115" s="86"/>
      <c r="T115" s="86"/>
      <c r="U115" s="86"/>
    </row>
    <row r="116" spans="1:21" ht="9" customHeight="1">
      <c r="B116" s="89"/>
      <c r="C116" s="89"/>
      <c r="D116" s="94"/>
      <c r="E116" s="94"/>
      <c r="F116" s="591"/>
      <c r="G116" s="591"/>
      <c r="H116" s="30"/>
      <c r="I116" s="30"/>
      <c r="J116" s="28"/>
      <c r="K116" s="28"/>
      <c r="L116" s="30"/>
      <c r="M116" s="31"/>
      <c r="N116" s="92"/>
      <c r="O116" s="592"/>
      <c r="Q116" s="86"/>
      <c r="R116" s="86"/>
      <c r="S116" s="86"/>
      <c r="T116" s="86"/>
      <c r="U116" s="86"/>
    </row>
    <row r="117" spans="1:21" ht="9" customHeight="1">
      <c r="B117" s="89"/>
      <c r="C117" s="89"/>
      <c r="D117" s="94"/>
      <c r="E117" s="94"/>
      <c r="F117" s="95"/>
      <c r="G117" s="87"/>
      <c r="H117" s="87"/>
      <c r="I117" s="87"/>
      <c r="J117" s="28"/>
      <c r="K117" s="87"/>
      <c r="L117" s="87"/>
      <c r="M117" s="95"/>
      <c r="N117" s="87"/>
      <c r="O117" s="96"/>
      <c r="P117" s="97"/>
      <c r="Q117" s="86"/>
      <c r="R117" s="86"/>
      <c r="S117" s="86"/>
      <c r="T117" s="86"/>
      <c r="U117" s="86"/>
    </row>
    <row r="118" spans="1:21" ht="12" customHeight="1">
      <c r="B118" s="1196" t="s">
        <v>329</v>
      </c>
      <c r="C118" s="1197"/>
      <c r="D118" s="1305" t="s">
        <v>230</v>
      </c>
      <c r="E118" s="1305"/>
      <c r="F118" s="1305" t="s">
        <v>508</v>
      </c>
      <c r="G118" s="1305"/>
      <c r="H118" s="1305" t="s">
        <v>464</v>
      </c>
      <c r="I118" s="1305"/>
      <c r="J118" s="1305" t="s">
        <v>521</v>
      </c>
      <c r="K118" s="1305"/>
      <c r="L118" s="1305" t="s">
        <v>668</v>
      </c>
      <c r="M118" s="1305"/>
      <c r="N118" s="1195" t="s">
        <v>349</v>
      </c>
      <c r="O118" s="1195" t="s">
        <v>55</v>
      </c>
      <c r="P118" s="90"/>
      <c r="Q118" s="86"/>
      <c r="R118" s="86"/>
      <c r="S118" s="86"/>
      <c r="T118" s="86"/>
      <c r="U118" s="86"/>
    </row>
    <row r="119" spans="1:21" ht="10.050000000000001" customHeight="1">
      <c r="B119" s="845"/>
      <c r="C119" s="845"/>
      <c r="D119" s="1310" t="s">
        <v>206</v>
      </c>
      <c r="E119" s="1310"/>
      <c r="F119" s="1310" t="s">
        <v>552</v>
      </c>
      <c r="G119" s="1310"/>
      <c r="H119" s="1310" t="s">
        <v>181</v>
      </c>
      <c r="I119" s="1310"/>
      <c r="J119" s="1310" t="s">
        <v>372</v>
      </c>
      <c r="K119" s="1310"/>
      <c r="L119" s="1310" t="s">
        <v>200</v>
      </c>
      <c r="M119" s="1310"/>
      <c r="N119" s="1199" t="s">
        <v>372</v>
      </c>
      <c r="O119" s="1199" t="s">
        <v>364</v>
      </c>
      <c r="P119" s="93"/>
      <c r="Q119" s="86"/>
      <c r="R119" s="86"/>
      <c r="S119" s="86"/>
      <c r="T119" s="86"/>
      <c r="U119" s="86"/>
    </row>
    <row r="120" spans="1:21" ht="9" customHeight="1">
      <c r="B120" s="1152"/>
      <c r="C120" s="1200"/>
      <c r="D120" s="1152"/>
      <c r="E120" s="1110"/>
      <c r="F120" s="1152"/>
      <c r="G120" s="1152"/>
      <c r="H120" s="1152"/>
      <c r="I120" s="1152"/>
      <c r="J120" s="1152"/>
      <c r="K120" s="1152"/>
      <c r="L120" s="1152"/>
      <c r="M120" s="1152"/>
      <c r="N120" s="1152"/>
      <c r="O120" s="1152"/>
      <c r="P120" s="101"/>
      <c r="Q120" s="86"/>
      <c r="R120" s="86"/>
      <c r="S120" s="86"/>
      <c r="T120" s="86"/>
      <c r="U120" s="86"/>
    </row>
    <row r="121" spans="1:21" ht="9.75" customHeight="1">
      <c r="A121" s="586" t="str">
        <f>IF(Bauteile!$K145&gt;Nutzung!$G$29,"*","")</f>
        <v/>
      </c>
      <c r="B121" s="1316" t="str">
        <f>IF(Bauteile!B144="","-",Bauteile!B144)</f>
        <v>-</v>
      </c>
      <c r="C121" s="1316"/>
      <c r="D121" s="1302" t="str">
        <f>IF(Bauteile!C144="","",Bauteile!C144)</f>
        <v/>
      </c>
      <c r="E121" s="1302"/>
      <c r="F121" s="1303" t="str">
        <f>IF(Bauteile!D144="","",Bauteile!D144)</f>
        <v/>
      </c>
      <c r="G121" s="1303"/>
      <c r="H121" s="1307" t="str">
        <f>IF(Bauteile!E144="","",Bauteile!E144)</f>
        <v/>
      </c>
      <c r="I121" s="1307"/>
      <c r="J121" s="1307" t="str">
        <f>IF(Bauteile!F144="","",Bauteile!F144)</f>
        <v/>
      </c>
      <c r="K121" s="1307"/>
      <c r="L121" s="1307" t="str">
        <f>IF(Bauteile!N144=0,"",Bauteile!N144)</f>
        <v/>
      </c>
      <c r="M121" s="1307"/>
      <c r="N121" s="1201" t="str">
        <f>IF(Bauteile!M144="","",Bauteile!M144)</f>
        <v/>
      </c>
      <c r="O121" s="1202" t="str">
        <f>IF(Bauteile!O144="","",Bauteile!O144)</f>
        <v/>
      </c>
      <c r="P121" s="101"/>
      <c r="Q121" s="86"/>
      <c r="R121" s="86"/>
      <c r="S121" s="86"/>
      <c r="T121" s="86"/>
      <c r="U121" s="86"/>
    </row>
    <row r="122" spans="1:21" ht="9.75" customHeight="1">
      <c r="A122" s="587" t="str">
        <f>IF(Bauteile!$K158&gt;Nutzung!$G$29,"*","")</f>
        <v/>
      </c>
      <c r="B122" s="1324" t="str">
        <f>IF(Bauteile!B157="","-",Bauteile!B157)</f>
        <v>-</v>
      </c>
      <c r="C122" s="1324"/>
      <c r="D122" s="1318" t="str">
        <f>IF(Bauteile!C157="","",Bauteile!C157)</f>
        <v/>
      </c>
      <c r="E122" s="1318"/>
      <c r="F122" s="1304" t="str">
        <f>IF(Bauteile!D157="","",Bauteile!D157)</f>
        <v/>
      </c>
      <c r="G122" s="1304"/>
      <c r="H122" s="1311" t="str">
        <f>IF(Bauteile!E157="","",Bauteile!E157)</f>
        <v/>
      </c>
      <c r="I122" s="1311"/>
      <c r="J122" s="1311" t="str">
        <f>IF(Bauteile!F157="","",Bauteile!F157)</f>
        <v/>
      </c>
      <c r="K122" s="1311"/>
      <c r="L122" s="1311" t="str">
        <f>IF(Bauteile!N157=0,"",Bauteile!N157)</f>
        <v/>
      </c>
      <c r="M122" s="1311"/>
      <c r="N122" s="1203" t="str">
        <f>IF(Bauteile!M157="","",Bauteile!M157)</f>
        <v/>
      </c>
      <c r="O122" s="1204" t="str">
        <f>IF(Bauteile!O157="","",Bauteile!O157)</f>
        <v/>
      </c>
      <c r="P122" s="86"/>
      <c r="Q122" s="86"/>
      <c r="R122" s="86"/>
      <c r="S122" s="86"/>
      <c r="T122" s="86"/>
      <c r="U122" s="86"/>
    </row>
    <row r="123" spans="1:21" ht="9.75" customHeight="1">
      <c r="A123" s="586" t="str">
        <f>IF(Bauteile!$K171&gt;Nutzung!$G$29,"*","")</f>
        <v/>
      </c>
      <c r="B123" s="1316" t="str">
        <f>IF(Bauteile!B170="","-",Bauteile!B170)</f>
        <v>-</v>
      </c>
      <c r="C123" s="1316"/>
      <c r="D123" s="1302" t="str">
        <f>IF(Bauteile!C170="","",Bauteile!C170)</f>
        <v/>
      </c>
      <c r="E123" s="1302"/>
      <c r="F123" s="1303" t="str">
        <f>IF(Bauteile!D170="","",Bauteile!D170)</f>
        <v/>
      </c>
      <c r="G123" s="1303"/>
      <c r="H123" s="1307" t="str">
        <f>IF(Bauteile!E170="","",Bauteile!E170)</f>
        <v/>
      </c>
      <c r="I123" s="1307"/>
      <c r="J123" s="1307" t="str">
        <f>IF(Bauteile!F170="","",Bauteile!F170)</f>
        <v/>
      </c>
      <c r="K123" s="1307"/>
      <c r="L123" s="1307" t="str">
        <f>IF(Bauteile!N170=0,"",Bauteile!N170)</f>
        <v/>
      </c>
      <c r="M123" s="1307"/>
      <c r="N123" s="1201" t="str">
        <f>IF(Bauteile!M170="","",Bauteile!M170)</f>
        <v/>
      </c>
      <c r="O123" s="1202" t="str">
        <f>IF(Bauteile!O170="","",Bauteile!O170)</f>
        <v/>
      </c>
      <c r="P123" s="101"/>
      <c r="Q123" s="86"/>
      <c r="R123" s="86"/>
      <c r="S123" s="86"/>
      <c r="T123" s="86"/>
      <c r="U123" s="86"/>
    </row>
    <row r="124" spans="1:21" ht="9.75" customHeight="1">
      <c r="A124" s="587" t="str">
        <f>IF(Bauteile!$K184&gt;Nutzung!$G$29,"*","")</f>
        <v/>
      </c>
      <c r="B124" s="1324" t="str">
        <f>IF(Bauteile!B183="","-",Bauteile!B183)</f>
        <v>-</v>
      </c>
      <c r="C124" s="1324"/>
      <c r="D124" s="1318" t="str">
        <f>IF(Bauteile!C183="","",Bauteile!C183)</f>
        <v/>
      </c>
      <c r="E124" s="1318"/>
      <c r="F124" s="1304" t="str">
        <f>IF(Bauteile!D183="","",Bauteile!D183)</f>
        <v/>
      </c>
      <c r="G124" s="1304"/>
      <c r="H124" s="1311" t="str">
        <f>IF(Bauteile!E183="","",Bauteile!E183)</f>
        <v/>
      </c>
      <c r="I124" s="1311"/>
      <c r="J124" s="1311" t="str">
        <f>IF(Bauteile!F183="","",Bauteile!F183)</f>
        <v/>
      </c>
      <c r="K124" s="1311"/>
      <c r="L124" s="1311" t="str">
        <f>IF(Bauteile!N183=0,"",Bauteile!N183)</f>
        <v/>
      </c>
      <c r="M124" s="1311"/>
      <c r="N124" s="1203" t="str">
        <f>IF(Bauteile!M183="","",Bauteile!M183)</f>
        <v/>
      </c>
      <c r="O124" s="1204" t="str">
        <f>IF(Bauteile!O183="","",Bauteile!O183)</f>
        <v/>
      </c>
      <c r="P124" s="86"/>
      <c r="Q124" s="86"/>
      <c r="R124" s="86"/>
      <c r="S124" s="86"/>
      <c r="T124" s="86"/>
      <c r="U124" s="86"/>
    </row>
    <row r="125" spans="1:21" ht="9.75" customHeight="1">
      <c r="A125" s="586" t="str">
        <f>IF(Bauteile!$K197&gt;Nutzung!$G$29,"*","")</f>
        <v/>
      </c>
      <c r="B125" s="1316" t="str">
        <f>IF(Bauteile!B196="","-",Bauteile!B196)</f>
        <v>-</v>
      </c>
      <c r="C125" s="1316"/>
      <c r="D125" s="1302" t="str">
        <f>IF(Bauteile!C196="","",Bauteile!C196)</f>
        <v/>
      </c>
      <c r="E125" s="1302"/>
      <c r="F125" s="1303" t="str">
        <f>IF(Bauteile!D196="","",Bauteile!D196)</f>
        <v/>
      </c>
      <c r="G125" s="1303"/>
      <c r="H125" s="1307" t="str">
        <f>IF(Bauteile!E196="","",Bauteile!E196)</f>
        <v/>
      </c>
      <c r="I125" s="1307"/>
      <c r="J125" s="1307" t="str">
        <f>IF(Bauteile!F196="","",Bauteile!F196)</f>
        <v/>
      </c>
      <c r="K125" s="1307"/>
      <c r="L125" s="1307" t="str">
        <f>IF(Bauteile!N196=0,"",Bauteile!N196)</f>
        <v/>
      </c>
      <c r="M125" s="1307"/>
      <c r="N125" s="1201" t="str">
        <f>IF(Bauteile!M196="","",Bauteile!M196)</f>
        <v/>
      </c>
      <c r="O125" s="1202" t="str">
        <f>IF(Bauteile!O196="","",Bauteile!O196)</f>
        <v/>
      </c>
      <c r="P125" s="101"/>
      <c r="Q125" s="86"/>
      <c r="R125" s="86"/>
      <c r="S125" s="86"/>
      <c r="T125" s="86"/>
      <c r="U125" s="86"/>
    </row>
    <row r="126" spans="1:21" ht="9.75" customHeight="1">
      <c r="A126" s="587" t="str">
        <f>IF(Bauteile!$K210&gt;Nutzung!$G$29,"*","")</f>
        <v/>
      </c>
      <c r="B126" s="1324" t="str">
        <f>IF(Bauteile!B209="","-",Bauteile!B209)</f>
        <v>-</v>
      </c>
      <c r="C126" s="1324"/>
      <c r="D126" s="1318" t="str">
        <f>IF(Bauteile!C209="","",Bauteile!C209)</f>
        <v/>
      </c>
      <c r="E126" s="1318"/>
      <c r="F126" s="1304" t="str">
        <f>IF(Bauteile!D209="","",Bauteile!D209)</f>
        <v/>
      </c>
      <c r="G126" s="1304"/>
      <c r="H126" s="1311" t="str">
        <f>IF(Bauteile!E209="","",Bauteile!E209)</f>
        <v/>
      </c>
      <c r="I126" s="1311"/>
      <c r="J126" s="1311" t="str">
        <f>IF(Bauteile!F209="","",Bauteile!F209)</f>
        <v/>
      </c>
      <c r="K126" s="1311"/>
      <c r="L126" s="1311" t="str">
        <f>IF(Bauteile!N209=0,"",Bauteile!N209)</f>
        <v/>
      </c>
      <c r="M126" s="1311"/>
      <c r="N126" s="1203" t="str">
        <f>IF(Bauteile!M209="","",Bauteile!M209)</f>
        <v/>
      </c>
      <c r="O126" s="1204" t="str">
        <f>IF(Bauteile!O209="","",Bauteile!O209)</f>
        <v/>
      </c>
      <c r="P126" s="86"/>
      <c r="Q126" s="86"/>
      <c r="R126" s="86"/>
      <c r="S126" s="86"/>
      <c r="T126" s="86"/>
      <c r="U126" s="86"/>
    </row>
    <row r="127" spans="1:21" ht="9.75" customHeight="1">
      <c r="A127" s="586" t="str">
        <f>IF(Bauteile!$K223&gt;Nutzung!$G$29,"*","")</f>
        <v/>
      </c>
      <c r="B127" s="1316" t="str">
        <f>IF(Bauteile!B222="","-",Bauteile!B222)</f>
        <v>-</v>
      </c>
      <c r="C127" s="1316"/>
      <c r="D127" s="1302" t="str">
        <f>IF(Bauteile!C222="","",Bauteile!C222)</f>
        <v/>
      </c>
      <c r="E127" s="1302"/>
      <c r="F127" s="1303" t="str">
        <f>IF(Bauteile!D222="","",Bauteile!D222)</f>
        <v/>
      </c>
      <c r="G127" s="1303"/>
      <c r="H127" s="1307" t="str">
        <f>IF(Bauteile!E222="","",Bauteile!E222)</f>
        <v/>
      </c>
      <c r="I127" s="1307"/>
      <c r="J127" s="1307" t="str">
        <f>IF(Bauteile!F222="","",Bauteile!F222)</f>
        <v/>
      </c>
      <c r="K127" s="1307"/>
      <c r="L127" s="1307" t="str">
        <f>IF(Bauteile!N222=0,"",Bauteile!N222)</f>
        <v/>
      </c>
      <c r="M127" s="1307"/>
      <c r="N127" s="1201" t="str">
        <f>IF(Bauteile!M222="","",Bauteile!M222)</f>
        <v/>
      </c>
      <c r="O127" s="1202" t="str">
        <f>IF(Bauteile!O222="","",Bauteile!O222)</f>
        <v/>
      </c>
      <c r="P127" s="101"/>
      <c r="Q127" s="86"/>
      <c r="R127" s="86"/>
      <c r="S127" s="86"/>
      <c r="T127" s="86"/>
      <c r="U127" s="86"/>
    </row>
    <row r="128" spans="1:21" ht="9.75" customHeight="1">
      <c r="A128" s="587" t="str">
        <f>IF(Bauteile!$K236&gt;Nutzung!$G$29,"*","")</f>
        <v/>
      </c>
      <c r="B128" s="1324" t="str">
        <f>IF(Bauteile!B235="","-",Bauteile!B235)</f>
        <v>-</v>
      </c>
      <c r="C128" s="1324"/>
      <c r="D128" s="1318" t="str">
        <f>IF(Bauteile!C235="","",Bauteile!C235)</f>
        <v/>
      </c>
      <c r="E128" s="1318"/>
      <c r="F128" s="1304" t="str">
        <f>IF(Bauteile!D235="","",Bauteile!D235)</f>
        <v/>
      </c>
      <c r="G128" s="1304"/>
      <c r="H128" s="1311" t="str">
        <f>IF(Bauteile!E235="","",Bauteile!E235)</f>
        <v/>
      </c>
      <c r="I128" s="1311"/>
      <c r="J128" s="1311" t="str">
        <f>IF(Bauteile!F235="","",Bauteile!F235)</f>
        <v/>
      </c>
      <c r="K128" s="1311"/>
      <c r="L128" s="1311" t="str">
        <f>IF(Bauteile!N235=0,"",Bauteile!N235)</f>
        <v/>
      </c>
      <c r="M128" s="1311"/>
      <c r="N128" s="1203" t="str">
        <f>IF(Bauteile!M235="","",Bauteile!M235)</f>
        <v/>
      </c>
      <c r="O128" s="1204" t="str">
        <f>IF(Bauteile!O235="","",Bauteile!O235)</f>
        <v/>
      </c>
      <c r="P128" s="86"/>
      <c r="Q128" s="86"/>
      <c r="R128" s="86"/>
      <c r="S128" s="86"/>
      <c r="T128" s="86"/>
      <c r="U128" s="86"/>
    </row>
    <row r="129" spans="1:21" ht="9.75" customHeight="1">
      <c r="A129" s="586" t="str">
        <f>IF(Bauteile!$K249&gt;Nutzung!$G$29,"*","")</f>
        <v/>
      </c>
      <c r="B129" s="1316" t="str">
        <f>IF(Bauteile!B248="","-",Bauteile!B248)</f>
        <v>-</v>
      </c>
      <c r="C129" s="1316"/>
      <c r="D129" s="1302" t="str">
        <f>IF(Bauteile!C248="","",Bauteile!C248)</f>
        <v/>
      </c>
      <c r="E129" s="1302"/>
      <c r="F129" s="1303" t="str">
        <f>IF(Bauteile!D248="","",Bauteile!D248)</f>
        <v/>
      </c>
      <c r="G129" s="1303"/>
      <c r="H129" s="1307" t="str">
        <f>IF(Bauteile!E248="","",Bauteile!E248)</f>
        <v/>
      </c>
      <c r="I129" s="1307"/>
      <c r="J129" s="1307" t="str">
        <f>IF(Bauteile!F248="","",Bauteile!F248)</f>
        <v/>
      </c>
      <c r="K129" s="1307"/>
      <c r="L129" s="1307" t="str">
        <f>IF(Bauteile!N248=0,"",Bauteile!N248)</f>
        <v/>
      </c>
      <c r="M129" s="1307"/>
      <c r="N129" s="1201" t="str">
        <f>IF(Bauteile!M248="","",Bauteile!M248)</f>
        <v/>
      </c>
      <c r="O129" s="1202" t="str">
        <f>IF(Bauteile!O248="","",Bauteile!O248)</f>
        <v/>
      </c>
      <c r="P129" s="101"/>
      <c r="Q129" s="86"/>
      <c r="R129" s="86"/>
      <c r="S129" s="86"/>
      <c r="T129" s="86"/>
      <c r="U129" s="86"/>
    </row>
    <row r="130" spans="1:21" ht="9.75" customHeight="1">
      <c r="A130" s="587" t="str">
        <f>IF(Bauteile!$K262&gt;Nutzung!$G$29,"*","")</f>
        <v/>
      </c>
      <c r="B130" s="1324" t="str">
        <f>IF(Bauteile!B261="","-",Bauteile!B261)</f>
        <v>-</v>
      </c>
      <c r="C130" s="1324"/>
      <c r="D130" s="1318" t="str">
        <f>IF(Bauteile!C261="","",Bauteile!C261)</f>
        <v/>
      </c>
      <c r="E130" s="1318"/>
      <c r="F130" s="1304" t="str">
        <f>IF(Bauteile!D261="","",Bauteile!D261)</f>
        <v/>
      </c>
      <c r="G130" s="1304"/>
      <c r="H130" s="1311" t="str">
        <f>IF(Bauteile!E261="","",Bauteile!E261)</f>
        <v/>
      </c>
      <c r="I130" s="1311"/>
      <c r="J130" s="1311" t="str">
        <f>IF(Bauteile!F261="","",Bauteile!F261)</f>
        <v/>
      </c>
      <c r="K130" s="1311"/>
      <c r="L130" s="1311" t="str">
        <f>IF(Bauteile!N261=0,"",Bauteile!N261)</f>
        <v/>
      </c>
      <c r="M130" s="1311"/>
      <c r="N130" s="1203" t="str">
        <f>IF(Bauteile!M261="","",Bauteile!M261)</f>
        <v/>
      </c>
      <c r="O130" s="1204" t="str">
        <f>IF(Bauteile!O261="","",Bauteile!O261)</f>
        <v/>
      </c>
      <c r="P130" s="97"/>
      <c r="Q130" s="86"/>
      <c r="R130" s="86"/>
      <c r="S130" s="86"/>
      <c r="T130" s="86"/>
      <c r="U130" s="86"/>
    </row>
    <row r="131" spans="1:21" ht="9" customHeight="1">
      <c r="A131" s="89"/>
      <c r="B131" s="1109"/>
      <c r="C131" s="1151"/>
      <c r="D131" s="1209"/>
      <c r="E131" s="1209"/>
      <c r="F131" s="1210"/>
      <c r="G131" s="1210"/>
      <c r="H131" s="1151"/>
      <c r="I131" s="1175"/>
      <c r="J131" s="1151"/>
      <c r="K131" s="1151"/>
      <c r="L131" s="1151"/>
      <c r="M131" s="1175"/>
      <c r="N131" s="1209"/>
      <c r="O131" s="1211"/>
      <c r="P131" s="97"/>
      <c r="Q131" s="86"/>
      <c r="R131" s="86"/>
      <c r="S131" s="86"/>
      <c r="T131" s="86"/>
      <c r="U131" s="86"/>
    </row>
    <row r="132" spans="1:21" ht="9.75" customHeight="1">
      <c r="B132" s="1128" t="s">
        <v>375</v>
      </c>
      <c r="C132" s="1181"/>
      <c r="D132" s="1212"/>
      <c r="E132" s="1212"/>
      <c r="F132" s="1301" t="str">
        <f>IF(SUM(F121:G130)=0,"",SUM(F121:G130))</f>
        <v/>
      </c>
      <c r="G132" s="1301"/>
      <c r="H132" s="1181"/>
      <c r="I132" s="1213"/>
      <c r="J132" s="1181"/>
      <c r="K132" s="1181"/>
      <c r="L132" s="1181"/>
      <c r="M132" s="1213"/>
      <c r="N132" s="1234"/>
      <c r="O132" s="1235" t="str">
        <f>IF(SUM(O121:O130)=0,"",SUM(O121:O130))</f>
        <v/>
      </c>
      <c r="P132" s="97"/>
      <c r="Q132" s="86"/>
      <c r="R132" s="86"/>
      <c r="S132" s="86"/>
      <c r="T132" s="86"/>
      <c r="U132" s="86"/>
    </row>
    <row r="133" spans="1:21" ht="9" customHeight="1">
      <c r="B133" s="89"/>
      <c r="C133" s="87"/>
      <c r="D133" s="94"/>
      <c r="E133" s="94"/>
      <c r="F133" s="95"/>
      <c r="G133" s="87"/>
      <c r="H133" s="87"/>
      <c r="I133" s="95"/>
      <c r="J133" s="28"/>
      <c r="K133" s="87"/>
      <c r="L133" s="87"/>
      <c r="M133" s="95"/>
      <c r="N133" s="94"/>
      <c r="O133" s="98"/>
      <c r="P133" s="97"/>
      <c r="Q133" s="86"/>
      <c r="R133" s="86"/>
      <c r="S133" s="86"/>
      <c r="T133" s="86"/>
      <c r="U133" s="86"/>
    </row>
    <row r="134" spans="1:21" ht="9" customHeight="1">
      <c r="B134" s="89"/>
      <c r="C134" s="87"/>
      <c r="D134" s="94"/>
      <c r="E134" s="94"/>
      <c r="F134" s="95"/>
      <c r="G134" s="87"/>
      <c r="H134" s="87"/>
      <c r="I134" s="95"/>
      <c r="J134" s="28"/>
      <c r="K134" s="87"/>
      <c r="L134" s="87"/>
      <c r="M134" s="95"/>
      <c r="N134" s="94"/>
      <c r="O134" s="98"/>
      <c r="P134" s="97"/>
      <c r="Q134" s="86"/>
      <c r="R134" s="86"/>
      <c r="S134" s="86"/>
      <c r="T134" s="86"/>
      <c r="U134" s="86"/>
    </row>
    <row r="135" spans="1:21" ht="9" customHeight="1">
      <c r="B135" s="89"/>
      <c r="C135" s="87"/>
      <c r="D135" s="94"/>
      <c r="E135" s="94"/>
      <c r="F135" s="95"/>
      <c r="G135" s="87"/>
      <c r="H135" s="87"/>
      <c r="I135" s="95"/>
      <c r="J135" s="28"/>
      <c r="K135" s="87"/>
      <c r="L135" s="87"/>
      <c r="M135" s="95"/>
      <c r="N135" s="94"/>
      <c r="O135" s="98"/>
      <c r="P135" s="97"/>
      <c r="Q135" s="86"/>
      <c r="R135" s="86"/>
      <c r="S135" s="86"/>
      <c r="T135" s="86"/>
      <c r="U135" s="86"/>
    </row>
    <row r="136" spans="1:21" ht="12" customHeight="1">
      <c r="B136" s="1196" t="s">
        <v>299</v>
      </c>
      <c r="C136" s="1195" t="s">
        <v>377</v>
      </c>
      <c r="D136" s="1305" t="s">
        <v>508</v>
      </c>
      <c r="E136" s="1305"/>
      <c r="F136" s="1195" t="s">
        <v>464</v>
      </c>
      <c r="G136" s="1195" t="s">
        <v>51</v>
      </c>
      <c r="H136" s="1195" t="s">
        <v>187</v>
      </c>
      <c r="I136" s="1195" t="s">
        <v>699</v>
      </c>
      <c r="J136" s="1195" t="s">
        <v>700</v>
      </c>
      <c r="K136" s="1195" t="s">
        <v>701</v>
      </c>
      <c r="L136" s="1195" t="s">
        <v>701</v>
      </c>
      <c r="M136" s="1195" t="s">
        <v>668</v>
      </c>
      <c r="N136" s="1195" t="s">
        <v>349</v>
      </c>
      <c r="O136" s="1195" t="s">
        <v>55</v>
      </c>
      <c r="P136" s="90"/>
      <c r="Q136" s="86"/>
      <c r="R136" s="86"/>
      <c r="S136" s="86"/>
      <c r="T136" s="86"/>
      <c r="U136" s="86"/>
    </row>
    <row r="137" spans="1:21" ht="10.050000000000001" customHeight="1">
      <c r="B137" s="845"/>
      <c r="C137" s="1199" t="s">
        <v>372</v>
      </c>
      <c r="D137" s="1310" t="s">
        <v>552</v>
      </c>
      <c r="E137" s="1310"/>
      <c r="F137" s="1199" t="s">
        <v>181</v>
      </c>
      <c r="G137" s="1199" t="s">
        <v>372</v>
      </c>
      <c r="H137" s="1199" t="s">
        <v>372</v>
      </c>
      <c r="I137" s="1199" t="str">
        <f>IF(I139&gt;1,"[°]","[-]")</f>
        <v>[°]</v>
      </c>
      <c r="J137" s="1199" t="s">
        <v>109</v>
      </c>
      <c r="K137" s="1199" t="s">
        <v>109</v>
      </c>
      <c r="L137" s="1199" t="s">
        <v>109</v>
      </c>
      <c r="M137" s="1199" t="s">
        <v>200</v>
      </c>
      <c r="N137" s="1199" t="s">
        <v>372</v>
      </c>
      <c r="O137" s="1199" t="s">
        <v>364</v>
      </c>
      <c r="P137" s="93"/>
      <c r="Q137" s="86"/>
      <c r="R137" s="86"/>
      <c r="S137" s="86"/>
      <c r="T137" s="86"/>
      <c r="U137" s="86"/>
    </row>
    <row r="138" spans="1:21" ht="9" customHeight="1">
      <c r="B138" s="1152"/>
      <c r="C138" s="1200"/>
      <c r="D138" s="1152"/>
      <c r="E138" s="1110"/>
      <c r="F138" s="1152"/>
      <c r="G138" s="1152"/>
      <c r="H138" s="1152"/>
      <c r="I138" s="1152"/>
      <c r="J138" s="1152"/>
      <c r="K138" s="1152"/>
      <c r="L138" s="1152"/>
      <c r="M138" s="1152"/>
      <c r="N138" s="1152"/>
      <c r="O138" s="1152"/>
      <c r="P138" s="101"/>
      <c r="Q138" s="86"/>
      <c r="R138" s="86"/>
      <c r="S138" s="86"/>
      <c r="T138" s="86"/>
      <c r="U138" s="86"/>
    </row>
    <row r="139" spans="1:21" ht="9.75" customHeight="1">
      <c r="A139" s="586" t="str">
        <f>IF(Bauteile!$G280&gt;Nutzung!$G$29,"**","")</f>
        <v/>
      </c>
      <c r="B139" s="1228" t="str">
        <f>IF(Bauteile!B278="","-",Bauteile!B278)</f>
        <v>-</v>
      </c>
      <c r="C139" s="1229" t="str">
        <f>IF(Bauteile!C278="","",Bauteile!C278)</f>
        <v/>
      </c>
      <c r="D139" s="1303" t="str">
        <f>IF(Bauteile!D278="","",Bauteile!D278)</f>
        <v/>
      </c>
      <c r="E139" s="1303"/>
      <c r="F139" s="1230" t="str">
        <f>IF(Bauteile!E278="","",Bauteile!E278)</f>
        <v/>
      </c>
      <c r="G139" s="1230" t="str">
        <f>IF(Bauteile!F278="","",Bauteile!F278)</f>
        <v/>
      </c>
      <c r="H139" s="1230" t="str">
        <f>IF(Bauteile!B278="","",Bauteile!G278)</f>
        <v/>
      </c>
      <c r="I139" s="1245" t="str">
        <f>IF(Bauteile!H278="","",Bauteile!H278)</f>
        <v/>
      </c>
      <c r="J139" s="1229" t="str">
        <f>IF(Bauteile!I278="","",Bauteile!I278)</f>
        <v/>
      </c>
      <c r="K139" s="1229" t="str">
        <f>IF(Bauteile!J278="","",Bauteile!J278)</f>
        <v/>
      </c>
      <c r="L139" s="1229" t="str">
        <f>IF(Bauteile!K278="","",Bauteile!K278)</f>
        <v/>
      </c>
      <c r="M139" s="1230" t="str">
        <f>IF(Bauteile!N278=0,"",Bauteile!N278)</f>
        <v/>
      </c>
      <c r="N139" s="1201" t="str">
        <f>IF(Bauteile!M278="","",Bauteile!M278)</f>
        <v/>
      </c>
      <c r="O139" s="1202" t="str">
        <f>IF(Bauteile!O278="","",Bauteile!O278)</f>
        <v/>
      </c>
      <c r="P139" s="101"/>
      <c r="Q139" s="86"/>
      <c r="R139" s="86"/>
      <c r="S139" s="86"/>
      <c r="T139" s="86"/>
      <c r="U139" s="86"/>
    </row>
    <row r="140" spans="1:21" ht="9.75" customHeight="1">
      <c r="A140" s="586" t="str">
        <f>IF(Bauteile!$G294&gt;Nutzung!$G$29,"**","")</f>
        <v/>
      </c>
      <c r="B140" s="1183" t="str">
        <f>IF(Bauteile!B292="","-",Bauteile!B292)</f>
        <v>-</v>
      </c>
      <c r="C140" s="1231" t="str">
        <f>IF(Bauteile!C292="","",Bauteile!C292)</f>
        <v/>
      </c>
      <c r="D140" s="1304" t="str">
        <f>IF(Bauteile!D292="","",Bauteile!D292)</f>
        <v/>
      </c>
      <c r="E140" s="1304"/>
      <c r="F140" s="1232" t="str">
        <f>IF(Bauteile!E292="","",Bauteile!E292)</f>
        <v/>
      </c>
      <c r="G140" s="1232" t="str">
        <f>IF(Bauteile!F292="","",Bauteile!F292)</f>
        <v/>
      </c>
      <c r="H140" s="1232" t="str">
        <f>IF(Bauteile!B292="","",Bauteile!G292)</f>
        <v/>
      </c>
      <c r="I140" s="1246" t="str">
        <f>IF(Bauteile!H292="","",Bauteile!H292)</f>
        <v/>
      </c>
      <c r="J140" s="1233" t="str">
        <f>IF(Bauteile!I292="","",Bauteile!I292)</f>
        <v/>
      </c>
      <c r="K140" s="1233" t="str">
        <f>IF(Bauteile!J292="","",Bauteile!J292)</f>
        <v/>
      </c>
      <c r="L140" s="1233" t="str">
        <f>IF(Bauteile!K292="","",Bauteile!K292)</f>
        <v/>
      </c>
      <c r="M140" s="1232" t="str">
        <f>IF(Bauteile!N292=0,"",Bauteile!N292)</f>
        <v/>
      </c>
      <c r="N140" s="1203" t="str">
        <f>IF(Bauteile!M292="","",Bauteile!M292)</f>
        <v/>
      </c>
      <c r="O140" s="1204" t="str">
        <f>IF(Bauteile!O292="","",Bauteile!O292)</f>
        <v/>
      </c>
      <c r="P140" s="86"/>
      <c r="Q140" s="86"/>
      <c r="R140" s="86"/>
      <c r="S140" s="86"/>
      <c r="T140" s="86"/>
      <c r="U140" s="86"/>
    </row>
    <row r="141" spans="1:21" ht="9.75" customHeight="1">
      <c r="A141" s="586" t="str">
        <f>IF(Bauteile!$G308&gt;Nutzung!$G$29,"**","")</f>
        <v/>
      </c>
      <c r="B141" s="1228" t="str">
        <f>IF(Bauteile!B306="","-",Bauteile!B306)</f>
        <v>-</v>
      </c>
      <c r="C141" s="1229" t="str">
        <f>IF(Bauteile!C306="","",Bauteile!C306)</f>
        <v/>
      </c>
      <c r="D141" s="1303" t="str">
        <f>IF(Bauteile!D306="","",Bauteile!D306)</f>
        <v/>
      </c>
      <c r="E141" s="1303"/>
      <c r="F141" s="1230" t="str">
        <f>IF(Bauteile!E306="","",Bauteile!E306)</f>
        <v/>
      </c>
      <c r="G141" s="1230" t="str">
        <f>IF(Bauteile!F306="","",Bauteile!F306)</f>
        <v/>
      </c>
      <c r="H141" s="1230" t="str">
        <f>IF(Bauteile!B306="","",Bauteile!G306)</f>
        <v/>
      </c>
      <c r="I141" s="1245" t="str">
        <f>IF(Bauteile!H306="","",Bauteile!H306)</f>
        <v/>
      </c>
      <c r="J141" s="1229" t="str">
        <f>IF(Bauteile!I306="","",Bauteile!I306)</f>
        <v/>
      </c>
      <c r="K141" s="1229" t="str">
        <f>IF(Bauteile!J306="","",Bauteile!J306)</f>
        <v/>
      </c>
      <c r="L141" s="1229" t="str">
        <f>IF(Bauteile!K306="","",Bauteile!K306)</f>
        <v/>
      </c>
      <c r="M141" s="1230" t="str">
        <f>IF(Bauteile!N306=0,"",Bauteile!N306)</f>
        <v/>
      </c>
      <c r="N141" s="1201" t="str">
        <f>IF(Bauteile!M306="","",Bauteile!M306)</f>
        <v/>
      </c>
      <c r="O141" s="1202" t="str">
        <f>IF(Bauteile!O306="","",Bauteile!O306)</f>
        <v/>
      </c>
      <c r="P141" s="101"/>
      <c r="Q141" s="86"/>
      <c r="R141" s="86"/>
      <c r="S141" s="86"/>
      <c r="T141" s="86"/>
      <c r="U141" s="86"/>
    </row>
    <row r="142" spans="1:21" ht="9.75" customHeight="1">
      <c r="A142" s="586" t="str">
        <f>IF(Bauteile!$G322&gt;Nutzung!$G$29,"**","")</f>
        <v/>
      </c>
      <c r="B142" s="1183" t="str">
        <f>IF(Bauteile!B320="","-",Bauteile!B320)</f>
        <v>-</v>
      </c>
      <c r="C142" s="1231" t="str">
        <f>IF(Bauteile!C320="","",Bauteile!C320)</f>
        <v/>
      </c>
      <c r="D142" s="1304" t="str">
        <f>IF(Bauteile!D320="","",Bauteile!D320)</f>
        <v/>
      </c>
      <c r="E142" s="1304"/>
      <c r="F142" s="1232" t="str">
        <f>IF(Bauteile!E320="","",Bauteile!E320)</f>
        <v/>
      </c>
      <c r="G142" s="1232" t="str">
        <f>IF(Bauteile!F320="","",Bauteile!F320)</f>
        <v/>
      </c>
      <c r="H142" s="1232" t="str">
        <f>IF(Bauteile!B320="","",Bauteile!G320)</f>
        <v/>
      </c>
      <c r="I142" s="1246" t="str">
        <f>IF(Bauteile!H320="","",Bauteile!H320)</f>
        <v/>
      </c>
      <c r="J142" s="1233" t="str">
        <f>IF(Bauteile!I320="","",Bauteile!I320)</f>
        <v/>
      </c>
      <c r="K142" s="1233" t="str">
        <f>IF(Bauteile!J320="","",Bauteile!J320)</f>
        <v/>
      </c>
      <c r="L142" s="1233" t="str">
        <f>IF(Bauteile!K320="","",Bauteile!K320)</f>
        <v/>
      </c>
      <c r="M142" s="1232" t="str">
        <f>IF(Bauteile!N320=0,"",Bauteile!N320)</f>
        <v/>
      </c>
      <c r="N142" s="1203" t="str">
        <f>IF(Bauteile!M320="","",Bauteile!M320)</f>
        <v/>
      </c>
      <c r="O142" s="1204" t="str">
        <f>IF(Bauteile!O320="","",Bauteile!O320)</f>
        <v/>
      </c>
      <c r="P142" s="86"/>
      <c r="Q142" s="86"/>
      <c r="R142" s="86"/>
      <c r="S142" s="86"/>
      <c r="T142" s="86"/>
      <c r="U142" s="86"/>
    </row>
    <row r="143" spans="1:21" ht="9.75" customHeight="1">
      <c r="A143" s="586" t="str">
        <f>IF(Bauteile!$G336&gt;Nutzung!$G$29,"**","")</f>
        <v/>
      </c>
      <c r="B143" s="1228" t="str">
        <f>IF(Bauteile!B334="","-",Bauteile!B334)</f>
        <v>-</v>
      </c>
      <c r="C143" s="1229" t="str">
        <f>IF(Bauteile!C334="","",Bauteile!C334)</f>
        <v/>
      </c>
      <c r="D143" s="1303" t="str">
        <f>IF(Bauteile!D334="","",Bauteile!D334)</f>
        <v/>
      </c>
      <c r="E143" s="1303"/>
      <c r="F143" s="1230" t="str">
        <f>IF(Bauteile!E334="","",Bauteile!E334)</f>
        <v/>
      </c>
      <c r="G143" s="1230" t="str">
        <f>IF(Bauteile!F334="","",Bauteile!F334)</f>
        <v/>
      </c>
      <c r="H143" s="1230" t="str">
        <f>IF(Bauteile!B334="","",Bauteile!G334)</f>
        <v/>
      </c>
      <c r="I143" s="1245" t="str">
        <f>IF(Bauteile!H334="","",Bauteile!H334)</f>
        <v/>
      </c>
      <c r="J143" s="1229" t="str">
        <f>IF(Bauteile!I334="","",Bauteile!I334)</f>
        <v/>
      </c>
      <c r="K143" s="1229" t="str">
        <f>IF(Bauteile!J334="","",Bauteile!J334)</f>
        <v/>
      </c>
      <c r="L143" s="1229" t="str">
        <f>IF(Bauteile!K334="","",Bauteile!K334)</f>
        <v/>
      </c>
      <c r="M143" s="1230" t="str">
        <f>IF(Bauteile!N334=0,"",Bauteile!N334)</f>
        <v/>
      </c>
      <c r="N143" s="1201" t="str">
        <f>IF(Bauteile!M334="","",Bauteile!M334)</f>
        <v/>
      </c>
      <c r="O143" s="1202" t="str">
        <f>IF(Bauteile!O334="","",Bauteile!O334)</f>
        <v/>
      </c>
      <c r="P143" s="101"/>
      <c r="Q143" s="86"/>
      <c r="R143" s="86"/>
      <c r="S143" s="86"/>
      <c r="T143" s="86"/>
      <c r="U143" s="86"/>
    </row>
    <row r="144" spans="1:21" ht="9.75" customHeight="1">
      <c r="A144" s="586" t="str">
        <f>IF(Bauteile!$G350&gt;Nutzung!$G$29,"**","")</f>
        <v/>
      </c>
      <c r="B144" s="1183" t="str">
        <f>IF(Bauteile!B348="","-",Bauteile!B348)</f>
        <v>-</v>
      </c>
      <c r="C144" s="1231" t="str">
        <f>IF(Bauteile!C348="","",Bauteile!C348)</f>
        <v/>
      </c>
      <c r="D144" s="1304" t="str">
        <f>IF(Bauteile!D348="","",Bauteile!D348)</f>
        <v/>
      </c>
      <c r="E144" s="1304"/>
      <c r="F144" s="1232" t="str">
        <f>IF(Bauteile!E348="","",Bauteile!E348)</f>
        <v/>
      </c>
      <c r="G144" s="1232" t="str">
        <f>IF(Bauteile!F348="","",Bauteile!F348)</f>
        <v/>
      </c>
      <c r="H144" s="1232" t="str">
        <f>IF(Bauteile!B348="","",Bauteile!G348)</f>
        <v/>
      </c>
      <c r="I144" s="1246" t="str">
        <f>IF(Bauteile!H348="","",Bauteile!H348)</f>
        <v/>
      </c>
      <c r="J144" s="1233" t="str">
        <f>IF(Bauteile!I348="","",Bauteile!I348)</f>
        <v/>
      </c>
      <c r="K144" s="1233" t="str">
        <f>IF(Bauteile!J348="","",Bauteile!J348)</f>
        <v/>
      </c>
      <c r="L144" s="1233" t="str">
        <f>IF(Bauteile!K348="","",Bauteile!K348)</f>
        <v/>
      </c>
      <c r="M144" s="1232" t="str">
        <f>IF(Bauteile!N348=0,"",Bauteile!N348)</f>
        <v/>
      </c>
      <c r="N144" s="1203" t="str">
        <f>IF(Bauteile!M348="","",Bauteile!M348)</f>
        <v/>
      </c>
      <c r="O144" s="1204" t="str">
        <f>IF(Bauteile!O348="","",Bauteile!O348)</f>
        <v/>
      </c>
      <c r="P144" s="86"/>
      <c r="Q144" s="86"/>
      <c r="R144" s="86"/>
      <c r="S144" s="86"/>
      <c r="T144" s="86"/>
      <c r="U144" s="86"/>
    </row>
    <row r="145" spans="1:21" ht="9.75" customHeight="1">
      <c r="A145" s="586" t="str">
        <f>IF(Bauteile!$G364&gt;Nutzung!$G$29,"**","")</f>
        <v/>
      </c>
      <c r="B145" s="1228" t="str">
        <f>IF(Bauteile!B362="","-",Bauteile!B362)</f>
        <v>-</v>
      </c>
      <c r="C145" s="1229" t="str">
        <f>IF(Bauteile!C362="","",Bauteile!C362)</f>
        <v/>
      </c>
      <c r="D145" s="1303" t="str">
        <f>IF(Bauteile!D362="","",Bauteile!D362)</f>
        <v/>
      </c>
      <c r="E145" s="1303"/>
      <c r="F145" s="1230" t="str">
        <f>IF(Bauteile!E362="","",Bauteile!E362)</f>
        <v/>
      </c>
      <c r="G145" s="1230" t="str">
        <f>IF(Bauteile!F362="","",Bauteile!F362)</f>
        <v/>
      </c>
      <c r="H145" s="1230" t="str">
        <f>IF(Bauteile!B362="","",Bauteile!G362)</f>
        <v/>
      </c>
      <c r="I145" s="1245" t="str">
        <f>IF(Bauteile!H362="","",Bauteile!H362)</f>
        <v/>
      </c>
      <c r="J145" s="1229" t="str">
        <f>IF(Bauteile!I362="","",Bauteile!I362)</f>
        <v/>
      </c>
      <c r="K145" s="1229" t="str">
        <f>IF(Bauteile!J362="","",Bauteile!J362)</f>
        <v/>
      </c>
      <c r="L145" s="1229" t="str">
        <f>IF(Bauteile!K362="","",Bauteile!K362)</f>
        <v/>
      </c>
      <c r="M145" s="1230" t="str">
        <f>IF(Bauteile!N362=0,"",Bauteile!N362)</f>
        <v/>
      </c>
      <c r="N145" s="1201" t="str">
        <f>IF(Bauteile!M362="","",Bauteile!M362)</f>
        <v/>
      </c>
      <c r="O145" s="1202" t="str">
        <f>IF(Bauteile!O362="","",Bauteile!O362)</f>
        <v/>
      </c>
      <c r="P145" s="101"/>
      <c r="Q145" s="86"/>
      <c r="R145" s="86"/>
      <c r="S145" s="86"/>
      <c r="T145" s="86"/>
      <c r="U145" s="86"/>
    </row>
    <row r="146" spans="1:21" ht="9.75" customHeight="1">
      <c r="A146" s="586" t="str">
        <f>IF(Bauteile!$G378&gt;Nutzung!$G$29,"**","")</f>
        <v/>
      </c>
      <c r="B146" s="1183" t="str">
        <f>IF(Bauteile!B376="","-",Bauteile!B376)</f>
        <v>-</v>
      </c>
      <c r="C146" s="1231" t="str">
        <f>IF(Bauteile!C376="","",Bauteile!C376)</f>
        <v/>
      </c>
      <c r="D146" s="1304" t="str">
        <f>IF(Bauteile!D376="","",Bauteile!D376)</f>
        <v/>
      </c>
      <c r="E146" s="1304"/>
      <c r="F146" s="1232" t="str">
        <f>IF(Bauteile!E376="","",Bauteile!E376)</f>
        <v/>
      </c>
      <c r="G146" s="1232" t="str">
        <f>IF(Bauteile!F376="","",Bauteile!F376)</f>
        <v/>
      </c>
      <c r="H146" s="1232" t="str">
        <f>IF(Bauteile!B376="","",Bauteile!G376)</f>
        <v/>
      </c>
      <c r="I146" s="1246" t="str">
        <f>IF(Bauteile!H376="","",Bauteile!H376)</f>
        <v/>
      </c>
      <c r="J146" s="1233" t="str">
        <f>IF(Bauteile!I376="","",Bauteile!I376)</f>
        <v/>
      </c>
      <c r="K146" s="1233" t="str">
        <f>IF(Bauteile!J376="","",Bauteile!J376)</f>
        <v/>
      </c>
      <c r="L146" s="1233" t="str">
        <f>IF(Bauteile!K376="","",Bauteile!K376)</f>
        <v/>
      </c>
      <c r="M146" s="1232" t="str">
        <f>IF(Bauteile!N376=0,"",Bauteile!N376)</f>
        <v/>
      </c>
      <c r="N146" s="1203" t="str">
        <f>IF(Bauteile!M376="","",Bauteile!M376)</f>
        <v/>
      </c>
      <c r="O146" s="1204" t="str">
        <f>IF(Bauteile!O376="","",Bauteile!O376)</f>
        <v/>
      </c>
      <c r="P146" s="86"/>
      <c r="Q146" s="86"/>
      <c r="R146" s="86"/>
      <c r="S146" s="86"/>
      <c r="T146" s="86"/>
      <c r="U146" s="86"/>
    </row>
    <row r="147" spans="1:21" ht="9.75" customHeight="1">
      <c r="A147" s="586" t="str">
        <f>IF(Bauteile!$G392&gt;Nutzung!$G$29,"**","")</f>
        <v/>
      </c>
      <c r="B147" s="1228" t="str">
        <f>IF(Bauteile!B390="","-",Bauteile!B390)</f>
        <v>-</v>
      </c>
      <c r="C147" s="1229" t="str">
        <f>IF(Bauteile!C390="","",Bauteile!C390)</f>
        <v/>
      </c>
      <c r="D147" s="1303" t="str">
        <f>IF(Bauteile!D390="","",Bauteile!D390)</f>
        <v/>
      </c>
      <c r="E147" s="1303"/>
      <c r="F147" s="1230" t="str">
        <f>IF(Bauteile!E390="","",Bauteile!E390)</f>
        <v/>
      </c>
      <c r="G147" s="1230" t="str">
        <f>IF(Bauteile!F390="","",Bauteile!F390)</f>
        <v/>
      </c>
      <c r="H147" s="1230" t="str">
        <f>IF(Bauteile!B390="","",Bauteile!G390)</f>
        <v/>
      </c>
      <c r="I147" s="1245" t="str">
        <f>IF(Bauteile!H390="","",Bauteile!H390)</f>
        <v/>
      </c>
      <c r="J147" s="1229" t="str">
        <f>IF(Bauteile!I390="","",Bauteile!I390)</f>
        <v/>
      </c>
      <c r="K147" s="1229" t="str">
        <f>IF(Bauteile!J390="","",Bauteile!J390)</f>
        <v/>
      </c>
      <c r="L147" s="1229" t="str">
        <f>IF(Bauteile!K390="","",Bauteile!K390)</f>
        <v/>
      </c>
      <c r="M147" s="1230" t="str">
        <f>IF(Bauteile!N390=0,"",Bauteile!N390)</f>
        <v/>
      </c>
      <c r="N147" s="1201" t="str">
        <f>IF(Bauteile!M390="","",Bauteile!M390)</f>
        <v/>
      </c>
      <c r="O147" s="1202" t="str">
        <f>IF(Bauteile!O390="","",Bauteile!O390)</f>
        <v/>
      </c>
      <c r="P147" s="101"/>
      <c r="Q147" s="86"/>
      <c r="R147" s="86"/>
      <c r="S147" s="86"/>
      <c r="T147" s="86"/>
      <c r="U147" s="86"/>
    </row>
    <row r="148" spans="1:21" ht="9.75" customHeight="1">
      <c r="A148" s="586" t="str">
        <f>IF(Bauteile!$G406&gt;Nutzung!$G$29,"**","")</f>
        <v/>
      </c>
      <c r="B148" s="1183" t="str">
        <f>IF(Bauteile!B404="","-",Bauteile!B404)</f>
        <v>-</v>
      </c>
      <c r="C148" s="1231" t="str">
        <f>IF(Bauteile!C404="","",Bauteile!C404)</f>
        <v/>
      </c>
      <c r="D148" s="1304" t="str">
        <f>IF(Bauteile!D404="","",Bauteile!D404)</f>
        <v/>
      </c>
      <c r="E148" s="1304"/>
      <c r="F148" s="1232" t="str">
        <f>IF(Bauteile!E404="","",Bauteile!E404)</f>
        <v/>
      </c>
      <c r="G148" s="1232" t="str">
        <f>IF(Bauteile!F404="","",Bauteile!F404)</f>
        <v/>
      </c>
      <c r="H148" s="1232" t="str">
        <f>IF(Bauteile!B404="","",Bauteile!G404)</f>
        <v/>
      </c>
      <c r="I148" s="1246" t="str">
        <f>IF(Bauteile!H404="","",Bauteile!H404)</f>
        <v/>
      </c>
      <c r="J148" s="1233" t="str">
        <f>IF(Bauteile!I404="","",Bauteile!I404)</f>
        <v/>
      </c>
      <c r="K148" s="1233" t="str">
        <f>IF(Bauteile!J404="","",Bauteile!J404)</f>
        <v/>
      </c>
      <c r="L148" s="1233" t="str">
        <f>IF(Bauteile!K404="","",Bauteile!K404)</f>
        <v/>
      </c>
      <c r="M148" s="1232" t="str">
        <f>IF(Bauteile!N404=0,"",Bauteile!N404)</f>
        <v/>
      </c>
      <c r="N148" s="1203" t="str">
        <f>IF(Bauteile!M404="","",Bauteile!M404)</f>
        <v/>
      </c>
      <c r="O148" s="1204" t="str">
        <f>IF(Bauteile!O404="","",Bauteile!O404)</f>
        <v/>
      </c>
      <c r="P148" s="86"/>
      <c r="Q148" s="86"/>
      <c r="R148" s="86"/>
      <c r="S148" s="86"/>
      <c r="T148" s="86"/>
      <c r="U148" s="86"/>
    </row>
    <row r="149" spans="1:21" ht="9.75" customHeight="1">
      <c r="A149" s="586" t="str">
        <f>IF(Bauteile!$G420&gt;Nutzung!$G$29,"**","")</f>
        <v/>
      </c>
      <c r="B149" s="1228" t="str">
        <f>IF(Bauteile!B418="","-",Bauteile!B418)</f>
        <v>-</v>
      </c>
      <c r="C149" s="1229" t="str">
        <f>IF(Bauteile!C418="","",Bauteile!C418)</f>
        <v/>
      </c>
      <c r="D149" s="1303" t="str">
        <f>IF(Bauteile!D418="","",Bauteile!D418)</f>
        <v/>
      </c>
      <c r="E149" s="1303"/>
      <c r="F149" s="1230" t="str">
        <f>IF(Bauteile!E418="","",Bauteile!E418)</f>
        <v/>
      </c>
      <c r="G149" s="1230" t="str">
        <f>IF(Bauteile!F418="","",Bauteile!F418)</f>
        <v/>
      </c>
      <c r="H149" s="1230" t="str">
        <f>IF(Bauteile!B418="","",Bauteile!G418)</f>
        <v/>
      </c>
      <c r="I149" s="1245" t="str">
        <f>IF(Bauteile!H418="","",Bauteile!H418)</f>
        <v/>
      </c>
      <c r="J149" s="1229" t="str">
        <f>IF(Bauteile!I418="","",Bauteile!I418)</f>
        <v/>
      </c>
      <c r="K149" s="1229" t="str">
        <f>IF(Bauteile!J418="","",Bauteile!J418)</f>
        <v/>
      </c>
      <c r="L149" s="1229" t="str">
        <f>IF(Bauteile!K418="","",Bauteile!K418)</f>
        <v/>
      </c>
      <c r="M149" s="1230" t="str">
        <f>IF(Bauteile!N418=0,"",Bauteile!N418)</f>
        <v/>
      </c>
      <c r="N149" s="1201" t="str">
        <f>IF(Bauteile!M418="","",Bauteile!M418)</f>
        <v/>
      </c>
      <c r="O149" s="1202" t="str">
        <f>IF(Bauteile!O418="","",Bauteile!O418)</f>
        <v/>
      </c>
      <c r="P149" s="101"/>
      <c r="Q149" s="86"/>
      <c r="R149" s="86"/>
      <c r="S149" s="86"/>
      <c r="T149" s="86"/>
      <c r="U149" s="86"/>
    </row>
    <row r="150" spans="1:21" ht="9.75" customHeight="1">
      <c r="A150" s="586" t="str">
        <f>IF(Bauteile!$G434&gt;Nutzung!$G$29,"**","")</f>
        <v/>
      </c>
      <c r="B150" s="1183" t="str">
        <f>IF(Bauteile!B432="","-",Bauteile!B432)</f>
        <v>-</v>
      </c>
      <c r="C150" s="1231" t="str">
        <f>IF(Bauteile!C432="","",Bauteile!C432)</f>
        <v/>
      </c>
      <c r="D150" s="1304" t="str">
        <f>IF(Bauteile!D432="","",Bauteile!D432)</f>
        <v/>
      </c>
      <c r="E150" s="1304"/>
      <c r="F150" s="1232" t="str">
        <f>IF(Bauteile!E432="","",Bauteile!E432)</f>
        <v/>
      </c>
      <c r="G150" s="1232" t="str">
        <f>IF(Bauteile!F432="","",Bauteile!F432)</f>
        <v/>
      </c>
      <c r="H150" s="1232" t="str">
        <f>IF(Bauteile!B432="","",Bauteile!G432)</f>
        <v/>
      </c>
      <c r="I150" s="1246" t="str">
        <f>IF(Bauteile!H432="","",Bauteile!H432)</f>
        <v/>
      </c>
      <c r="J150" s="1233" t="str">
        <f>IF(Bauteile!I432="","",Bauteile!I432)</f>
        <v/>
      </c>
      <c r="K150" s="1233" t="str">
        <f>IF(Bauteile!J432="","",Bauteile!J432)</f>
        <v/>
      </c>
      <c r="L150" s="1233" t="str">
        <f>IF(Bauteile!K432="","",Bauteile!K432)</f>
        <v/>
      </c>
      <c r="M150" s="1232" t="str">
        <f>IF(Bauteile!N432=0,"",Bauteile!N432)</f>
        <v/>
      </c>
      <c r="N150" s="1203" t="str">
        <f>IF(Bauteile!M432="","",Bauteile!M432)</f>
        <v/>
      </c>
      <c r="O150" s="1204" t="str">
        <f>IF(Bauteile!O432="","",Bauteile!O432)</f>
        <v/>
      </c>
      <c r="P150" s="86"/>
      <c r="Q150" s="86"/>
      <c r="R150" s="86"/>
      <c r="S150" s="86"/>
      <c r="T150" s="86"/>
      <c r="U150" s="86"/>
    </row>
    <row r="151" spans="1:21" ht="9.75" customHeight="1">
      <c r="A151" s="586" t="str">
        <f>IF(Bauteile!$G448&gt;Nutzung!$G$29,"**","")</f>
        <v/>
      </c>
      <c r="B151" s="1228" t="str">
        <f>IF(Bauteile!B446="","-",Bauteile!B446)</f>
        <v>-</v>
      </c>
      <c r="C151" s="1229" t="str">
        <f>IF(Bauteile!C446="","",Bauteile!C446)</f>
        <v/>
      </c>
      <c r="D151" s="1303" t="str">
        <f>IF(Bauteile!D446="","",Bauteile!D446)</f>
        <v/>
      </c>
      <c r="E151" s="1303"/>
      <c r="F151" s="1230" t="str">
        <f>IF(Bauteile!E446="","",Bauteile!E446)</f>
        <v/>
      </c>
      <c r="G151" s="1230" t="str">
        <f>IF(Bauteile!F446="","",Bauteile!F446)</f>
        <v/>
      </c>
      <c r="H151" s="1230" t="str">
        <f>IF(Bauteile!B446="","",Bauteile!G446)</f>
        <v/>
      </c>
      <c r="I151" s="1245" t="str">
        <f>IF(Bauteile!H446="","",Bauteile!H446)</f>
        <v/>
      </c>
      <c r="J151" s="1229" t="str">
        <f>IF(Bauteile!I446="","",Bauteile!I446)</f>
        <v/>
      </c>
      <c r="K151" s="1229" t="str">
        <f>IF(Bauteile!J446="","",Bauteile!J446)</f>
        <v/>
      </c>
      <c r="L151" s="1229" t="str">
        <f>IF(Bauteile!K446="","",Bauteile!K446)</f>
        <v/>
      </c>
      <c r="M151" s="1230" t="str">
        <f>IF(Bauteile!N446=0,"",Bauteile!N446)</f>
        <v/>
      </c>
      <c r="N151" s="1201" t="str">
        <f>IF(Bauteile!M446="","",Bauteile!M446)</f>
        <v/>
      </c>
      <c r="O151" s="1202" t="str">
        <f>IF(Bauteile!O446="","",Bauteile!O446)</f>
        <v/>
      </c>
      <c r="P151" s="102"/>
      <c r="Q151" s="86"/>
      <c r="R151" s="86"/>
      <c r="S151" s="86"/>
      <c r="T151" s="86"/>
      <c r="U151" s="86"/>
    </row>
    <row r="152" spans="1:21" ht="9.75" customHeight="1">
      <c r="A152" s="586" t="str">
        <f>IF(Bauteile!$G462&gt;Nutzung!$G$29,"**","")</f>
        <v/>
      </c>
      <c r="B152" s="1183" t="str">
        <f>IF(Bauteile!B460="","-",Bauteile!B460)</f>
        <v>-</v>
      </c>
      <c r="C152" s="1231" t="str">
        <f>IF(Bauteile!C460="","",Bauteile!C460)</f>
        <v/>
      </c>
      <c r="D152" s="1304" t="str">
        <f>IF(Bauteile!D460="","",Bauteile!D460)</f>
        <v/>
      </c>
      <c r="E152" s="1304"/>
      <c r="F152" s="1232" t="str">
        <f>IF(Bauteile!E460="","",Bauteile!E460)</f>
        <v/>
      </c>
      <c r="G152" s="1232" t="str">
        <f>IF(Bauteile!F460="","",Bauteile!F460)</f>
        <v/>
      </c>
      <c r="H152" s="1232" t="str">
        <f>IF(Bauteile!B460="","",Bauteile!G460)</f>
        <v/>
      </c>
      <c r="I152" s="1246" t="str">
        <f>IF(Bauteile!H460="","",Bauteile!H460)</f>
        <v/>
      </c>
      <c r="J152" s="1233" t="str">
        <f>IF(Bauteile!I460="","",Bauteile!I460)</f>
        <v/>
      </c>
      <c r="K152" s="1233" t="str">
        <f>IF(Bauteile!J460="","",Bauteile!J460)</f>
        <v/>
      </c>
      <c r="L152" s="1233" t="str">
        <f>IF(Bauteile!K460="","",Bauteile!K460)</f>
        <v/>
      </c>
      <c r="M152" s="1232" t="str">
        <f>IF(Bauteile!N460=0,"",Bauteile!N460)</f>
        <v/>
      </c>
      <c r="N152" s="1203" t="str">
        <f>IF(Bauteile!M460="","",Bauteile!M460)</f>
        <v/>
      </c>
      <c r="O152" s="1204" t="str">
        <f>IF(Bauteile!O460="","",Bauteile!O460)</f>
        <v/>
      </c>
      <c r="P152" s="97"/>
      <c r="Q152" s="86"/>
      <c r="R152" s="86"/>
      <c r="S152" s="86"/>
      <c r="T152" s="86"/>
      <c r="U152" s="86"/>
    </row>
    <row r="153" spans="1:21" ht="9.75" customHeight="1">
      <c r="A153" s="586" t="str">
        <f>IF(Bauteile!$G476&gt;Nutzung!$G$29,"**","")</f>
        <v/>
      </c>
      <c r="B153" s="1228" t="str">
        <f>IF(Bauteile!B474="","-",Bauteile!B474)</f>
        <v>-</v>
      </c>
      <c r="C153" s="1229" t="str">
        <f>IF(Bauteile!C474="","",Bauteile!C474)</f>
        <v/>
      </c>
      <c r="D153" s="1303" t="str">
        <f>IF(Bauteile!D474="","",Bauteile!D474)</f>
        <v/>
      </c>
      <c r="E153" s="1303"/>
      <c r="F153" s="1230" t="str">
        <f>IF(Bauteile!E474="","",Bauteile!E474)</f>
        <v/>
      </c>
      <c r="G153" s="1230" t="str">
        <f>IF(Bauteile!F474="","",Bauteile!F474)</f>
        <v/>
      </c>
      <c r="H153" s="1230" t="str">
        <f>IF(Bauteile!B474="","",Bauteile!G474)</f>
        <v/>
      </c>
      <c r="I153" s="1245" t="str">
        <f>IF(Bauteile!H474="","",Bauteile!H474)</f>
        <v/>
      </c>
      <c r="J153" s="1229" t="str">
        <f>IF(Bauteile!I474="","",Bauteile!I474)</f>
        <v/>
      </c>
      <c r="K153" s="1229" t="str">
        <f>IF(Bauteile!J474="","",Bauteile!J474)</f>
        <v/>
      </c>
      <c r="L153" s="1229" t="str">
        <f>IF(Bauteile!K474="","",Bauteile!K474)</f>
        <v/>
      </c>
      <c r="M153" s="1230" t="str">
        <f>IF(Bauteile!N474=0,"",Bauteile!N474)</f>
        <v/>
      </c>
      <c r="N153" s="1201" t="str">
        <f>IF(Bauteile!M474="","",Bauteile!M474)</f>
        <v/>
      </c>
      <c r="O153" s="1202" t="str">
        <f>IF(Bauteile!O474="","",Bauteile!O474)</f>
        <v/>
      </c>
      <c r="P153" s="102"/>
      <c r="Q153" s="86"/>
      <c r="R153" s="86"/>
      <c r="S153" s="86"/>
      <c r="T153" s="86"/>
      <c r="U153" s="86"/>
    </row>
    <row r="154" spans="1:21" ht="9.75" customHeight="1">
      <c r="A154" s="586" t="str">
        <f>IF(Bauteile!$G490&gt;Nutzung!$G$29,"**","")</f>
        <v/>
      </c>
      <c r="B154" s="1183" t="str">
        <f>IF(Bauteile!B488="","-",Bauteile!B488)</f>
        <v>-</v>
      </c>
      <c r="C154" s="1231" t="str">
        <f>IF(Bauteile!C488="","",Bauteile!C488)</f>
        <v/>
      </c>
      <c r="D154" s="1304" t="str">
        <f>IF(Bauteile!D488="","",Bauteile!D488)</f>
        <v/>
      </c>
      <c r="E154" s="1304"/>
      <c r="F154" s="1232" t="str">
        <f>IF(Bauteile!E488="","",Bauteile!E488)</f>
        <v/>
      </c>
      <c r="G154" s="1232" t="str">
        <f>IF(Bauteile!F488="","",Bauteile!F488)</f>
        <v/>
      </c>
      <c r="H154" s="1232" t="str">
        <f>IF(Bauteile!B488="","",Bauteile!G488)</f>
        <v/>
      </c>
      <c r="I154" s="1246" t="str">
        <f>IF(Bauteile!H488="","",Bauteile!H488)</f>
        <v/>
      </c>
      <c r="J154" s="1233" t="str">
        <f>IF(Bauteile!I488="","",Bauteile!I488)</f>
        <v/>
      </c>
      <c r="K154" s="1233" t="str">
        <f>IF(Bauteile!J488="","",Bauteile!J488)</f>
        <v/>
      </c>
      <c r="L154" s="1233" t="str">
        <f>IF(Bauteile!K488="","",Bauteile!K488)</f>
        <v/>
      </c>
      <c r="M154" s="1232" t="str">
        <f>IF(Bauteile!N488=0,"",Bauteile!N488)</f>
        <v/>
      </c>
      <c r="N154" s="1203" t="str">
        <f>IF(Bauteile!M488="","",Bauteile!M488)</f>
        <v/>
      </c>
      <c r="O154" s="1204" t="str">
        <f>IF(Bauteile!O488="","",Bauteile!O488)</f>
        <v/>
      </c>
      <c r="P154" s="97"/>
      <c r="Q154" s="86"/>
      <c r="R154" s="86"/>
      <c r="S154" s="86"/>
      <c r="T154" s="86"/>
      <c r="U154" s="86"/>
    </row>
    <row r="155" spans="1:21" ht="9.75" customHeight="1">
      <c r="A155" s="586" t="str">
        <f>IF(Bauteile!$G504&gt;Nutzung!$G$29,"**","")</f>
        <v/>
      </c>
      <c r="B155" s="1228" t="str">
        <f>IF(Bauteile!B502="","-",Bauteile!B502)</f>
        <v>-</v>
      </c>
      <c r="C155" s="1229" t="str">
        <f>IF(Bauteile!C502="","",Bauteile!C502)</f>
        <v/>
      </c>
      <c r="D155" s="1303" t="str">
        <f>IF(Bauteile!D502="","",Bauteile!D502)</f>
        <v/>
      </c>
      <c r="E155" s="1303"/>
      <c r="F155" s="1230" t="str">
        <f>IF(Bauteile!E502="","",Bauteile!E502)</f>
        <v/>
      </c>
      <c r="G155" s="1230" t="str">
        <f>IF(Bauteile!F502="","",Bauteile!F502)</f>
        <v/>
      </c>
      <c r="H155" s="1230" t="str">
        <f>IF(Bauteile!B502="","",Bauteile!G502)</f>
        <v/>
      </c>
      <c r="I155" s="1245" t="str">
        <f>IF(Bauteile!H502="","",Bauteile!H502)</f>
        <v/>
      </c>
      <c r="J155" s="1229" t="str">
        <f>IF(Bauteile!I502="","",Bauteile!I502)</f>
        <v/>
      </c>
      <c r="K155" s="1229" t="str">
        <f>IF(Bauteile!J502="","",Bauteile!J502)</f>
        <v/>
      </c>
      <c r="L155" s="1229" t="str">
        <f>IF(Bauteile!K502="","",Bauteile!K502)</f>
        <v/>
      </c>
      <c r="M155" s="1230" t="str">
        <f>IF(Bauteile!N502=0,"",Bauteile!N502)</f>
        <v/>
      </c>
      <c r="N155" s="1201" t="str">
        <f>IF(Bauteile!M502="","",Bauteile!M502)</f>
        <v/>
      </c>
      <c r="O155" s="1202" t="str">
        <f>IF(Bauteile!O502="","",Bauteile!O502)</f>
        <v/>
      </c>
      <c r="P155" s="97"/>
      <c r="Q155" s="86"/>
      <c r="R155" s="86"/>
      <c r="S155" s="86"/>
      <c r="T155" s="86"/>
      <c r="U155" s="86"/>
    </row>
    <row r="156" spans="1:21" ht="9.75" customHeight="1">
      <c r="A156" s="586" t="str">
        <f>IF(Bauteile!$G518&gt;Nutzung!$G$29,"**","")</f>
        <v/>
      </c>
      <c r="B156" s="1183" t="str">
        <f>IF(Bauteile!B516="","-",Bauteile!B516)</f>
        <v>-</v>
      </c>
      <c r="C156" s="1231" t="str">
        <f>IF(Bauteile!C516="","",Bauteile!C516)</f>
        <v/>
      </c>
      <c r="D156" s="1304" t="str">
        <f>IF(Bauteile!D516="","",Bauteile!D516)</f>
        <v/>
      </c>
      <c r="E156" s="1304"/>
      <c r="F156" s="1232" t="str">
        <f>IF(Bauteile!E516="","",Bauteile!E516)</f>
        <v/>
      </c>
      <c r="G156" s="1232" t="str">
        <f>IF(Bauteile!F516="","",Bauteile!F516)</f>
        <v/>
      </c>
      <c r="H156" s="1232" t="str">
        <f>IF(Bauteile!B516="","",Bauteile!G516)</f>
        <v/>
      </c>
      <c r="I156" s="1246" t="str">
        <f>IF(Bauteile!H516="","",Bauteile!H516)</f>
        <v/>
      </c>
      <c r="J156" s="1233" t="str">
        <f>IF(Bauteile!I516="","",Bauteile!I516)</f>
        <v/>
      </c>
      <c r="K156" s="1233" t="str">
        <f>IF(Bauteile!J516="","",Bauteile!J516)</f>
        <v/>
      </c>
      <c r="L156" s="1233" t="str">
        <f>IF(Bauteile!K516="","",Bauteile!K516)</f>
        <v/>
      </c>
      <c r="M156" s="1232" t="str">
        <f>IF(Bauteile!N516=0,"",Bauteile!N516)</f>
        <v/>
      </c>
      <c r="N156" s="1203" t="str">
        <f>IF(Bauteile!M516="","",Bauteile!M516)</f>
        <v/>
      </c>
      <c r="O156" s="1204" t="str">
        <f>IF(Bauteile!O516="","",Bauteile!O516)</f>
        <v/>
      </c>
      <c r="P156" s="97"/>
      <c r="Q156" s="86"/>
      <c r="R156" s="86"/>
      <c r="S156" s="86"/>
      <c r="T156" s="86"/>
      <c r="U156" s="86"/>
    </row>
    <row r="157" spans="1:21" ht="9.75" customHeight="1">
      <c r="A157" s="586" t="str">
        <f>IF(Bauteile!$G532&gt;Nutzung!$G$29,"**","")</f>
        <v/>
      </c>
      <c r="B157" s="1228" t="str">
        <f>IF(Bauteile!B530="","-",Bauteile!B530)</f>
        <v>-</v>
      </c>
      <c r="C157" s="1229" t="str">
        <f>IF(Bauteile!C530="","",Bauteile!C530)</f>
        <v/>
      </c>
      <c r="D157" s="1303" t="str">
        <f>IF(Bauteile!D530="","",Bauteile!D530)</f>
        <v/>
      </c>
      <c r="E157" s="1303"/>
      <c r="F157" s="1230" t="str">
        <f>IF(Bauteile!E530="","",Bauteile!E530)</f>
        <v/>
      </c>
      <c r="G157" s="1230" t="str">
        <f>IF(Bauteile!F530="","",Bauteile!F530)</f>
        <v/>
      </c>
      <c r="H157" s="1230" t="str">
        <f>IF(Bauteile!B530="","",Bauteile!G530)</f>
        <v/>
      </c>
      <c r="I157" s="1245" t="str">
        <f>IF(Bauteile!H530="","",Bauteile!H530)</f>
        <v/>
      </c>
      <c r="J157" s="1229" t="str">
        <f>IF(Bauteile!I530="","",Bauteile!I530)</f>
        <v/>
      </c>
      <c r="K157" s="1229" t="str">
        <f>IF(Bauteile!J530="","",Bauteile!J530)</f>
        <v/>
      </c>
      <c r="L157" s="1229" t="str">
        <f>IF(Bauteile!K530="","",Bauteile!K530)</f>
        <v/>
      </c>
      <c r="M157" s="1230" t="str">
        <f>IF(Bauteile!N530=0,"",Bauteile!N530)</f>
        <v/>
      </c>
      <c r="N157" s="1201" t="str">
        <f>IF(Bauteile!M530="","",Bauteile!M530)</f>
        <v/>
      </c>
      <c r="O157" s="1202" t="str">
        <f>IF(Bauteile!O530="","",Bauteile!O530)</f>
        <v/>
      </c>
      <c r="P157" s="97"/>
      <c r="Q157" s="86"/>
      <c r="R157" s="86"/>
      <c r="S157" s="86"/>
      <c r="T157" s="86"/>
      <c r="U157" s="86"/>
    </row>
    <row r="158" spans="1:21" ht="9.75" customHeight="1">
      <c r="A158" s="586" t="str">
        <f>IF(Bauteile!$G546&gt;Nutzung!$G$29,"**","")</f>
        <v/>
      </c>
      <c r="B158" s="1183" t="str">
        <f>IF(Bauteile!B544="","-",Bauteile!B544)</f>
        <v>-</v>
      </c>
      <c r="C158" s="1231" t="str">
        <f>IF(Bauteile!C544="","",Bauteile!C544)</f>
        <v/>
      </c>
      <c r="D158" s="1304" t="str">
        <f>IF(Bauteile!D544="","",Bauteile!D544)</f>
        <v/>
      </c>
      <c r="E158" s="1304"/>
      <c r="F158" s="1232" t="str">
        <f>IF(Bauteile!E544="","",Bauteile!E544)</f>
        <v/>
      </c>
      <c r="G158" s="1232" t="str">
        <f>IF(Bauteile!F544="","",Bauteile!F544)</f>
        <v/>
      </c>
      <c r="H158" s="1232" t="str">
        <f>IF(Bauteile!B544="","",Bauteile!G544)</f>
        <v/>
      </c>
      <c r="I158" s="1246" t="str">
        <f>IF(Bauteile!H544="","",Bauteile!H544)</f>
        <v/>
      </c>
      <c r="J158" s="1233" t="str">
        <f>IF(Bauteile!I544="","",Bauteile!I544)</f>
        <v/>
      </c>
      <c r="K158" s="1233" t="str">
        <f>IF(Bauteile!J544="","",Bauteile!J544)</f>
        <v/>
      </c>
      <c r="L158" s="1233" t="str">
        <f>IF(Bauteile!K544="","",Bauteile!K544)</f>
        <v/>
      </c>
      <c r="M158" s="1232" t="str">
        <f>IF(Bauteile!N544=0,"",Bauteile!N544)</f>
        <v/>
      </c>
      <c r="N158" s="1203" t="str">
        <f>IF(Bauteile!M544="","",Bauteile!M544)</f>
        <v/>
      </c>
      <c r="O158" s="1204" t="str">
        <f>IF(Bauteile!O544="","",Bauteile!O544)</f>
        <v/>
      </c>
      <c r="P158" s="97"/>
      <c r="Q158" s="86"/>
      <c r="R158" s="86"/>
      <c r="S158" s="86"/>
      <c r="T158" s="86"/>
      <c r="U158" s="86"/>
    </row>
    <row r="159" spans="1:21" ht="9" customHeight="1">
      <c r="B159" s="1109"/>
      <c r="C159" s="1151"/>
      <c r="D159" s="1210"/>
      <c r="E159" s="1210"/>
      <c r="F159" s="1175"/>
      <c r="G159" s="1175"/>
      <c r="H159" s="1175"/>
      <c r="I159" s="1151"/>
      <c r="J159" s="1175"/>
      <c r="K159" s="1175"/>
      <c r="L159" s="1175"/>
      <c r="M159" s="1175"/>
      <c r="N159" s="1209"/>
      <c r="O159" s="1211"/>
      <c r="P159" s="97"/>
      <c r="Q159" s="86"/>
      <c r="R159" s="86"/>
      <c r="S159" s="86"/>
      <c r="T159" s="86"/>
      <c r="U159" s="86"/>
    </row>
    <row r="160" spans="1:21" ht="9.75" customHeight="1">
      <c r="B160" s="1128" t="s">
        <v>375</v>
      </c>
      <c r="C160" s="1181"/>
      <c r="D160" s="1301" t="str">
        <f>IF(SUM(D139:E158)=0,"",SUM(D139:E158))</f>
        <v/>
      </c>
      <c r="E160" s="1301"/>
      <c r="F160" s="1213"/>
      <c r="G160" s="1213"/>
      <c r="H160" s="1213"/>
      <c r="I160" s="1181"/>
      <c r="J160" s="1213"/>
      <c r="K160" s="1213"/>
      <c r="L160" s="1213"/>
      <c r="M160" s="1213"/>
      <c r="N160" s="1234"/>
      <c r="O160" s="1235" t="str">
        <f>IF(SUM(O139:O158)=0,"",SUM(O139:O158))</f>
        <v/>
      </c>
      <c r="P160" s="97"/>
      <c r="Q160" s="86"/>
      <c r="R160" s="86"/>
      <c r="S160" s="86"/>
      <c r="T160" s="86"/>
      <c r="U160" s="86"/>
    </row>
    <row r="161" spans="1:21" ht="9.75" customHeight="1">
      <c r="B161" s="89"/>
      <c r="C161" s="87"/>
      <c r="D161" s="591"/>
      <c r="E161" s="591"/>
      <c r="F161" s="30"/>
      <c r="G161" s="30"/>
      <c r="H161" s="30"/>
      <c r="I161" s="28"/>
      <c r="J161" s="30"/>
      <c r="K161" s="30"/>
      <c r="L161" s="30"/>
      <c r="M161" s="30"/>
      <c r="N161" s="188"/>
      <c r="O161" s="593"/>
      <c r="P161" s="97"/>
      <c r="Q161" s="86"/>
      <c r="R161" s="86"/>
      <c r="S161" s="86"/>
      <c r="T161" s="86"/>
      <c r="U161" s="86"/>
    </row>
    <row r="162" spans="1:21" ht="12" customHeight="1">
      <c r="B162" s="89"/>
      <c r="C162" s="87"/>
      <c r="D162" s="591"/>
      <c r="E162" s="591"/>
      <c r="F162" s="30"/>
      <c r="G162" s="30"/>
      <c r="H162" s="30"/>
      <c r="I162" s="28"/>
      <c r="J162" s="30"/>
      <c r="K162" s="30"/>
      <c r="L162" s="30"/>
      <c r="M162" s="30"/>
      <c r="N162" s="188"/>
      <c r="O162" s="593"/>
      <c r="P162" s="97"/>
      <c r="Q162" s="86"/>
      <c r="R162" s="86"/>
      <c r="S162" s="86"/>
      <c r="T162" s="86"/>
      <c r="U162" s="86"/>
    </row>
    <row r="163" spans="1:21" ht="9" customHeight="1">
      <c r="B163" s="89"/>
      <c r="C163" s="87"/>
      <c r="D163" s="591"/>
      <c r="E163" s="591"/>
      <c r="F163" s="30"/>
      <c r="G163" s="30"/>
      <c r="H163" s="30"/>
      <c r="I163" s="28"/>
      <c r="J163" s="30"/>
      <c r="K163" s="30"/>
      <c r="L163" s="30"/>
      <c r="M163" s="30"/>
      <c r="N163" s="188"/>
      <c r="O163" s="593"/>
      <c r="P163" s="97"/>
      <c r="Q163" s="86"/>
      <c r="R163" s="86"/>
      <c r="S163" s="86"/>
      <c r="T163" s="86"/>
      <c r="U163" s="86"/>
    </row>
    <row r="164" spans="1:21" ht="9.75" customHeight="1">
      <c r="B164" s="101"/>
      <c r="C164" s="99"/>
      <c r="D164" s="99"/>
      <c r="E164" s="101"/>
      <c r="F164" s="101"/>
      <c r="G164" s="101"/>
      <c r="H164" s="101"/>
      <c r="I164" s="101" t="str">
        <f>I76</f>
        <v>Ausdruck:</v>
      </c>
      <c r="J164" s="1313"/>
      <c r="K164" s="1313"/>
      <c r="L164" s="1312">
        <f ca="1">K76</f>
        <v>42122.346852083334</v>
      </c>
      <c r="M164" s="1312"/>
      <c r="N164" s="1312"/>
      <c r="O164" s="1312"/>
      <c r="P164" s="97"/>
      <c r="Q164" s="86"/>
      <c r="R164" s="86"/>
      <c r="S164" s="86"/>
      <c r="T164" s="86"/>
      <c r="U164" s="86"/>
    </row>
    <row r="165" spans="1:21" ht="9.75" customHeight="1">
      <c r="B165" s="141">
        <f>B1</f>
        <v>0</v>
      </c>
      <c r="C165" s="99"/>
      <c r="D165" s="99"/>
      <c r="E165" s="101"/>
      <c r="F165" s="101"/>
      <c r="H165" s="280" t="str">
        <f>IF(Nutzung!$E$8="","",Nutzung!$E$8)</f>
        <v/>
      </c>
      <c r="I165" s="101"/>
      <c r="J165" s="33"/>
      <c r="K165" s="101"/>
      <c r="L165" s="101"/>
      <c r="M165" s="101"/>
      <c r="N165" s="101"/>
      <c r="O165" s="140" t="s">
        <v>415</v>
      </c>
      <c r="P165" s="97"/>
      <c r="Q165" s="86"/>
      <c r="R165" s="86"/>
      <c r="S165" s="86"/>
      <c r="T165" s="86"/>
      <c r="U165" s="86"/>
    </row>
    <row r="166" spans="1:21" ht="10.95" customHeight="1">
      <c r="B166" s="141"/>
      <c r="C166" s="99"/>
      <c r="D166" s="99"/>
      <c r="E166" s="101"/>
      <c r="F166" s="101"/>
      <c r="H166" s="280"/>
      <c r="I166" s="101"/>
      <c r="J166" s="33"/>
      <c r="K166" s="101"/>
      <c r="L166" s="101"/>
      <c r="M166" s="101"/>
      <c r="N166" s="101"/>
      <c r="O166" s="142"/>
      <c r="P166" s="97"/>
      <c r="Q166" s="86"/>
      <c r="R166" s="86"/>
      <c r="S166" s="86"/>
      <c r="T166" s="86"/>
      <c r="U166" s="86"/>
    </row>
    <row r="167" spans="1:21" ht="21" customHeight="1">
      <c r="B167" s="141"/>
      <c r="C167" s="99"/>
      <c r="D167" s="99"/>
      <c r="E167" s="101"/>
      <c r="F167" s="101"/>
      <c r="H167" s="280"/>
      <c r="I167" s="101"/>
      <c r="J167" s="33"/>
      <c r="K167" s="101"/>
      <c r="L167" s="101"/>
      <c r="M167" s="101"/>
      <c r="N167" s="101"/>
      <c r="O167" s="142"/>
      <c r="P167" s="97"/>
      <c r="Q167" s="86"/>
      <c r="R167" s="86"/>
      <c r="S167" s="86"/>
      <c r="T167" s="86"/>
      <c r="U167" s="86"/>
    </row>
    <row r="168" spans="1:21" ht="10.95" customHeight="1">
      <c r="A168" s="1300"/>
      <c r="B168" s="141"/>
      <c r="C168" s="99"/>
      <c r="D168" s="99"/>
      <c r="E168" s="101"/>
      <c r="F168" s="101"/>
      <c r="H168" s="280"/>
      <c r="I168" s="101"/>
      <c r="J168" s="33"/>
      <c r="K168" s="101"/>
      <c r="L168" s="101"/>
      <c r="M168" s="101"/>
      <c r="N168" s="101"/>
      <c r="O168" s="142"/>
      <c r="P168" s="97"/>
      <c r="Q168" s="86"/>
      <c r="R168" s="86"/>
      <c r="S168" s="86"/>
      <c r="T168" s="86"/>
      <c r="U168" s="86"/>
    </row>
    <row r="169" spans="1:21" ht="12" customHeight="1">
      <c r="A169" s="1300"/>
      <c r="B169" s="1196" t="s">
        <v>330</v>
      </c>
      <c r="C169" s="1195"/>
      <c r="D169" s="1305" t="s">
        <v>508</v>
      </c>
      <c r="E169" s="1305"/>
      <c r="F169" s="1195" t="s">
        <v>464</v>
      </c>
      <c r="G169" s="1195" t="s">
        <v>51</v>
      </c>
      <c r="H169" s="1195" t="s">
        <v>187</v>
      </c>
      <c r="I169" s="1195" t="s">
        <v>702</v>
      </c>
      <c r="J169" s="1195" t="s">
        <v>703</v>
      </c>
      <c r="K169" s="1195" t="s">
        <v>704</v>
      </c>
      <c r="L169" s="1195" t="s">
        <v>705</v>
      </c>
      <c r="M169" s="1195" t="s">
        <v>668</v>
      </c>
      <c r="N169" s="1195" t="s">
        <v>349</v>
      </c>
      <c r="O169" s="1195" t="s">
        <v>55</v>
      </c>
      <c r="P169" s="90"/>
      <c r="Q169" s="86"/>
      <c r="R169" s="86"/>
      <c r="S169" s="86"/>
      <c r="T169" s="86"/>
      <c r="U169" s="86"/>
    </row>
    <row r="170" spans="1:21" ht="10.050000000000001" customHeight="1">
      <c r="A170" s="1300"/>
      <c r="B170" s="845"/>
      <c r="C170" s="1199"/>
      <c r="D170" s="1310" t="s">
        <v>552</v>
      </c>
      <c r="E170" s="1310"/>
      <c r="F170" s="1199" t="s">
        <v>181</v>
      </c>
      <c r="G170" s="1199" t="s">
        <v>372</v>
      </c>
      <c r="H170" s="1199" t="s">
        <v>372</v>
      </c>
      <c r="I170" s="1199" t="s">
        <v>109</v>
      </c>
      <c r="J170" s="1199" t="s">
        <v>109</v>
      </c>
      <c r="K170" s="1199" t="s">
        <v>109</v>
      </c>
      <c r="L170" s="1199" t="s">
        <v>109</v>
      </c>
      <c r="M170" s="1199" t="s">
        <v>200</v>
      </c>
      <c r="N170" s="1199" t="s">
        <v>372</v>
      </c>
      <c r="O170" s="1199" t="s">
        <v>364</v>
      </c>
      <c r="P170" s="93"/>
      <c r="Q170" s="86"/>
      <c r="R170" s="86"/>
      <c r="S170" s="86"/>
      <c r="T170" s="86"/>
      <c r="U170" s="86"/>
    </row>
    <row r="171" spans="1:21" ht="9" customHeight="1">
      <c r="A171" s="1300"/>
      <c r="B171" s="1152"/>
      <c r="C171" s="1200"/>
      <c r="D171" s="1152"/>
      <c r="E171" s="1110"/>
      <c r="F171" s="1152"/>
      <c r="G171" s="1152"/>
      <c r="H171" s="1152"/>
      <c r="I171" s="1152"/>
      <c r="J171" s="1152"/>
      <c r="K171" s="1152"/>
      <c r="L171" s="1152"/>
      <c r="M171" s="1152"/>
      <c r="N171" s="1152"/>
      <c r="O171" s="1152"/>
      <c r="P171" s="101"/>
      <c r="Q171" s="86"/>
      <c r="R171" s="86"/>
      <c r="S171" s="86"/>
      <c r="T171" s="86"/>
      <c r="U171" s="86"/>
    </row>
    <row r="172" spans="1:21" ht="9.75" customHeight="1">
      <c r="A172" s="586" t="str">
        <f>IF(Bauteile!$L563&gt;Nutzung!$G$29,"**","")</f>
        <v/>
      </c>
      <c r="B172" s="1228" t="str">
        <f>IF(Bauteile!B562="","-",Bauteile!B562)</f>
        <v>-</v>
      </c>
      <c r="C172" s="1229"/>
      <c r="D172" s="1303" t="str">
        <f>IF(Bauteile!D562="","",Bauteile!D562)</f>
        <v/>
      </c>
      <c r="E172" s="1303"/>
      <c r="F172" s="1230" t="str">
        <f>IF(Bauteile!E562="","",Bauteile!E562)</f>
        <v/>
      </c>
      <c r="G172" s="1230" t="str">
        <f>IF(Bauteile!F562="","",Bauteile!F562)</f>
        <v/>
      </c>
      <c r="H172" s="1230" t="str">
        <f>IF(Bauteile!B562="","",Bauteile!G562)</f>
        <v/>
      </c>
      <c r="I172" s="1229" t="str">
        <f>IF(Bauteile!H562="","",Bauteile!H562)</f>
        <v/>
      </c>
      <c r="J172" s="1229" t="str">
        <f>IF(Bauteile!I562="","",Bauteile!I562)</f>
        <v/>
      </c>
      <c r="K172" s="1229" t="str">
        <f>IF(Bauteile!J562="","",Bauteile!J562)</f>
        <v/>
      </c>
      <c r="L172" s="1229" t="str">
        <f>IF(Bauteile!K562="","",Bauteile!K562)</f>
        <v/>
      </c>
      <c r="M172" s="1230" t="str">
        <f>IF(Bauteile!N562=0,"",Bauteile!N562)</f>
        <v/>
      </c>
      <c r="N172" s="1201" t="str">
        <f>IF(Bauteile!M562="","",Bauteile!M562)</f>
        <v/>
      </c>
      <c r="O172" s="1202" t="str">
        <f>IF(Bauteile!O562="","",Bauteile!O562)</f>
        <v/>
      </c>
      <c r="P172" s="101"/>
      <c r="Q172" s="86"/>
      <c r="R172" s="86"/>
      <c r="S172" s="86"/>
      <c r="T172" s="86"/>
      <c r="U172" s="86"/>
    </row>
    <row r="173" spans="1:21" ht="9.75" customHeight="1">
      <c r="A173" s="586" t="str">
        <f>IF(Bauteile!$L576&gt;Nutzung!$G$29,"**","")</f>
        <v/>
      </c>
      <c r="B173" s="1183" t="str">
        <f>IF(Bauteile!B575="","-",Bauteile!B575)</f>
        <v>-</v>
      </c>
      <c r="C173" s="1231"/>
      <c r="D173" s="1304" t="str">
        <f>IF(Bauteile!D575="","",Bauteile!D575)</f>
        <v/>
      </c>
      <c r="E173" s="1304"/>
      <c r="F173" s="1232" t="str">
        <f>IF(Bauteile!E575="","",Bauteile!E575)</f>
        <v/>
      </c>
      <c r="G173" s="1232" t="str">
        <f>IF(Bauteile!F575="","",Bauteile!F575)</f>
        <v/>
      </c>
      <c r="H173" s="1232" t="str">
        <f>IF(Bauteile!B575="","",Bauteile!G575)</f>
        <v/>
      </c>
      <c r="I173" s="1233" t="str">
        <f>IF(Bauteile!H575="","",Bauteile!H575)</f>
        <v/>
      </c>
      <c r="J173" s="1233" t="str">
        <f>IF(Bauteile!I575="","",Bauteile!I575)</f>
        <v/>
      </c>
      <c r="K173" s="1233" t="str">
        <f>IF(Bauteile!J575="","",Bauteile!J575)</f>
        <v/>
      </c>
      <c r="L173" s="1233" t="str">
        <f>IF(Bauteile!K575="","",Bauteile!K575)</f>
        <v/>
      </c>
      <c r="M173" s="1232" t="str">
        <f>IF(Bauteile!N575=0,"",Bauteile!N575)</f>
        <v/>
      </c>
      <c r="N173" s="1203" t="str">
        <f>IF(Bauteile!M575="","",Bauteile!M575)</f>
        <v/>
      </c>
      <c r="O173" s="1204" t="str">
        <f>IF(Bauteile!O575="","",Bauteile!O575)</f>
        <v/>
      </c>
      <c r="P173" s="86"/>
      <c r="Q173" s="86"/>
      <c r="R173" s="86"/>
      <c r="S173" s="86"/>
      <c r="T173" s="86"/>
      <c r="U173" s="86"/>
    </row>
    <row r="174" spans="1:21" ht="9" customHeight="1">
      <c r="B174" s="1109"/>
      <c r="C174" s="1151"/>
      <c r="D174" s="1210"/>
      <c r="E174" s="1210"/>
      <c r="F174" s="1175"/>
      <c r="G174" s="1175"/>
      <c r="H174" s="1175"/>
      <c r="I174" s="1151"/>
      <c r="J174" s="1175"/>
      <c r="K174" s="1175"/>
      <c r="L174" s="1175"/>
      <c r="M174" s="1175"/>
      <c r="N174" s="1209"/>
      <c r="O174" s="1211"/>
      <c r="P174" s="97"/>
      <c r="Q174" s="86"/>
      <c r="R174" s="86"/>
      <c r="S174" s="86"/>
      <c r="T174" s="86"/>
      <c r="U174" s="86"/>
    </row>
    <row r="175" spans="1:21" ht="9.75" customHeight="1">
      <c r="B175" s="1128" t="s">
        <v>375</v>
      </c>
      <c r="C175" s="1181"/>
      <c r="D175" s="1301" t="str">
        <f>IF(SUM(D172:E173)=0,"",SUM(D172:E173))</f>
        <v/>
      </c>
      <c r="E175" s="1301"/>
      <c r="F175" s="1213"/>
      <c r="G175" s="1213"/>
      <c r="H175" s="1213"/>
      <c r="I175" s="1181"/>
      <c r="J175" s="1213"/>
      <c r="K175" s="1213"/>
      <c r="L175" s="1213"/>
      <c r="M175" s="1213"/>
      <c r="N175" s="1234"/>
      <c r="O175" s="1235" t="str">
        <f>IF(SUM(O172:O173)=0,"",SUM(O172:O173))</f>
        <v/>
      </c>
      <c r="P175" s="97"/>
      <c r="Q175" s="86"/>
      <c r="R175" s="86"/>
      <c r="S175" s="86"/>
      <c r="T175" s="86"/>
      <c r="U175" s="86"/>
    </row>
    <row r="176" spans="1:21" ht="9.75" customHeight="1">
      <c r="B176" s="89"/>
      <c r="C176" s="87"/>
      <c r="D176" s="591"/>
      <c r="E176" s="591"/>
      <c r="F176" s="30"/>
      <c r="G176" s="30"/>
      <c r="H176" s="30"/>
      <c r="I176" s="28"/>
      <c r="J176" s="30"/>
      <c r="K176" s="30"/>
      <c r="L176" s="30"/>
      <c r="M176" s="30"/>
      <c r="N176" s="188"/>
      <c r="O176" s="593"/>
      <c r="P176" s="97"/>
      <c r="Q176" s="86"/>
      <c r="R176" s="86"/>
      <c r="S176" s="86"/>
      <c r="T176" s="86"/>
      <c r="U176" s="86"/>
    </row>
    <row r="177" spans="1:21" ht="9.75" customHeight="1">
      <c r="B177" s="89"/>
      <c r="C177" s="87"/>
      <c r="D177" s="591"/>
      <c r="E177" s="591"/>
      <c r="F177" s="30"/>
      <c r="G177" s="30"/>
      <c r="H177" s="30"/>
      <c r="I177" s="28"/>
      <c r="J177" s="30"/>
      <c r="K177" s="30"/>
      <c r="L177" s="30"/>
      <c r="M177" s="30"/>
      <c r="N177" s="188"/>
      <c r="O177" s="593"/>
      <c r="P177" s="97"/>
      <c r="Q177" s="86"/>
      <c r="R177" s="86"/>
      <c r="S177" s="86"/>
      <c r="T177" s="86"/>
      <c r="U177" s="86"/>
    </row>
    <row r="178" spans="1:21" ht="10.95" customHeight="1">
      <c r="B178" s="141"/>
      <c r="C178" s="86"/>
      <c r="D178" s="86"/>
      <c r="E178" s="86"/>
      <c r="F178" s="86"/>
      <c r="H178" s="280"/>
      <c r="I178" s="86"/>
      <c r="J178" s="86"/>
      <c r="K178" s="86"/>
      <c r="L178" s="86"/>
      <c r="M178" s="86"/>
      <c r="N178" s="86"/>
      <c r="O178" s="142"/>
      <c r="P178" s="86"/>
      <c r="Q178" s="86"/>
      <c r="R178" s="86"/>
      <c r="S178" s="86"/>
      <c r="T178" s="86"/>
      <c r="U178" s="86"/>
    </row>
    <row r="179" spans="1:21" ht="12" customHeight="1">
      <c r="B179" s="1196" t="s">
        <v>195</v>
      </c>
      <c r="C179" s="1194"/>
      <c r="D179" s="1305" t="s">
        <v>230</v>
      </c>
      <c r="E179" s="1305"/>
      <c r="F179" s="1305" t="s">
        <v>508</v>
      </c>
      <c r="G179" s="1305"/>
      <c r="H179" s="1305" t="s">
        <v>464</v>
      </c>
      <c r="I179" s="1305"/>
      <c r="J179" s="1305"/>
      <c r="K179" s="1305"/>
      <c r="L179" s="1305" t="s">
        <v>668</v>
      </c>
      <c r="M179" s="1305"/>
      <c r="N179" s="1195" t="s">
        <v>349</v>
      </c>
      <c r="O179" s="1195" t="s">
        <v>55</v>
      </c>
      <c r="P179" s="90"/>
      <c r="Q179" s="86"/>
      <c r="R179" s="86"/>
      <c r="S179" s="86"/>
      <c r="T179" s="86"/>
      <c r="U179" s="86"/>
    </row>
    <row r="180" spans="1:21" ht="10.050000000000001" customHeight="1">
      <c r="B180" s="845"/>
      <c r="C180" s="100"/>
      <c r="D180" s="1310" t="s">
        <v>206</v>
      </c>
      <c r="E180" s="1310"/>
      <c r="F180" s="1310" t="s">
        <v>552</v>
      </c>
      <c r="G180" s="1310"/>
      <c r="H180" s="1310" t="s">
        <v>181</v>
      </c>
      <c r="I180" s="1310"/>
      <c r="J180" s="1310"/>
      <c r="K180" s="1310"/>
      <c r="L180" s="1310" t="s">
        <v>200</v>
      </c>
      <c r="M180" s="1310"/>
      <c r="N180" s="1199" t="s">
        <v>372</v>
      </c>
      <c r="O180" s="1199" t="s">
        <v>364</v>
      </c>
      <c r="P180" s="93"/>
      <c r="Q180" s="86"/>
      <c r="R180" s="86"/>
      <c r="S180" s="86"/>
      <c r="T180" s="86"/>
      <c r="U180" s="86"/>
    </row>
    <row r="181" spans="1:21" ht="9" customHeight="1">
      <c r="B181" s="1152"/>
      <c r="C181" s="1200"/>
      <c r="D181" s="1152"/>
      <c r="E181" s="1110"/>
      <c r="F181" s="1152"/>
      <c r="G181" s="1152"/>
      <c r="H181" s="1152"/>
      <c r="I181" s="1152"/>
      <c r="J181" s="1152"/>
      <c r="K181" s="1152"/>
      <c r="L181" s="1152"/>
      <c r="M181" s="1152"/>
      <c r="N181" s="1152"/>
      <c r="O181" s="1152"/>
      <c r="P181" s="101"/>
      <c r="Q181" s="86"/>
      <c r="R181" s="86"/>
      <c r="S181" s="86"/>
      <c r="T181" s="86"/>
      <c r="U181" s="86"/>
    </row>
    <row r="182" spans="1:21" ht="9.75" customHeight="1">
      <c r="A182" s="586" t="str">
        <f>IF(Bauteile!$J593&gt;Nutzung!$G$29,"*","")</f>
        <v/>
      </c>
      <c r="B182" s="1316" t="str">
        <f>IF(Bauteile!B592="","-",Bauteile!B592)</f>
        <v>-</v>
      </c>
      <c r="C182" s="1316"/>
      <c r="D182" s="1302" t="str">
        <f>IF(Bauteile!C592="","",Bauteile!C592)</f>
        <v/>
      </c>
      <c r="E182" s="1302"/>
      <c r="F182" s="1303" t="str">
        <f>IF(Bauteile!D592="","",Bauteile!D592)</f>
        <v/>
      </c>
      <c r="G182" s="1303"/>
      <c r="H182" s="1307" t="str">
        <f>IF(Bauteile!E592="","",Bauteile!E592)</f>
        <v/>
      </c>
      <c r="I182" s="1307"/>
      <c r="J182" s="1309"/>
      <c r="K182" s="1309"/>
      <c r="L182" s="1307" t="str">
        <f>IF(Bauteile!N592=0,"",Bauteile!N592)</f>
        <v/>
      </c>
      <c r="M182" s="1307"/>
      <c r="N182" s="1201" t="str">
        <f>IF(Bauteile!M592="","",Bauteile!M592)</f>
        <v/>
      </c>
      <c r="O182" s="1202" t="str">
        <f>IF(Bauteile!O592="","",Bauteile!O592)</f>
        <v/>
      </c>
      <c r="P182" s="101"/>
      <c r="Q182" s="86"/>
      <c r="R182" s="86"/>
      <c r="S182" s="86"/>
      <c r="T182" s="86"/>
      <c r="U182" s="86"/>
    </row>
    <row r="183" spans="1:21" ht="9.75" customHeight="1">
      <c r="A183" s="586" t="str">
        <f>IF(Bauteile!$J606&gt;Nutzung!$G$29,"*","")</f>
        <v/>
      </c>
      <c r="B183" s="1324" t="str">
        <f>IF(Bauteile!B605="","-",Bauteile!B605)</f>
        <v>-</v>
      </c>
      <c r="C183" s="1324"/>
      <c r="D183" s="1318" t="str">
        <f>IF(Bauteile!C605="","",Bauteile!C605)</f>
        <v/>
      </c>
      <c r="E183" s="1318"/>
      <c r="F183" s="1304" t="str">
        <f>IF(Bauteile!D605="","",Bauteile!D605)</f>
        <v/>
      </c>
      <c r="G183" s="1304"/>
      <c r="H183" s="1311" t="str">
        <f>IF(Bauteile!E605="","",Bauteile!E605)</f>
        <v/>
      </c>
      <c r="I183" s="1311"/>
      <c r="J183" s="1309"/>
      <c r="K183" s="1309"/>
      <c r="L183" s="1311" t="str">
        <f>IF(Bauteile!N605=0,"",Bauteile!N605)</f>
        <v/>
      </c>
      <c r="M183" s="1311"/>
      <c r="N183" s="1203" t="str">
        <f>IF(Bauteile!M605="","",Bauteile!M605)</f>
        <v/>
      </c>
      <c r="O183" s="1204" t="str">
        <f>IF(Bauteile!O605="","",Bauteile!O605)</f>
        <v/>
      </c>
      <c r="P183" s="86"/>
      <c r="Q183" s="86"/>
      <c r="R183" s="86"/>
      <c r="S183" s="86"/>
      <c r="T183" s="86"/>
      <c r="U183" s="86"/>
    </row>
    <row r="184" spans="1:21" ht="9.75" customHeight="1">
      <c r="A184" s="586" t="str">
        <f>IF(Bauteile!$J619&gt;Nutzung!$G$29,"*","")</f>
        <v/>
      </c>
      <c r="B184" s="1316" t="str">
        <f>IF(Bauteile!B618="","-",Bauteile!B618)</f>
        <v>-</v>
      </c>
      <c r="C184" s="1316"/>
      <c r="D184" s="1302" t="str">
        <f>IF(Bauteile!C618="","",Bauteile!C618)</f>
        <v/>
      </c>
      <c r="E184" s="1302"/>
      <c r="F184" s="1303" t="str">
        <f>IF(Bauteile!D618="","",Bauteile!D618)</f>
        <v/>
      </c>
      <c r="G184" s="1303"/>
      <c r="H184" s="1307" t="str">
        <f>IF(Bauteile!E618="","",Bauteile!E618)</f>
        <v/>
      </c>
      <c r="I184" s="1307"/>
      <c r="J184" s="1309"/>
      <c r="K184" s="1309"/>
      <c r="L184" s="1307" t="str">
        <f>IF(Bauteile!N618=0,"",Bauteile!N618)</f>
        <v/>
      </c>
      <c r="M184" s="1307"/>
      <c r="N184" s="1201" t="str">
        <f>IF(Bauteile!M618="","",Bauteile!M618)</f>
        <v/>
      </c>
      <c r="O184" s="1202" t="str">
        <f>IF(Bauteile!O618="","",Bauteile!O618)</f>
        <v/>
      </c>
      <c r="P184" s="101"/>
      <c r="Q184" s="86"/>
      <c r="R184" s="86"/>
      <c r="S184" s="86"/>
      <c r="T184" s="86"/>
      <c r="U184" s="86"/>
    </row>
    <row r="185" spans="1:21" ht="9.75" customHeight="1">
      <c r="A185" s="586" t="str">
        <f>IF(Bauteile!$J632&gt;Nutzung!$G$29,"*","")</f>
        <v/>
      </c>
      <c r="B185" s="1324" t="str">
        <f>IF(Bauteile!B631="","-",Bauteile!B631)</f>
        <v>-</v>
      </c>
      <c r="C185" s="1324"/>
      <c r="D185" s="1318" t="str">
        <f>IF(Bauteile!C631="","",Bauteile!C631)</f>
        <v/>
      </c>
      <c r="E185" s="1318"/>
      <c r="F185" s="1304" t="str">
        <f>IF(Bauteile!D631="","",Bauteile!D631)</f>
        <v/>
      </c>
      <c r="G185" s="1304"/>
      <c r="H185" s="1311" t="str">
        <f>IF(Bauteile!E631="","",Bauteile!E631)</f>
        <v/>
      </c>
      <c r="I185" s="1311"/>
      <c r="J185" s="1309"/>
      <c r="K185" s="1309"/>
      <c r="L185" s="1311" t="str">
        <f>IF(Bauteile!N631=0,"",Bauteile!N631)</f>
        <v/>
      </c>
      <c r="M185" s="1311"/>
      <c r="N185" s="1203" t="str">
        <f>IF(Bauteile!M631="","",Bauteile!M631)</f>
        <v/>
      </c>
      <c r="O185" s="1204" t="str">
        <f>IF(Bauteile!O631="","",Bauteile!O631)</f>
        <v/>
      </c>
      <c r="P185" s="86"/>
      <c r="Q185" s="86"/>
      <c r="R185" s="86"/>
      <c r="S185" s="86"/>
      <c r="T185" s="86"/>
      <c r="U185" s="86"/>
    </row>
    <row r="186" spans="1:21" ht="9.75" customHeight="1">
      <c r="A186" s="586" t="str">
        <f>IF(Bauteile!$J645&gt;Nutzung!$G$29,"*","")</f>
        <v/>
      </c>
      <c r="B186" s="1316" t="str">
        <f>IF(Bauteile!B644="","-",Bauteile!B644)</f>
        <v>-</v>
      </c>
      <c r="C186" s="1316"/>
      <c r="D186" s="1302" t="str">
        <f>IF(Bauteile!C644="","",Bauteile!C644)</f>
        <v/>
      </c>
      <c r="E186" s="1302"/>
      <c r="F186" s="1303" t="str">
        <f>IF(Bauteile!D644="","",Bauteile!D644)</f>
        <v/>
      </c>
      <c r="G186" s="1303"/>
      <c r="H186" s="1307" t="str">
        <f>IF(Bauteile!E644="","",Bauteile!E644)</f>
        <v/>
      </c>
      <c r="I186" s="1307"/>
      <c r="J186" s="1309"/>
      <c r="K186" s="1309"/>
      <c r="L186" s="1307" t="str">
        <f>IF(Bauteile!N644=0,"",Bauteile!N644)</f>
        <v/>
      </c>
      <c r="M186" s="1307"/>
      <c r="N186" s="1201" t="str">
        <f>IF(Bauteile!M644="","",Bauteile!M644)</f>
        <v/>
      </c>
      <c r="O186" s="1202" t="str">
        <f>IF(Bauteile!O644="","",Bauteile!O644)</f>
        <v/>
      </c>
      <c r="P186" s="101"/>
      <c r="Q186" s="86"/>
      <c r="R186" s="86"/>
      <c r="S186" s="86"/>
      <c r="T186" s="86"/>
      <c r="U186" s="86"/>
    </row>
    <row r="187" spans="1:21" ht="9.75" customHeight="1">
      <c r="A187" s="586" t="str">
        <f>IF(Bauteile!$J658&gt;Nutzung!$G$29,"*","")</f>
        <v/>
      </c>
      <c r="B187" s="1324" t="str">
        <f>IF(Bauteile!B657="","-",Bauteile!B657)</f>
        <v>-</v>
      </c>
      <c r="C187" s="1324"/>
      <c r="D187" s="1318" t="str">
        <f>IF(Bauteile!C657="","",Bauteile!C657)</f>
        <v/>
      </c>
      <c r="E187" s="1318"/>
      <c r="F187" s="1304" t="str">
        <f>IF(Bauteile!D657="","",Bauteile!D657)</f>
        <v/>
      </c>
      <c r="G187" s="1304"/>
      <c r="H187" s="1311" t="str">
        <f>IF(Bauteile!E657="","",Bauteile!E657)</f>
        <v/>
      </c>
      <c r="I187" s="1311"/>
      <c r="J187" s="1309"/>
      <c r="K187" s="1309"/>
      <c r="L187" s="1311" t="str">
        <f>IF(Bauteile!N657=0,"",Bauteile!N657)</f>
        <v/>
      </c>
      <c r="M187" s="1311"/>
      <c r="N187" s="1203" t="str">
        <f>IF(Bauteile!M657="","",Bauteile!M657)</f>
        <v/>
      </c>
      <c r="O187" s="1204" t="str">
        <f>IF(Bauteile!O657="","",Bauteile!O657)</f>
        <v/>
      </c>
      <c r="P187" s="97"/>
      <c r="Q187" s="86"/>
      <c r="R187" s="86"/>
      <c r="S187" s="86"/>
      <c r="T187" s="86"/>
      <c r="U187" s="86"/>
    </row>
    <row r="188" spans="1:21" ht="9" customHeight="1">
      <c r="B188" s="1109"/>
      <c r="C188" s="1151"/>
      <c r="D188" s="1151"/>
      <c r="E188" s="1209"/>
      <c r="F188" s="1210"/>
      <c r="G188" s="1210"/>
      <c r="H188" s="1175"/>
      <c r="I188" s="1151"/>
      <c r="J188" s="1175"/>
      <c r="K188" s="1175"/>
      <c r="L188" s="1175"/>
      <c r="M188" s="1175"/>
      <c r="N188" s="1209"/>
      <c r="O188" s="1211"/>
      <c r="P188" s="97"/>
      <c r="Q188" s="86"/>
      <c r="R188" s="86"/>
      <c r="S188" s="86"/>
      <c r="T188" s="86"/>
      <c r="U188" s="86"/>
    </row>
    <row r="189" spans="1:21" ht="9.75" customHeight="1">
      <c r="B189" s="1128" t="s">
        <v>375</v>
      </c>
      <c r="C189" s="1225"/>
      <c r="D189" s="1226"/>
      <c r="E189" s="1226"/>
      <c r="F189" s="1301" t="str">
        <f>IF(SUM(F182:G187)=0,"",SUM(F182:G187))</f>
        <v/>
      </c>
      <c r="G189" s="1301"/>
      <c r="H189" s="1226"/>
      <c r="I189" s="1226"/>
      <c r="J189" s="1226"/>
      <c r="K189" s="1226"/>
      <c r="L189" s="1226"/>
      <c r="M189" s="1226"/>
      <c r="N189" s="1207"/>
      <c r="O189" s="1227" t="str">
        <f>IF(SUM(O182:O187)=0,"",SUM(O182:O187))</f>
        <v/>
      </c>
      <c r="P189" s="101"/>
      <c r="Q189" s="86"/>
      <c r="R189" s="86"/>
      <c r="S189" s="86"/>
      <c r="T189" s="86"/>
      <c r="U189" s="86"/>
    </row>
    <row r="190" spans="1:21" s="87" customFormat="1" ht="9" customHeight="1"/>
    <row r="191" spans="1:21" s="87" customFormat="1" ht="9" customHeight="1"/>
    <row r="192" spans="1:21" s="87" customFormat="1" ht="9" customHeight="1"/>
    <row r="193" spans="2:21" ht="12" customHeight="1">
      <c r="B193" s="1193" t="s">
        <v>196</v>
      </c>
      <c r="C193" s="1194"/>
      <c r="D193" s="1308" t="s">
        <v>424</v>
      </c>
      <c r="E193" s="1308"/>
      <c r="F193" s="1308" t="s">
        <v>508</v>
      </c>
      <c r="G193" s="1308"/>
      <c r="H193" s="1308" t="s">
        <v>464</v>
      </c>
      <c r="I193" s="1308"/>
      <c r="J193" s="1308" t="s">
        <v>521</v>
      </c>
      <c r="K193" s="1308"/>
      <c r="L193" s="1305" t="s">
        <v>668</v>
      </c>
      <c r="M193" s="1305"/>
      <c r="N193" s="1198" t="s">
        <v>349</v>
      </c>
      <c r="O193" s="1198" t="s">
        <v>55</v>
      </c>
      <c r="P193" s="127"/>
      <c r="Q193" s="86"/>
      <c r="R193" s="86"/>
      <c r="S193" s="86"/>
      <c r="T193" s="86"/>
      <c r="U193" s="86"/>
    </row>
    <row r="194" spans="2:21" ht="10.050000000000001" customHeight="1">
      <c r="B194" s="33"/>
      <c r="C194" s="100"/>
      <c r="D194" s="1317" t="s">
        <v>372</v>
      </c>
      <c r="E194" s="1317"/>
      <c r="F194" s="1310" t="s">
        <v>552</v>
      </c>
      <c r="G194" s="1310"/>
      <c r="H194" s="1310" t="s">
        <v>181</v>
      </c>
      <c r="I194" s="1310"/>
      <c r="J194" s="1317" t="s">
        <v>372</v>
      </c>
      <c r="K194" s="1317"/>
      <c r="L194" s="1310" t="s">
        <v>200</v>
      </c>
      <c r="M194" s="1310"/>
      <c r="N194" s="1218" t="s">
        <v>372</v>
      </c>
      <c r="O194" s="1218" t="s">
        <v>364</v>
      </c>
      <c r="P194" s="128"/>
      <c r="Q194" s="86"/>
      <c r="R194" s="86"/>
      <c r="S194" s="86"/>
      <c r="T194" s="86"/>
      <c r="U194" s="86"/>
    </row>
    <row r="195" spans="2:21" ht="9" customHeight="1">
      <c r="B195" s="1152"/>
      <c r="C195" s="1200"/>
      <c r="D195" s="1152"/>
      <c r="E195" s="1110"/>
      <c r="F195" s="1152"/>
      <c r="G195" s="1152"/>
      <c r="H195" s="1152"/>
      <c r="I195" s="1152"/>
      <c r="J195" s="1152"/>
      <c r="K195" s="1152"/>
      <c r="L195" s="1152"/>
      <c r="M195" s="1152"/>
      <c r="N195" s="1152"/>
      <c r="O195" s="1152"/>
      <c r="P195" s="101"/>
      <c r="Q195" s="86"/>
      <c r="R195" s="86"/>
      <c r="S195" s="86"/>
      <c r="T195" s="86"/>
      <c r="U195" s="86"/>
    </row>
    <row r="196" spans="2:21" ht="9.75" customHeight="1">
      <c r="B196" s="1316" t="str">
        <f>IF(Bauteile!B674="","-",Bauteile!B674)</f>
        <v>-</v>
      </c>
      <c r="C196" s="1316"/>
      <c r="D196" s="1302" t="str">
        <f>IF(Bauteile!C674="","",Bauteile!C674)</f>
        <v/>
      </c>
      <c r="E196" s="1302"/>
      <c r="F196" s="1303" t="str">
        <f>IF(Bauteile!D674="","",Bauteile!D674)</f>
        <v/>
      </c>
      <c r="G196" s="1303"/>
      <c r="H196" s="1307" t="str">
        <f>IF(Bauteile!E674="","",Bauteile!E674)</f>
        <v/>
      </c>
      <c r="I196" s="1307"/>
      <c r="J196" s="1309" t="str">
        <f>IF(Bauteile!F674="","",Bauteile!F674)</f>
        <v/>
      </c>
      <c r="K196" s="1309"/>
      <c r="L196" s="1307" t="str">
        <f>IF(Bauteile!N674=0,"",Bauteile!N674)</f>
        <v/>
      </c>
      <c r="M196" s="1307"/>
      <c r="N196" s="1201" t="str">
        <f>IF(Bauteile!M674="","",Bauteile!M674)</f>
        <v/>
      </c>
      <c r="O196" s="1202" t="str">
        <f>IF(Bauteile!O674="","",Bauteile!O674)</f>
        <v/>
      </c>
      <c r="P196" s="101"/>
      <c r="Q196" s="86"/>
      <c r="R196" s="86"/>
      <c r="S196" s="86"/>
      <c r="T196" s="86"/>
      <c r="U196" s="86"/>
    </row>
    <row r="197" spans="2:21" ht="9.75" customHeight="1">
      <c r="B197" s="1316" t="str">
        <f>IF(Bauteile!B687="","-",Bauteile!B687)</f>
        <v>-</v>
      </c>
      <c r="C197" s="1316"/>
      <c r="D197" s="1302" t="str">
        <f>IF(Bauteile!C687="","",Bauteile!C687)</f>
        <v/>
      </c>
      <c r="E197" s="1302"/>
      <c r="F197" s="1303" t="str">
        <f>IF(Bauteile!D687="","",Bauteile!D687)</f>
        <v/>
      </c>
      <c r="G197" s="1303"/>
      <c r="H197" s="1307" t="str">
        <f>IF(Bauteile!E687="","",Bauteile!E687)</f>
        <v/>
      </c>
      <c r="I197" s="1307"/>
      <c r="J197" s="1309" t="str">
        <f>IF(Bauteile!F687="","",Bauteile!F687)</f>
        <v/>
      </c>
      <c r="K197" s="1309"/>
      <c r="L197" s="1307" t="str">
        <f>IF(Bauteile!N687=0,"",Bauteile!N687)</f>
        <v/>
      </c>
      <c r="M197" s="1307"/>
      <c r="N197" s="1201" t="str">
        <f>IF(Bauteile!M687="","",Bauteile!M687)</f>
        <v/>
      </c>
      <c r="O197" s="1202" t="str">
        <f>IF(Bauteile!O687="","",Bauteile!O687)</f>
        <v/>
      </c>
      <c r="P197" s="101"/>
      <c r="Q197" s="86"/>
      <c r="R197" s="86"/>
      <c r="S197" s="86"/>
      <c r="T197" s="86"/>
      <c r="U197" s="86"/>
    </row>
    <row r="198" spans="2:21" ht="9.75" customHeight="1">
      <c r="B198" s="1316" t="str">
        <f>IF(Bauteile!B700="","-",Bauteile!B700)</f>
        <v>-</v>
      </c>
      <c r="C198" s="1316"/>
      <c r="D198" s="1302" t="str">
        <f>IF(Bauteile!C700="","",Bauteile!C700)</f>
        <v/>
      </c>
      <c r="E198" s="1302"/>
      <c r="F198" s="1303" t="str">
        <f>IF(Bauteile!D700="","",Bauteile!D700)</f>
        <v/>
      </c>
      <c r="G198" s="1303"/>
      <c r="H198" s="1307" t="str">
        <f>IF(Bauteile!E700="","",Bauteile!E700)</f>
        <v/>
      </c>
      <c r="I198" s="1307"/>
      <c r="J198" s="1309" t="str">
        <f>IF(Bauteile!F700="","",Bauteile!F700)</f>
        <v/>
      </c>
      <c r="K198" s="1309"/>
      <c r="L198" s="1307" t="str">
        <f>IF(Bauteile!N700=0,"",Bauteile!N700)</f>
        <v/>
      </c>
      <c r="M198" s="1307"/>
      <c r="N198" s="1201" t="str">
        <f>IF(Bauteile!M700="","",Bauteile!M700)</f>
        <v/>
      </c>
      <c r="O198" s="1202" t="str">
        <f>IF(Bauteile!O700="","",Bauteile!O700)</f>
        <v/>
      </c>
      <c r="P198" s="102"/>
      <c r="Q198" s="86"/>
      <c r="R198" s="86"/>
      <c r="S198" s="86"/>
      <c r="T198" s="86"/>
      <c r="U198" s="86"/>
    </row>
    <row r="199" spans="2:21" ht="9" customHeight="1">
      <c r="B199" s="1109"/>
      <c r="C199" s="1151"/>
      <c r="D199" s="1151"/>
      <c r="E199" s="1209"/>
      <c r="F199" s="1210"/>
      <c r="G199" s="1210"/>
      <c r="H199" s="1175"/>
      <c r="I199" s="1151"/>
      <c r="J199" s="1175"/>
      <c r="K199" s="1175"/>
      <c r="L199" s="1175"/>
      <c r="M199" s="1175"/>
      <c r="N199" s="1209"/>
      <c r="O199" s="1211"/>
      <c r="P199" s="97"/>
      <c r="Q199" s="86"/>
      <c r="R199" s="86"/>
      <c r="S199" s="86"/>
      <c r="T199" s="86"/>
      <c r="U199" s="86"/>
    </row>
    <row r="200" spans="2:21" ht="9.75" customHeight="1">
      <c r="B200" s="1128" t="s">
        <v>375</v>
      </c>
      <c r="C200" s="1225"/>
      <c r="D200" s="1225"/>
      <c r="E200" s="1226"/>
      <c r="F200" s="1301" t="str">
        <f>IF(SUM(F196:G198)=0,"",SUM(F196:G198))</f>
        <v/>
      </c>
      <c r="G200" s="1301"/>
      <c r="H200" s="1226"/>
      <c r="I200" s="1226"/>
      <c r="J200" s="1226"/>
      <c r="K200" s="1226"/>
      <c r="L200" s="1226"/>
      <c r="M200" s="1226"/>
      <c r="N200" s="1207"/>
      <c r="O200" s="1227" t="str">
        <f>IF(SUM(O196:O198)=0,"",SUM(O196:O198))</f>
        <v/>
      </c>
      <c r="P200" s="101"/>
      <c r="Q200" s="86"/>
      <c r="R200" s="86"/>
      <c r="S200" s="86"/>
      <c r="T200" s="86"/>
      <c r="U200" s="86"/>
    </row>
    <row r="201" spans="2:21" ht="8.25" customHeight="1">
      <c r="B201" s="101"/>
      <c r="C201" s="99"/>
      <c r="D201" s="99"/>
      <c r="E201" s="101"/>
      <c r="F201" s="101"/>
      <c r="G201" s="101"/>
      <c r="H201" s="101"/>
      <c r="I201" s="101"/>
      <c r="J201" s="33"/>
      <c r="K201" s="101"/>
      <c r="L201" s="101"/>
      <c r="M201" s="101"/>
      <c r="N201" s="101"/>
      <c r="O201" s="99"/>
      <c r="P201" s="101"/>
      <c r="Q201" s="86"/>
      <c r="R201" s="86"/>
      <c r="S201" s="86"/>
      <c r="T201" s="86"/>
      <c r="U201" s="86"/>
    </row>
    <row r="202" spans="2:21" ht="9.4499999999999993" customHeight="1">
      <c r="C202" s="24"/>
      <c r="U202" s="86"/>
    </row>
    <row r="203" spans="2:21" ht="9.4499999999999993" customHeight="1">
      <c r="C203" s="24"/>
      <c r="U203" s="86"/>
    </row>
    <row r="204" spans="2:21" ht="9.4499999999999993" customHeight="1">
      <c r="C204" s="24"/>
      <c r="U204" s="86"/>
    </row>
    <row r="205" spans="2:21" ht="8.6999999999999993" customHeight="1">
      <c r="B205" s="101"/>
      <c r="C205" s="99"/>
      <c r="D205" s="99"/>
      <c r="E205" s="101"/>
      <c r="F205" s="101"/>
      <c r="G205" s="101"/>
      <c r="H205" s="101"/>
      <c r="I205" s="101"/>
      <c r="J205" s="33"/>
      <c r="K205" s="101"/>
      <c r="L205" s="101"/>
      <c r="M205" s="101"/>
      <c r="N205" s="101"/>
      <c r="O205" s="101"/>
      <c r="P205" s="101"/>
      <c r="Q205" s="86"/>
      <c r="R205" s="86"/>
      <c r="S205" s="86"/>
      <c r="T205" s="86"/>
      <c r="U205" s="86"/>
    </row>
    <row r="206" spans="2:21" ht="15" customHeight="1">
      <c r="B206" s="594" t="s">
        <v>449</v>
      </c>
      <c r="C206" s="86"/>
      <c r="D206" s="86"/>
      <c r="E206" s="86"/>
      <c r="F206" s="86"/>
      <c r="G206" s="282"/>
      <c r="H206" s="282"/>
      <c r="J206" s="86"/>
      <c r="K206" s="86"/>
      <c r="L206" s="86"/>
      <c r="M206" s="86"/>
      <c r="N206" s="86"/>
      <c r="O206" s="86"/>
      <c r="P206" s="86"/>
      <c r="Q206" s="86"/>
      <c r="R206" s="86"/>
      <c r="S206" s="86"/>
      <c r="T206" s="86"/>
      <c r="U206" s="86"/>
    </row>
    <row r="207" spans="2:21" ht="7.5" customHeight="1">
      <c r="B207" s="101"/>
      <c r="C207" s="99"/>
      <c r="D207" s="99"/>
      <c r="E207" s="101"/>
      <c r="F207" s="101"/>
      <c r="G207" s="101"/>
      <c r="H207" s="101"/>
      <c r="I207" s="101"/>
      <c r="J207" s="33"/>
      <c r="K207" s="101"/>
      <c r="L207" s="101"/>
      <c r="M207" s="101"/>
      <c r="N207" s="101"/>
      <c r="O207" s="101"/>
      <c r="P207" s="101"/>
      <c r="Q207" s="86"/>
      <c r="R207" s="86"/>
      <c r="S207" s="86"/>
      <c r="T207" s="86"/>
      <c r="U207" s="86"/>
    </row>
    <row r="208" spans="2:21" ht="7.5" customHeight="1">
      <c r="B208" s="101"/>
      <c r="C208" s="99"/>
      <c r="D208" s="99"/>
      <c r="E208" s="101"/>
      <c r="F208" s="101"/>
      <c r="G208" s="101"/>
      <c r="H208" s="101"/>
      <c r="I208" s="101"/>
      <c r="J208" s="33"/>
      <c r="K208" s="101"/>
      <c r="L208" s="101"/>
      <c r="M208" s="101"/>
      <c r="N208" s="101"/>
      <c r="O208" s="101"/>
      <c r="P208" s="101"/>
      <c r="Q208" s="86"/>
      <c r="R208" s="86"/>
      <c r="S208" s="86"/>
      <c r="T208" s="86"/>
      <c r="U208" s="86"/>
    </row>
    <row r="209" spans="2:21" ht="12" customHeight="1">
      <c r="B209" s="1323" t="s">
        <v>197</v>
      </c>
      <c r="C209" s="1323"/>
      <c r="D209" s="1308" t="s">
        <v>424</v>
      </c>
      <c r="E209" s="1308"/>
      <c r="F209" s="1308" t="s">
        <v>65</v>
      </c>
      <c r="G209" s="1308"/>
      <c r="H209" s="1308" t="s">
        <v>231</v>
      </c>
      <c r="I209" s="1308"/>
      <c r="J209" s="1305" t="s">
        <v>502</v>
      </c>
      <c r="K209" s="1305"/>
      <c r="L209" s="1305" t="s">
        <v>668</v>
      </c>
      <c r="M209" s="1305"/>
      <c r="N209" s="1198" t="s">
        <v>349</v>
      </c>
      <c r="O209" s="1198" t="s">
        <v>55</v>
      </c>
      <c r="P209" s="127"/>
      <c r="Q209" s="86"/>
      <c r="R209" s="86"/>
      <c r="S209" s="86"/>
      <c r="T209" s="86"/>
      <c r="U209" s="86"/>
    </row>
    <row r="210" spans="2:21" ht="10.050000000000001" customHeight="1">
      <c r="B210" s="33"/>
      <c r="C210" s="100"/>
      <c r="D210" s="1317" t="s">
        <v>372</v>
      </c>
      <c r="E210" s="1317"/>
      <c r="F210" s="1317" t="s">
        <v>22</v>
      </c>
      <c r="G210" s="1317"/>
      <c r="H210" s="1317" t="s">
        <v>430</v>
      </c>
      <c r="I210" s="1317"/>
      <c r="J210" s="1317" t="s">
        <v>372</v>
      </c>
      <c r="K210" s="1317"/>
      <c r="L210" s="1310" t="s">
        <v>200</v>
      </c>
      <c r="M210" s="1310"/>
      <c r="N210" s="1218" t="s">
        <v>372</v>
      </c>
      <c r="O210" s="1218" t="s">
        <v>364</v>
      </c>
      <c r="P210" s="128"/>
      <c r="Q210" s="86"/>
      <c r="R210" s="86"/>
      <c r="S210" s="86"/>
      <c r="T210" s="86"/>
      <c r="U210" s="86"/>
    </row>
    <row r="211" spans="2:21" ht="9" customHeight="1">
      <c r="B211" s="1152"/>
      <c r="C211" s="1200"/>
      <c r="D211" s="1152"/>
      <c r="E211" s="1110"/>
      <c r="F211" s="1152"/>
      <c r="G211" s="1152"/>
      <c r="H211" s="1152"/>
      <c r="I211" s="1152"/>
      <c r="J211" s="1152"/>
      <c r="K211" s="1152"/>
      <c r="L211" s="1152"/>
      <c r="M211" s="1152"/>
      <c r="N211" s="1152"/>
      <c r="O211" s="1152"/>
      <c r="P211" s="101"/>
      <c r="Q211" s="86"/>
      <c r="R211" s="86"/>
      <c r="S211" s="86"/>
      <c r="T211" s="86"/>
      <c r="U211" s="86"/>
    </row>
    <row r="212" spans="2:21" ht="9.75" customHeight="1">
      <c r="B212" s="1316" t="str">
        <f>IF(Bauteile!B719="","-",Bauteile!B719)</f>
        <v>-</v>
      </c>
      <c r="C212" s="1316"/>
      <c r="D212" s="1302" t="str">
        <f>IF(Bauteile!C719="","",Bauteile!C719)</f>
        <v/>
      </c>
      <c r="E212" s="1302"/>
      <c r="F212" s="1303" t="str">
        <f>IF(Bauteile!D719="","",Bauteile!D719)</f>
        <v/>
      </c>
      <c r="G212" s="1303"/>
      <c r="H212" s="1307" t="str">
        <f>IF(Bauteile!E719="","",Bauteile!E719)</f>
        <v/>
      </c>
      <c r="I212" s="1307"/>
      <c r="J212" s="1307" t="str">
        <f>IF(Bauteile!F719="","",Bauteile!F719)</f>
        <v/>
      </c>
      <c r="K212" s="1307"/>
      <c r="L212" s="1307" t="str">
        <f>IF(Bauteile!N719=0,"",Bauteile!N719)</f>
        <v/>
      </c>
      <c r="M212" s="1307"/>
      <c r="N212" s="1201" t="str">
        <f>IF(Bauteile!M719="","",Bauteile!M719)</f>
        <v/>
      </c>
      <c r="O212" s="1202" t="str">
        <f>IF(Bauteile!O719="","",Bauteile!O719)</f>
        <v/>
      </c>
      <c r="P212" s="101"/>
      <c r="Q212" s="86"/>
      <c r="R212" s="86"/>
      <c r="S212" s="86"/>
      <c r="T212" s="86"/>
      <c r="U212" s="86"/>
    </row>
    <row r="213" spans="2:21" ht="9.75" customHeight="1">
      <c r="B213" s="1316" t="str">
        <f>IF(Bauteile!B732="","-",Bauteile!B732)</f>
        <v>-</v>
      </c>
      <c r="C213" s="1316"/>
      <c r="D213" s="1302" t="str">
        <f>IF(Bauteile!C732="","",Bauteile!C732)</f>
        <v/>
      </c>
      <c r="E213" s="1302"/>
      <c r="F213" s="1303" t="str">
        <f>IF(Bauteile!D732="","",Bauteile!D732)</f>
        <v/>
      </c>
      <c r="G213" s="1303"/>
      <c r="H213" s="1307" t="str">
        <f>IF(Bauteile!E732="","",Bauteile!E732)</f>
        <v/>
      </c>
      <c r="I213" s="1307"/>
      <c r="J213" s="1307" t="str">
        <f>IF(Bauteile!F732="","",Bauteile!F732)</f>
        <v/>
      </c>
      <c r="K213" s="1307"/>
      <c r="L213" s="1307" t="str">
        <f>IF(Bauteile!N732=0,"",Bauteile!N732)</f>
        <v/>
      </c>
      <c r="M213" s="1307"/>
      <c r="N213" s="1201" t="str">
        <f>IF(Bauteile!M732="","",Bauteile!M732)</f>
        <v/>
      </c>
      <c r="O213" s="1202" t="str">
        <f>IF(Bauteile!O732="","",Bauteile!O732)</f>
        <v/>
      </c>
      <c r="P213" s="101"/>
      <c r="Q213" s="86"/>
      <c r="R213" s="86"/>
      <c r="S213" s="86"/>
      <c r="T213" s="86"/>
      <c r="U213" s="86"/>
    </row>
    <row r="214" spans="2:21" ht="9.75" customHeight="1">
      <c r="B214" s="1316" t="str">
        <f>IF(Bauteile!B745="","-",Bauteile!B745)</f>
        <v>-</v>
      </c>
      <c r="C214" s="1316"/>
      <c r="D214" s="1302" t="str">
        <f>IF(Bauteile!C745="","",Bauteile!C745)</f>
        <v/>
      </c>
      <c r="E214" s="1302"/>
      <c r="F214" s="1303" t="str">
        <f>IF(Bauteile!D745="","",Bauteile!D745)</f>
        <v/>
      </c>
      <c r="G214" s="1303"/>
      <c r="H214" s="1307" t="str">
        <f>IF(Bauteile!E745="","",Bauteile!E745)</f>
        <v/>
      </c>
      <c r="I214" s="1307"/>
      <c r="J214" s="1307" t="str">
        <f>IF(Bauteile!F745="","",Bauteile!F745)</f>
        <v/>
      </c>
      <c r="K214" s="1307"/>
      <c r="L214" s="1307" t="str">
        <f>IF(Bauteile!N745=0,"",Bauteile!N745)</f>
        <v/>
      </c>
      <c r="M214" s="1307"/>
      <c r="N214" s="1201" t="str">
        <f>IF(Bauteile!M745="","",Bauteile!M745)</f>
        <v/>
      </c>
      <c r="O214" s="1202" t="str">
        <f>IF(Bauteile!O745="","",Bauteile!O745)</f>
        <v/>
      </c>
      <c r="P214" s="101"/>
      <c r="Q214" s="86"/>
      <c r="R214" s="86"/>
      <c r="S214" s="86"/>
      <c r="T214" s="86"/>
      <c r="U214" s="86"/>
    </row>
    <row r="215" spans="2:21" ht="9.75" customHeight="1">
      <c r="B215" s="1316" t="str">
        <f>IF(Bauteile!B758="","-",Bauteile!B758)</f>
        <v>-</v>
      </c>
      <c r="C215" s="1316"/>
      <c r="D215" s="1302" t="str">
        <f>IF(Bauteile!C758="","",Bauteile!C758)</f>
        <v/>
      </c>
      <c r="E215" s="1302"/>
      <c r="F215" s="1303" t="str">
        <f>IF(Bauteile!D758="","",Bauteile!D758)</f>
        <v/>
      </c>
      <c r="G215" s="1303"/>
      <c r="H215" s="1307" t="str">
        <f>IF(Bauteile!E758="","",Bauteile!E758)</f>
        <v/>
      </c>
      <c r="I215" s="1307"/>
      <c r="J215" s="1307" t="str">
        <f>IF(Bauteile!F758="","",Bauteile!F758)</f>
        <v/>
      </c>
      <c r="K215" s="1307"/>
      <c r="L215" s="1307" t="str">
        <f>IF(Bauteile!N758=0,"",Bauteile!N758)</f>
        <v/>
      </c>
      <c r="M215" s="1307"/>
      <c r="N215" s="1201" t="str">
        <f>IF(Bauteile!M758="","",Bauteile!M758)</f>
        <v/>
      </c>
      <c r="O215" s="1202" t="str">
        <f>IF(Bauteile!O758="","",Bauteile!O758)</f>
        <v/>
      </c>
      <c r="P215" s="102"/>
      <c r="Q215" s="86"/>
      <c r="R215" s="86"/>
      <c r="S215" s="86"/>
      <c r="T215" s="86"/>
      <c r="U215" s="86"/>
    </row>
    <row r="216" spans="2:21" ht="9.75" customHeight="1">
      <c r="B216" s="1316" t="str">
        <f>IF(Bauteile!B771="","-",Bauteile!B771)</f>
        <v>-</v>
      </c>
      <c r="C216" s="1316"/>
      <c r="D216" s="1302" t="str">
        <f>IF(Bauteile!C771="","",Bauteile!C771)</f>
        <v/>
      </c>
      <c r="E216" s="1302"/>
      <c r="F216" s="1303" t="str">
        <f>IF(Bauteile!D771="","",Bauteile!D771)</f>
        <v/>
      </c>
      <c r="G216" s="1303"/>
      <c r="H216" s="1307" t="str">
        <f>IF(Bauteile!E771="","",Bauteile!E771)</f>
        <v/>
      </c>
      <c r="I216" s="1307"/>
      <c r="J216" s="1307" t="str">
        <f>IF(Bauteile!F771="","",Bauteile!F771)</f>
        <v/>
      </c>
      <c r="K216" s="1307"/>
      <c r="L216" s="1307" t="str">
        <f>IF(Bauteile!N771=0,"",Bauteile!N771)</f>
        <v/>
      </c>
      <c r="M216" s="1307"/>
      <c r="N216" s="1201" t="str">
        <f>IF(Bauteile!M771="","",Bauteile!M771)</f>
        <v/>
      </c>
      <c r="O216" s="1202" t="str">
        <f>IF(Bauteile!O771="","",Bauteile!O771)</f>
        <v/>
      </c>
      <c r="P216" s="102"/>
      <c r="Q216" s="86"/>
      <c r="R216" s="86"/>
      <c r="S216" s="86"/>
      <c r="T216" s="86"/>
      <c r="U216" s="86"/>
    </row>
    <row r="217" spans="2:21" ht="9.75" customHeight="1">
      <c r="B217" s="1316" t="str">
        <f>IF(Bauteile!B784="","-",Bauteile!B784)</f>
        <v>-</v>
      </c>
      <c r="C217" s="1316"/>
      <c r="D217" s="1302" t="str">
        <f>IF(Bauteile!C784="","",Bauteile!C784)</f>
        <v/>
      </c>
      <c r="E217" s="1302"/>
      <c r="F217" s="1303" t="str">
        <f>IF(Bauteile!D784="","",Bauteile!D784)</f>
        <v/>
      </c>
      <c r="G217" s="1303"/>
      <c r="H217" s="1307" t="str">
        <f>IF(Bauteile!E784="","",Bauteile!E784)</f>
        <v/>
      </c>
      <c r="I217" s="1307"/>
      <c r="J217" s="1307" t="str">
        <f>IF(Bauteile!F784="","",Bauteile!F784)</f>
        <v/>
      </c>
      <c r="K217" s="1307"/>
      <c r="L217" s="1307" t="str">
        <f>IF(Bauteile!N784=0,"",Bauteile!N784)</f>
        <v/>
      </c>
      <c r="M217" s="1307"/>
      <c r="N217" s="1201" t="str">
        <f>IF(Bauteile!M784="","",Bauteile!M784)</f>
        <v/>
      </c>
      <c r="O217" s="1202" t="str">
        <f>IF(Bauteile!O784="","",Bauteile!O784)</f>
        <v/>
      </c>
      <c r="P217" s="102"/>
      <c r="Q217" s="86"/>
      <c r="R217" s="86"/>
      <c r="S217" s="86"/>
      <c r="T217" s="86"/>
      <c r="U217" s="86"/>
    </row>
    <row r="218" spans="2:21" ht="9.75" customHeight="1">
      <c r="B218" s="1316" t="str">
        <f>IF(Bauteile!B797="","-",Bauteile!B797)</f>
        <v>-</v>
      </c>
      <c r="C218" s="1316"/>
      <c r="D218" s="1302" t="str">
        <f>IF(Bauteile!C797="","",Bauteile!C797)</f>
        <v/>
      </c>
      <c r="E218" s="1302"/>
      <c r="F218" s="1303" t="str">
        <f>IF(Bauteile!D797="","",Bauteile!D797)</f>
        <v/>
      </c>
      <c r="G218" s="1303"/>
      <c r="H218" s="1307" t="str">
        <f>IF(Bauteile!E797="","",Bauteile!E797)</f>
        <v/>
      </c>
      <c r="I218" s="1307"/>
      <c r="J218" s="1307" t="str">
        <f>IF(Bauteile!F797="","",Bauteile!F797)</f>
        <v/>
      </c>
      <c r="K218" s="1307"/>
      <c r="L218" s="1307" t="str">
        <f>IF(Bauteile!N797=0,"",Bauteile!N797)</f>
        <v/>
      </c>
      <c r="M218" s="1307"/>
      <c r="N218" s="1201" t="str">
        <f>IF(Bauteile!M797="","",Bauteile!M797)</f>
        <v/>
      </c>
      <c r="O218" s="1202" t="str">
        <f>IF(Bauteile!O797="","",Bauteile!O797)</f>
        <v/>
      </c>
      <c r="P218" s="102"/>
      <c r="Q218" s="86"/>
      <c r="R218" s="86"/>
      <c r="S218" s="86"/>
      <c r="T218" s="86"/>
      <c r="U218" s="86"/>
    </row>
    <row r="219" spans="2:21" ht="9.75" customHeight="1">
      <c r="B219" s="1316" t="str">
        <f>IF(Bauteile!B810="","-",Bauteile!B810)</f>
        <v>-</v>
      </c>
      <c r="C219" s="1316"/>
      <c r="D219" s="1302" t="str">
        <f>IF(Bauteile!C810="","",Bauteile!C810)</f>
        <v/>
      </c>
      <c r="E219" s="1302"/>
      <c r="F219" s="1303" t="str">
        <f>IF(Bauteile!D810="","",Bauteile!D810)</f>
        <v/>
      </c>
      <c r="G219" s="1303"/>
      <c r="H219" s="1307" t="str">
        <f>IF(Bauteile!E810="","",Bauteile!E810)</f>
        <v/>
      </c>
      <c r="I219" s="1307"/>
      <c r="J219" s="1307" t="str">
        <f>IF(Bauteile!F810="","",Bauteile!F810)</f>
        <v/>
      </c>
      <c r="K219" s="1307"/>
      <c r="L219" s="1307" t="str">
        <f>IF(Bauteile!N810=0,"",Bauteile!N810)</f>
        <v/>
      </c>
      <c r="M219" s="1307"/>
      <c r="N219" s="1201" t="str">
        <f>IF(Bauteile!M810="","",Bauteile!M810)</f>
        <v/>
      </c>
      <c r="O219" s="1202" t="str">
        <f>IF(Bauteile!O810="","",Bauteile!O810)</f>
        <v/>
      </c>
      <c r="P219" s="102"/>
      <c r="Q219" s="86"/>
      <c r="R219" s="86"/>
      <c r="S219" s="86"/>
      <c r="T219" s="86"/>
      <c r="U219" s="86"/>
    </row>
    <row r="220" spans="2:21" ht="9.75" customHeight="1">
      <c r="B220" s="1316" t="str">
        <f>IF(Bauteile!B823="","-",Bauteile!B823)</f>
        <v>-</v>
      </c>
      <c r="C220" s="1316"/>
      <c r="D220" s="1302" t="str">
        <f>IF(Bauteile!C823="","",Bauteile!C823)</f>
        <v/>
      </c>
      <c r="E220" s="1302"/>
      <c r="F220" s="1303" t="str">
        <f>IF(Bauteile!D823="","",Bauteile!D823)</f>
        <v/>
      </c>
      <c r="G220" s="1303"/>
      <c r="H220" s="1307" t="str">
        <f>IF(Bauteile!E823="","",Bauteile!E823)</f>
        <v/>
      </c>
      <c r="I220" s="1307"/>
      <c r="J220" s="1307" t="str">
        <f>IF(Bauteile!F823="","",Bauteile!F823)</f>
        <v/>
      </c>
      <c r="K220" s="1307"/>
      <c r="L220" s="1307" t="str">
        <f>IF(Bauteile!N823=0,"",Bauteile!N823)</f>
        <v/>
      </c>
      <c r="M220" s="1307"/>
      <c r="N220" s="1201" t="str">
        <f>IF(Bauteile!M823="","",Bauteile!M823)</f>
        <v/>
      </c>
      <c r="O220" s="1202" t="str">
        <f>IF(Bauteile!O823="","",Bauteile!O823)</f>
        <v/>
      </c>
      <c r="P220" s="102"/>
      <c r="Q220" s="86"/>
      <c r="R220" s="86"/>
      <c r="S220" s="86"/>
      <c r="T220" s="86"/>
      <c r="U220" s="86"/>
    </row>
    <row r="221" spans="2:21" ht="9.75" customHeight="1">
      <c r="B221" s="1316" t="str">
        <f>IF(Bauteile!B836="","-",Bauteile!B836)</f>
        <v>-</v>
      </c>
      <c r="C221" s="1316"/>
      <c r="D221" s="1302" t="str">
        <f>IF(Bauteile!C836="","",Bauteile!C836)</f>
        <v/>
      </c>
      <c r="E221" s="1302"/>
      <c r="F221" s="1303" t="str">
        <f>IF(Bauteile!D836="","",Bauteile!D836)</f>
        <v/>
      </c>
      <c r="G221" s="1303"/>
      <c r="H221" s="1307" t="str">
        <f>IF(Bauteile!E836="","",Bauteile!E836)</f>
        <v/>
      </c>
      <c r="I221" s="1307"/>
      <c r="J221" s="1307" t="str">
        <f>IF(Bauteile!F836="","",Bauteile!F836)</f>
        <v/>
      </c>
      <c r="K221" s="1307"/>
      <c r="L221" s="1307" t="str">
        <f>IF(Bauteile!N836=0,"",Bauteile!N836)</f>
        <v/>
      </c>
      <c r="M221" s="1307"/>
      <c r="N221" s="1201" t="str">
        <f>IF(Bauteile!M836="","",Bauteile!M836)</f>
        <v/>
      </c>
      <c r="O221" s="1202" t="str">
        <f>IF(Bauteile!O836="","",Bauteile!O836)</f>
        <v/>
      </c>
      <c r="P221" s="102"/>
      <c r="Q221" s="86"/>
      <c r="R221" s="86"/>
      <c r="S221" s="86"/>
      <c r="T221" s="86"/>
      <c r="U221" s="86"/>
    </row>
    <row r="222" spans="2:21" ht="9.75" customHeight="1">
      <c r="B222" s="1316" t="str">
        <f>IF(Bauteile!B849="","-",Bauteile!B849)</f>
        <v>-</v>
      </c>
      <c r="C222" s="1316"/>
      <c r="D222" s="1302" t="str">
        <f>IF(Bauteile!C849="","",Bauteile!C849)</f>
        <v/>
      </c>
      <c r="E222" s="1302"/>
      <c r="F222" s="1303" t="str">
        <f>IF(Bauteile!D849="","",Bauteile!D849)</f>
        <v/>
      </c>
      <c r="G222" s="1303"/>
      <c r="H222" s="1307" t="str">
        <f>IF(Bauteile!E849="","",Bauteile!E849)</f>
        <v/>
      </c>
      <c r="I222" s="1307"/>
      <c r="J222" s="1307" t="str">
        <f>IF(Bauteile!F849="","",Bauteile!F849)</f>
        <v/>
      </c>
      <c r="K222" s="1307"/>
      <c r="L222" s="1307" t="str">
        <f>IF(Bauteile!N849=0,"",Bauteile!N849)</f>
        <v/>
      </c>
      <c r="M222" s="1307"/>
      <c r="N222" s="1201" t="str">
        <f>IF(Bauteile!M849="","",Bauteile!M849)</f>
        <v/>
      </c>
      <c r="O222" s="1202" t="str">
        <f>IF(Bauteile!O849="","",Bauteile!O849)</f>
        <v/>
      </c>
      <c r="P222" s="102"/>
      <c r="Q222" s="86"/>
      <c r="R222" s="86"/>
      <c r="S222" s="86"/>
      <c r="T222" s="86"/>
      <c r="U222" s="86"/>
    </row>
    <row r="223" spans="2:21" ht="9.75" customHeight="1">
      <c r="B223" s="1316" t="str">
        <f>IF(Bauteile!B862="","-",Bauteile!B862)</f>
        <v>-</v>
      </c>
      <c r="C223" s="1316"/>
      <c r="D223" s="1302" t="str">
        <f>IF(Bauteile!C862="","",Bauteile!C862)</f>
        <v/>
      </c>
      <c r="E223" s="1302"/>
      <c r="F223" s="1303" t="str">
        <f>IF(Bauteile!D862="","",Bauteile!D862)</f>
        <v/>
      </c>
      <c r="G223" s="1303"/>
      <c r="H223" s="1307" t="str">
        <f>IF(Bauteile!E862="","",Bauteile!E862)</f>
        <v/>
      </c>
      <c r="I223" s="1307"/>
      <c r="J223" s="1307" t="str">
        <f>IF(Bauteile!F862="","",Bauteile!F862)</f>
        <v/>
      </c>
      <c r="K223" s="1307"/>
      <c r="L223" s="1307" t="str">
        <f>IF(Bauteile!N862=0,"",Bauteile!N862)</f>
        <v/>
      </c>
      <c r="M223" s="1307"/>
      <c r="N223" s="1201" t="str">
        <f>IF(Bauteile!M862="","",Bauteile!M862)</f>
        <v/>
      </c>
      <c r="O223" s="1202" t="str">
        <f>IF(Bauteile!O862="","",Bauteile!O862)</f>
        <v/>
      </c>
      <c r="P223" s="102"/>
      <c r="Q223" s="86"/>
      <c r="R223" s="86"/>
      <c r="S223" s="86"/>
      <c r="T223" s="86"/>
      <c r="U223" s="86"/>
    </row>
    <row r="224" spans="2:21" ht="9.75" customHeight="1">
      <c r="B224" s="1316" t="str">
        <f>IF(Bauteile!B875="","-",Bauteile!B875)</f>
        <v>-</v>
      </c>
      <c r="C224" s="1316"/>
      <c r="D224" s="1302" t="str">
        <f>IF(Bauteile!C875="","",Bauteile!C875)</f>
        <v/>
      </c>
      <c r="E224" s="1302"/>
      <c r="F224" s="1303" t="str">
        <f>IF(Bauteile!D875="","",Bauteile!D875)</f>
        <v/>
      </c>
      <c r="G224" s="1303"/>
      <c r="H224" s="1307" t="str">
        <f>IF(Bauteile!E875="","",Bauteile!E875)</f>
        <v/>
      </c>
      <c r="I224" s="1307"/>
      <c r="J224" s="1307" t="str">
        <f>IF(Bauteile!F875="","",Bauteile!F875)</f>
        <v/>
      </c>
      <c r="K224" s="1307"/>
      <c r="L224" s="1307" t="str">
        <f>IF(Bauteile!N875=0,"",Bauteile!N875)</f>
        <v/>
      </c>
      <c r="M224" s="1307"/>
      <c r="N224" s="1201" t="str">
        <f>IF(Bauteile!M875="","",Bauteile!M875)</f>
        <v/>
      </c>
      <c r="O224" s="1202" t="str">
        <f>IF(Bauteile!O875="","",Bauteile!O875)</f>
        <v/>
      </c>
      <c r="P224" s="102"/>
      <c r="Q224" s="86"/>
      <c r="R224" s="86"/>
      <c r="S224" s="86"/>
      <c r="T224" s="86"/>
      <c r="U224" s="86"/>
    </row>
    <row r="225" spans="2:21" ht="9.75" customHeight="1">
      <c r="B225" s="1316" t="str">
        <f>IF(Bauteile!B888="","-",Bauteile!B888)</f>
        <v>-</v>
      </c>
      <c r="C225" s="1316"/>
      <c r="D225" s="1302" t="str">
        <f>IF(Bauteile!C888="","",Bauteile!C888)</f>
        <v/>
      </c>
      <c r="E225" s="1302"/>
      <c r="F225" s="1303" t="str">
        <f>IF(Bauteile!D888="","",Bauteile!D888)</f>
        <v/>
      </c>
      <c r="G225" s="1303"/>
      <c r="H225" s="1307" t="str">
        <f>IF(Bauteile!E888="","",Bauteile!E888)</f>
        <v/>
      </c>
      <c r="I225" s="1307"/>
      <c r="J225" s="1307" t="str">
        <f>IF(Bauteile!F888="","",Bauteile!F888)</f>
        <v/>
      </c>
      <c r="K225" s="1307"/>
      <c r="L225" s="1307" t="str">
        <f>IF(Bauteile!N888=0,"",Bauteile!N888)</f>
        <v/>
      </c>
      <c r="M225" s="1307"/>
      <c r="N225" s="1201" t="str">
        <f>IF(Bauteile!M888="","",Bauteile!M888)</f>
        <v/>
      </c>
      <c r="O225" s="1202" t="str">
        <f>IF(Bauteile!O888="","",Bauteile!O888)</f>
        <v/>
      </c>
      <c r="P225" s="102"/>
      <c r="Q225" s="86"/>
      <c r="R225" s="86"/>
      <c r="S225" s="86"/>
      <c r="T225" s="86"/>
      <c r="U225" s="86"/>
    </row>
    <row r="226" spans="2:21" ht="9.75" customHeight="1">
      <c r="B226" s="1316" t="str">
        <f>IF(Bauteile!B901="","-",Bauteile!B901)</f>
        <v>-</v>
      </c>
      <c r="C226" s="1316"/>
      <c r="D226" s="1302" t="str">
        <f>IF(Bauteile!C901="","",Bauteile!C901)</f>
        <v/>
      </c>
      <c r="E226" s="1302"/>
      <c r="F226" s="1303" t="str">
        <f>IF(Bauteile!D901="","",Bauteile!D901)</f>
        <v/>
      </c>
      <c r="G226" s="1303"/>
      <c r="H226" s="1307" t="str">
        <f>IF(Bauteile!E901="","",Bauteile!E901)</f>
        <v/>
      </c>
      <c r="I226" s="1307"/>
      <c r="J226" s="1307" t="str">
        <f>IF(Bauteile!F901="","",Bauteile!F901)</f>
        <v/>
      </c>
      <c r="K226" s="1307"/>
      <c r="L226" s="1307" t="str">
        <f>IF(Bauteile!N901=0,"",Bauteile!N901)</f>
        <v/>
      </c>
      <c r="M226" s="1307"/>
      <c r="N226" s="1201" t="str">
        <f>IF(Bauteile!M901="","",Bauteile!M901)</f>
        <v/>
      </c>
      <c r="O226" s="1202" t="str">
        <f>IF(Bauteile!O901="","",Bauteile!O901)</f>
        <v/>
      </c>
      <c r="P226" s="102"/>
      <c r="Q226" s="86"/>
      <c r="R226" s="86"/>
      <c r="S226" s="86"/>
      <c r="T226" s="86"/>
      <c r="U226" s="86"/>
    </row>
    <row r="227" spans="2:21" ht="9.75" customHeight="1">
      <c r="B227" s="1316" t="str">
        <f>IF(Bauteile!B914="","-",Bauteile!B914)</f>
        <v>-</v>
      </c>
      <c r="C227" s="1316"/>
      <c r="D227" s="1302" t="str">
        <f>IF(Bauteile!C914="","",Bauteile!C914)</f>
        <v/>
      </c>
      <c r="E227" s="1302"/>
      <c r="F227" s="1303" t="str">
        <f>IF(Bauteile!D914="","",Bauteile!D914)</f>
        <v/>
      </c>
      <c r="G227" s="1303"/>
      <c r="H227" s="1307" t="str">
        <f>IF(Bauteile!E914="","",Bauteile!E914)</f>
        <v/>
      </c>
      <c r="I227" s="1307"/>
      <c r="J227" s="1307" t="str">
        <f>IF(Bauteile!F914="","",Bauteile!F914)</f>
        <v/>
      </c>
      <c r="K227" s="1307"/>
      <c r="L227" s="1307" t="str">
        <f>IF(Bauteile!N914=0,"",Bauteile!N914)</f>
        <v/>
      </c>
      <c r="M227" s="1307"/>
      <c r="N227" s="1201" t="str">
        <f>IF(Bauteile!M914="","",Bauteile!M914)</f>
        <v/>
      </c>
      <c r="O227" s="1202" t="str">
        <f>IF(Bauteile!O914="","",Bauteile!O914)</f>
        <v/>
      </c>
      <c r="P227" s="102"/>
      <c r="Q227" s="86"/>
      <c r="R227" s="86"/>
      <c r="S227" s="86"/>
      <c r="T227" s="86"/>
      <c r="U227" s="86"/>
    </row>
    <row r="228" spans="2:21" ht="9" customHeight="1">
      <c r="B228" s="1133"/>
      <c r="C228" s="1200"/>
      <c r="D228" s="1221"/>
      <c r="E228" s="1221"/>
      <c r="F228" s="1222"/>
      <c r="G228" s="1222"/>
      <c r="H228" s="1223"/>
      <c r="I228" s="1223"/>
      <c r="J228" s="1200"/>
      <c r="K228" s="1200"/>
      <c r="L228" s="1223"/>
      <c r="M228" s="1223"/>
      <c r="N228" s="1221"/>
      <c r="O228" s="1224"/>
      <c r="P228" s="102"/>
      <c r="Q228" s="86"/>
      <c r="R228" s="86"/>
      <c r="S228" s="86"/>
      <c r="T228" s="86"/>
      <c r="U228" s="86"/>
    </row>
    <row r="229" spans="2:21" ht="9.75" customHeight="1">
      <c r="B229" s="1128" t="s">
        <v>375</v>
      </c>
      <c r="C229" s="1225"/>
      <c r="D229" s="1219"/>
      <c r="E229" s="1219"/>
      <c r="F229" s="1301" t="str">
        <f>IF(SUM(F212:G227)=0,"",SUM(F212:G227))</f>
        <v/>
      </c>
      <c r="G229" s="1301"/>
      <c r="H229" s="1226"/>
      <c r="I229" s="1226"/>
      <c r="J229" s="1226"/>
      <c r="K229" s="1226"/>
      <c r="L229" s="1226"/>
      <c r="M229" s="1226"/>
      <c r="N229" s="1207"/>
      <c r="O229" s="1227" t="str">
        <f>IF(SUM(O212:O227)=0,"",SUM(O212:O227))</f>
        <v/>
      </c>
      <c r="P229" s="101"/>
      <c r="Q229" s="86"/>
      <c r="R229" s="86"/>
      <c r="S229" s="86"/>
      <c r="T229" s="86"/>
      <c r="U229" s="86"/>
    </row>
    <row r="230" spans="2:21" ht="9" customHeight="1">
      <c r="B230" s="101"/>
      <c r="C230" s="99"/>
      <c r="F230" s="595"/>
      <c r="G230" s="595"/>
      <c r="H230" s="33"/>
      <c r="I230" s="33"/>
      <c r="J230" s="33"/>
      <c r="K230" s="33"/>
      <c r="L230" s="33"/>
      <c r="M230" s="33"/>
      <c r="N230" s="596"/>
      <c r="O230" s="597"/>
      <c r="P230" s="101"/>
      <c r="Q230" s="86"/>
      <c r="R230" s="86"/>
      <c r="S230" s="86"/>
      <c r="T230" s="86"/>
      <c r="U230" s="86"/>
    </row>
    <row r="231" spans="2:21" ht="7.5" customHeight="1">
      <c r="B231" s="101"/>
      <c r="C231" s="99"/>
      <c r="D231" s="99"/>
      <c r="E231" s="101"/>
      <c r="F231" s="101"/>
      <c r="G231" s="101"/>
      <c r="H231" s="101"/>
      <c r="I231" s="101"/>
      <c r="J231" s="33"/>
      <c r="K231" s="101"/>
      <c r="L231" s="101"/>
      <c r="M231" s="101"/>
      <c r="N231" s="101"/>
      <c r="O231" s="101"/>
      <c r="P231" s="101"/>
      <c r="Q231" s="86"/>
      <c r="R231" s="86"/>
      <c r="S231" s="86"/>
      <c r="T231" s="86"/>
      <c r="U231" s="86"/>
    </row>
    <row r="232" spans="2:21" ht="7.5" customHeight="1">
      <c r="B232" s="101"/>
      <c r="C232" s="99"/>
      <c r="D232" s="99"/>
      <c r="E232" s="101"/>
      <c r="F232" s="101"/>
      <c r="G232" s="101"/>
      <c r="H232" s="101"/>
      <c r="I232" s="101"/>
      <c r="J232" s="33"/>
      <c r="K232" s="101"/>
      <c r="L232" s="101"/>
      <c r="M232" s="101"/>
      <c r="N232" s="101"/>
      <c r="O232" s="101"/>
      <c r="P232" s="101"/>
      <c r="Q232" s="86"/>
      <c r="R232" s="86"/>
      <c r="S232" s="86"/>
      <c r="T232" s="86"/>
      <c r="U232" s="86"/>
    </row>
    <row r="233" spans="2:21" ht="12" customHeight="1">
      <c r="B233" s="1323" t="s">
        <v>331</v>
      </c>
      <c r="C233" s="1323"/>
      <c r="D233" s="1308" t="s">
        <v>424</v>
      </c>
      <c r="E233" s="1308"/>
      <c r="F233" s="1308" t="s">
        <v>450</v>
      </c>
      <c r="G233" s="1308"/>
      <c r="H233" s="1308" t="s">
        <v>335</v>
      </c>
      <c r="I233" s="1308"/>
      <c r="J233" s="1308" t="s">
        <v>502</v>
      </c>
      <c r="K233" s="1308"/>
      <c r="L233" s="1305" t="s">
        <v>668</v>
      </c>
      <c r="M233" s="1305"/>
      <c r="N233" s="1198" t="s">
        <v>349</v>
      </c>
      <c r="O233" s="1198" t="s">
        <v>55</v>
      </c>
      <c r="P233" s="127"/>
      <c r="Q233" s="86"/>
      <c r="R233" s="86"/>
      <c r="S233" s="86"/>
      <c r="T233" s="86"/>
      <c r="U233" s="86"/>
    </row>
    <row r="234" spans="2:21" ht="10.050000000000001" customHeight="1">
      <c r="B234" s="33"/>
      <c r="C234" s="100"/>
      <c r="D234" s="1317" t="s">
        <v>372</v>
      </c>
      <c r="E234" s="1317"/>
      <c r="F234" s="1317" t="s">
        <v>372</v>
      </c>
      <c r="G234" s="1317"/>
      <c r="H234" s="1317" t="s">
        <v>501</v>
      </c>
      <c r="I234" s="1317"/>
      <c r="J234" s="1317" t="s">
        <v>372</v>
      </c>
      <c r="K234" s="1317"/>
      <c r="L234" s="1310" t="s">
        <v>200</v>
      </c>
      <c r="M234" s="1310"/>
      <c r="N234" s="1218" t="s">
        <v>372</v>
      </c>
      <c r="O234" s="1218" t="s">
        <v>364</v>
      </c>
      <c r="P234" s="128"/>
      <c r="Q234" s="86"/>
      <c r="R234" s="86"/>
      <c r="S234" s="86"/>
      <c r="T234" s="86"/>
      <c r="U234" s="86"/>
    </row>
    <row r="235" spans="2:21" ht="9" customHeight="1">
      <c r="B235" s="1152"/>
      <c r="C235" s="1200"/>
      <c r="D235" s="1152"/>
      <c r="E235" s="1110"/>
      <c r="F235" s="1152"/>
      <c r="G235" s="1152"/>
      <c r="H235" s="1152"/>
      <c r="I235" s="1152"/>
      <c r="J235" s="1152"/>
      <c r="K235" s="1152"/>
      <c r="L235" s="1152"/>
      <c r="M235" s="1152"/>
      <c r="N235" s="1152"/>
      <c r="O235" s="1152"/>
      <c r="P235" s="101"/>
      <c r="Q235" s="86"/>
      <c r="R235" s="86"/>
      <c r="S235" s="86"/>
      <c r="T235" s="86"/>
      <c r="U235" s="86"/>
    </row>
    <row r="236" spans="2:21" ht="9.75" customHeight="1">
      <c r="B236" s="1316" t="str">
        <f>IF(Bauteile!B931="","-",Bauteile!B931)</f>
        <v>-</v>
      </c>
      <c r="C236" s="1316"/>
      <c r="D236" s="1302" t="str">
        <f>IF(Bauteile!C931="","",Bauteile!C931)</f>
        <v/>
      </c>
      <c r="E236" s="1302"/>
      <c r="F236" s="1303" t="str">
        <f>IF(Bauteile!D931="","",Bauteile!D931)</f>
        <v/>
      </c>
      <c r="G236" s="1303"/>
      <c r="H236" s="1307" t="str">
        <f>IF(Bauteile!E931="","",Bauteile!E931)</f>
        <v/>
      </c>
      <c r="I236" s="1307"/>
      <c r="J236" s="1307" t="str">
        <f>IF(Bauteile!F931="","",Bauteile!F931)</f>
        <v/>
      </c>
      <c r="K236" s="1307"/>
      <c r="L236" s="1307" t="str">
        <f>IF(Bauteile!N931=0,"",Bauteile!N931)</f>
        <v/>
      </c>
      <c r="M236" s="1307"/>
      <c r="N236" s="1201" t="str">
        <f>IF(Bauteile!M931="","",Bauteile!M931)</f>
        <v/>
      </c>
      <c r="O236" s="1202" t="str">
        <f>IF(Bauteile!O931="","",Bauteile!O931)</f>
        <v/>
      </c>
      <c r="P236" s="101"/>
      <c r="Q236" s="86"/>
      <c r="R236" s="86"/>
      <c r="S236" s="86"/>
      <c r="T236" s="86"/>
      <c r="U236" s="86"/>
    </row>
    <row r="237" spans="2:21" ht="9.75" customHeight="1">
      <c r="B237" s="1316" t="str">
        <f>IF(Bauteile!B944="","-",Bauteile!B944)</f>
        <v>-</v>
      </c>
      <c r="C237" s="1316"/>
      <c r="D237" s="1302" t="str">
        <f>IF(Bauteile!C944="","",Bauteile!C944)</f>
        <v/>
      </c>
      <c r="E237" s="1302"/>
      <c r="F237" s="1303" t="str">
        <f>IF(Bauteile!D944="","",Bauteile!D944)</f>
        <v/>
      </c>
      <c r="G237" s="1303"/>
      <c r="H237" s="1307" t="str">
        <f>IF(Bauteile!E944="","",Bauteile!E944)</f>
        <v/>
      </c>
      <c r="I237" s="1307"/>
      <c r="J237" s="1307" t="str">
        <f>IF(Bauteile!F944="","",Bauteile!F944)</f>
        <v/>
      </c>
      <c r="K237" s="1307"/>
      <c r="L237" s="1307" t="str">
        <f>IF(Bauteile!N944=0,"",Bauteile!N944)</f>
        <v/>
      </c>
      <c r="M237" s="1307"/>
      <c r="N237" s="1201" t="str">
        <f>IF(Bauteile!M944="","",Bauteile!M944)</f>
        <v/>
      </c>
      <c r="O237" s="1202" t="str">
        <f>IF(Bauteile!O944="","",Bauteile!O944)</f>
        <v/>
      </c>
      <c r="P237" s="101"/>
      <c r="Q237" s="86"/>
      <c r="R237" s="86"/>
      <c r="S237" s="86"/>
      <c r="T237" s="86"/>
      <c r="U237" s="86"/>
    </row>
    <row r="238" spans="2:21" ht="9.75" customHeight="1">
      <c r="B238" s="1316" t="str">
        <f>IF(Bauteile!B957="","-",Bauteile!B957)</f>
        <v>-</v>
      </c>
      <c r="C238" s="1316"/>
      <c r="D238" s="1302" t="str">
        <f>IF(Bauteile!C957="","",Bauteile!C957)</f>
        <v/>
      </c>
      <c r="E238" s="1302"/>
      <c r="F238" s="1303" t="str">
        <f>IF(Bauteile!D957="","",Bauteile!D957)</f>
        <v/>
      </c>
      <c r="G238" s="1303"/>
      <c r="H238" s="1307" t="str">
        <f>IF(Bauteile!E957="","",Bauteile!E957)</f>
        <v/>
      </c>
      <c r="I238" s="1307"/>
      <c r="J238" s="1307" t="str">
        <f>IF(Bauteile!F957="","",Bauteile!F957)</f>
        <v/>
      </c>
      <c r="K238" s="1307"/>
      <c r="L238" s="1307" t="str">
        <f>IF(Bauteile!N957=0,"",Bauteile!N957)</f>
        <v/>
      </c>
      <c r="M238" s="1307"/>
      <c r="N238" s="1201" t="str">
        <f>IF(Bauteile!M957="","",Bauteile!M957)</f>
        <v/>
      </c>
      <c r="O238" s="1202" t="str">
        <f>IF(Bauteile!O957="","",Bauteile!O957)</f>
        <v/>
      </c>
      <c r="P238" s="102"/>
      <c r="Q238" s="86"/>
      <c r="R238" s="86"/>
      <c r="S238" s="86"/>
      <c r="T238" s="86"/>
      <c r="U238" s="86"/>
    </row>
    <row r="239" spans="2:21" ht="9.75" customHeight="1">
      <c r="B239" s="1327" t="str">
        <f>IF(Bauteile!B970="","-",Bauteile!B970)</f>
        <v>-</v>
      </c>
      <c r="C239" s="1327"/>
      <c r="D239" s="1320" t="str">
        <f>IF(Bauteile!C970="","",Bauteile!C970)</f>
        <v/>
      </c>
      <c r="E239" s="1320"/>
      <c r="F239" s="1319" t="str">
        <f>IF(Bauteile!D970="","",Bauteile!D970)</f>
        <v/>
      </c>
      <c r="G239" s="1319"/>
      <c r="H239" s="1314" t="str">
        <f>IF(Bauteile!E970="","",Bauteile!E970)</f>
        <v/>
      </c>
      <c r="I239" s="1314"/>
      <c r="J239" s="1314" t="str">
        <f>IF(Bauteile!F970="","",Bauteile!F970)</f>
        <v/>
      </c>
      <c r="K239" s="1314"/>
      <c r="L239" s="1314" t="str">
        <f>IF(Bauteile!N970=0,"",Bauteile!N970)</f>
        <v/>
      </c>
      <c r="M239" s="1314"/>
      <c r="N239" s="1215" t="str">
        <f>IF(Bauteile!M970="","",Bauteile!M970)</f>
        <v/>
      </c>
      <c r="O239" s="1216" t="str">
        <f>IF(Bauteile!O970="","",Bauteile!O970)</f>
        <v/>
      </c>
      <c r="P239" s="102"/>
      <c r="Q239" s="86"/>
      <c r="R239" s="86"/>
      <c r="S239" s="86"/>
      <c r="T239" s="86"/>
      <c r="U239" s="86"/>
    </row>
    <row r="240" spans="2:21" ht="9" customHeight="1">
      <c r="B240" s="1109"/>
      <c r="C240" s="1151"/>
      <c r="D240" s="1107"/>
      <c r="E240" s="1209"/>
      <c r="F240" s="1210"/>
      <c r="G240" s="1210"/>
      <c r="H240" s="1151"/>
      <c r="I240" s="1151"/>
      <c r="J240" s="1151"/>
      <c r="K240" s="1151"/>
      <c r="L240" s="1151"/>
      <c r="M240" s="1175"/>
      <c r="N240" s="1209"/>
      <c r="O240" s="1107"/>
      <c r="P240" s="86"/>
      <c r="Q240" s="86"/>
      <c r="R240" s="86"/>
      <c r="S240" s="86"/>
      <c r="T240" s="86"/>
      <c r="U240" s="86"/>
    </row>
    <row r="241" spans="2:21" ht="9.75" customHeight="1">
      <c r="B241" s="1128" t="s">
        <v>375</v>
      </c>
      <c r="C241" s="1181"/>
      <c r="D241" s="1219"/>
      <c r="E241" s="1219"/>
      <c r="F241" s="1301" t="str">
        <f>IF(SUM(F236:G239)=0,"",SUM(F236:G239))</f>
        <v/>
      </c>
      <c r="G241" s="1301"/>
      <c r="H241" s="1181"/>
      <c r="I241" s="1181"/>
      <c r="J241" s="1181"/>
      <c r="K241" s="1181"/>
      <c r="L241" s="1181"/>
      <c r="M241" s="1213"/>
      <c r="N241" s="1207"/>
      <c r="O241" s="1220" t="str">
        <f>IF(SUM(O236:O239)=0,"",SUM(O236:O239))</f>
        <v/>
      </c>
      <c r="P241" s="86"/>
      <c r="Q241" s="86"/>
      <c r="R241" s="86"/>
      <c r="S241" s="86"/>
      <c r="T241" s="86"/>
      <c r="U241" s="86"/>
    </row>
    <row r="242" spans="2:21" ht="9.75" customHeight="1">
      <c r="B242" s="89"/>
      <c r="C242" s="87"/>
      <c r="F242" s="598"/>
      <c r="G242" s="598"/>
      <c r="H242" s="28"/>
      <c r="I242" s="28"/>
      <c r="J242" s="28"/>
      <c r="K242" s="28"/>
      <c r="L242" s="28"/>
      <c r="M242" s="30"/>
      <c r="N242" s="596"/>
      <c r="O242" s="599"/>
      <c r="P242" s="86"/>
      <c r="Q242" s="86"/>
      <c r="R242" s="86"/>
      <c r="S242" s="86"/>
      <c r="T242" s="86"/>
      <c r="U242" s="86"/>
    </row>
    <row r="243" spans="2:21" ht="9.75" customHeight="1">
      <c r="B243" s="89"/>
      <c r="C243" s="87"/>
      <c r="F243" s="598"/>
      <c r="G243" s="598"/>
      <c r="H243" s="28"/>
      <c r="I243" s="28"/>
      <c r="J243" s="28"/>
      <c r="K243" s="28"/>
      <c r="L243" s="28"/>
      <c r="M243" s="30"/>
      <c r="N243" s="596"/>
      <c r="O243" s="599"/>
      <c r="P243" s="86"/>
      <c r="Q243" s="86"/>
      <c r="R243" s="86"/>
      <c r="S243" s="86"/>
      <c r="T243" s="86"/>
      <c r="U243" s="86"/>
    </row>
    <row r="244" spans="2:21" ht="9.75" customHeight="1">
      <c r="B244" s="89"/>
      <c r="C244" s="87"/>
      <c r="F244" s="598"/>
      <c r="G244" s="598"/>
      <c r="H244" s="28"/>
      <c r="I244" s="28"/>
      <c r="J244" s="28"/>
      <c r="K244" s="28"/>
      <c r="L244" s="28"/>
      <c r="M244" s="30"/>
      <c r="N244" s="596"/>
      <c r="O244" s="599"/>
      <c r="P244" s="86"/>
      <c r="Q244" s="86"/>
      <c r="R244" s="86"/>
      <c r="S244" s="86"/>
      <c r="T244" s="86"/>
      <c r="U244" s="86"/>
    </row>
    <row r="245" spans="2:21" ht="9.75" customHeight="1">
      <c r="B245" s="89"/>
      <c r="C245" s="87"/>
      <c r="F245" s="598"/>
      <c r="G245" s="598"/>
      <c r="H245" s="28"/>
      <c r="I245" s="28"/>
      <c r="J245" s="28"/>
      <c r="K245" s="28"/>
      <c r="L245" s="28"/>
      <c r="M245" s="30"/>
      <c r="N245" s="596"/>
      <c r="O245" s="599"/>
      <c r="P245" s="86"/>
      <c r="Q245" s="86"/>
      <c r="R245" s="86"/>
      <c r="S245" s="86"/>
      <c r="T245" s="86"/>
      <c r="U245" s="86"/>
    </row>
    <row r="246" spans="2:21" ht="9.75" customHeight="1">
      <c r="B246" s="89"/>
      <c r="C246" s="87"/>
      <c r="F246" s="598"/>
      <c r="G246" s="598"/>
      <c r="H246" s="28"/>
      <c r="I246" s="28"/>
      <c r="J246" s="28"/>
      <c r="K246" s="28"/>
      <c r="L246" s="28"/>
      <c r="M246" s="30"/>
      <c r="N246" s="596"/>
      <c r="O246" s="599"/>
      <c r="P246" s="86"/>
      <c r="Q246" s="86"/>
      <c r="R246" s="86"/>
      <c r="S246" s="86"/>
      <c r="T246" s="86"/>
      <c r="U246" s="86"/>
    </row>
    <row r="247" spans="2:21" ht="9.75" customHeight="1">
      <c r="B247" s="89"/>
      <c r="C247" s="87"/>
      <c r="F247" s="598"/>
      <c r="G247" s="598"/>
      <c r="H247" s="28"/>
      <c r="I247" s="28"/>
      <c r="J247" s="28"/>
      <c r="K247" s="28"/>
      <c r="L247" s="28"/>
      <c r="M247" s="30"/>
      <c r="N247" s="596"/>
      <c r="O247" s="599"/>
      <c r="P247" s="86"/>
      <c r="Q247" s="86"/>
      <c r="R247" s="86"/>
      <c r="S247" s="86"/>
      <c r="T247" s="86"/>
      <c r="U247" s="86"/>
    </row>
    <row r="248" spans="2:21" ht="9.75" customHeight="1">
      <c r="B248" s="89"/>
      <c r="C248" s="87"/>
      <c r="F248" s="598"/>
      <c r="G248" s="598"/>
      <c r="H248" s="28"/>
      <c r="I248" s="28"/>
      <c r="J248" s="28"/>
      <c r="K248" s="28"/>
      <c r="L248" s="28"/>
      <c r="M248" s="30"/>
      <c r="N248" s="596"/>
      <c r="O248" s="599"/>
      <c r="P248" s="86"/>
      <c r="Q248" s="86"/>
      <c r="R248" s="86"/>
      <c r="S248" s="86"/>
      <c r="T248" s="86"/>
      <c r="U248" s="86"/>
    </row>
    <row r="249" spans="2:21" ht="9" customHeight="1">
      <c r="B249" s="89"/>
      <c r="C249" s="87"/>
      <c r="F249" s="598"/>
      <c r="G249" s="598"/>
      <c r="H249" s="28"/>
      <c r="I249" s="28"/>
      <c r="J249" s="28"/>
      <c r="K249" s="28"/>
      <c r="L249" s="28"/>
      <c r="M249" s="30"/>
      <c r="N249" s="596"/>
      <c r="O249" s="599"/>
      <c r="P249" s="86"/>
      <c r="Q249" s="86"/>
      <c r="R249" s="86"/>
      <c r="S249" s="86"/>
      <c r="T249" s="86"/>
      <c r="U249" s="86"/>
    </row>
    <row r="250" spans="2:21" ht="9.75" customHeight="1">
      <c r="B250" s="101"/>
      <c r="C250" s="99"/>
      <c r="D250" s="99"/>
      <c r="E250" s="101"/>
      <c r="F250" s="101"/>
      <c r="G250" s="101"/>
      <c r="H250" s="101"/>
      <c r="I250" s="101" t="str">
        <f>I164</f>
        <v>Ausdruck:</v>
      </c>
      <c r="J250" s="1313"/>
      <c r="K250" s="1313"/>
      <c r="L250" s="1312">
        <f ca="1">L164</f>
        <v>42122.346852083334</v>
      </c>
      <c r="M250" s="1312"/>
      <c r="N250" s="1312"/>
      <c r="O250" s="1312"/>
      <c r="P250" s="86"/>
      <c r="Q250" s="86"/>
      <c r="R250" s="86"/>
      <c r="S250" s="86"/>
      <c r="T250" s="86"/>
      <c r="U250" s="86"/>
    </row>
    <row r="251" spans="2:21" ht="9.75" customHeight="1">
      <c r="B251" s="141">
        <f>B1</f>
        <v>0</v>
      </c>
      <c r="C251" s="99"/>
      <c r="D251" s="99"/>
      <c r="E251" s="101"/>
      <c r="F251" s="101"/>
      <c r="H251" s="280" t="str">
        <f>IF(Nutzung!$E$8="","",Nutzung!$E$8)</f>
        <v/>
      </c>
      <c r="I251" s="101"/>
      <c r="J251" s="33"/>
      <c r="K251" s="101"/>
      <c r="L251" s="101"/>
      <c r="M251" s="101"/>
      <c r="N251" s="101"/>
      <c r="O251" s="140" t="s">
        <v>495</v>
      </c>
      <c r="P251" s="86"/>
      <c r="Q251" s="86"/>
      <c r="R251" s="86"/>
      <c r="S251" s="86"/>
      <c r="T251" s="86"/>
      <c r="U251" s="86"/>
    </row>
    <row r="252" spans="2:21" ht="10.95" customHeight="1">
      <c r="B252" s="141"/>
      <c r="C252" s="99"/>
      <c r="D252" s="99"/>
      <c r="E252" s="101"/>
      <c r="F252" s="101"/>
      <c r="H252" s="280"/>
      <c r="I252" s="101"/>
      <c r="J252" s="33"/>
      <c r="K252" s="101"/>
      <c r="L252" s="101"/>
      <c r="M252" s="101"/>
      <c r="N252" s="101"/>
      <c r="O252" s="142"/>
      <c r="P252" s="86"/>
      <c r="Q252" s="86"/>
      <c r="R252" s="86"/>
      <c r="S252" s="86"/>
      <c r="T252" s="86"/>
      <c r="U252" s="86"/>
    </row>
    <row r="253" spans="2:21" ht="10.95" customHeight="1">
      <c r="B253" s="141"/>
      <c r="C253" s="99"/>
      <c r="D253" s="99"/>
      <c r="E253" s="101"/>
      <c r="F253" s="101"/>
      <c r="H253" s="280"/>
      <c r="I253" s="101"/>
      <c r="J253" s="33"/>
      <c r="K253" s="101"/>
      <c r="L253" s="101"/>
      <c r="M253" s="101"/>
      <c r="N253" s="101"/>
      <c r="O253" s="142"/>
      <c r="P253" s="86"/>
      <c r="Q253" s="86"/>
      <c r="R253" s="86"/>
      <c r="S253" s="86"/>
      <c r="T253" s="86"/>
      <c r="U253" s="86"/>
    </row>
    <row r="254" spans="2:21" ht="10.95" customHeight="1">
      <c r="B254" s="89"/>
      <c r="C254" s="87"/>
      <c r="D254" s="86"/>
      <c r="E254" s="94"/>
      <c r="F254" s="95"/>
      <c r="G254" s="87"/>
      <c r="H254" s="87"/>
      <c r="I254" s="87"/>
      <c r="J254" s="28"/>
      <c r="K254" s="87"/>
      <c r="L254" s="87"/>
      <c r="M254" s="95"/>
      <c r="N254" s="94"/>
      <c r="O254" s="86"/>
      <c r="P254" s="86"/>
      <c r="Q254" s="86"/>
      <c r="R254" s="86"/>
      <c r="S254" s="86"/>
      <c r="T254" s="86"/>
      <c r="U254" s="86"/>
    </row>
    <row r="255" spans="2:21" ht="15" customHeight="1">
      <c r="B255" s="594" t="s">
        <v>443</v>
      </c>
      <c r="C255" s="86"/>
      <c r="D255" s="86"/>
      <c r="E255" s="86"/>
      <c r="F255" s="86"/>
      <c r="G255" s="282"/>
      <c r="H255" s="282"/>
      <c r="J255" s="86"/>
      <c r="K255" s="86"/>
      <c r="L255" s="86"/>
      <c r="M255" s="86"/>
      <c r="N255" s="86"/>
      <c r="O255" s="86"/>
      <c r="P255" s="86"/>
      <c r="Q255" s="86"/>
      <c r="R255" s="86"/>
      <c r="S255" s="86"/>
      <c r="T255" s="86"/>
      <c r="U255" s="86"/>
    </row>
    <row r="256" spans="2:21" ht="7.5" customHeight="1">
      <c r="B256" s="89"/>
      <c r="C256" s="87"/>
      <c r="D256" s="86"/>
      <c r="E256" s="94"/>
      <c r="F256" s="95"/>
      <c r="G256" s="87"/>
      <c r="H256" s="87"/>
      <c r="I256" s="87"/>
      <c r="J256" s="28"/>
      <c r="K256" s="87"/>
      <c r="L256" s="87"/>
      <c r="M256" s="95"/>
      <c r="N256" s="94"/>
      <c r="O256" s="86"/>
      <c r="P256" s="86"/>
      <c r="Q256" s="86"/>
      <c r="R256" s="86"/>
      <c r="S256" s="86"/>
      <c r="T256" s="86"/>
      <c r="U256" s="86"/>
    </row>
    <row r="257" spans="1:21" ht="7.05" customHeight="1">
      <c r="A257" s="1300"/>
      <c r="B257" s="89"/>
      <c r="C257" s="87"/>
      <c r="D257" s="86"/>
      <c r="E257" s="94"/>
      <c r="F257" s="95"/>
      <c r="G257" s="87"/>
      <c r="H257" s="87"/>
      <c r="I257" s="87"/>
      <c r="J257" s="28"/>
      <c r="K257" s="87"/>
      <c r="L257" s="87"/>
      <c r="M257" s="95"/>
      <c r="N257" s="94"/>
      <c r="O257" s="86"/>
      <c r="P257" s="86"/>
      <c r="Q257" s="86"/>
      <c r="R257" s="86"/>
      <c r="S257" s="86"/>
      <c r="T257" s="86"/>
      <c r="U257" s="86"/>
    </row>
    <row r="258" spans="1:21" ht="10.95" customHeight="1">
      <c r="A258" s="1300"/>
      <c r="B258" s="1323" t="s">
        <v>324</v>
      </c>
      <c r="C258" s="1323"/>
      <c r="D258" s="1305" t="s">
        <v>230</v>
      </c>
      <c r="E258" s="1305"/>
      <c r="F258" s="1305" t="s">
        <v>508</v>
      </c>
      <c r="G258" s="1305"/>
      <c r="H258" s="1305" t="s">
        <v>464</v>
      </c>
      <c r="I258" s="1305"/>
      <c r="J258" s="1305" t="s">
        <v>502</v>
      </c>
      <c r="K258" s="1305"/>
      <c r="L258" s="1305" t="s">
        <v>668</v>
      </c>
      <c r="M258" s="1305"/>
      <c r="N258" s="1195" t="s">
        <v>349</v>
      </c>
      <c r="O258" s="1195" t="s">
        <v>55</v>
      </c>
      <c r="P258" s="86"/>
      <c r="Q258" s="86"/>
      <c r="R258" s="86"/>
      <c r="S258" s="86"/>
      <c r="T258" s="86"/>
      <c r="U258" s="86"/>
    </row>
    <row r="259" spans="1:21" ht="10.050000000000001" customHeight="1">
      <c r="A259" s="1300"/>
      <c r="B259" s="845"/>
      <c r="C259" s="100"/>
      <c r="D259" s="1310" t="s">
        <v>206</v>
      </c>
      <c r="E259" s="1310"/>
      <c r="F259" s="1310" t="s">
        <v>552</v>
      </c>
      <c r="G259" s="1310"/>
      <c r="H259" s="1310" t="s">
        <v>181</v>
      </c>
      <c r="I259" s="1310"/>
      <c r="J259" s="1310" t="s">
        <v>372</v>
      </c>
      <c r="K259" s="1310"/>
      <c r="L259" s="1310" t="s">
        <v>200</v>
      </c>
      <c r="M259" s="1310"/>
      <c r="N259" s="1199" t="s">
        <v>372</v>
      </c>
      <c r="O259" s="1199" t="s">
        <v>364</v>
      </c>
      <c r="P259" s="86"/>
      <c r="Q259" s="86"/>
      <c r="R259" s="86"/>
      <c r="S259" s="86"/>
      <c r="T259" s="86"/>
      <c r="U259" s="86"/>
    </row>
    <row r="260" spans="1:21" ht="9" customHeight="1">
      <c r="A260" s="1300"/>
      <c r="B260" s="1152"/>
      <c r="C260" s="1200"/>
      <c r="D260" s="1152"/>
      <c r="E260" s="1110"/>
      <c r="F260" s="1152"/>
      <c r="G260" s="1152"/>
      <c r="H260" s="1152"/>
      <c r="I260" s="1152"/>
      <c r="J260" s="1152"/>
      <c r="K260" s="1152"/>
      <c r="L260" s="1152"/>
      <c r="M260" s="1152"/>
      <c r="N260" s="1152"/>
      <c r="O260" s="1152"/>
      <c r="P260" s="101"/>
      <c r="Q260" s="86"/>
      <c r="R260" s="86"/>
      <c r="S260" s="86"/>
      <c r="T260" s="86"/>
      <c r="U260" s="86"/>
    </row>
    <row r="261" spans="1:21" ht="9.75" customHeight="1">
      <c r="A261" s="586" t="str">
        <f>IF(Bauteile!$K990&gt;Nutzung!$G$29,"*","")</f>
        <v/>
      </c>
      <c r="B261" s="1316" t="str">
        <f>IF(Bauteile!B989="","-",Bauteile!B989)</f>
        <v>-</v>
      </c>
      <c r="C261" s="1316"/>
      <c r="D261" s="1302" t="str">
        <f>IF(Bauteile!C989="","",Bauteile!C989)</f>
        <v/>
      </c>
      <c r="E261" s="1302"/>
      <c r="F261" s="1303" t="str">
        <f>IF(Bauteile!D989="","",Bauteile!D989)</f>
        <v/>
      </c>
      <c r="G261" s="1303"/>
      <c r="H261" s="1307" t="str">
        <f>IF(Bauteile!E989="","",Bauteile!E989)</f>
        <v/>
      </c>
      <c r="I261" s="1307"/>
      <c r="J261" s="1307" t="str">
        <f>IF(Bauteile!F989="","",Bauteile!F989)</f>
        <v/>
      </c>
      <c r="K261" s="1307"/>
      <c r="L261" s="1307" t="str">
        <f>IF(Bauteile!N989=0,"",Bauteile!N989)</f>
        <v/>
      </c>
      <c r="M261" s="1307"/>
      <c r="N261" s="1201" t="str">
        <f>IF(Bauteile!M989="","",Bauteile!M989)</f>
        <v/>
      </c>
      <c r="O261" s="1202" t="str">
        <f>IF(Bauteile!O989="","",Bauteile!O989)</f>
        <v/>
      </c>
      <c r="P261" s="101"/>
      <c r="Q261" s="86"/>
      <c r="R261" s="86"/>
      <c r="S261" s="86"/>
      <c r="T261" s="86"/>
      <c r="U261" s="86"/>
    </row>
    <row r="262" spans="1:21" ht="9.75" customHeight="1">
      <c r="A262" s="586" t="str">
        <f>IF(Bauteile!$K1003&gt;Nutzung!$G$29,"*","")</f>
        <v/>
      </c>
      <c r="B262" s="1324" t="str">
        <f>IF(Bauteile!B1002="","-",Bauteile!B1002)</f>
        <v>-</v>
      </c>
      <c r="C262" s="1324"/>
      <c r="D262" s="1318" t="str">
        <f>IF(Bauteile!C1002="","",Bauteile!C1002)</f>
        <v/>
      </c>
      <c r="E262" s="1318"/>
      <c r="F262" s="1304" t="str">
        <f>IF(Bauteile!D1002="","",Bauteile!D1002)</f>
        <v/>
      </c>
      <c r="G262" s="1304"/>
      <c r="H262" s="1311" t="str">
        <f>IF(Bauteile!E1002="","",Bauteile!E1002)</f>
        <v/>
      </c>
      <c r="I262" s="1311"/>
      <c r="J262" s="1311" t="str">
        <f>IF(Bauteile!F1002="","",Bauteile!F1002)</f>
        <v/>
      </c>
      <c r="K262" s="1311"/>
      <c r="L262" s="1311" t="str">
        <f>IF(Bauteile!N1002=0,"",Bauteile!N1002)</f>
        <v/>
      </c>
      <c r="M262" s="1311"/>
      <c r="N262" s="1203" t="str">
        <f>IF(Bauteile!M1002="","",Bauteile!M1002)</f>
        <v/>
      </c>
      <c r="O262" s="1204" t="str">
        <f>IF(Bauteile!O1002="","",Bauteile!O1002)</f>
        <v/>
      </c>
      <c r="P262" s="97"/>
      <c r="Q262" s="86"/>
      <c r="R262" s="86"/>
      <c r="S262" s="86"/>
      <c r="T262" s="86"/>
      <c r="U262" s="86"/>
    </row>
    <row r="263" spans="1:21" ht="9.75" customHeight="1">
      <c r="A263" s="586" t="str">
        <f>IF(Bauteile!$K1016&gt;Nutzung!$G$29,"*","")</f>
        <v/>
      </c>
      <c r="B263" s="1316" t="str">
        <f>IF(Bauteile!B1015="","-",Bauteile!B1015)</f>
        <v>-</v>
      </c>
      <c r="C263" s="1316"/>
      <c r="D263" s="1302" t="str">
        <f>IF(Bauteile!C1015="","",Bauteile!C1015)</f>
        <v/>
      </c>
      <c r="E263" s="1302"/>
      <c r="F263" s="1303" t="str">
        <f>IF(Bauteile!D1015="","",Bauteile!D1015)</f>
        <v/>
      </c>
      <c r="G263" s="1303"/>
      <c r="H263" s="1307" t="str">
        <f>IF(Bauteile!E1015="","",Bauteile!E1015)</f>
        <v/>
      </c>
      <c r="I263" s="1307"/>
      <c r="J263" s="1307" t="str">
        <f>IF(Bauteile!F1015="","",Bauteile!F1015)</f>
        <v/>
      </c>
      <c r="K263" s="1307"/>
      <c r="L263" s="1307" t="str">
        <f>IF(Bauteile!N1015=0,"",Bauteile!N1015)</f>
        <v/>
      </c>
      <c r="M263" s="1307"/>
      <c r="N263" s="1201" t="str">
        <f>IF(Bauteile!M1015="","",Bauteile!M1015)</f>
        <v/>
      </c>
      <c r="O263" s="1202" t="str">
        <f>IF(Bauteile!O1015="","",Bauteile!O1015)</f>
        <v/>
      </c>
      <c r="P263" s="97"/>
      <c r="Q263" s="86"/>
      <c r="R263" s="86"/>
      <c r="S263" s="86"/>
      <c r="T263" s="86"/>
      <c r="U263" s="86"/>
    </row>
    <row r="264" spans="1:21" ht="9.75" customHeight="1">
      <c r="A264" s="586" t="str">
        <f>IF(Bauteile!$K1029&gt;Nutzung!$G$29,"*","")</f>
        <v/>
      </c>
      <c r="B264" s="1327" t="str">
        <f>IF(Bauteile!B1028="","-",Bauteile!B1028)</f>
        <v>-</v>
      </c>
      <c r="C264" s="1327"/>
      <c r="D264" s="1320" t="str">
        <f>IF(Bauteile!C1028="","",Bauteile!C1028)</f>
        <v/>
      </c>
      <c r="E264" s="1320"/>
      <c r="F264" s="1319" t="str">
        <f>IF(Bauteile!D1028="","",Bauteile!D1028)</f>
        <v/>
      </c>
      <c r="G264" s="1319"/>
      <c r="H264" s="1314" t="str">
        <f>IF(Bauteile!E1028="","",Bauteile!E1028)</f>
        <v/>
      </c>
      <c r="I264" s="1314"/>
      <c r="J264" s="1314" t="str">
        <f>IF(Bauteile!F1028="","",Bauteile!F1028)</f>
        <v/>
      </c>
      <c r="K264" s="1314"/>
      <c r="L264" s="1314" t="str">
        <f>IF(Bauteile!N1028=0,"",Bauteile!N1028)</f>
        <v/>
      </c>
      <c r="M264" s="1314"/>
      <c r="N264" s="1215" t="str">
        <f>IF(Bauteile!M1028="","",Bauteile!M1028)</f>
        <v/>
      </c>
      <c r="O264" s="1216" t="str">
        <f>IF(Bauteile!O1028="","",Bauteile!O1028)</f>
        <v/>
      </c>
      <c r="P264" s="97"/>
      <c r="Q264" s="86"/>
      <c r="R264" s="86"/>
      <c r="S264" s="86"/>
      <c r="T264" s="86"/>
      <c r="U264" s="86"/>
    </row>
    <row r="265" spans="1:21" ht="9" customHeight="1">
      <c r="B265" s="1107"/>
      <c r="C265" s="1151"/>
      <c r="D265" s="1209"/>
      <c r="E265" s="1209"/>
      <c r="F265" s="1210"/>
      <c r="G265" s="1210"/>
      <c r="H265" s="1175"/>
      <c r="I265" s="1151"/>
      <c r="J265" s="1151"/>
      <c r="K265" s="1151"/>
      <c r="L265" s="1151"/>
      <c r="M265" s="1175"/>
      <c r="N265" s="1209"/>
      <c r="O265" s="1211"/>
      <c r="P265" s="97"/>
      <c r="Q265" s="86"/>
      <c r="R265" s="86"/>
      <c r="S265" s="86"/>
      <c r="T265" s="86"/>
      <c r="U265" s="86"/>
    </row>
    <row r="266" spans="1:21" ht="9.75" customHeight="1">
      <c r="B266" s="1128" t="s">
        <v>375</v>
      </c>
      <c r="C266" s="1181"/>
      <c r="D266" s="1212"/>
      <c r="E266" s="1212"/>
      <c r="F266" s="1301" t="str">
        <f>IF(SUM(F261:G264)=0,"",SUM(F261:G264))</f>
        <v/>
      </c>
      <c r="G266" s="1301"/>
      <c r="H266" s="1213"/>
      <c r="I266" s="1181"/>
      <c r="J266" s="1181"/>
      <c r="K266" s="1181"/>
      <c r="L266" s="1181"/>
      <c r="M266" s="1213"/>
      <c r="N266" s="1207"/>
      <c r="O266" s="1214" t="str">
        <f>IF(SUM(O261:O264)=0,"",SUM(O261:O264))</f>
        <v/>
      </c>
      <c r="P266" s="97"/>
      <c r="Q266" s="86"/>
      <c r="R266" s="86"/>
      <c r="S266" s="86"/>
      <c r="T266" s="86"/>
      <c r="U266" s="86"/>
    </row>
    <row r="267" spans="1:21" ht="10.050000000000001" customHeight="1">
      <c r="B267" s="86"/>
      <c r="C267" s="87"/>
      <c r="D267" s="94"/>
      <c r="E267" s="94"/>
      <c r="F267" s="591"/>
      <c r="G267" s="591"/>
      <c r="H267" s="30"/>
      <c r="I267" s="28"/>
      <c r="J267" s="28"/>
      <c r="K267" s="28"/>
      <c r="L267" s="28"/>
      <c r="M267" s="30"/>
      <c r="N267" s="596"/>
      <c r="O267" s="600"/>
      <c r="P267" s="97"/>
      <c r="Q267" s="86"/>
      <c r="R267" s="86"/>
      <c r="S267" s="86"/>
      <c r="T267" s="86"/>
      <c r="U267" s="86"/>
    </row>
    <row r="268" spans="1:21" ht="10.050000000000001" customHeight="1">
      <c r="B268" s="89"/>
      <c r="C268" s="87"/>
      <c r="D268" s="591"/>
      <c r="E268" s="591"/>
      <c r="F268" s="30"/>
      <c r="G268" s="30"/>
      <c r="H268" s="30"/>
      <c r="I268" s="28"/>
      <c r="J268" s="30"/>
      <c r="K268" s="30"/>
      <c r="L268" s="30"/>
      <c r="M268" s="30"/>
      <c r="N268" s="188"/>
      <c r="O268" s="593"/>
      <c r="P268" s="97"/>
      <c r="Q268" s="86"/>
      <c r="R268" s="86"/>
      <c r="S268" s="86"/>
      <c r="T268" s="86"/>
      <c r="U268" s="86"/>
    </row>
    <row r="269" spans="1:21" ht="10.050000000000001" customHeight="1">
      <c r="B269" s="141"/>
      <c r="C269" s="86"/>
      <c r="D269" s="86"/>
      <c r="E269" s="86"/>
      <c r="F269" s="86"/>
      <c r="H269" s="280"/>
      <c r="I269" s="86"/>
      <c r="J269" s="86"/>
      <c r="K269" s="86"/>
      <c r="L269" s="86"/>
      <c r="M269" s="86"/>
      <c r="N269" s="86"/>
      <c r="O269" s="142"/>
      <c r="P269" s="86"/>
      <c r="Q269" s="86"/>
      <c r="R269" s="86"/>
      <c r="S269" s="86"/>
      <c r="T269" s="86"/>
      <c r="U269" s="86"/>
    </row>
    <row r="270" spans="1:21" ht="12" customHeight="1">
      <c r="B270" s="1323" t="s">
        <v>332</v>
      </c>
      <c r="C270" s="1323"/>
      <c r="D270" s="1305" t="s">
        <v>230</v>
      </c>
      <c r="E270" s="1305"/>
      <c r="F270" s="1305" t="s">
        <v>508</v>
      </c>
      <c r="G270" s="1305"/>
      <c r="H270" s="1305" t="s">
        <v>464</v>
      </c>
      <c r="I270" s="1305"/>
      <c r="J270" s="1305" t="s">
        <v>502</v>
      </c>
      <c r="K270" s="1305"/>
      <c r="L270" s="1305" t="s">
        <v>668</v>
      </c>
      <c r="M270" s="1305"/>
      <c r="N270" s="1195" t="s">
        <v>349</v>
      </c>
      <c r="O270" s="1195" t="s">
        <v>55</v>
      </c>
      <c r="P270" s="97"/>
      <c r="Q270" s="86"/>
      <c r="R270" s="86"/>
      <c r="S270" s="86"/>
      <c r="T270" s="86"/>
      <c r="U270" s="86"/>
    </row>
    <row r="271" spans="1:21" ht="10.050000000000001" customHeight="1">
      <c r="B271" s="845"/>
      <c r="C271" s="100"/>
      <c r="D271" s="1310" t="s">
        <v>206</v>
      </c>
      <c r="E271" s="1310"/>
      <c r="F271" s="1310" t="s">
        <v>552</v>
      </c>
      <c r="G271" s="1310"/>
      <c r="H271" s="1310" t="s">
        <v>181</v>
      </c>
      <c r="I271" s="1310"/>
      <c r="J271" s="1310" t="s">
        <v>372</v>
      </c>
      <c r="K271" s="1310"/>
      <c r="L271" s="1310" t="s">
        <v>200</v>
      </c>
      <c r="M271" s="1310"/>
      <c r="N271" s="1199" t="s">
        <v>372</v>
      </c>
      <c r="O271" s="1199" t="s">
        <v>364</v>
      </c>
      <c r="P271" s="97"/>
      <c r="Q271" s="86"/>
      <c r="R271" s="86"/>
      <c r="S271" s="86"/>
      <c r="T271" s="86"/>
      <c r="U271" s="86"/>
    </row>
    <row r="272" spans="1:21" ht="9" customHeight="1">
      <c r="B272" s="1152"/>
      <c r="C272" s="1200"/>
      <c r="D272" s="1152"/>
      <c r="E272" s="1110"/>
      <c r="F272" s="1152"/>
      <c r="G272" s="1152"/>
      <c r="H272" s="1152"/>
      <c r="I272" s="1152"/>
      <c r="J272" s="1152"/>
      <c r="K272" s="1152"/>
      <c r="L272" s="1152"/>
      <c r="M272" s="1152"/>
      <c r="N272" s="1152"/>
      <c r="O272" s="1152"/>
      <c r="P272" s="101"/>
      <c r="Q272" s="86"/>
      <c r="R272" s="86"/>
      <c r="S272" s="86"/>
      <c r="T272" s="86"/>
      <c r="U272" s="86"/>
    </row>
    <row r="273" spans="1:21" ht="9.75" customHeight="1">
      <c r="A273" s="586" t="str">
        <f>IF(Bauteile!$K1046&gt;Nutzung!$G$29,"*","")</f>
        <v/>
      </c>
      <c r="B273" s="1316" t="str">
        <f>IF(Bauteile!B1045="","-",Bauteile!B1045)</f>
        <v>-</v>
      </c>
      <c r="C273" s="1316"/>
      <c r="D273" s="1302" t="str">
        <f>IF(Bauteile!C1045="","",Bauteile!C1045)</f>
        <v/>
      </c>
      <c r="E273" s="1302"/>
      <c r="F273" s="1303" t="str">
        <f>IF(Bauteile!D1045="","",Bauteile!D1045)</f>
        <v/>
      </c>
      <c r="G273" s="1303"/>
      <c r="H273" s="1307" t="str">
        <f>IF(Bauteile!E1045="","",Bauteile!E1045)</f>
        <v/>
      </c>
      <c r="I273" s="1307"/>
      <c r="J273" s="1307" t="str">
        <f>IF(Bauteile!F1045="","",Bauteile!F1045)</f>
        <v/>
      </c>
      <c r="K273" s="1307"/>
      <c r="L273" s="1307" t="str">
        <f>IF(Bauteile!N1045=0,"",Bauteile!N1045)</f>
        <v/>
      </c>
      <c r="M273" s="1307"/>
      <c r="N273" s="1201" t="str">
        <f>IF(Bauteile!M1045="","",Bauteile!M1045)</f>
        <v/>
      </c>
      <c r="O273" s="1202" t="str">
        <f>IF(Bauteile!O1045="","",Bauteile!O1045)</f>
        <v/>
      </c>
      <c r="P273" s="101"/>
      <c r="Q273" s="86"/>
      <c r="R273" s="86"/>
      <c r="S273" s="86"/>
      <c r="T273" s="86"/>
      <c r="U273" s="86"/>
    </row>
    <row r="274" spans="1:21" ht="9.75" customHeight="1">
      <c r="A274" s="586" t="str">
        <f>IF(Bauteile!$K1059&gt;Nutzung!$G$29,"*","")</f>
        <v/>
      </c>
      <c r="B274" s="1324" t="str">
        <f>IF(Bauteile!B1058="","-",Bauteile!B1058)</f>
        <v>-</v>
      </c>
      <c r="C274" s="1324"/>
      <c r="D274" s="1318" t="str">
        <f>IF(Bauteile!C1058="","",Bauteile!C1058)</f>
        <v/>
      </c>
      <c r="E274" s="1318"/>
      <c r="F274" s="1304" t="str">
        <f>IF(Bauteile!D1058="","",Bauteile!D1058)</f>
        <v/>
      </c>
      <c r="G274" s="1304"/>
      <c r="H274" s="1311" t="str">
        <f>IF(Bauteile!E1058="","",Bauteile!E1058)</f>
        <v/>
      </c>
      <c r="I274" s="1311"/>
      <c r="J274" s="1311" t="str">
        <f>IF(Bauteile!F1058="","",Bauteile!F1058)</f>
        <v/>
      </c>
      <c r="K274" s="1311"/>
      <c r="L274" s="1311" t="str">
        <f>IF(Bauteile!N1058=0,"",Bauteile!N1058)</f>
        <v/>
      </c>
      <c r="M274" s="1311"/>
      <c r="N274" s="1203" t="str">
        <f>IF(Bauteile!M1058="","",Bauteile!M1058)</f>
        <v/>
      </c>
      <c r="O274" s="1204" t="str">
        <f>IF(Bauteile!O1058="","",Bauteile!O1058)</f>
        <v/>
      </c>
      <c r="P274" s="86"/>
      <c r="Q274" s="86"/>
      <c r="R274" s="86"/>
      <c r="S274" s="86"/>
      <c r="T274" s="86"/>
      <c r="U274" s="86"/>
    </row>
    <row r="275" spans="1:21" ht="9.75" customHeight="1">
      <c r="A275" s="586" t="str">
        <f>IF(Bauteile!$K1072&gt;Nutzung!$G$29,"*","")</f>
        <v/>
      </c>
      <c r="B275" s="1316" t="str">
        <f>IF(Bauteile!B1071="","-",Bauteile!B1071)</f>
        <v>-</v>
      </c>
      <c r="C275" s="1316"/>
      <c r="D275" s="1302" t="str">
        <f>IF(Bauteile!C1071="","",Bauteile!C1071)</f>
        <v/>
      </c>
      <c r="E275" s="1302"/>
      <c r="F275" s="1303" t="str">
        <f>IF(Bauteile!D1071="","",Bauteile!D1071)</f>
        <v/>
      </c>
      <c r="G275" s="1303"/>
      <c r="H275" s="1307" t="str">
        <f>IF(Bauteile!E1071="","",Bauteile!E1071)</f>
        <v/>
      </c>
      <c r="I275" s="1307"/>
      <c r="J275" s="1307" t="str">
        <f>IF(Bauteile!F1071="","",Bauteile!F1071)</f>
        <v/>
      </c>
      <c r="K275" s="1307"/>
      <c r="L275" s="1307" t="str">
        <f>IF(Bauteile!N1071=0,"",Bauteile!N1071)</f>
        <v/>
      </c>
      <c r="M275" s="1307"/>
      <c r="N275" s="1201" t="str">
        <f>IF(Bauteile!M1071="","",Bauteile!M1071)</f>
        <v/>
      </c>
      <c r="O275" s="1202" t="str">
        <f>IF(Bauteile!O1071="","",Bauteile!O1071)</f>
        <v/>
      </c>
      <c r="P275" s="101"/>
      <c r="Q275" s="86"/>
      <c r="R275" s="86"/>
      <c r="S275" s="86"/>
      <c r="T275" s="86"/>
      <c r="U275" s="86"/>
    </row>
    <row r="276" spans="1:21" ht="9.75" customHeight="1">
      <c r="A276" s="586" t="str">
        <f>IF(Bauteile!$K1085&gt;Nutzung!$G$29,"*","")</f>
        <v/>
      </c>
      <c r="B276" s="1324" t="str">
        <f>IF(Bauteile!B1084="","-",Bauteile!B1084)</f>
        <v>-</v>
      </c>
      <c r="C276" s="1324"/>
      <c r="D276" s="1318" t="str">
        <f>IF(Bauteile!C1084="","",Bauteile!C1084)</f>
        <v/>
      </c>
      <c r="E276" s="1318"/>
      <c r="F276" s="1304" t="str">
        <f>IF(Bauteile!D1084="","",Bauteile!D1084)</f>
        <v/>
      </c>
      <c r="G276" s="1304"/>
      <c r="H276" s="1311" t="str">
        <f>IF(Bauteile!E1084="","",Bauteile!E1084)</f>
        <v/>
      </c>
      <c r="I276" s="1311"/>
      <c r="J276" s="1311" t="str">
        <f>IF(Bauteile!F1084="","",Bauteile!F1084)</f>
        <v/>
      </c>
      <c r="K276" s="1311"/>
      <c r="L276" s="1311" t="str">
        <f>IF(Bauteile!N1084=0,"",Bauteile!N1084)</f>
        <v/>
      </c>
      <c r="M276" s="1311"/>
      <c r="N276" s="1203" t="str">
        <f>IF(Bauteile!M1084="","",Bauteile!M1084)</f>
        <v/>
      </c>
      <c r="O276" s="1204" t="str">
        <f>IF(Bauteile!O1084="","",Bauteile!O1084)</f>
        <v/>
      </c>
      <c r="P276" s="97"/>
      <c r="Q276" s="86"/>
      <c r="R276" s="86"/>
      <c r="S276" s="86"/>
      <c r="T276" s="86"/>
      <c r="U276" s="86"/>
    </row>
    <row r="277" spans="1:21" ht="9.75" customHeight="1">
      <c r="A277" s="586" t="str">
        <f>IF(Bauteile!$K1098&gt;Nutzung!$G$29,"*","")</f>
        <v/>
      </c>
      <c r="B277" s="1316" t="str">
        <f>IF(Bauteile!B1097="","-",Bauteile!B1097)</f>
        <v>-</v>
      </c>
      <c r="C277" s="1316"/>
      <c r="D277" s="1302" t="str">
        <f>IF(Bauteile!C1097="","",Bauteile!C1097)</f>
        <v/>
      </c>
      <c r="E277" s="1302"/>
      <c r="F277" s="1303" t="str">
        <f>IF(Bauteile!D1097="","",Bauteile!D1097)</f>
        <v/>
      </c>
      <c r="G277" s="1303"/>
      <c r="H277" s="1307" t="str">
        <f>IF(Bauteile!E1097="","",Bauteile!E1097)</f>
        <v/>
      </c>
      <c r="I277" s="1307"/>
      <c r="J277" s="1307" t="str">
        <f>IF(Bauteile!F1097="","",Bauteile!F1097)</f>
        <v/>
      </c>
      <c r="K277" s="1307"/>
      <c r="L277" s="1307" t="str">
        <f>IF(Bauteile!N1097=0,"",Bauteile!N1097)</f>
        <v/>
      </c>
      <c r="M277" s="1307"/>
      <c r="N277" s="1201" t="str">
        <f>IF(Bauteile!M1097="","",Bauteile!M1097)</f>
        <v/>
      </c>
      <c r="O277" s="1202" t="str">
        <f>IF(Bauteile!O1097="","",Bauteile!O1097)</f>
        <v/>
      </c>
      <c r="P277" s="97"/>
      <c r="Q277" s="86"/>
      <c r="R277" s="86"/>
      <c r="S277" s="86"/>
      <c r="T277" s="86"/>
      <c r="U277" s="86"/>
    </row>
    <row r="278" spans="1:21" ht="9.75" customHeight="1">
      <c r="A278" s="586" t="str">
        <f>IF(Bauteile!$K1111&gt;Nutzung!$G$29,"*","")</f>
        <v/>
      </c>
      <c r="B278" s="1324" t="str">
        <f>IF(Bauteile!B1110="","-",Bauteile!B1110)</f>
        <v>-</v>
      </c>
      <c r="C278" s="1324"/>
      <c r="D278" s="1318" t="str">
        <f>IF(Bauteile!C1110="","",Bauteile!C1110)</f>
        <v/>
      </c>
      <c r="E278" s="1318"/>
      <c r="F278" s="1304" t="str">
        <f>IF(Bauteile!D1110="","",Bauteile!D1110)</f>
        <v/>
      </c>
      <c r="G278" s="1304"/>
      <c r="H278" s="1311" t="str">
        <f>IF(Bauteile!E1110="","",Bauteile!E1110)</f>
        <v/>
      </c>
      <c r="I278" s="1311"/>
      <c r="J278" s="1311" t="str">
        <f>IF(Bauteile!F1110="","",Bauteile!F1110)</f>
        <v/>
      </c>
      <c r="K278" s="1311"/>
      <c r="L278" s="1311" t="str">
        <f>IF(Bauteile!N1110=0,"",Bauteile!N1110)</f>
        <v/>
      </c>
      <c r="M278" s="1311"/>
      <c r="N278" s="1203" t="str">
        <f>IF(Bauteile!M1110="","",Bauteile!M1110)</f>
        <v/>
      </c>
      <c r="O278" s="1204" t="str">
        <f>IF(Bauteile!O1110="","",Bauteile!O1110)</f>
        <v/>
      </c>
      <c r="P278" s="97"/>
      <c r="Q278" s="86"/>
      <c r="R278" s="86"/>
      <c r="S278" s="86"/>
      <c r="T278" s="86"/>
      <c r="U278" s="86"/>
    </row>
    <row r="279" spans="1:21" ht="9.75" customHeight="1">
      <c r="A279" s="586" t="str">
        <f>IF(Bauteile!$K1124&gt;Nutzung!$G$29,"*","")</f>
        <v/>
      </c>
      <c r="B279" s="1316" t="str">
        <f>IF(Bauteile!B1123="","-",Bauteile!B1123)</f>
        <v>-</v>
      </c>
      <c r="C279" s="1316"/>
      <c r="D279" s="1302" t="str">
        <f>IF(Bauteile!C1123="","",Bauteile!C1123)</f>
        <v/>
      </c>
      <c r="E279" s="1302"/>
      <c r="F279" s="1303" t="str">
        <f>IF(Bauteile!D1123="","",Bauteile!D1123)</f>
        <v/>
      </c>
      <c r="G279" s="1303"/>
      <c r="H279" s="1307" t="str">
        <f>IF(Bauteile!E1123="","",Bauteile!E1123)</f>
        <v/>
      </c>
      <c r="I279" s="1307"/>
      <c r="J279" s="1307" t="str">
        <f>IF(Bauteile!F1123="","",Bauteile!F1123)</f>
        <v/>
      </c>
      <c r="K279" s="1307"/>
      <c r="L279" s="1307" t="str">
        <f>IF(Bauteile!N1123=0,"",Bauteile!N1123)</f>
        <v/>
      </c>
      <c r="M279" s="1307"/>
      <c r="N279" s="1201" t="str">
        <f>IF(Bauteile!M1123="","",Bauteile!M1123)</f>
        <v/>
      </c>
      <c r="O279" s="1202" t="str">
        <f>IF(Bauteile!O1123="","",Bauteile!O1123)</f>
        <v/>
      </c>
      <c r="P279" s="97"/>
      <c r="Q279" s="86"/>
      <c r="R279" s="86"/>
      <c r="S279" s="86"/>
      <c r="T279" s="86"/>
      <c r="U279" s="86"/>
    </row>
    <row r="280" spans="1:21" ht="9.75" customHeight="1">
      <c r="A280" s="586" t="str">
        <f>IF(Bauteile!$K1137&gt;Nutzung!$G$29,"*","")</f>
        <v/>
      </c>
      <c r="B280" s="1324" t="str">
        <f>IF(Bauteile!B1136="","-",Bauteile!B1136)</f>
        <v>-</v>
      </c>
      <c r="C280" s="1324"/>
      <c r="D280" s="1318" t="str">
        <f>IF(Bauteile!C1136="","",Bauteile!C1136)</f>
        <v/>
      </c>
      <c r="E280" s="1318"/>
      <c r="F280" s="1304" t="str">
        <f>IF(Bauteile!D1136="","",Bauteile!D1136)</f>
        <v/>
      </c>
      <c r="G280" s="1304"/>
      <c r="H280" s="1311" t="str">
        <f>IF(Bauteile!E1136="","",Bauteile!E1136)</f>
        <v/>
      </c>
      <c r="I280" s="1311"/>
      <c r="J280" s="1311" t="str">
        <f>IF(Bauteile!F1136="","",Bauteile!F1136)</f>
        <v/>
      </c>
      <c r="K280" s="1311"/>
      <c r="L280" s="1311" t="str">
        <f>IF(Bauteile!N1136=0,"",Bauteile!N1136)</f>
        <v/>
      </c>
      <c r="M280" s="1311"/>
      <c r="N280" s="1203" t="str">
        <f>IF(Bauteile!M1136="","",Bauteile!M1136)</f>
        <v/>
      </c>
      <c r="O280" s="1204" t="str">
        <f>IF(Bauteile!O1136="","",Bauteile!O1136)</f>
        <v/>
      </c>
      <c r="P280" s="97"/>
      <c r="Q280" s="86"/>
      <c r="R280" s="86"/>
      <c r="S280" s="86"/>
      <c r="T280" s="86"/>
      <c r="U280" s="86"/>
    </row>
    <row r="281" spans="1:21" ht="9.75" customHeight="1">
      <c r="A281" s="586" t="str">
        <f>IF(Bauteile!$K1150&gt;Nutzung!$G$29,"*","")</f>
        <v/>
      </c>
      <c r="B281" s="1316" t="str">
        <f>IF(Bauteile!B1149="","-",Bauteile!B1149)</f>
        <v>-</v>
      </c>
      <c r="C281" s="1316"/>
      <c r="D281" s="1302" t="str">
        <f>IF(Bauteile!C1149="","",Bauteile!C1149)</f>
        <v/>
      </c>
      <c r="E281" s="1302"/>
      <c r="F281" s="1303" t="str">
        <f>IF(Bauteile!D1149="","",Bauteile!D1149)</f>
        <v/>
      </c>
      <c r="G281" s="1303"/>
      <c r="H281" s="1307" t="str">
        <f>IF(Bauteile!E1149="","",Bauteile!E1149)</f>
        <v/>
      </c>
      <c r="I281" s="1307"/>
      <c r="J281" s="1307" t="str">
        <f>IF(Bauteile!F1149="","",Bauteile!F1149)</f>
        <v/>
      </c>
      <c r="K281" s="1307"/>
      <c r="L281" s="1307" t="str">
        <f>IF(Bauteile!N1149=0,"",Bauteile!N1149)</f>
        <v/>
      </c>
      <c r="M281" s="1307"/>
      <c r="N281" s="1201" t="str">
        <f>IF(Bauteile!M1149="","",Bauteile!M1149)</f>
        <v/>
      </c>
      <c r="O281" s="1202" t="str">
        <f>IF(Bauteile!O1149="","",Bauteile!O1149)</f>
        <v/>
      </c>
      <c r="P281" s="97"/>
      <c r="Q281" s="86"/>
      <c r="R281" s="86"/>
      <c r="S281" s="86"/>
      <c r="T281" s="86"/>
      <c r="U281" s="86"/>
    </row>
    <row r="282" spans="1:21" ht="9" customHeight="1">
      <c r="B282" s="1107"/>
      <c r="C282" s="1151"/>
      <c r="D282" s="1209"/>
      <c r="E282" s="1209"/>
      <c r="F282" s="1210"/>
      <c r="G282" s="1210"/>
      <c r="H282" s="1175"/>
      <c r="I282" s="1151"/>
      <c r="J282" s="1151"/>
      <c r="K282" s="1151"/>
      <c r="L282" s="1151"/>
      <c r="M282" s="1175"/>
      <c r="N282" s="1209"/>
      <c r="O282" s="1211"/>
      <c r="P282" s="97"/>
      <c r="Q282" s="86"/>
      <c r="R282" s="86"/>
      <c r="S282" s="86"/>
      <c r="T282" s="86"/>
      <c r="U282" s="86"/>
    </row>
    <row r="283" spans="1:21" ht="9.75" customHeight="1">
      <c r="B283" s="1128" t="s">
        <v>375</v>
      </c>
      <c r="C283" s="1181"/>
      <c r="D283" s="1212"/>
      <c r="E283" s="1212"/>
      <c r="F283" s="1301" t="str">
        <f>IF(SUM(F273:G281)=0,"",SUM(F273:G281))</f>
        <v/>
      </c>
      <c r="G283" s="1301"/>
      <c r="H283" s="1213"/>
      <c r="I283" s="1181"/>
      <c r="J283" s="1181"/>
      <c r="K283" s="1181"/>
      <c r="L283" s="1181"/>
      <c r="M283" s="1213"/>
      <c r="N283" s="1207"/>
      <c r="O283" s="1214" t="str">
        <f>IF(SUM(O273:O281)=0,"",SUM(O273:O281))</f>
        <v/>
      </c>
      <c r="P283" s="97"/>
      <c r="Q283" s="86"/>
      <c r="R283" s="86"/>
      <c r="S283" s="86"/>
      <c r="T283" s="86"/>
      <c r="U283" s="86"/>
    </row>
    <row r="284" spans="1:21" ht="10.050000000000001" customHeight="1">
      <c r="B284" s="86"/>
      <c r="C284" s="87"/>
      <c r="D284" s="94"/>
      <c r="E284" s="94"/>
      <c r="F284" s="591"/>
      <c r="G284" s="591"/>
      <c r="H284" s="30"/>
      <c r="I284" s="28"/>
      <c r="J284" s="28"/>
      <c r="K284" s="28"/>
      <c r="L284" s="28"/>
      <c r="M284" s="30"/>
      <c r="N284" s="596"/>
      <c r="O284" s="600"/>
      <c r="P284" s="97"/>
      <c r="Q284" s="86"/>
      <c r="R284" s="86"/>
      <c r="S284" s="86"/>
      <c r="T284" s="86"/>
      <c r="U284" s="86"/>
    </row>
    <row r="285" spans="1:21" ht="10.050000000000001" customHeight="1">
      <c r="B285" s="86"/>
      <c r="C285" s="87"/>
      <c r="D285" s="94"/>
      <c r="E285" s="94"/>
      <c r="F285" s="95"/>
      <c r="G285" s="87"/>
      <c r="H285" s="95"/>
      <c r="I285" s="87"/>
      <c r="J285" s="28"/>
      <c r="K285" s="87"/>
      <c r="L285" s="87"/>
      <c r="M285" s="95"/>
      <c r="N285" s="94"/>
      <c r="O285" s="98"/>
      <c r="P285" s="97"/>
      <c r="Q285" s="86"/>
      <c r="R285" s="86"/>
      <c r="S285" s="86"/>
      <c r="T285" s="86"/>
      <c r="U285" s="86"/>
    </row>
    <row r="286" spans="1:21" ht="10.050000000000001" customHeight="1">
      <c r="B286" s="86"/>
      <c r="C286" s="87"/>
      <c r="D286" s="94"/>
      <c r="E286" s="94"/>
      <c r="F286" s="95"/>
      <c r="G286" s="87"/>
      <c r="H286" s="95"/>
      <c r="I286" s="87"/>
      <c r="J286" s="28"/>
      <c r="K286" s="87"/>
      <c r="L286" s="87"/>
      <c r="M286" s="95"/>
      <c r="N286" s="94"/>
      <c r="O286" s="98"/>
      <c r="P286" s="97"/>
      <c r="Q286" s="86"/>
      <c r="R286" s="86"/>
      <c r="S286" s="86"/>
      <c r="T286" s="86"/>
      <c r="U286" s="86"/>
    </row>
    <row r="287" spans="1:21" ht="12" customHeight="1">
      <c r="B287" s="1323" t="s">
        <v>326</v>
      </c>
      <c r="C287" s="1323"/>
      <c r="D287" s="1305" t="s">
        <v>230</v>
      </c>
      <c r="E287" s="1305"/>
      <c r="F287" s="1305" t="s">
        <v>508</v>
      </c>
      <c r="G287" s="1305"/>
      <c r="H287" s="1305" t="s">
        <v>464</v>
      </c>
      <c r="I287" s="1305"/>
      <c r="J287" s="1305" t="s">
        <v>502</v>
      </c>
      <c r="K287" s="1305"/>
      <c r="L287" s="1305" t="s">
        <v>668</v>
      </c>
      <c r="M287" s="1305"/>
      <c r="N287" s="1195" t="s">
        <v>349</v>
      </c>
      <c r="O287" s="1195" t="s">
        <v>55</v>
      </c>
      <c r="P287" s="97"/>
      <c r="Q287" s="86"/>
      <c r="R287" s="86"/>
      <c r="S287" s="86"/>
      <c r="T287" s="86"/>
      <c r="U287" s="86"/>
    </row>
    <row r="288" spans="1:21" ht="10.050000000000001" customHeight="1">
      <c r="B288" s="845"/>
      <c r="C288" s="100"/>
      <c r="D288" s="1310" t="s">
        <v>206</v>
      </c>
      <c r="E288" s="1310"/>
      <c r="F288" s="1310" t="s">
        <v>552</v>
      </c>
      <c r="G288" s="1310"/>
      <c r="H288" s="1310" t="s">
        <v>181</v>
      </c>
      <c r="I288" s="1310"/>
      <c r="J288" s="1310" t="s">
        <v>372</v>
      </c>
      <c r="K288" s="1310"/>
      <c r="L288" s="1310" t="s">
        <v>200</v>
      </c>
      <c r="M288" s="1310"/>
      <c r="N288" s="1199" t="s">
        <v>372</v>
      </c>
      <c r="O288" s="1199" t="s">
        <v>364</v>
      </c>
      <c r="P288" s="97"/>
      <c r="Q288" s="86"/>
      <c r="R288" s="86"/>
      <c r="S288" s="86"/>
      <c r="T288" s="86"/>
      <c r="U288" s="86"/>
    </row>
    <row r="289" spans="1:21" ht="9" customHeight="1">
      <c r="B289" s="1152"/>
      <c r="C289" s="1200"/>
      <c r="D289" s="1152"/>
      <c r="E289" s="1110"/>
      <c r="F289" s="1152"/>
      <c r="G289" s="1152"/>
      <c r="H289" s="1152"/>
      <c r="I289" s="1152"/>
      <c r="J289" s="1152"/>
      <c r="K289" s="1152"/>
      <c r="L289" s="1152"/>
      <c r="M289" s="1152"/>
      <c r="N289" s="1152"/>
      <c r="O289" s="1152"/>
      <c r="P289" s="101"/>
      <c r="Q289" s="86"/>
      <c r="R289" s="86"/>
      <c r="S289" s="86"/>
      <c r="T289" s="86"/>
      <c r="U289" s="86"/>
    </row>
    <row r="290" spans="1:21" ht="9.75" customHeight="1">
      <c r="A290" s="586" t="str">
        <f>IF(Bauteile!$K1167&gt;Nutzung!$G$29,"*","")</f>
        <v/>
      </c>
      <c r="B290" s="1316" t="str">
        <f>IF(Bauteile!B1166="","-",Bauteile!B1166)</f>
        <v>-</v>
      </c>
      <c r="C290" s="1316"/>
      <c r="D290" s="1302" t="str">
        <f>IF(Bauteile!C1166="","",Bauteile!C1166)</f>
        <v/>
      </c>
      <c r="E290" s="1302"/>
      <c r="F290" s="1303" t="str">
        <f>IF(Bauteile!D1166="","",Bauteile!D1166)</f>
        <v/>
      </c>
      <c r="G290" s="1303"/>
      <c r="H290" s="1307" t="str">
        <f>IF(Bauteile!E1166="","",Bauteile!E1166)</f>
        <v/>
      </c>
      <c r="I290" s="1307"/>
      <c r="J290" s="1307" t="str">
        <f>IF(Bauteile!F1166="","",Bauteile!F1166)</f>
        <v/>
      </c>
      <c r="K290" s="1307"/>
      <c r="L290" s="1307" t="str">
        <f>IF(Bauteile!N1166=0,"",Bauteile!N1166)</f>
        <v/>
      </c>
      <c r="M290" s="1307"/>
      <c r="N290" s="1201" t="str">
        <f>IF(Bauteile!M1166="","",Bauteile!M1166)</f>
        <v/>
      </c>
      <c r="O290" s="1202" t="str">
        <f>IF(Bauteile!O1166="","",Bauteile!O1166)</f>
        <v/>
      </c>
      <c r="P290" s="101"/>
      <c r="Q290" s="86"/>
      <c r="R290" s="86"/>
      <c r="S290" s="86"/>
      <c r="T290" s="86"/>
      <c r="U290" s="86"/>
    </row>
    <row r="291" spans="1:21" ht="9.75" customHeight="1">
      <c r="A291" s="586" t="str">
        <f>IF(Bauteile!$K1180&gt;Nutzung!$G$29,"*","")</f>
        <v/>
      </c>
      <c r="B291" s="1324" t="str">
        <f>IF(Bauteile!B1179="","-",Bauteile!B1179)</f>
        <v>-</v>
      </c>
      <c r="C291" s="1324"/>
      <c r="D291" s="1318" t="str">
        <f>IF(Bauteile!C1179="","",Bauteile!C1179)</f>
        <v/>
      </c>
      <c r="E291" s="1318"/>
      <c r="F291" s="1304" t="str">
        <f>IF(Bauteile!D1179="","",Bauteile!D1179)</f>
        <v/>
      </c>
      <c r="G291" s="1304"/>
      <c r="H291" s="1311" t="str">
        <f>IF(Bauteile!E1179="","",Bauteile!E1179)</f>
        <v/>
      </c>
      <c r="I291" s="1311"/>
      <c r="J291" s="1311" t="str">
        <f>IF(Bauteile!F1179="","",Bauteile!F1179)</f>
        <v/>
      </c>
      <c r="K291" s="1311"/>
      <c r="L291" s="1311" t="str">
        <f>IF(Bauteile!N1179=0,"",Bauteile!N1179)</f>
        <v/>
      </c>
      <c r="M291" s="1311"/>
      <c r="N291" s="1203" t="str">
        <f>IF(Bauteile!M1179="","",Bauteile!M1179)</f>
        <v/>
      </c>
      <c r="O291" s="1204" t="str">
        <f>IF(Bauteile!O1179="","",Bauteile!O1179)</f>
        <v/>
      </c>
      <c r="P291" s="86"/>
      <c r="Q291" s="86"/>
      <c r="R291" s="86"/>
      <c r="S291" s="86"/>
      <c r="T291" s="86"/>
      <c r="U291" s="86"/>
    </row>
    <row r="292" spans="1:21" ht="9.75" customHeight="1">
      <c r="A292" s="586" t="str">
        <f>IF(Bauteile!$K1193&gt;Nutzung!$G$29,"*","")</f>
        <v/>
      </c>
      <c r="B292" s="1316" t="str">
        <f>IF(Bauteile!B1192="","-",Bauteile!B1192)</f>
        <v>-</v>
      </c>
      <c r="C292" s="1316"/>
      <c r="D292" s="1302" t="str">
        <f>IF(Bauteile!C1192="","",Bauteile!C1192)</f>
        <v/>
      </c>
      <c r="E292" s="1302"/>
      <c r="F292" s="1303" t="str">
        <f>IF(Bauteile!D1192="","",Bauteile!D1192)</f>
        <v/>
      </c>
      <c r="G292" s="1303"/>
      <c r="H292" s="1307" t="str">
        <f>IF(Bauteile!E1192="","",Bauteile!E1192)</f>
        <v/>
      </c>
      <c r="I292" s="1307"/>
      <c r="J292" s="1307" t="str">
        <f>IF(Bauteile!F1192="","",Bauteile!F1192)</f>
        <v/>
      </c>
      <c r="K292" s="1307"/>
      <c r="L292" s="1307" t="str">
        <f>IF(Bauteile!N1192=0,"",Bauteile!N1192)</f>
        <v/>
      </c>
      <c r="M292" s="1307"/>
      <c r="N292" s="1201" t="str">
        <f>IF(Bauteile!M1192="","",Bauteile!M1192)</f>
        <v/>
      </c>
      <c r="O292" s="1202" t="str">
        <f>IF(Bauteile!O1192="","",Bauteile!O1192)</f>
        <v/>
      </c>
      <c r="P292" s="101"/>
      <c r="Q292" s="86"/>
      <c r="R292" s="86"/>
      <c r="S292" s="86"/>
      <c r="T292" s="86"/>
      <c r="U292" s="86"/>
    </row>
    <row r="293" spans="1:21" ht="9.75" customHeight="1">
      <c r="A293" s="586" t="str">
        <f>IF(Bauteile!$K1206&gt;Nutzung!$G$29,"*","")</f>
        <v/>
      </c>
      <c r="B293" s="1324" t="str">
        <f>IF(Bauteile!B1205="","-",Bauteile!B1205)</f>
        <v>-</v>
      </c>
      <c r="C293" s="1324"/>
      <c r="D293" s="1318" t="str">
        <f>IF(Bauteile!C1205="","",Bauteile!C1205)</f>
        <v/>
      </c>
      <c r="E293" s="1318"/>
      <c r="F293" s="1304" t="str">
        <f>IF(Bauteile!D1205="","",Bauteile!D1205)</f>
        <v/>
      </c>
      <c r="G293" s="1304"/>
      <c r="H293" s="1311" t="str">
        <f>IF(Bauteile!E1205="","",Bauteile!E1205)</f>
        <v/>
      </c>
      <c r="I293" s="1311"/>
      <c r="J293" s="1311" t="str">
        <f>IF(Bauteile!F1205="","",Bauteile!F1205)</f>
        <v/>
      </c>
      <c r="K293" s="1311"/>
      <c r="L293" s="1311" t="str">
        <f>IF(Bauteile!N1205=0,"",Bauteile!N1205)</f>
        <v/>
      </c>
      <c r="M293" s="1311"/>
      <c r="N293" s="1203" t="str">
        <f>IF(Bauteile!M1205="","",Bauteile!M1205)</f>
        <v/>
      </c>
      <c r="O293" s="1204" t="str">
        <f>IF(Bauteile!O1205="","",Bauteile!O1205)</f>
        <v/>
      </c>
      <c r="P293" s="97"/>
      <c r="Q293" s="86"/>
      <c r="R293" s="86"/>
      <c r="S293" s="86"/>
      <c r="T293" s="86"/>
      <c r="U293" s="86"/>
    </row>
    <row r="294" spans="1:21" ht="9.75" customHeight="1">
      <c r="A294" s="586" t="str">
        <f>IF(Bauteile!$K1219&gt;Nutzung!$G$29,"*","")</f>
        <v/>
      </c>
      <c r="B294" s="1316" t="str">
        <f>IF(Bauteile!B1218="","-",Bauteile!B1218)</f>
        <v>-</v>
      </c>
      <c r="C294" s="1316"/>
      <c r="D294" s="1302" t="str">
        <f>IF(Bauteile!C1218="","",Bauteile!C1218)</f>
        <v/>
      </c>
      <c r="E294" s="1302"/>
      <c r="F294" s="1303" t="str">
        <f>IF(Bauteile!D1218="","",Bauteile!D1218)</f>
        <v/>
      </c>
      <c r="G294" s="1303"/>
      <c r="H294" s="1307" t="str">
        <f>IF(Bauteile!E1218="","",Bauteile!E1218)</f>
        <v/>
      </c>
      <c r="I294" s="1307"/>
      <c r="J294" s="1307" t="str">
        <f>IF(Bauteile!F1218="","",Bauteile!F1218)</f>
        <v/>
      </c>
      <c r="K294" s="1307"/>
      <c r="L294" s="1307" t="str">
        <f>IF(Bauteile!N1218=0,"",Bauteile!N1218)</f>
        <v/>
      </c>
      <c r="M294" s="1307"/>
      <c r="N294" s="1201" t="str">
        <f>IF(Bauteile!M1218="","",Bauteile!M1218)</f>
        <v/>
      </c>
      <c r="O294" s="1202" t="str">
        <f>IF(Bauteile!O1218="","",Bauteile!O1218)</f>
        <v/>
      </c>
      <c r="P294" s="97"/>
      <c r="Q294" s="86"/>
      <c r="R294" s="86"/>
      <c r="S294" s="86"/>
      <c r="T294" s="86"/>
      <c r="U294" s="86"/>
    </row>
    <row r="295" spans="1:21" ht="9.75" customHeight="1">
      <c r="A295" s="586" t="str">
        <f>IF(Bauteile!$K1232&gt;Nutzung!$G$29,"*","")</f>
        <v/>
      </c>
      <c r="B295" s="1327" t="str">
        <f>IF(Bauteile!B1231="","-",Bauteile!B1231)</f>
        <v>-</v>
      </c>
      <c r="C295" s="1327"/>
      <c r="D295" s="1320" t="str">
        <f>IF(Bauteile!C1231="","",Bauteile!C1231)</f>
        <v/>
      </c>
      <c r="E295" s="1320"/>
      <c r="F295" s="1319" t="str">
        <f>IF(Bauteile!D1231="","",Bauteile!D1231)</f>
        <v/>
      </c>
      <c r="G295" s="1319"/>
      <c r="H295" s="1314" t="str">
        <f>IF(Bauteile!E1231="","",Bauteile!E1231)</f>
        <v/>
      </c>
      <c r="I295" s="1314"/>
      <c r="J295" s="1314" t="str">
        <f>IF(Bauteile!F1231="","",Bauteile!F1231)</f>
        <v/>
      </c>
      <c r="K295" s="1314"/>
      <c r="L295" s="1314" t="str">
        <f>IF(Bauteile!N1231=0,"",Bauteile!N1231)</f>
        <v/>
      </c>
      <c r="M295" s="1314"/>
      <c r="N295" s="1215" t="str">
        <f>IF(Bauteile!M1231="","",Bauteile!M1231)</f>
        <v/>
      </c>
      <c r="O295" s="1216" t="str">
        <f>IF(Bauteile!O1231="","",Bauteile!O1231)</f>
        <v/>
      </c>
      <c r="P295" s="97"/>
      <c r="Q295" s="86"/>
      <c r="R295" s="86"/>
      <c r="S295" s="86"/>
      <c r="T295" s="86"/>
      <c r="U295" s="86"/>
    </row>
    <row r="296" spans="1:21" ht="9.75" customHeight="1">
      <c r="A296" s="586" t="str">
        <f>IF(Bauteile!$K1245&gt;Nutzung!$G$29,"*","")</f>
        <v/>
      </c>
      <c r="B296" s="1316" t="str">
        <f>IF(Bauteile!B1244="","-",Bauteile!B1244)</f>
        <v>-</v>
      </c>
      <c r="C296" s="1316"/>
      <c r="D296" s="1302" t="str">
        <f>IF(Bauteile!C1244="","",Bauteile!C1244)</f>
        <v/>
      </c>
      <c r="E296" s="1302"/>
      <c r="F296" s="1303" t="str">
        <f>IF(Bauteile!D1244="","",Bauteile!D1244)</f>
        <v/>
      </c>
      <c r="G296" s="1303"/>
      <c r="H296" s="1307" t="str">
        <f>IF(Bauteile!E1244="","",Bauteile!E1244)</f>
        <v/>
      </c>
      <c r="I296" s="1307"/>
      <c r="J296" s="1307" t="str">
        <f>IF(Bauteile!F1244="","",Bauteile!F1244)</f>
        <v/>
      </c>
      <c r="K296" s="1307"/>
      <c r="L296" s="1307" t="str">
        <f>IF(Bauteile!N1244=0,"",Bauteile!N1244)</f>
        <v/>
      </c>
      <c r="M296" s="1307"/>
      <c r="N296" s="1201" t="str">
        <f>IF(Bauteile!M1244="","",Bauteile!M1244)</f>
        <v/>
      </c>
      <c r="O296" s="1202" t="str">
        <f>IF(Bauteile!O1244="","",Bauteile!O1244)</f>
        <v/>
      </c>
      <c r="P296" s="97"/>
      <c r="Q296" s="86"/>
      <c r="R296" s="86"/>
      <c r="S296" s="86"/>
      <c r="T296" s="86"/>
      <c r="U296" s="86"/>
    </row>
    <row r="297" spans="1:21" ht="9.75" customHeight="1">
      <c r="A297" s="586" t="str">
        <f>IF(Bauteile!$K1258&gt;Nutzung!$G$29,"*","")</f>
        <v/>
      </c>
      <c r="B297" s="1327" t="str">
        <f>IF(Bauteile!B1257="","-",Bauteile!B1257)</f>
        <v>-</v>
      </c>
      <c r="C297" s="1327"/>
      <c r="D297" s="1320" t="str">
        <f>IF(Bauteile!C1257="","",Bauteile!C1257)</f>
        <v/>
      </c>
      <c r="E297" s="1320"/>
      <c r="F297" s="1319" t="str">
        <f>IF(Bauteile!D1257="","",Bauteile!D1257)</f>
        <v/>
      </c>
      <c r="G297" s="1319"/>
      <c r="H297" s="1314" t="str">
        <f>IF(Bauteile!E1257="","",Bauteile!E1257)</f>
        <v/>
      </c>
      <c r="I297" s="1314"/>
      <c r="J297" s="1314" t="str">
        <f>IF(Bauteile!F1257="","",Bauteile!F1257)</f>
        <v/>
      </c>
      <c r="K297" s="1314"/>
      <c r="L297" s="1314" t="str">
        <f>IF(Bauteile!N1257=0,"",Bauteile!N1257)</f>
        <v/>
      </c>
      <c r="M297" s="1314"/>
      <c r="N297" s="1215" t="str">
        <f>IF(Bauteile!M1257="","",Bauteile!M1257)</f>
        <v/>
      </c>
      <c r="O297" s="1216" t="str">
        <f>IF(Bauteile!O1257="","",Bauteile!O1257)</f>
        <v/>
      </c>
      <c r="P297" s="97"/>
      <c r="Q297" s="86"/>
      <c r="R297" s="86"/>
      <c r="S297" s="86"/>
      <c r="T297" s="86"/>
      <c r="U297" s="86"/>
    </row>
    <row r="298" spans="1:21" ht="9" customHeight="1">
      <c r="B298" s="1109"/>
      <c r="C298" s="1217"/>
      <c r="D298" s="1209"/>
      <c r="E298" s="1209"/>
      <c r="F298" s="1210"/>
      <c r="G298" s="1210"/>
      <c r="H298" s="1175"/>
      <c r="I298" s="1151"/>
      <c r="J298" s="1151"/>
      <c r="K298" s="1151"/>
      <c r="L298" s="1151"/>
      <c r="M298" s="1175"/>
      <c r="N298" s="1209"/>
      <c r="O298" s="1211"/>
      <c r="P298" s="97"/>
      <c r="Q298" s="86"/>
      <c r="R298" s="86"/>
      <c r="S298" s="86"/>
      <c r="T298" s="86"/>
      <c r="U298" s="86"/>
    </row>
    <row r="299" spans="1:21" ht="9.75" customHeight="1">
      <c r="B299" s="1128" t="s">
        <v>375</v>
      </c>
      <c r="C299" s="1181"/>
      <c r="D299" s="1212"/>
      <c r="E299" s="1212"/>
      <c r="F299" s="1301" t="str">
        <f>IF(SUM(F290:G297)=0,"",SUM(F290:G297))</f>
        <v/>
      </c>
      <c r="G299" s="1301"/>
      <c r="H299" s="1213"/>
      <c r="I299" s="1181"/>
      <c r="J299" s="1181"/>
      <c r="K299" s="1181"/>
      <c r="L299" s="1181"/>
      <c r="M299" s="1213"/>
      <c r="N299" s="1207"/>
      <c r="O299" s="1214" t="str">
        <f>IF(SUM(O290:O297)=0,"",SUM(O290:O297))</f>
        <v/>
      </c>
      <c r="P299" s="97"/>
      <c r="Q299" s="86"/>
      <c r="R299" s="86"/>
      <c r="S299" s="86"/>
      <c r="T299" s="86"/>
      <c r="U299" s="86"/>
    </row>
    <row r="300" spans="1:21" ht="10.050000000000001" customHeight="1">
      <c r="B300" s="89"/>
      <c r="C300" s="87"/>
      <c r="D300" s="94"/>
      <c r="E300" s="94"/>
      <c r="F300" s="95"/>
      <c r="G300" s="87"/>
      <c r="H300" s="95"/>
      <c r="I300" s="87"/>
      <c r="J300" s="28"/>
      <c r="K300" s="87"/>
      <c r="L300" s="87"/>
      <c r="M300" s="95"/>
      <c r="N300" s="94"/>
      <c r="O300" s="98"/>
      <c r="P300" s="97"/>
      <c r="Q300" s="86"/>
      <c r="R300" s="86"/>
      <c r="S300" s="86"/>
      <c r="T300" s="86"/>
      <c r="U300" s="86"/>
    </row>
    <row r="301" spans="1:21" ht="10.050000000000001" customHeight="1">
      <c r="B301" s="89"/>
      <c r="C301" s="87"/>
      <c r="D301" s="94"/>
      <c r="E301" s="94"/>
      <c r="F301" s="95"/>
      <c r="G301" s="87"/>
      <c r="H301" s="95"/>
      <c r="I301" s="87"/>
      <c r="J301" s="28"/>
      <c r="K301" s="87"/>
      <c r="L301" s="87"/>
      <c r="M301" s="95"/>
      <c r="N301" s="94"/>
      <c r="O301" s="98"/>
      <c r="P301" s="97"/>
      <c r="Q301" s="86"/>
      <c r="R301" s="86"/>
      <c r="S301" s="86"/>
      <c r="T301" s="86"/>
      <c r="U301" s="86"/>
    </row>
    <row r="302" spans="1:21" ht="10.050000000000001" customHeight="1">
      <c r="B302" s="89"/>
      <c r="C302" s="87"/>
      <c r="D302" s="94"/>
      <c r="E302" s="94"/>
      <c r="F302" s="95"/>
      <c r="G302" s="87"/>
      <c r="H302" s="95"/>
      <c r="I302" s="87"/>
      <c r="J302" s="28"/>
      <c r="K302" s="87"/>
      <c r="L302" s="87"/>
      <c r="M302" s="95"/>
      <c r="N302" s="94"/>
      <c r="O302" s="98"/>
      <c r="P302" s="97"/>
      <c r="Q302" s="86"/>
      <c r="R302" s="86"/>
      <c r="S302" s="86"/>
      <c r="T302" s="86"/>
      <c r="U302" s="86"/>
    </row>
    <row r="303" spans="1:21" ht="12" customHeight="1">
      <c r="B303" s="1323" t="s">
        <v>327</v>
      </c>
      <c r="C303" s="1323"/>
      <c r="D303" s="1305" t="s">
        <v>424</v>
      </c>
      <c r="E303" s="1305"/>
      <c r="F303" s="1305" t="s">
        <v>508</v>
      </c>
      <c r="G303" s="1305"/>
      <c r="H303" s="1305" t="s">
        <v>464</v>
      </c>
      <c r="I303" s="1305"/>
      <c r="J303" s="1305" t="s">
        <v>502</v>
      </c>
      <c r="K303" s="1305"/>
      <c r="L303" s="1305" t="s">
        <v>668</v>
      </c>
      <c r="M303" s="1305"/>
      <c r="N303" s="1195" t="s">
        <v>349</v>
      </c>
      <c r="O303" s="1195" t="s">
        <v>55</v>
      </c>
      <c r="P303" s="97"/>
      <c r="Q303" s="86"/>
      <c r="R303" s="86"/>
      <c r="S303" s="86"/>
      <c r="T303" s="86"/>
      <c r="U303" s="86"/>
    </row>
    <row r="304" spans="1:21" ht="10.050000000000001" customHeight="1">
      <c r="B304" s="845"/>
      <c r="C304" s="100"/>
      <c r="D304" s="1310" t="s">
        <v>372</v>
      </c>
      <c r="E304" s="1310"/>
      <c r="F304" s="1310" t="s">
        <v>552</v>
      </c>
      <c r="G304" s="1310"/>
      <c r="H304" s="1310" t="s">
        <v>181</v>
      </c>
      <c r="I304" s="1310"/>
      <c r="J304" s="1310" t="s">
        <v>372</v>
      </c>
      <c r="K304" s="1310"/>
      <c r="L304" s="1310" t="s">
        <v>200</v>
      </c>
      <c r="M304" s="1310"/>
      <c r="N304" s="1199" t="s">
        <v>372</v>
      </c>
      <c r="O304" s="1199" t="s">
        <v>364</v>
      </c>
      <c r="P304" s="97"/>
      <c r="Q304" s="86"/>
      <c r="R304" s="86"/>
      <c r="S304" s="86"/>
      <c r="T304" s="86"/>
      <c r="U304" s="86"/>
    </row>
    <row r="305" spans="1:21" ht="9" customHeight="1">
      <c r="B305" s="1152"/>
      <c r="C305" s="1200"/>
      <c r="D305" s="1152"/>
      <c r="E305" s="1110"/>
      <c r="F305" s="1152"/>
      <c r="G305" s="1152"/>
      <c r="H305" s="1152"/>
      <c r="I305" s="1152"/>
      <c r="J305" s="1152"/>
      <c r="K305" s="1152"/>
      <c r="L305" s="1152"/>
      <c r="M305" s="1152"/>
      <c r="N305" s="1152"/>
      <c r="O305" s="1152"/>
      <c r="P305" s="101"/>
      <c r="Q305" s="86"/>
      <c r="R305" s="86"/>
      <c r="S305" s="86"/>
      <c r="T305" s="86"/>
      <c r="U305" s="86"/>
    </row>
    <row r="306" spans="1:21" ht="9.75" customHeight="1">
      <c r="B306" s="1316" t="str">
        <f>IF(Bauteile!B1274="","-",Bauteile!B1274)</f>
        <v>-</v>
      </c>
      <c r="C306" s="1316"/>
      <c r="D306" s="1302" t="str">
        <f>IF(Bauteile!C1274="","",Bauteile!C1274)</f>
        <v/>
      </c>
      <c r="E306" s="1302"/>
      <c r="F306" s="1303" t="str">
        <f>IF(Bauteile!D1274="","",Bauteile!D1274)</f>
        <v/>
      </c>
      <c r="G306" s="1303"/>
      <c r="H306" s="1307" t="str">
        <f>IF(Bauteile!E1274="","",Bauteile!E1274)</f>
        <v/>
      </c>
      <c r="I306" s="1307"/>
      <c r="J306" s="1307" t="str">
        <f>IF(Bauteile!F1274="","",Bauteile!F1274)</f>
        <v/>
      </c>
      <c r="K306" s="1307"/>
      <c r="L306" s="1307" t="str">
        <f>IF(Bauteile!N1274=0,"",Bauteile!N1274)</f>
        <v/>
      </c>
      <c r="M306" s="1307"/>
      <c r="N306" s="1201" t="str">
        <f>IF(Bauteile!M1274="","",Bauteile!M1274)</f>
        <v/>
      </c>
      <c r="O306" s="1202" t="str">
        <f>IF(Bauteile!O1274="","",Bauteile!O1274)</f>
        <v/>
      </c>
      <c r="P306" s="101"/>
      <c r="Q306" s="86"/>
      <c r="R306" s="86"/>
      <c r="S306" s="86"/>
      <c r="T306" s="86"/>
      <c r="U306" s="86"/>
    </row>
    <row r="307" spans="1:21" ht="9.75" customHeight="1">
      <c r="B307" s="1324" t="str">
        <f>IF(Bauteile!B1287="","-",Bauteile!B1287)</f>
        <v>-</v>
      </c>
      <c r="C307" s="1324"/>
      <c r="D307" s="1318" t="str">
        <f>IF(Bauteile!C1287="","",Bauteile!C1287)</f>
        <v/>
      </c>
      <c r="E307" s="1318"/>
      <c r="F307" s="1304" t="str">
        <f>IF(Bauteile!D1287="","",Bauteile!D1287)</f>
        <v/>
      </c>
      <c r="G307" s="1304"/>
      <c r="H307" s="1311" t="str">
        <f>IF(Bauteile!E1287="","",Bauteile!E1287)</f>
        <v/>
      </c>
      <c r="I307" s="1311"/>
      <c r="J307" s="1311" t="str">
        <f>IF(Bauteile!F1287="","",Bauteile!F1287)</f>
        <v/>
      </c>
      <c r="K307" s="1311"/>
      <c r="L307" s="1311" t="str">
        <f>IF(Bauteile!N1287=0,"",Bauteile!N1287)</f>
        <v/>
      </c>
      <c r="M307" s="1311"/>
      <c r="N307" s="1203" t="str">
        <f>IF(Bauteile!M1287="","",Bauteile!M1287)</f>
        <v/>
      </c>
      <c r="O307" s="1204" t="str">
        <f>IF(Bauteile!O1287="","",Bauteile!O1287)</f>
        <v/>
      </c>
      <c r="P307" s="97"/>
      <c r="Q307" s="86"/>
      <c r="R307" s="86"/>
      <c r="S307" s="86"/>
      <c r="T307" s="86"/>
      <c r="U307" s="86"/>
    </row>
    <row r="308" spans="1:21" ht="9.75" customHeight="1">
      <c r="B308" s="1316" t="str">
        <f>IF(Bauteile!B1300="","-",Bauteile!B1300)</f>
        <v>-</v>
      </c>
      <c r="C308" s="1316"/>
      <c r="D308" s="1302" t="str">
        <f>IF(Bauteile!C1300="","",Bauteile!C1300)</f>
        <v/>
      </c>
      <c r="E308" s="1302"/>
      <c r="F308" s="1303" t="str">
        <f>IF(Bauteile!D1300="","",Bauteile!D1300)</f>
        <v/>
      </c>
      <c r="G308" s="1303"/>
      <c r="H308" s="1307" t="str">
        <f>IF(Bauteile!E1300="","",Bauteile!E1300)</f>
        <v/>
      </c>
      <c r="I308" s="1307"/>
      <c r="J308" s="1307" t="str">
        <f>IF(Bauteile!F1300="","",Bauteile!F1300)</f>
        <v/>
      </c>
      <c r="K308" s="1307"/>
      <c r="L308" s="1307" t="str">
        <f>IF(Bauteile!N1300=0,"",Bauteile!N1300)</f>
        <v/>
      </c>
      <c r="M308" s="1307"/>
      <c r="N308" s="1201" t="str">
        <f>IF(Bauteile!M1300="","",Bauteile!M1300)</f>
        <v/>
      </c>
      <c r="O308" s="1202" t="str">
        <f>IF(Bauteile!O1300="","",Bauteile!O1300)</f>
        <v/>
      </c>
      <c r="P308" s="97"/>
      <c r="Q308" s="86"/>
      <c r="R308" s="86"/>
      <c r="S308" s="86"/>
      <c r="T308" s="86"/>
      <c r="U308" s="86"/>
    </row>
    <row r="309" spans="1:21" ht="9" customHeight="1">
      <c r="B309" s="1109"/>
      <c r="C309" s="1151"/>
      <c r="D309" s="1151"/>
      <c r="E309" s="1209"/>
      <c r="F309" s="1210"/>
      <c r="G309" s="1210"/>
      <c r="H309" s="1175"/>
      <c r="I309" s="1151"/>
      <c r="J309" s="1151"/>
      <c r="K309" s="1151"/>
      <c r="L309" s="1151"/>
      <c r="M309" s="1175"/>
      <c r="N309" s="1209"/>
      <c r="O309" s="1211"/>
      <c r="P309" s="97"/>
      <c r="Q309" s="86"/>
      <c r="R309" s="86"/>
      <c r="S309" s="86"/>
      <c r="T309" s="86"/>
      <c r="U309" s="86"/>
    </row>
    <row r="310" spans="1:21" ht="9.75" customHeight="1">
      <c r="B310" s="1128" t="s">
        <v>375</v>
      </c>
      <c r="C310" s="1181"/>
      <c r="D310" s="1181"/>
      <c r="E310" s="1212"/>
      <c r="F310" s="1301" t="str">
        <f>IF(SUM(F306:G308)=0,"",SUM(F306:G308))</f>
        <v/>
      </c>
      <c r="G310" s="1301"/>
      <c r="H310" s="1213"/>
      <c r="I310" s="1181"/>
      <c r="J310" s="1181"/>
      <c r="K310" s="1181"/>
      <c r="L310" s="1181"/>
      <c r="M310" s="1213"/>
      <c r="N310" s="1207"/>
      <c r="O310" s="1214" t="str">
        <f>IF(SUM(O306:O308)=0,"",SUM(O306:O308))</f>
        <v/>
      </c>
      <c r="P310" s="97"/>
      <c r="Q310" s="86"/>
      <c r="R310" s="86"/>
      <c r="S310" s="86"/>
      <c r="T310" s="86"/>
      <c r="U310" s="86"/>
    </row>
    <row r="311" spans="1:21" ht="10.050000000000001" customHeight="1">
      <c r="B311" s="89"/>
      <c r="C311" s="87"/>
      <c r="D311" s="87"/>
      <c r="E311" s="94"/>
      <c r="F311" s="95"/>
      <c r="G311" s="87"/>
      <c r="H311" s="95"/>
      <c r="I311" s="87"/>
      <c r="J311" s="28"/>
      <c r="K311" s="87"/>
      <c r="L311" s="87"/>
      <c r="M311" s="95"/>
      <c r="N311" s="94"/>
      <c r="O311" s="98"/>
      <c r="P311" s="97"/>
      <c r="Q311" s="86"/>
      <c r="R311" s="86"/>
      <c r="S311" s="86"/>
      <c r="T311" s="86"/>
      <c r="U311" s="86"/>
    </row>
    <row r="312" spans="1:21" ht="10.050000000000001" customHeight="1">
      <c r="B312" s="89"/>
      <c r="C312" s="87"/>
      <c r="D312" s="87"/>
      <c r="E312" s="94"/>
      <c r="F312" s="95"/>
      <c r="G312" s="87"/>
      <c r="H312" s="95"/>
      <c r="I312" s="87"/>
      <c r="J312" s="28"/>
      <c r="K312" s="87"/>
      <c r="L312" s="87"/>
      <c r="M312" s="95"/>
      <c r="N312" s="94"/>
      <c r="O312" s="98"/>
      <c r="P312" s="97"/>
      <c r="Q312" s="86"/>
      <c r="R312" s="86"/>
      <c r="S312" s="86"/>
      <c r="T312" s="86"/>
      <c r="U312" s="86"/>
    </row>
    <row r="313" spans="1:21" ht="10.050000000000001" customHeight="1">
      <c r="B313" s="89"/>
      <c r="C313" s="87"/>
      <c r="D313" s="87"/>
      <c r="E313" s="94"/>
      <c r="F313" s="95"/>
      <c r="G313" s="87"/>
      <c r="H313" s="95"/>
      <c r="I313" s="87"/>
      <c r="J313" s="28"/>
      <c r="K313" s="87"/>
      <c r="L313" s="87"/>
      <c r="M313" s="95"/>
      <c r="N313" s="94"/>
      <c r="O313" s="98"/>
      <c r="P313" s="97"/>
      <c r="Q313" s="86"/>
      <c r="R313" s="86"/>
      <c r="S313" s="86"/>
      <c r="T313" s="86"/>
      <c r="U313" s="86"/>
    </row>
    <row r="314" spans="1:21" ht="12" customHeight="1">
      <c r="B314" s="1323" t="s">
        <v>328</v>
      </c>
      <c r="C314" s="1323"/>
      <c r="D314" s="1305" t="s">
        <v>424</v>
      </c>
      <c r="E314" s="1305"/>
      <c r="F314" s="1305" t="s">
        <v>508</v>
      </c>
      <c r="G314" s="1305"/>
      <c r="H314" s="1305" t="s">
        <v>464</v>
      </c>
      <c r="I314" s="1305"/>
      <c r="J314" s="1305" t="s">
        <v>502</v>
      </c>
      <c r="K314" s="1305"/>
      <c r="L314" s="1305" t="s">
        <v>668</v>
      </c>
      <c r="M314" s="1305"/>
      <c r="N314" s="1195" t="s">
        <v>349</v>
      </c>
      <c r="O314" s="1195" t="s">
        <v>55</v>
      </c>
      <c r="P314" s="97"/>
      <c r="Q314" s="86"/>
      <c r="R314" s="86"/>
      <c r="S314" s="86"/>
      <c r="T314" s="86"/>
      <c r="U314" s="86"/>
    </row>
    <row r="315" spans="1:21" ht="10.050000000000001" customHeight="1">
      <c r="B315" s="845"/>
      <c r="C315" s="100"/>
      <c r="D315" s="1310" t="s">
        <v>372</v>
      </c>
      <c r="E315" s="1310"/>
      <c r="F315" s="1310" t="s">
        <v>552</v>
      </c>
      <c r="G315" s="1310"/>
      <c r="H315" s="1310" t="s">
        <v>181</v>
      </c>
      <c r="I315" s="1310"/>
      <c r="J315" s="1310" t="s">
        <v>372</v>
      </c>
      <c r="K315" s="1310"/>
      <c r="L315" s="1310" t="s">
        <v>200</v>
      </c>
      <c r="M315" s="1310"/>
      <c r="N315" s="1199" t="s">
        <v>372</v>
      </c>
      <c r="O315" s="1199" t="s">
        <v>364</v>
      </c>
      <c r="P315" s="97"/>
      <c r="Q315" s="86"/>
      <c r="R315" s="86"/>
      <c r="S315" s="86"/>
      <c r="T315" s="86"/>
      <c r="U315" s="86"/>
    </row>
    <row r="316" spans="1:21" ht="9" customHeight="1">
      <c r="B316" s="1152"/>
      <c r="C316" s="1200"/>
      <c r="D316" s="1152"/>
      <c r="E316" s="1110"/>
      <c r="F316" s="1152"/>
      <c r="G316" s="1152"/>
      <c r="H316" s="1152"/>
      <c r="I316" s="1152"/>
      <c r="J316" s="1152"/>
      <c r="K316" s="1152"/>
      <c r="L316" s="1152"/>
      <c r="M316" s="1152"/>
      <c r="N316" s="1152"/>
      <c r="O316" s="1152"/>
      <c r="P316" s="101"/>
      <c r="Q316" s="86"/>
      <c r="R316" s="86"/>
      <c r="S316" s="86"/>
      <c r="T316" s="86"/>
      <c r="U316" s="86"/>
    </row>
    <row r="317" spans="1:21" ht="9.75" customHeight="1">
      <c r="A317" s="586" t="str">
        <f>IF(Bauteile!$K1318&gt;Nutzung!$G$29,"**","")</f>
        <v/>
      </c>
      <c r="B317" s="1316" t="str">
        <f>IF(Bauteile!B1317="","-",Bauteile!B1317)</f>
        <v>-</v>
      </c>
      <c r="C317" s="1316"/>
      <c r="D317" s="1302" t="str">
        <f>IF(Bauteile!C1317="","",Bauteile!C1317)</f>
        <v/>
      </c>
      <c r="E317" s="1302"/>
      <c r="F317" s="1303" t="str">
        <f>IF(Bauteile!D1317="","",Bauteile!D1317)</f>
        <v/>
      </c>
      <c r="G317" s="1303"/>
      <c r="H317" s="1307" t="str">
        <f>IF(Bauteile!E1317="","",Bauteile!E1317)</f>
        <v/>
      </c>
      <c r="I317" s="1307"/>
      <c r="J317" s="1307" t="str">
        <f>IF(Bauteile!F1317="","",Bauteile!F1317)</f>
        <v/>
      </c>
      <c r="K317" s="1307"/>
      <c r="L317" s="1307" t="str">
        <f>IF(Bauteile!N1317=0,"",Bauteile!N1317)</f>
        <v/>
      </c>
      <c r="M317" s="1307"/>
      <c r="N317" s="1201" t="str">
        <f>IF(Bauteile!M1317="","",Bauteile!M1317)</f>
        <v/>
      </c>
      <c r="O317" s="1202" t="str">
        <f>IF(Bauteile!O1317="","",Bauteile!O1317)</f>
        <v/>
      </c>
      <c r="P317" s="101"/>
      <c r="Q317" s="86"/>
      <c r="R317" s="86"/>
      <c r="S317" s="86"/>
      <c r="T317" s="86"/>
      <c r="U317" s="86"/>
    </row>
    <row r="318" spans="1:21" ht="9.75" customHeight="1">
      <c r="A318" s="586" t="str">
        <f>IF(Bauteile!$K1331&gt;Nutzung!$G$29,"**","")</f>
        <v/>
      </c>
      <c r="B318" s="1324" t="str">
        <f>IF(Bauteile!B1330="","-",Bauteile!B1330)</f>
        <v>-</v>
      </c>
      <c r="C318" s="1324"/>
      <c r="D318" s="1318" t="str">
        <f>IF(Bauteile!C1330="","",Bauteile!C1330)</f>
        <v/>
      </c>
      <c r="E318" s="1318"/>
      <c r="F318" s="1304" t="str">
        <f>IF(Bauteile!D1330="","",Bauteile!D1330)</f>
        <v/>
      </c>
      <c r="G318" s="1304"/>
      <c r="H318" s="1311" t="str">
        <f>IF(Bauteile!E1330="","",Bauteile!E1330)</f>
        <v/>
      </c>
      <c r="I318" s="1311"/>
      <c r="J318" s="1311" t="str">
        <f>IF(Bauteile!F1330="","",Bauteile!F1330)</f>
        <v/>
      </c>
      <c r="K318" s="1311"/>
      <c r="L318" s="1311" t="str">
        <f>IF(Bauteile!N1330=0,"",Bauteile!N1330)</f>
        <v/>
      </c>
      <c r="M318" s="1311"/>
      <c r="N318" s="1203" t="str">
        <f>IF(Bauteile!M1330="","",Bauteile!M1330)</f>
        <v/>
      </c>
      <c r="O318" s="1204" t="str">
        <f>IF(Bauteile!O1330="","",Bauteile!O1330)</f>
        <v/>
      </c>
      <c r="P318" s="86"/>
      <c r="Q318" s="86"/>
      <c r="R318" s="86"/>
      <c r="S318" s="86"/>
      <c r="T318" s="86"/>
      <c r="U318" s="86"/>
    </row>
    <row r="319" spans="1:21" ht="9.75" customHeight="1">
      <c r="A319" s="586" t="str">
        <f>IF(Bauteile!$K1344&gt;Nutzung!$G$29,"**","")</f>
        <v/>
      </c>
      <c r="B319" s="1316" t="str">
        <f>IF(Bauteile!B1343="","-",Bauteile!B1343)</f>
        <v>-</v>
      </c>
      <c r="C319" s="1316"/>
      <c r="D319" s="1302" t="str">
        <f>IF(Bauteile!C1343="","",Bauteile!C1343)</f>
        <v/>
      </c>
      <c r="E319" s="1302"/>
      <c r="F319" s="1303" t="str">
        <f>IF(Bauteile!D1343="","",Bauteile!D1343)</f>
        <v/>
      </c>
      <c r="G319" s="1303"/>
      <c r="H319" s="1307" t="str">
        <f>IF(Bauteile!E1343="","",Bauteile!E1343)</f>
        <v/>
      </c>
      <c r="I319" s="1307"/>
      <c r="J319" s="1307" t="str">
        <f>IF(Bauteile!F1343="","",Bauteile!F1343)</f>
        <v/>
      </c>
      <c r="K319" s="1307"/>
      <c r="L319" s="1307" t="str">
        <f>IF(Bauteile!N1343=0,"",Bauteile!N1343)</f>
        <v/>
      </c>
      <c r="M319" s="1307"/>
      <c r="N319" s="1201" t="str">
        <f>IF(Bauteile!M1343="","",Bauteile!M1343)</f>
        <v/>
      </c>
      <c r="O319" s="1202" t="str">
        <f>IF(Bauteile!O1343="","",Bauteile!O1343)</f>
        <v/>
      </c>
      <c r="P319" s="101"/>
      <c r="Q319" s="86"/>
      <c r="R319" s="86"/>
      <c r="S319" s="86"/>
      <c r="T319" s="86"/>
      <c r="U319" s="86"/>
    </row>
    <row r="320" spans="1:21" ht="9.75" customHeight="1">
      <c r="A320" s="586" t="str">
        <f>IF(Bauteile!$K1357&gt;Nutzung!$G$29,"**","")</f>
        <v/>
      </c>
      <c r="B320" s="1324" t="str">
        <f>IF(Bauteile!B1356="","-",Bauteile!B1356)</f>
        <v>-</v>
      </c>
      <c r="C320" s="1324"/>
      <c r="D320" s="1318" t="str">
        <f>IF(Bauteile!C1356="","",Bauteile!C1356)</f>
        <v/>
      </c>
      <c r="E320" s="1318"/>
      <c r="F320" s="1304" t="str">
        <f>IF(Bauteile!D1356="","",Bauteile!D1356)</f>
        <v/>
      </c>
      <c r="G320" s="1304"/>
      <c r="H320" s="1311" t="str">
        <f>IF(Bauteile!E1356="","",Bauteile!E1356)</f>
        <v/>
      </c>
      <c r="I320" s="1311"/>
      <c r="J320" s="1311" t="str">
        <f>IF(Bauteile!F1356="","",Bauteile!F1356)</f>
        <v/>
      </c>
      <c r="K320" s="1311"/>
      <c r="L320" s="1311" t="str">
        <f>IF(Bauteile!N1356=0,"",Bauteile!N1356)</f>
        <v/>
      </c>
      <c r="M320" s="1311"/>
      <c r="N320" s="1203" t="str">
        <f>IF(Bauteile!M1356="","",Bauteile!M1356)</f>
        <v/>
      </c>
      <c r="O320" s="1204" t="str">
        <f>IF(Bauteile!O1356="","",Bauteile!O1356)</f>
        <v/>
      </c>
      <c r="P320" s="97"/>
      <c r="Q320" s="86"/>
      <c r="R320" s="86"/>
      <c r="S320" s="86"/>
      <c r="T320" s="86"/>
      <c r="U320" s="86"/>
    </row>
    <row r="321" spans="2:21" ht="9" customHeight="1">
      <c r="B321" s="1107"/>
      <c r="C321" s="1151"/>
      <c r="D321" s="1107"/>
      <c r="E321" s="1107"/>
      <c r="F321" s="1205"/>
      <c r="G321" s="1205"/>
      <c r="H321" s="1107"/>
      <c r="I321" s="1107"/>
      <c r="J321" s="1107"/>
      <c r="K321" s="1107"/>
      <c r="L321" s="1107"/>
      <c r="M321" s="1107"/>
      <c r="N321" s="1107"/>
      <c r="O321" s="1107"/>
      <c r="P321" s="86"/>
      <c r="Q321" s="86"/>
      <c r="R321" s="86"/>
      <c r="S321" s="86"/>
      <c r="T321" s="86"/>
      <c r="U321" s="86"/>
    </row>
    <row r="322" spans="2:21" ht="9.75" customHeight="1">
      <c r="B322" s="1128" t="s">
        <v>375</v>
      </c>
      <c r="C322" s="1181"/>
      <c r="D322" s="1206"/>
      <c r="E322" s="1206"/>
      <c r="F322" s="1301" t="str">
        <f>IF(SUM(F317:G320)=0,"",SUM(F317:G320))</f>
        <v/>
      </c>
      <c r="G322" s="1301"/>
      <c r="H322" s="1206"/>
      <c r="I322" s="1206"/>
      <c r="J322" s="1206"/>
      <c r="K322" s="1206"/>
      <c r="L322" s="1206"/>
      <c r="M322" s="1206"/>
      <c r="N322" s="1207"/>
      <c r="O322" s="1208" t="str">
        <f>IF(SUM(O317:O320)=0,"",SUM(O317:O320))</f>
        <v/>
      </c>
      <c r="P322" s="86"/>
      <c r="Q322" s="86"/>
      <c r="R322" s="86"/>
      <c r="S322" s="86"/>
      <c r="T322" s="86"/>
      <c r="U322" s="86"/>
    </row>
    <row r="323" spans="2:21">
      <c r="B323" s="86"/>
      <c r="C323" s="87"/>
      <c r="D323" s="86"/>
      <c r="E323" s="86"/>
      <c r="F323" s="591"/>
      <c r="G323" s="591"/>
      <c r="H323" s="27"/>
      <c r="I323" s="27"/>
      <c r="J323" s="27"/>
      <c r="K323" s="27"/>
      <c r="L323" s="27"/>
      <c r="M323" s="27"/>
      <c r="N323" s="596"/>
      <c r="O323" s="601"/>
      <c r="P323" s="86"/>
      <c r="Q323" s="86"/>
      <c r="R323" s="86"/>
      <c r="S323" s="86"/>
      <c r="T323" s="86"/>
      <c r="U323" s="86"/>
    </row>
    <row r="324" spans="2:21">
      <c r="B324" s="86"/>
      <c r="C324" s="87"/>
      <c r="D324" s="86"/>
      <c r="E324" s="86"/>
      <c r="F324" s="591"/>
      <c r="G324" s="591"/>
      <c r="H324" s="27"/>
      <c r="I324" s="27"/>
      <c r="J324" s="27"/>
      <c r="K324" s="27"/>
      <c r="L324" s="27"/>
      <c r="M324" s="27"/>
      <c r="N324" s="596"/>
      <c r="O324" s="601"/>
      <c r="P324" s="86"/>
      <c r="Q324" s="86"/>
      <c r="R324" s="86"/>
      <c r="S324" s="86"/>
      <c r="T324" s="86"/>
      <c r="U324" s="86"/>
    </row>
    <row r="325" spans="2:21">
      <c r="B325" s="994">
        <f>IF(Bauteile!X114&gt;Nutzung!G29,1,0)</f>
        <v>0</v>
      </c>
      <c r="C325" s="995"/>
      <c r="D325" s="86"/>
      <c r="E325" s="86"/>
      <c r="F325" s="591"/>
      <c r="G325" s="591"/>
      <c r="H325" s="27"/>
      <c r="I325" s="27"/>
      <c r="J325" s="27"/>
      <c r="K325" s="27"/>
      <c r="L325" s="27"/>
      <c r="M325" s="27"/>
      <c r="N325" s="596"/>
      <c r="O325" s="601"/>
      <c r="P325" s="86"/>
      <c r="Q325" s="86"/>
      <c r="R325" s="86"/>
      <c r="S325" s="86"/>
      <c r="T325" s="86"/>
      <c r="U325" s="86"/>
    </row>
    <row r="326" spans="2:21">
      <c r="B326" s="994">
        <f>IF(Bauteile!W114&gt;Nutzung!G29,1,0)</f>
        <v>0</v>
      </c>
      <c r="C326" s="995">
        <f>B326+B325</f>
        <v>0</v>
      </c>
      <c r="D326" s="86"/>
      <c r="E326" s="86"/>
      <c r="F326" s="591"/>
      <c r="G326" s="591"/>
      <c r="H326" s="27"/>
      <c r="I326" s="27"/>
      <c r="J326" s="27"/>
      <c r="K326" s="27"/>
      <c r="L326" s="27"/>
      <c r="M326" s="27"/>
      <c r="N326" s="596"/>
      <c r="O326" s="601"/>
      <c r="P326" s="86"/>
      <c r="Q326" s="86"/>
      <c r="R326" s="86"/>
      <c r="S326" s="86"/>
      <c r="T326" s="86"/>
      <c r="U326" s="86"/>
    </row>
    <row r="327" spans="2:21">
      <c r="B327" s="86" t="str">
        <f>IF(C326,"*/** Bauteile mit Bauteilheizung oder Heizkörper","")</f>
        <v/>
      </c>
      <c r="C327" s="87"/>
      <c r="D327" s="86"/>
      <c r="E327" s="86"/>
      <c r="F327" s="591"/>
      <c r="G327" s="591"/>
      <c r="H327" s="27"/>
      <c r="I327" s="27"/>
      <c r="J327" s="27"/>
      <c r="K327" s="27"/>
      <c r="L327" s="27"/>
      <c r="M327" s="27"/>
      <c r="N327" s="596"/>
      <c r="O327" s="601"/>
      <c r="P327" s="86"/>
      <c r="Q327" s="86"/>
      <c r="R327" s="86"/>
      <c r="S327" s="86"/>
      <c r="T327" s="86"/>
      <c r="U327" s="86"/>
    </row>
    <row r="328" spans="2:21">
      <c r="B328" s="86"/>
      <c r="C328" s="87"/>
      <c r="D328" s="86"/>
      <c r="E328" s="86"/>
      <c r="F328" s="591"/>
      <c r="G328" s="591"/>
      <c r="H328" s="27"/>
      <c r="I328" s="27"/>
      <c r="J328" s="27"/>
      <c r="K328" s="27"/>
      <c r="L328" s="27"/>
      <c r="M328" s="27"/>
      <c r="N328" s="596"/>
      <c r="O328" s="601"/>
      <c r="P328" s="86"/>
      <c r="Q328" s="86"/>
      <c r="R328" s="86"/>
      <c r="S328" s="86"/>
      <c r="T328" s="86"/>
      <c r="U328" s="86"/>
    </row>
    <row r="329" spans="2:21" ht="9.75" customHeight="1">
      <c r="B329" s="86"/>
      <c r="C329" s="87"/>
      <c r="D329" s="86"/>
      <c r="E329" s="86"/>
      <c r="F329" s="591"/>
      <c r="G329" s="591"/>
      <c r="H329" s="27"/>
      <c r="I329" s="27"/>
      <c r="J329" s="27"/>
      <c r="K329" s="27"/>
      <c r="L329" s="27"/>
      <c r="M329" s="27"/>
      <c r="N329" s="596"/>
      <c r="O329" s="601"/>
      <c r="P329" s="86"/>
      <c r="Q329" s="86"/>
      <c r="R329" s="86"/>
      <c r="S329" s="86"/>
      <c r="T329" s="86"/>
      <c r="U329" s="86"/>
    </row>
    <row r="330" spans="2:21">
      <c r="B330" s="86"/>
      <c r="C330" s="87"/>
      <c r="D330" s="86"/>
      <c r="E330" s="86"/>
      <c r="F330" s="591"/>
      <c r="G330" s="591"/>
      <c r="H330" s="27"/>
      <c r="I330" s="27"/>
      <c r="J330" s="27"/>
      <c r="K330" s="27"/>
      <c r="L330" s="27"/>
      <c r="M330" s="27"/>
      <c r="N330" s="596"/>
      <c r="O330" s="601"/>
      <c r="P330" s="86"/>
      <c r="Q330" s="86"/>
      <c r="R330" s="86"/>
      <c r="S330" s="86"/>
      <c r="T330" s="86"/>
      <c r="U330" s="86"/>
    </row>
    <row r="331" spans="2:21">
      <c r="B331" s="86"/>
      <c r="C331" s="87"/>
      <c r="D331" s="86"/>
      <c r="E331" s="86"/>
      <c r="F331" s="591"/>
      <c r="G331" s="591"/>
      <c r="H331" s="27"/>
      <c r="I331" s="27"/>
      <c r="J331" s="27"/>
      <c r="K331" s="27"/>
      <c r="L331" s="27"/>
      <c r="M331" s="27"/>
      <c r="N331" s="596"/>
      <c r="O331" s="601"/>
      <c r="P331" s="86"/>
      <c r="Q331" s="86"/>
      <c r="R331" s="86"/>
      <c r="S331" s="86"/>
      <c r="T331" s="86"/>
      <c r="U331" s="86"/>
    </row>
    <row r="332" spans="2:21">
      <c r="B332" s="86"/>
      <c r="C332" s="87"/>
      <c r="D332" s="86"/>
      <c r="E332" s="86"/>
      <c r="F332" s="591"/>
      <c r="G332" s="591"/>
      <c r="H332" s="27"/>
      <c r="I332" s="27"/>
      <c r="J332" s="27"/>
      <c r="K332" s="27"/>
      <c r="L332" s="27"/>
      <c r="M332" s="27"/>
      <c r="N332" s="596"/>
      <c r="O332" s="601"/>
      <c r="P332" s="86"/>
      <c r="Q332" s="86"/>
      <c r="R332" s="86"/>
      <c r="S332" s="86"/>
      <c r="T332" s="86"/>
      <c r="U332" s="86"/>
    </row>
    <row r="333" spans="2:21">
      <c r="B333" s="86"/>
      <c r="C333" s="87"/>
      <c r="D333" s="86"/>
      <c r="E333" s="86"/>
      <c r="F333" s="591"/>
      <c r="G333" s="591"/>
      <c r="H333" s="27"/>
      <c r="I333" s="27" t="str">
        <f>I250</f>
        <v>Ausdruck:</v>
      </c>
      <c r="J333" s="1338">
        <f ca="1">L250</f>
        <v>42122.346852083334</v>
      </c>
      <c r="K333" s="1338"/>
      <c r="L333" s="1338"/>
      <c r="M333" s="1338"/>
      <c r="N333" s="1338"/>
      <c r="O333" s="1338"/>
      <c r="P333" s="86"/>
      <c r="Q333" s="86"/>
      <c r="R333" s="86"/>
      <c r="S333" s="86"/>
      <c r="T333" s="86"/>
      <c r="U333" s="86"/>
    </row>
    <row r="334" spans="2:21">
      <c r="B334" s="86"/>
      <c r="C334" s="87"/>
      <c r="D334" s="86"/>
      <c r="E334" s="86"/>
      <c r="F334" s="591"/>
      <c r="G334" s="591"/>
      <c r="H334" s="27"/>
      <c r="P334" s="86"/>
      <c r="Q334" s="86"/>
      <c r="R334" s="86"/>
      <c r="S334" s="86"/>
      <c r="T334" s="86"/>
      <c r="U334" s="86"/>
    </row>
    <row r="335" spans="2:21" ht="9.75" customHeight="1">
      <c r="B335" s="86"/>
      <c r="C335" s="87"/>
      <c r="D335" s="86"/>
      <c r="E335" s="86"/>
      <c r="F335" s="591"/>
      <c r="G335" s="591"/>
      <c r="H335" s="27"/>
      <c r="I335" s="27"/>
      <c r="J335" s="86"/>
      <c r="K335" s="143"/>
      <c r="L335" s="1312"/>
      <c r="M335" s="1312"/>
      <c r="N335" s="1312"/>
      <c r="O335" s="1312"/>
      <c r="P335" s="86"/>
      <c r="Q335" s="86"/>
      <c r="R335" s="86"/>
      <c r="S335" s="86"/>
      <c r="T335" s="86"/>
      <c r="U335" s="86"/>
    </row>
    <row r="336" spans="2:21">
      <c r="B336" s="86"/>
      <c r="C336" s="87"/>
      <c r="D336" s="86"/>
      <c r="E336" s="86"/>
      <c r="F336" s="591"/>
      <c r="G336" s="591"/>
      <c r="H336" s="27"/>
      <c r="I336" s="27"/>
      <c r="J336" s="27"/>
      <c r="K336" s="27"/>
      <c r="L336" s="27"/>
      <c r="M336" s="27"/>
      <c r="N336" s="596"/>
      <c r="O336" s="601"/>
      <c r="P336" s="86"/>
      <c r="Q336" s="86"/>
      <c r="R336" s="86"/>
      <c r="S336" s="86"/>
      <c r="T336" s="86"/>
      <c r="U336" s="86"/>
    </row>
    <row r="337" spans="2:21">
      <c r="B337" s="86"/>
      <c r="C337" s="87"/>
      <c r="D337" s="86"/>
      <c r="E337" s="86"/>
      <c r="F337" s="591"/>
      <c r="G337" s="591"/>
      <c r="H337" s="27"/>
      <c r="I337" s="27"/>
      <c r="J337" s="27"/>
      <c r="K337" s="27"/>
      <c r="L337" s="27"/>
      <c r="M337" s="27"/>
      <c r="N337" s="596"/>
      <c r="O337" s="601"/>
      <c r="P337" s="86"/>
      <c r="Q337" s="86"/>
      <c r="R337" s="86"/>
      <c r="S337" s="86"/>
      <c r="T337" s="86"/>
      <c r="U337" s="86"/>
    </row>
    <row r="338" spans="2:21">
      <c r="B338" s="86"/>
      <c r="C338" s="87"/>
      <c r="D338" s="86"/>
      <c r="E338" s="86"/>
      <c r="F338" s="591"/>
      <c r="G338" s="591"/>
      <c r="H338" s="27"/>
      <c r="I338" s="27"/>
      <c r="J338" s="27"/>
      <c r="K338" s="27"/>
      <c r="L338" s="27"/>
      <c r="M338" s="27"/>
      <c r="N338" s="596"/>
      <c r="O338" s="601"/>
      <c r="P338" s="86"/>
      <c r="Q338" s="86"/>
      <c r="R338" s="86"/>
      <c r="S338" s="86"/>
      <c r="T338" s="86"/>
      <c r="U338" s="86"/>
    </row>
    <row r="339" spans="2:21">
      <c r="B339" s="86"/>
      <c r="C339" s="87"/>
      <c r="D339" s="86"/>
      <c r="E339" s="86"/>
      <c r="F339" s="591"/>
      <c r="G339" s="591"/>
      <c r="H339" s="27"/>
      <c r="I339" s="27"/>
      <c r="P339" s="86"/>
      <c r="Q339" s="86"/>
      <c r="R339" s="86"/>
      <c r="S339" s="86"/>
      <c r="T339" s="86"/>
      <c r="U339" s="86"/>
    </row>
    <row r="340" spans="2:21">
      <c r="B340" s="86"/>
      <c r="C340" s="87"/>
      <c r="D340" s="86"/>
      <c r="E340" s="86"/>
      <c r="F340" s="591"/>
      <c r="G340" s="591"/>
      <c r="H340" s="27"/>
      <c r="I340" s="27"/>
      <c r="J340" s="27"/>
      <c r="K340" s="27"/>
      <c r="L340" s="27"/>
      <c r="M340" s="27"/>
      <c r="N340" s="596"/>
      <c r="O340" s="601"/>
      <c r="P340" s="86"/>
      <c r="Q340" s="86"/>
      <c r="R340" s="86"/>
      <c r="S340" s="86"/>
      <c r="T340" s="86"/>
      <c r="U340" s="86"/>
    </row>
    <row r="341" spans="2:21">
      <c r="B341" s="86"/>
      <c r="C341" s="87"/>
      <c r="D341" s="86"/>
      <c r="E341" s="86"/>
      <c r="F341" s="591"/>
      <c r="G341" s="591"/>
      <c r="H341" s="27"/>
      <c r="I341" s="27"/>
      <c r="J341" s="27"/>
      <c r="K341" s="27"/>
      <c r="L341" s="27"/>
      <c r="M341" s="27"/>
      <c r="N341" s="596"/>
      <c r="O341" s="601"/>
      <c r="P341" s="86"/>
      <c r="Q341" s="86"/>
      <c r="R341" s="86"/>
      <c r="S341" s="86"/>
      <c r="T341" s="86"/>
      <c r="U341" s="86"/>
    </row>
    <row r="342" spans="2:21">
      <c r="B342" s="86"/>
      <c r="C342" s="87"/>
      <c r="D342" s="86"/>
      <c r="E342" s="86"/>
      <c r="F342" s="591"/>
      <c r="G342" s="591"/>
      <c r="H342" s="27"/>
      <c r="I342" s="27"/>
      <c r="J342" s="27"/>
      <c r="K342" s="27"/>
      <c r="L342" s="27"/>
      <c r="M342" s="27"/>
      <c r="N342" s="596"/>
      <c r="O342" s="601"/>
      <c r="P342" s="86"/>
      <c r="Q342" s="86"/>
      <c r="R342" s="86"/>
      <c r="S342" s="86"/>
      <c r="T342" s="86"/>
      <c r="U342" s="86"/>
    </row>
    <row r="343" spans="2:21">
      <c r="B343" s="86"/>
      <c r="C343" s="87"/>
      <c r="D343" s="86"/>
      <c r="E343" s="86"/>
      <c r="F343" s="591"/>
      <c r="G343" s="591"/>
      <c r="H343" s="27"/>
      <c r="I343" s="27"/>
      <c r="J343" s="27"/>
      <c r="K343" s="27"/>
      <c r="L343" s="27"/>
      <c r="M343" s="27"/>
      <c r="N343" s="596"/>
      <c r="O343" s="601"/>
      <c r="P343" s="86"/>
      <c r="Q343" s="86"/>
      <c r="R343" s="86"/>
      <c r="S343" s="86"/>
      <c r="T343" s="86"/>
      <c r="U343" s="86"/>
    </row>
    <row r="344" spans="2:21">
      <c r="B344" s="86"/>
      <c r="C344" s="87"/>
      <c r="D344" s="86"/>
      <c r="E344" s="86"/>
      <c r="F344" s="591"/>
      <c r="G344" s="591"/>
      <c r="H344" s="27"/>
      <c r="I344" s="27"/>
      <c r="J344" s="27"/>
      <c r="K344" s="27"/>
      <c r="L344" s="27"/>
      <c r="M344" s="27"/>
      <c r="N344" s="596"/>
      <c r="O344" s="601"/>
      <c r="P344" s="86"/>
      <c r="Q344" s="86"/>
      <c r="R344" s="86"/>
      <c r="S344" s="86"/>
      <c r="T344" s="86"/>
      <c r="U344" s="86"/>
    </row>
    <row r="345" spans="2:21">
      <c r="B345" s="86"/>
      <c r="C345" s="87"/>
      <c r="D345" s="86"/>
      <c r="E345" s="86"/>
      <c r="F345" s="591"/>
      <c r="G345" s="591"/>
      <c r="H345" s="27"/>
      <c r="I345" s="27"/>
      <c r="J345" s="27"/>
      <c r="K345" s="27"/>
      <c r="L345" s="27"/>
      <c r="M345" s="27"/>
      <c r="N345" s="596"/>
      <c r="O345" s="601"/>
      <c r="P345" s="86"/>
      <c r="Q345" s="86"/>
      <c r="R345" s="86"/>
      <c r="S345" s="86"/>
      <c r="T345" s="86"/>
      <c r="U345" s="86"/>
    </row>
    <row r="346" spans="2:21">
      <c r="B346" s="86"/>
      <c r="C346" s="87"/>
      <c r="D346" s="86"/>
      <c r="E346" s="86"/>
      <c r="F346" s="591"/>
      <c r="G346" s="591"/>
      <c r="H346" s="27"/>
      <c r="I346" s="27"/>
      <c r="J346" s="27"/>
      <c r="K346" s="27"/>
      <c r="L346" s="27"/>
      <c r="M346" s="27"/>
      <c r="N346" s="596"/>
      <c r="O346" s="601"/>
      <c r="P346" s="86"/>
      <c r="Q346" s="86"/>
      <c r="R346" s="86"/>
      <c r="S346" s="86"/>
      <c r="T346" s="86"/>
      <c r="U346" s="86"/>
    </row>
    <row r="347" spans="2:21">
      <c r="B347" s="86"/>
      <c r="C347" s="87"/>
      <c r="D347" s="86"/>
      <c r="E347" s="86"/>
      <c r="F347" s="591"/>
      <c r="G347" s="591"/>
      <c r="H347" s="27"/>
      <c r="I347" s="27"/>
      <c r="J347" s="27"/>
      <c r="K347" s="27"/>
      <c r="L347" s="27"/>
      <c r="M347" s="27"/>
      <c r="N347" s="596"/>
      <c r="O347" s="601"/>
      <c r="P347" s="86"/>
      <c r="Q347" s="86"/>
      <c r="R347" s="86"/>
      <c r="S347" s="86"/>
      <c r="T347" s="86"/>
      <c r="U347" s="86"/>
    </row>
    <row r="348" spans="2:21">
      <c r="B348" s="86"/>
      <c r="C348" s="87"/>
      <c r="D348" s="86"/>
      <c r="E348" s="86"/>
      <c r="F348" s="591"/>
      <c r="G348" s="591"/>
      <c r="H348" s="27"/>
      <c r="I348" s="27"/>
      <c r="J348" s="27"/>
      <c r="K348" s="27"/>
      <c r="L348" s="27"/>
      <c r="M348" s="27"/>
      <c r="N348" s="596"/>
      <c r="O348" s="601"/>
      <c r="P348" s="86"/>
      <c r="Q348" s="86"/>
      <c r="R348" s="86"/>
      <c r="S348" s="86"/>
      <c r="T348" s="86"/>
      <c r="U348" s="86"/>
    </row>
    <row r="349" spans="2:21" ht="9.75" customHeight="1">
      <c r="B349" s="86"/>
      <c r="C349" s="87"/>
      <c r="D349" s="86"/>
      <c r="E349" s="86"/>
      <c r="F349" s="591"/>
      <c r="G349" s="591"/>
      <c r="H349" s="27"/>
      <c r="I349" s="27"/>
      <c r="P349" s="86"/>
      <c r="Q349" s="86"/>
      <c r="R349" s="86"/>
      <c r="S349" s="86"/>
      <c r="T349" s="86"/>
      <c r="U349" s="86"/>
    </row>
    <row r="350" spans="2:21">
      <c r="B350" s="86"/>
      <c r="C350" s="87"/>
      <c r="D350" s="86"/>
      <c r="E350" s="86"/>
      <c r="F350" s="591"/>
      <c r="G350" s="591"/>
      <c r="H350" s="27"/>
      <c r="I350" s="27"/>
      <c r="J350" s="27"/>
      <c r="K350" s="27"/>
      <c r="L350" s="27"/>
      <c r="M350" s="27"/>
      <c r="N350" s="596"/>
      <c r="O350" s="601"/>
      <c r="P350" s="86"/>
      <c r="Q350" s="86"/>
      <c r="R350" s="86"/>
      <c r="S350" s="86"/>
      <c r="T350" s="86"/>
      <c r="U350" s="86"/>
    </row>
    <row r="351" spans="2:21">
      <c r="B351" s="86"/>
      <c r="C351" s="87"/>
      <c r="D351" s="86"/>
      <c r="E351" s="86"/>
      <c r="F351" s="591"/>
      <c r="G351" s="591"/>
      <c r="H351" s="27"/>
      <c r="I351" s="27"/>
      <c r="J351" s="27"/>
      <c r="K351" s="27"/>
      <c r="L351" s="27"/>
      <c r="M351" s="27"/>
      <c r="N351" s="596"/>
      <c r="O351" s="601"/>
      <c r="P351" s="86"/>
      <c r="Q351" s="86"/>
      <c r="R351" s="86"/>
      <c r="S351" s="86"/>
      <c r="T351" s="86"/>
      <c r="U351" s="86"/>
    </row>
    <row r="352" spans="2:21">
      <c r="B352" s="86"/>
      <c r="C352" s="87"/>
      <c r="D352" s="86"/>
      <c r="E352" s="86"/>
      <c r="F352" s="591"/>
      <c r="G352" s="591"/>
      <c r="H352" s="27"/>
      <c r="I352" s="27"/>
      <c r="J352" s="27"/>
      <c r="K352" s="27"/>
      <c r="L352" s="27"/>
      <c r="M352" s="27"/>
      <c r="N352" s="596"/>
      <c r="O352" s="601"/>
      <c r="P352" s="86"/>
      <c r="Q352" s="86"/>
      <c r="R352" s="86"/>
      <c r="S352" s="86"/>
      <c r="T352" s="86"/>
      <c r="U352" s="86"/>
    </row>
    <row r="353" spans="2:21">
      <c r="B353" s="86"/>
      <c r="C353" s="87"/>
      <c r="D353" s="86"/>
      <c r="E353" s="86"/>
      <c r="F353" s="591"/>
      <c r="G353" s="591"/>
      <c r="H353" s="27"/>
      <c r="I353" s="27"/>
      <c r="J353" s="27"/>
      <c r="K353" s="27"/>
      <c r="L353" s="27"/>
      <c r="M353" s="27"/>
      <c r="N353" s="596"/>
      <c r="O353" s="601"/>
      <c r="P353" s="86"/>
      <c r="Q353" s="86"/>
      <c r="R353" s="86"/>
      <c r="S353" s="86"/>
      <c r="T353" s="86"/>
      <c r="U353" s="86"/>
    </row>
    <row r="354" spans="2:21">
      <c r="B354" s="86"/>
      <c r="C354" s="87"/>
      <c r="D354" s="86"/>
      <c r="E354" s="86"/>
      <c r="F354" s="591"/>
      <c r="G354" s="591"/>
      <c r="H354" s="27"/>
      <c r="I354" s="27"/>
      <c r="J354" s="27"/>
      <c r="K354" s="27"/>
      <c r="L354" s="27"/>
      <c r="M354" s="27"/>
      <c r="N354" s="596"/>
      <c r="O354" s="601"/>
      <c r="P354" s="86"/>
      <c r="Q354" s="86"/>
      <c r="R354" s="86"/>
      <c r="S354" s="86"/>
      <c r="T354" s="86"/>
      <c r="U354" s="86"/>
    </row>
    <row r="355" spans="2:21">
      <c r="B355" s="86"/>
      <c r="C355" s="87"/>
      <c r="D355" s="86"/>
      <c r="E355" s="86"/>
      <c r="F355" s="591"/>
      <c r="G355" s="591"/>
      <c r="H355" s="27"/>
      <c r="I355" s="27"/>
      <c r="J355" s="27"/>
      <c r="K355" s="27"/>
      <c r="L355" s="27"/>
      <c r="M355" s="27"/>
      <c r="N355" s="596"/>
      <c r="O355" s="601"/>
      <c r="P355" s="86"/>
      <c r="Q355" s="86"/>
      <c r="R355" s="86"/>
      <c r="S355" s="86"/>
      <c r="T355" s="86"/>
      <c r="U355" s="86"/>
    </row>
    <row r="356" spans="2:21">
      <c r="B356" s="86"/>
      <c r="C356" s="87"/>
      <c r="D356" s="86"/>
      <c r="E356" s="86"/>
      <c r="F356" s="591"/>
      <c r="G356" s="591"/>
      <c r="H356" s="27"/>
      <c r="I356" s="27"/>
      <c r="J356" s="27"/>
      <c r="K356" s="27"/>
      <c r="L356" s="27"/>
      <c r="M356" s="27"/>
      <c r="N356" s="596"/>
      <c r="O356" s="601"/>
      <c r="P356" s="86"/>
      <c r="Q356" s="86"/>
      <c r="R356" s="86"/>
      <c r="S356" s="86"/>
      <c r="T356" s="86"/>
      <c r="U356" s="86"/>
    </row>
    <row r="357" spans="2:21">
      <c r="B357" s="86"/>
      <c r="C357" s="87"/>
      <c r="D357" s="86"/>
      <c r="E357" s="86"/>
      <c r="F357" s="591"/>
      <c r="G357" s="591"/>
      <c r="H357" s="27"/>
      <c r="I357" s="27"/>
      <c r="J357" s="27"/>
      <c r="K357" s="27"/>
      <c r="L357" s="27"/>
      <c r="M357" s="27"/>
      <c r="N357" s="596"/>
      <c r="O357" s="601"/>
      <c r="P357" s="86"/>
      <c r="Q357" s="86"/>
      <c r="R357" s="86"/>
      <c r="S357" s="86"/>
      <c r="T357" s="86"/>
      <c r="U357" s="86"/>
    </row>
    <row r="358" spans="2:21">
      <c r="B358" s="86"/>
      <c r="C358" s="87"/>
      <c r="D358" s="86"/>
      <c r="E358" s="86"/>
      <c r="F358" s="591"/>
      <c r="G358" s="591"/>
      <c r="H358" s="27"/>
      <c r="I358" s="27"/>
      <c r="J358" s="27"/>
      <c r="K358" s="27"/>
      <c r="L358" s="27"/>
      <c r="M358" s="27"/>
      <c r="N358" s="596"/>
      <c r="O358" s="601"/>
      <c r="P358" s="86"/>
      <c r="Q358" s="86"/>
      <c r="R358" s="86"/>
      <c r="S358" s="86"/>
      <c r="T358" s="86"/>
      <c r="U358" s="86"/>
    </row>
    <row r="359" spans="2:21">
      <c r="B359" s="86"/>
      <c r="C359" s="87"/>
      <c r="D359" s="86"/>
      <c r="E359" s="86"/>
      <c r="F359" s="591"/>
      <c r="G359" s="591"/>
      <c r="H359" s="27"/>
      <c r="I359" s="27"/>
      <c r="J359" s="27"/>
      <c r="K359" s="27"/>
      <c r="L359" s="27"/>
      <c r="M359" s="27"/>
      <c r="N359" s="596"/>
      <c r="O359" s="601"/>
      <c r="P359" s="86"/>
      <c r="Q359" s="86"/>
      <c r="R359" s="86"/>
      <c r="S359" s="86"/>
      <c r="T359" s="86"/>
      <c r="U359" s="86"/>
    </row>
    <row r="360" spans="2:21">
      <c r="B360" s="86"/>
      <c r="C360" s="87"/>
      <c r="D360" s="86"/>
      <c r="E360" s="86"/>
      <c r="F360" s="591"/>
      <c r="G360" s="591"/>
      <c r="H360" s="27"/>
      <c r="I360" s="27"/>
      <c r="J360" s="27"/>
      <c r="K360" s="27"/>
      <c r="L360" s="27"/>
      <c r="M360" s="27"/>
      <c r="N360" s="596"/>
      <c r="O360" s="601"/>
      <c r="P360" s="86"/>
      <c r="Q360" s="86"/>
      <c r="R360" s="86"/>
      <c r="S360" s="86"/>
      <c r="T360" s="86"/>
      <c r="U360" s="86"/>
    </row>
    <row r="361" spans="2:21">
      <c r="B361" s="86"/>
      <c r="C361" s="87"/>
      <c r="D361" s="86"/>
      <c r="E361" s="86"/>
      <c r="F361" s="591"/>
      <c r="G361" s="591"/>
      <c r="H361" s="27"/>
      <c r="I361" s="27"/>
      <c r="J361" s="27"/>
      <c r="K361" s="27"/>
      <c r="L361" s="27"/>
      <c r="M361" s="27"/>
      <c r="N361" s="596"/>
      <c r="O361" s="601"/>
      <c r="P361" s="86"/>
      <c r="Q361" s="86"/>
      <c r="R361" s="86"/>
      <c r="S361" s="86"/>
      <c r="T361" s="86"/>
      <c r="U361" s="86"/>
    </row>
    <row r="362" spans="2:21">
      <c r="B362" s="86"/>
      <c r="C362" s="87"/>
      <c r="D362" s="86"/>
      <c r="E362" s="86"/>
      <c r="F362" s="591"/>
      <c r="G362" s="591"/>
      <c r="H362" s="27"/>
      <c r="I362" s="27"/>
      <c r="J362" s="27"/>
      <c r="K362" s="27"/>
      <c r="L362" s="27"/>
      <c r="M362" s="27"/>
      <c r="N362" s="596"/>
      <c r="O362" s="601"/>
      <c r="P362" s="86"/>
      <c r="Q362" s="86"/>
      <c r="R362" s="86"/>
      <c r="S362" s="86"/>
      <c r="T362" s="86"/>
      <c r="U362" s="86"/>
    </row>
    <row r="363" spans="2:21">
      <c r="B363" s="86"/>
      <c r="C363" s="87"/>
      <c r="D363" s="86"/>
      <c r="E363" s="86"/>
      <c r="F363" s="591"/>
      <c r="G363" s="591"/>
      <c r="H363" s="27"/>
      <c r="I363" s="27"/>
      <c r="J363" s="27"/>
      <c r="K363" s="27"/>
      <c r="L363" s="27"/>
      <c r="M363" s="27"/>
      <c r="N363" s="596"/>
      <c r="O363" s="601"/>
      <c r="P363" s="86"/>
      <c r="Q363" s="86"/>
      <c r="R363" s="86"/>
      <c r="S363" s="86"/>
      <c r="T363" s="86"/>
      <c r="U363" s="86"/>
    </row>
    <row r="364" spans="2:21">
      <c r="B364" s="86"/>
      <c r="C364" s="87"/>
      <c r="D364" s="86"/>
      <c r="E364" s="86"/>
      <c r="F364" s="591"/>
      <c r="G364" s="591"/>
      <c r="H364" s="27"/>
      <c r="I364" s="27"/>
      <c r="J364" s="27"/>
      <c r="K364" s="27"/>
      <c r="L364" s="27"/>
      <c r="M364" s="27"/>
      <c r="N364" s="596"/>
      <c r="O364" s="601"/>
      <c r="P364" s="86"/>
      <c r="Q364" s="86"/>
      <c r="R364" s="86"/>
      <c r="S364" s="86"/>
      <c r="T364" s="86"/>
      <c r="U364" s="86"/>
    </row>
    <row r="365" spans="2:21">
      <c r="B365" s="86"/>
      <c r="C365" s="87"/>
      <c r="D365" s="86"/>
      <c r="E365" s="86"/>
      <c r="F365" s="591"/>
      <c r="G365" s="591"/>
      <c r="H365" s="27"/>
      <c r="I365" s="27"/>
      <c r="J365" s="27"/>
      <c r="K365" s="27"/>
      <c r="L365" s="27"/>
      <c r="M365" s="27"/>
      <c r="N365" s="596"/>
      <c r="O365" s="601"/>
      <c r="P365" s="86"/>
      <c r="Q365" s="86"/>
      <c r="R365" s="86"/>
      <c r="S365" s="86"/>
      <c r="T365" s="86"/>
      <c r="U365" s="86"/>
    </row>
    <row r="366" spans="2:21">
      <c r="B366" s="86"/>
      <c r="C366" s="87"/>
      <c r="D366" s="86"/>
      <c r="E366" s="86"/>
      <c r="F366" s="591"/>
      <c r="G366" s="591"/>
      <c r="H366" s="27"/>
      <c r="I366" s="27"/>
      <c r="J366" s="27"/>
      <c r="K366" s="27"/>
      <c r="L366" s="27"/>
      <c r="M366" s="27"/>
      <c r="N366" s="596"/>
      <c r="O366" s="601"/>
      <c r="P366" s="86"/>
      <c r="Q366" s="86"/>
      <c r="R366" s="86"/>
      <c r="S366" s="86"/>
      <c r="T366" s="86"/>
      <c r="U366" s="86"/>
    </row>
    <row r="367" spans="2:21" ht="12" customHeight="1">
      <c r="B367" s="86"/>
      <c r="C367" s="87"/>
      <c r="D367" s="86"/>
      <c r="E367" s="86"/>
      <c r="F367" s="86"/>
      <c r="G367" s="86"/>
      <c r="H367" s="86"/>
      <c r="I367" s="27"/>
      <c r="J367" s="86"/>
      <c r="K367" s="86"/>
      <c r="L367" s="86"/>
      <c r="M367" s="143"/>
      <c r="P367" s="86"/>
      <c r="Q367" s="86"/>
      <c r="R367" s="86"/>
      <c r="S367" s="86"/>
      <c r="T367" s="86"/>
      <c r="U367" s="86"/>
    </row>
    <row r="368" spans="2:21" ht="9.75" customHeight="1">
      <c r="B368" s="86"/>
      <c r="C368" s="87"/>
      <c r="D368" s="86"/>
      <c r="E368" s="86"/>
      <c r="F368" s="86"/>
      <c r="G368" s="86"/>
      <c r="H368" s="86"/>
      <c r="I368" s="27"/>
      <c r="P368" s="86"/>
      <c r="Q368" s="86"/>
      <c r="R368" s="86"/>
      <c r="S368" s="86"/>
      <c r="T368" s="86"/>
      <c r="U368" s="86"/>
    </row>
    <row r="369" spans="2:21">
      <c r="B369" s="86"/>
      <c r="C369" s="87"/>
      <c r="D369" s="86"/>
      <c r="E369" s="86"/>
      <c r="F369" s="86"/>
      <c r="G369" s="86"/>
      <c r="H369" s="86"/>
      <c r="I369" s="27"/>
      <c r="J369" s="86"/>
      <c r="K369" s="86"/>
      <c r="L369" s="86"/>
      <c r="M369" s="86"/>
      <c r="N369" s="86"/>
      <c r="O369" s="86"/>
      <c r="P369" s="86"/>
      <c r="Q369" s="86"/>
      <c r="R369" s="86"/>
      <c r="S369" s="86"/>
      <c r="T369" s="86"/>
      <c r="U369" s="86"/>
    </row>
    <row r="370" spans="2:21">
      <c r="B370" s="86"/>
      <c r="C370" s="87"/>
      <c r="D370" s="86"/>
      <c r="E370" s="86"/>
      <c r="F370" s="86"/>
      <c r="G370" s="86"/>
      <c r="H370" s="86"/>
      <c r="I370" s="27"/>
      <c r="J370" s="86"/>
      <c r="K370" s="86"/>
      <c r="L370" s="86"/>
      <c r="M370" s="86"/>
      <c r="N370" s="86"/>
      <c r="O370" s="86"/>
      <c r="P370" s="86"/>
      <c r="Q370" s="86"/>
      <c r="R370" s="86"/>
      <c r="S370" s="86"/>
      <c r="T370" s="86"/>
      <c r="U370" s="86"/>
    </row>
    <row r="371" spans="2:21">
      <c r="B371" s="86"/>
      <c r="C371" s="87"/>
      <c r="D371" s="86"/>
      <c r="E371" s="86"/>
      <c r="F371" s="86"/>
      <c r="G371" s="86"/>
      <c r="H371" s="86"/>
      <c r="I371" s="86"/>
      <c r="J371" s="86"/>
      <c r="K371" s="86"/>
      <c r="L371" s="86"/>
      <c r="M371" s="86"/>
      <c r="N371" s="86"/>
      <c r="O371" s="86"/>
      <c r="P371" s="86"/>
      <c r="Q371" s="86"/>
      <c r="R371" s="86"/>
      <c r="S371" s="86"/>
      <c r="T371" s="86"/>
      <c r="U371" s="86"/>
    </row>
    <row r="372" spans="2:21">
      <c r="B372" s="86"/>
      <c r="C372" s="87"/>
      <c r="D372" s="86"/>
      <c r="E372" s="86"/>
      <c r="F372" s="86"/>
      <c r="G372" s="86"/>
      <c r="H372" s="86"/>
      <c r="I372" s="86"/>
      <c r="J372" s="86"/>
      <c r="K372" s="86"/>
      <c r="L372" s="86"/>
      <c r="M372" s="86"/>
      <c r="N372" s="86"/>
      <c r="O372" s="86"/>
      <c r="P372" s="86"/>
      <c r="Q372" s="86"/>
      <c r="R372" s="86"/>
      <c r="S372" s="86"/>
      <c r="T372" s="86"/>
      <c r="U372" s="86"/>
    </row>
    <row r="373" spans="2:21">
      <c r="B373" s="86"/>
      <c r="C373" s="87"/>
      <c r="D373" s="86"/>
      <c r="E373" s="86"/>
      <c r="F373" s="86"/>
      <c r="G373" s="86"/>
      <c r="H373" s="86"/>
      <c r="I373" s="86"/>
      <c r="J373" s="86"/>
      <c r="K373" s="86"/>
      <c r="L373" s="86"/>
      <c r="M373" s="86"/>
      <c r="N373" s="86"/>
      <c r="O373" s="86"/>
      <c r="P373" s="86"/>
      <c r="Q373" s="86"/>
      <c r="R373" s="86"/>
      <c r="S373" s="86"/>
      <c r="T373" s="86"/>
      <c r="U373" s="86"/>
    </row>
    <row r="374" spans="2:21">
      <c r="B374" s="86"/>
      <c r="C374" s="87"/>
      <c r="D374" s="86"/>
      <c r="E374" s="86"/>
      <c r="F374" s="86"/>
      <c r="G374" s="86"/>
      <c r="H374" s="86"/>
      <c r="I374" s="86"/>
      <c r="J374" s="86"/>
      <c r="K374" s="86"/>
      <c r="L374" s="86"/>
      <c r="M374" s="86"/>
      <c r="N374" s="86"/>
      <c r="O374" s="86"/>
      <c r="P374" s="86"/>
      <c r="Q374" s="86"/>
      <c r="R374" s="86"/>
      <c r="S374" s="86"/>
      <c r="T374" s="86"/>
      <c r="U374" s="86"/>
    </row>
    <row r="375" spans="2:21">
      <c r="B375" s="86"/>
      <c r="C375" s="87"/>
      <c r="D375" s="86"/>
      <c r="E375" s="86"/>
      <c r="F375" s="86"/>
      <c r="G375" s="86"/>
      <c r="H375" s="86"/>
      <c r="I375" s="86"/>
      <c r="J375" s="86"/>
      <c r="K375" s="86"/>
      <c r="L375" s="86"/>
      <c r="M375" s="86"/>
      <c r="N375" s="86"/>
      <c r="O375" s="86"/>
      <c r="P375" s="86"/>
      <c r="Q375" s="86"/>
      <c r="R375" s="86"/>
      <c r="S375" s="86"/>
      <c r="T375" s="86"/>
      <c r="U375" s="86"/>
    </row>
    <row r="376" spans="2:21">
      <c r="B376" s="86"/>
      <c r="C376" s="87"/>
      <c r="D376" s="86"/>
      <c r="E376" s="86"/>
      <c r="F376" s="86"/>
      <c r="G376" s="86"/>
      <c r="H376" s="86"/>
      <c r="I376" s="86"/>
      <c r="J376" s="86"/>
      <c r="K376" s="86"/>
      <c r="L376" s="86"/>
      <c r="M376" s="86"/>
      <c r="N376" s="86"/>
      <c r="O376" s="86"/>
      <c r="P376" s="86"/>
      <c r="Q376" s="86"/>
      <c r="R376" s="86"/>
      <c r="S376" s="86"/>
      <c r="T376" s="86"/>
      <c r="U376" s="86"/>
    </row>
    <row r="377" spans="2:21">
      <c r="B377" s="86"/>
      <c r="C377" s="87"/>
      <c r="D377" s="86"/>
      <c r="E377" s="86"/>
      <c r="F377" s="86"/>
      <c r="G377" s="86"/>
      <c r="H377" s="86"/>
      <c r="I377" s="86"/>
      <c r="J377" s="86"/>
      <c r="K377" s="86"/>
      <c r="L377" s="86"/>
      <c r="M377" s="86"/>
      <c r="N377" s="86"/>
      <c r="O377" s="86"/>
      <c r="P377" s="86"/>
      <c r="Q377" s="86"/>
      <c r="R377" s="86"/>
      <c r="S377" s="86"/>
      <c r="T377" s="86"/>
      <c r="U377" s="86"/>
    </row>
    <row r="378" spans="2:21">
      <c r="B378" s="86"/>
      <c r="C378" s="87"/>
      <c r="D378" s="86"/>
      <c r="E378" s="86"/>
      <c r="F378" s="86"/>
      <c r="G378" s="86"/>
      <c r="H378" s="86"/>
      <c r="I378" s="86"/>
      <c r="J378" s="86"/>
      <c r="K378" s="86"/>
      <c r="L378" s="86"/>
      <c r="M378" s="86"/>
      <c r="N378" s="86"/>
      <c r="O378" s="86"/>
      <c r="P378" s="86"/>
      <c r="Q378" s="86"/>
      <c r="R378" s="86"/>
      <c r="S378" s="86"/>
      <c r="T378" s="86"/>
      <c r="U378" s="86"/>
    </row>
    <row r="379" spans="2:21">
      <c r="B379" s="86"/>
      <c r="C379" s="87"/>
      <c r="D379" s="86"/>
      <c r="E379" s="86"/>
      <c r="F379" s="86"/>
      <c r="G379" s="86"/>
      <c r="H379" s="86"/>
      <c r="I379" s="86"/>
      <c r="J379" s="86"/>
      <c r="K379" s="86"/>
      <c r="L379" s="86"/>
      <c r="M379" s="86"/>
      <c r="N379" s="86"/>
      <c r="O379" s="86"/>
      <c r="P379" s="86"/>
      <c r="Q379" s="86"/>
      <c r="R379" s="86"/>
      <c r="S379" s="86"/>
      <c r="T379" s="86"/>
      <c r="U379" s="86"/>
    </row>
    <row r="380" spans="2:21">
      <c r="B380" s="86"/>
      <c r="C380" s="87"/>
      <c r="D380" s="86"/>
      <c r="E380" s="86"/>
      <c r="F380" s="86"/>
      <c r="G380" s="86"/>
      <c r="H380" s="86"/>
      <c r="I380" s="86"/>
      <c r="J380" s="86"/>
      <c r="K380" s="86"/>
      <c r="L380" s="86"/>
      <c r="M380" s="86"/>
      <c r="N380" s="86"/>
      <c r="O380" s="86"/>
      <c r="P380" s="86"/>
      <c r="Q380" s="86"/>
      <c r="R380" s="86"/>
      <c r="S380" s="86"/>
      <c r="T380" s="86"/>
      <c r="U380" s="86"/>
    </row>
    <row r="381" spans="2:21">
      <c r="B381" s="86"/>
      <c r="C381" s="87"/>
      <c r="D381" s="86"/>
      <c r="E381" s="86"/>
      <c r="F381" s="86"/>
      <c r="G381" s="86"/>
      <c r="H381" s="86"/>
      <c r="I381" s="86"/>
      <c r="J381" s="86"/>
      <c r="K381" s="86"/>
      <c r="L381" s="86"/>
      <c r="M381" s="86"/>
      <c r="N381" s="86"/>
      <c r="O381" s="86"/>
      <c r="P381" s="86"/>
      <c r="Q381" s="86"/>
      <c r="R381" s="86"/>
      <c r="S381" s="86"/>
      <c r="T381" s="86"/>
      <c r="U381" s="86"/>
    </row>
    <row r="382" spans="2:21">
      <c r="B382" s="86"/>
      <c r="C382" s="87"/>
      <c r="D382" s="86"/>
      <c r="E382" s="86"/>
      <c r="F382" s="86"/>
      <c r="G382" s="86"/>
      <c r="H382" s="86"/>
      <c r="I382" s="86"/>
      <c r="J382" s="86"/>
      <c r="K382" s="86"/>
      <c r="L382" s="86"/>
      <c r="M382" s="86"/>
      <c r="N382" s="86"/>
      <c r="O382" s="86"/>
      <c r="P382" s="86"/>
      <c r="Q382" s="86"/>
      <c r="R382" s="86"/>
      <c r="S382" s="86"/>
      <c r="T382" s="86"/>
      <c r="U382" s="86"/>
    </row>
    <row r="383" spans="2:21">
      <c r="B383" s="86"/>
      <c r="C383" s="87"/>
      <c r="D383" s="86"/>
      <c r="E383" s="86"/>
      <c r="F383" s="86"/>
      <c r="G383" s="86"/>
      <c r="H383" s="86"/>
      <c r="I383" s="86"/>
      <c r="J383" s="86"/>
      <c r="K383" s="86"/>
      <c r="L383" s="86"/>
      <c r="M383" s="86"/>
      <c r="N383" s="86"/>
      <c r="O383" s="86"/>
      <c r="P383" s="86"/>
      <c r="Q383" s="86"/>
      <c r="R383" s="86"/>
      <c r="S383" s="86"/>
      <c r="T383" s="86"/>
      <c r="U383" s="86"/>
    </row>
    <row r="384" spans="2:21">
      <c r="B384" s="86"/>
      <c r="C384" s="87"/>
      <c r="D384" s="86"/>
      <c r="E384" s="86"/>
      <c r="F384" s="86"/>
      <c r="G384" s="86"/>
      <c r="H384" s="86"/>
      <c r="I384" s="86"/>
      <c r="J384" s="86"/>
      <c r="K384" s="86"/>
      <c r="L384" s="86"/>
      <c r="M384" s="86"/>
      <c r="N384" s="86"/>
      <c r="O384" s="86"/>
      <c r="P384" s="86"/>
      <c r="Q384" s="86"/>
      <c r="R384" s="86"/>
      <c r="S384" s="86"/>
      <c r="T384" s="86"/>
      <c r="U384" s="86"/>
    </row>
    <row r="385" spans="2:21">
      <c r="B385" s="86"/>
      <c r="C385" s="87"/>
      <c r="D385" s="86"/>
      <c r="E385" s="86"/>
      <c r="F385" s="86"/>
      <c r="G385" s="86"/>
      <c r="H385" s="86"/>
      <c r="I385" s="86"/>
      <c r="J385" s="86"/>
      <c r="K385" s="86"/>
      <c r="L385" s="86"/>
      <c r="M385" s="86"/>
      <c r="N385" s="86"/>
      <c r="O385" s="86"/>
      <c r="P385" s="86"/>
      <c r="Q385" s="86"/>
      <c r="R385" s="86"/>
      <c r="S385" s="86"/>
      <c r="T385" s="86"/>
      <c r="U385" s="86"/>
    </row>
    <row r="386" spans="2:21">
      <c r="B386" s="86"/>
      <c r="C386" s="87"/>
      <c r="D386" s="86"/>
      <c r="E386" s="86"/>
      <c r="F386" s="86"/>
      <c r="G386" s="86"/>
      <c r="H386" s="86"/>
      <c r="I386" s="86"/>
      <c r="J386" s="86"/>
      <c r="K386" s="86"/>
      <c r="L386" s="86"/>
      <c r="M386" s="86"/>
      <c r="N386" s="86"/>
      <c r="O386" s="86"/>
      <c r="P386" s="86"/>
      <c r="Q386" s="86"/>
      <c r="R386" s="86"/>
      <c r="S386" s="86"/>
      <c r="T386" s="86"/>
      <c r="U386" s="86"/>
    </row>
    <row r="387" spans="2:21">
      <c r="B387" s="86"/>
      <c r="C387" s="87"/>
      <c r="D387" s="86"/>
      <c r="E387" s="86"/>
      <c r="F387" s="86"/>
      <c r="G387" s="86"/>
      <c r="H387" s="86"/>
      <c r="I387" s="86"/>
      <c r="J387" s="86"/>
      <c r="K387" s="86"/>
      <c r="L387" s="86"/>
      <c r="M387" s="86"/>
      <c r="N387" s="86"/>
      <c r="O387" s="86"/>
      <c r="P387" s="86"/>
      <c r="Q387" s="86"/>
      <c r="R387" s="86"/>
      <c r="S387" s="86"/>
      <c r="T387" s="86"/>
      <c r="U387" s="86"/>
    </row>
    <row r="388" spans="2:21">
      <c r="B388" s="86"/>
      <c r="C388" s="87"/>
      <c r="D388" s="86"/>
      <c r="E388" s="86"/>
      <c r="F388" s="86"/>
      <c r="G388" s="86"/>
      <c r="H388" s="86"/>
      <c r="I388" s="86"/>
      <c r="J388" s="86"/>
      <c r="K388" s="86"/>
      <c r="L388" s="86"/>
      <c r="M388" s="86"/>
      <c r="N388" s="86"/>
      <c r="O388" s="86"/>
      <c r="P388" s="86"/>
      <c r="Q388" s="86"/>
      <c r="R388" s="86"/>
      <c r="S388" s="86"/>
      <c r="T388" s="86"/>
      <c r="U388" s="86"/>
    </row>
    <row r="389" spans="2:21">
      <c r="B389" s="86"/>
      <c r="C389" s="87"/>
      <c r="D389" s="86"/>
      <c r="E389" s="86"/>
      <c r="F389" s="86"/>
      <c r="G389" s="86"/>
      <c r="H389" s="86"/>
      <c r="I389" s="86"/>
      <c r="J389" s="86"/>
      <c r="K389" s="86"/>
      <c r="L389" s="86"/>
      <c r="M389" s="86"/>
      <c r="N389" s="86"/>
      <c r="O389" s="86"/>
      <c r="P389" s="86"/>
      <c r="Q389" s="86"/>
      <c r="R389" s="86"/>
      <c r="S389" s="86"/>
      <c r="T389" s="86"/>
      <c r="U389" s="86"/>
    </row>
  </sheetData>
  <sheetProtection algorithmName="SHA-512" hashValue="5PGqsQTYb8OG7jEp2Ey1nbra+NHmvzJ0WDQGjxyOelNUZgcbytx7ySxMbUhZoeaSqPDNwzojmzRFWnYg1KHWHw==" saltValue="TvmMgcmN6Zju4EmsQ7OSlA==" spinCount="100000" sheet="1" objects="1" scenarios="1" selectLockedCells="1"/>
  <mergeCells count="662">
    <mergeCell ref="J333:O333"/>
    <mergeCell ref="I76:J76"/>
    <mergeCell ref="J164:K164"/>
    <mergeCell ref="L164:O164"/>
    <mergeCell ref="K76:O76"/>
    <mergeCell ref="L79:O79"/>
    <mergeCell ref="H111:I111"/>
    <mergeCell ref="H104:I104"/>
    <mergeCell ref="H105:I105"/>
    <mergeCell ref="H106:I106"/>
    <mergeCell ref="H100:I100"/>
    <mergeCell ref="H122:I122"/>
    <mergeCell ref="L180:M180"/>
    <mergeCell ref="H194:I194"/>
    <mergeCell ref="L198:M198"/>
    <mergeCell ref="J193:K193"/>
    <mergeCell ref="J194:K194"/>
    <mergeCell ref="L194:M194"/>
    <mergeCell ref="L193:M193"/>
    <mergeCell ref="H187:I187"/>
    <mergeCell ref="H184:I184"/>
    <mergeCell ref="H185:I185"/>
    <mergeCell ref="J212:K212"/>
    <mergeCell ref="J214:K214"/>
    <mergeCell ref="N54:O54"/>
    <mergeCell ref="F79:I79"/>
    <mergeCell ref="C3:O3"/>
    <mergeCell ref="H94:N94"/>
    <mergeCell ref="H93:N93"/>
    <mergeCell ref="H13:J13"/>
    <mergeCell ref="H14:J14"/>
    <mergeCell ref="J47:O47"/>
    <mergeCell ref="H15:J15"/>
    <mergeCell ref="C11:F11"/>
    <mergeCell ref="C14:F14"/>
    <mergeCell ref="H12:J12"/>
    <mergeCell ref="L15:N15"/>
    <mergeCell ref="L12:N12"/>
    <mergeCell ref="L13:N13"/>
    <mergeCell ref="L14:N14"/>
    <mergeCell ref="K23:O23"/>
    <mergeCell ref="H9:J9"/>
    <mergeCell ref="L9:N9"/>
    <mergeCell ref="H11:J11"/>
    <mergeCell ref="L11:N11"/>
    <mergeCell ref="C9:F9"/>
    <mergeCell ref="C36:D36"/>
    <mergeCell ref="C37:D37"/>
    <mergeCell ref="L109:M109"/>
    <mergeCell ref="L110:M110"/>
    <mergeCell ref="L111:M111"/>
    <mergeCell ref="F123:G123"/>
    <mergeCell ref="F122:G122"/>
    <mergeCell ref="H125:I125"/>
    <mergeCell ref="H126:I126"/>
    <mergeCell ref="F127:G127"/>
    <mergeCell ref="F126:G126"/>
    <mergeCell ref="H123:I123"/>
    <mergeCell ref="H124:I124"/>
    <mergeCell ref="F112:G112"/>
    <mergeCell ref="F111:G111"/>
    <mergeCell ref="F110:G110"/>
    <mergeCell ref="B212:C212"/>
    <mergeCell ref="B213:C213"/>
    <mergeCell ref="B214:C214"/>
    <mergeCell ref="B209:C209"/>
    <mergeCell ref="B183:C183"/>
    <mergeCell ref="B184:C184"/>
    <mergeCell ref="B185:C185"/>
    <mergeCell ref="B186:C186"/>
    <mergeCell ref="B187:C187"/>
    <mergeCell ref="B196:C196"/>
    <mergeCell ref="A100:A102"/>
    <mergeCell ref="D173:E173"/>
    <mergeCell ref="D170:E170"/>
    <mergeCell ref="D172:E172"/>
    <mergeCell ref="B127:C127"/>
    <mergeCell ref="B128:C128"/>
    <mergeCell ref="B129:C129"/>
    <mergeCell ref="B130:C130"/>
    <mergeCell ref="B123:C123"/>
    <mergeCell ref="B124:C124"/>
    <mergeCell ref="B106:C106"/>
    <mergeCell ref="B107:C107"/>
    <mergeCell ref="B108:C108"/>
    <mergeCell ref="B109:C109"/>
    <mergeCell ref="B111:C111"/>
    <mergeCell ref="B112:C112"/>
    <mergeCell ref="B121:C121"/>
    <mergeCell ref="B122:C122"/>
    <mergeCell ref="D107:E107"/>
    <mergeCell ref="D136:E136"/>
    <mergeCell ref="D143:E143"/>
    <mergeCell ref="D169:E169"/>
    <mergeCell ref="D148:E148"/>
    <mergeCell ref="D149:E149"/>
    <mergeCell ref="F234:G234"/>
    <mergeCell ref="H236:I236"/>
    <mergeCell ref="H234:I234"/>
    <mergeCell ref="J236:K236"/>
    <mergeCell ref="D220:E220"/>
    <mergeCell ref="D221:E221"/>
    <mergeCell ref="D222:E222"/>
    <mergeCell ref="J225:K225"/>
    <mergeCell ref="J220:K220"/>
    <mergeCell ref="J221:K221"/>
    <mergeCell ref="J222:K222"/>
    <mergeCell ref="H220:I220"/>
    <mergeCell ref="F222:G222"/>
    <mergeCell ref="H222:I222"/>
    <mergeCell ref="H223:I223"/>
    <mergeCell ref="H225:I225"/>
    <mergeCell ref="B281:C281"/>
    <mergeCell ref="B290:C290"/>
    <mergeCell ref="B291:C291"/>
    <mergeCell ref="B292:C292"/>
    <mergeCell ref="B287:C287"/>
    <mergeCell ref="B293:C293"/>
    <mergeCell ref="B294:C294"/>
    <mergeCell ref="B295:C295"/>
    <mergeCell ref="B308:C308"/>
    <mergeCell ref="B296:C296"/>
    <mergeCell ref="B297:C297"/>
    <mergeCell ref="B306:C306"/>
    <mergeCell ref="B307:C307"/>
    <mergeCell ref="B303:C303"/>
    <mergeCell ref="B317:C317"/>
    <mergeCell ref="B318:C318"/>
    <mergeCell ref="B319:C319"/>
    <mergeCell ref="B320:C320"/>
    <mergeCell ref="L314:M314"/>
    <mergeCell ref="J314:K314"/>
    <mergeCell ref="H314:I314"/>
    <mergeCell ref="F314:G314"/>
    <mergeCell ref="D314:E314"/>
    <mergeCell ref="J317:K317"/>
    <mergeCell ref="D319:E319"/>
    <mergeCell ref="J319:K319"/>
    <mergeCell ref="J320:K320"/>
    <mergeCell ref="B314:C314"/>
    <mergeCell ref="B280:C280"/>
    <mergeCell ref="B273:C273"/>
    <mergeCell ref="B274:C274"/>
    <mergeCell ref="B275:C275"/>
    <mergeCell ref="B276:C276"/>
    <mergeCell ref="B277:C277"/>
    <mergeCell ref="B278:C278"/>
    <mergeCell ref="B279:C279"/>
    <mergeCell ref="B264:C264"/>
    <mergeCell ref="B270:C270"/>
    <mergeCell ref="B215:C215"/>
    <mergeCell ref="B216:C216"/>
    <mergeCell ref="B217:C217"/>
    <mergeCell ref="B218:C218"/>
    <mergeCell ref="B224:C224"/>
    <mergeCell ref="B225:C225"/>
    <mergeCell ref="B222:C222"/>
    <mergeCell ref="B223:C223"/>
    <mergeCell ref="B258:C258"/>
    <mergeCell ref="C15:F15"/>
    <mergeCell ref="D196:E196"/>
    <mergeCell ref="D197:E197"/>
    <mergeCell ref="D209:E209"/>
    <mergeCell ref="F125:G125"/>
    <mergeCell ref="F124:G124"/>
    <mergeCell ref="D122:E122"/>
    <mergeCell ref="D123:E123"/>
    <mergeCell ref="B126:C126"/>
    <mergeCell ref="D198:E198"/>
    <mergeCell ref="B103:C103"/>
    <mergeCell ref="B104:C104"/>
    <mergeCell ref="B105:C105"/>
    <mergeCell ref="D124:E124"/>
    <mergeCell ref="D125:E125"/>
    <mergeCell ref="D126:E126"/>
    <mergeCell ref="D127:E127"/>
    <mergeCell ref="D100:E100"/>
    <mergeCell ref="D101:E101"/>
    <mergeCell ref="D110:E110"/>
    <mergeCell ref="D111:E111"/>
    <mergeCell ref="D106:E106"/>
    <mergeCell ref="B197:C197"/>
    <mergeCell ref="B198:C198"/>
    <mergeCell ref="J273:K273"/>
    <mergeCell ref="J274:K274"/>
    <mergeCell ref="J275:K275"/>
    <mergeCell ref="J276:K276"/>
    <mergeCell ref="B110:C110"/>
    <mergeCell ref="J318:K318"/>
    <mergeCell ref="D212:E212"/>
    <mergeCell ref="J209:K209"/>
    <mergeCell ref="D194:E194"/>
    <mergeCell ref="H317:I317"/>
    <mergeCell ref="D293:E293"/>
    <mergeCell ref="D295:E295"/>
    <mergeCell ref="J315:K315"/>
    <mergeCell ref="D315:E315"/>
    <mergeCell ref="F315:G315"/>
    <mergeCell ref="H315:I315"/>
    <mergeCell ref="F293:G293"/>
    <mergeCell ref="F296:G296"/>
    <mergeCell ref="H293:I293"/>
    <mergeCell ref="J297:K297"/>
    <mergeCell ref="J296:K296"/>
    <mergeCell ref="B182:C182"/>
    <mergeCell ref="B125:C125"/>
    <mergeCell ref="B239:C239"/>
    <mergeCell ref="C12:F12"/>
    <mergeCell ref="C13:F13"/>
    <mergeCell ref="H318:I318"/>
    <mergeCell ref="H319:I319"/>
    <mergeCell ref="J36:N36"/>
    <mergeCell ref="L335:O335"/>
    <mergeCell ref="L320:M320"/>
    <mergeCell ref="L315:M315"/>
    <mergeCell ref="L317:M317"/>
    <mergeCell ref="L318:M318"/>
    <mergeCell ref="L319:M319"/>
    <mergeCell ref="L307:M307"/>
    <mergeCell ref="J79:K79"/>
    <mergeCell ref="D320:E320"/>
    <mergeCell ref="F317:G317"/>
    <mergeCell ref="F318:G318"/>
    <mergeCell ref="F319:G319"/>
    <mergeCell ref="F320:G320"/>
    <mergeCell ref="H320:I320"/>
    <mergeCell ref="D317:E317"/>
    <mergeCell ref="D318:E318"/>
    <mergeCell ref="J100:K100"/>
    <mergeCell ref="J238:K238"/>
    <mergeCell ref="J239:K239"/>
    <mergeCell ref="D210:E210"/>
    <mergeCell ref="H291:I291"/>
    <mergeCell ref="H292:I292"/>
    <mergeCell ref="D288:E288"/>
    <mergeCell ref="H271:I271"/>
    <mergeCell ref="D287:E287"/>
    <mergeCell ref="D273:E273"/>
    <mergeCell ref="D277:E277"/>
    <mergeCell ref="H262:I262"/>
    <mergeCell ref="F261:G261"/>
    <mergeCell ref="D261:E261"/>
    <mergeCell ref="D262:E262"/>
    <mergeCell ref="H261:I261"/>
    <mergeCell ref="H259:I259"/>
    <mergeCell ref="F259:G259"/>
    <mergeCell ref="H276:I276"/>
    <mergeCell ref="H264:I264"/>
    <mergeCell ref="F263:G263"/>
    <mergeCell ref="H270:I270"/>
    <mergeCell ref="F218:G218"/>
    <mergeCell ref="F219:G219"/>
    <mergeCell ref="D234:E234"/>
    <mergeCell ref="F238:G238"/>
    <mergeCell ref="F220:G220"/>
    <mergeCell ref="L296:M296"/>
    <mergeCell ref="L304:M304"/>
    <mergeCell ref="H306:I306"/>
    <mergeCell ref="H297:I297"/>
    <mergeCell ref="F303:G303"/>
    <mergeCell ref="H303:I303"/>
    <mergeCell ref="F306:G306"/>
    <mergeCell ref="D306:E306"/>
    <mergeCell ref="D274:E274"/>
    <mergeCell ref="D275:E275"/>
    <mergeCell ref="H288:I288"/>
    <mergeCell ref="H274:I274"/>
    <mergeCell ref="D296:E296"/>
    <mergeCell ref="D297:E297"/>
    <mergeCell ref="L279:M279"/>
    <mergeCell ref="L277:M277"/>
    <mergeCell ref="L288:M288"/>
    <mergeCell ref="J294:K294"/>
    <mergeCell ref="L294:M294"/>
    <mergeCell ref="J291:K291"/>
    <mergeCell ref="J277:K277"/>
    <mergeCell ref="J288:K288"/>
    <mergeCell ref="L287:M287"/>
    <mergeCell ref="L280:M280"/>
    <mergeCell ref="D291:E291"/>
    <mergeCell ref="D292:E292"/>
    <mergeCell ref="F297:G297"/>
    <mergeCell ref="H296:I296"/>
    <mergeCell ref="F295:G295"/>
    <mergeCell ref="H295:I295"/>
    <mergeCell ref="F270:G270"/>
    <mergeCell ref="F288:G288"/>
    <mergeCell ref="D294:E294"/>
    <mergeCell ref="F294:G294"/>
    <mergeCell ref="H294:I294"/>
    <mergeCell ref="D278:E278"/>
    <mergeCell ref="H278:I278"/>
    <mergeCell ref="H277:I277"/>
    <mergeCell ref="D290:E290"/>
    <mergeCell ref="D279:E279"/>
    <mergeCell ref="D281:E281"/>
    <mergeCell ref="F287:G287"/>
    <mergeCell ref="H287:I287"/>
    <mergeCell ref="F277:G277"/>
    <mergeCell ref="F278:G278"/>
    <mergeCell ref="H263:I263"/>
    <mergeCell ref="J263:K263"/>
    <mergeCell ref="D216:E216"/>
    <mergeCell ref="B233:C233"/>
    <mergeCell ref="D223:E223"/>
    <mergeCell ref="D225:E225"/>
    <mergeCell ref="D226:E226"/>
    <mergeCell ref="D227:E227"/>
    <mergeCell ref="B219:C219"/>
    <mergeCell ref="B221:C221"/>
    <mergeCell ref="D224:E224"/>
    <mergeCell ref="D217:E217"/>
    <mergeCell ref="B226:C226"/>
    <mergeCell ref="B227:C227"/>
    <mergeCell ref="D218:E218"/>
    <mergeCell ref="D219:E219"/>
    <mergeCell ref="B236:C236"/>
    <mergeCell ref="B237:C237"/>
    <mergeCell ref="B238:C238"/>
    <mergeCell ref="B261:C261"/>
    <mergeCell ref="B262:C262"/>
    <mergeCell ref="B263:C263"/>
    <mergeCell ref="F221:G221"/>
    <mergeCell ref="F233:G233"/>
    <mergeCell ref="D264:E264"/>
    <mergeCell ref="H238:I238"/>
    <mergeCell ref="H224:I224"/>
    <mergeCell ref="H227:I227"/>
    <mergeCell ref="F100:G100"/>
    <mergeCell ref="F101:G101"/>
    <mergeCell ref="D108:E108"/>
    <mergeCell ref="D109:E109"/>
    <mergeCell ref="F103:G103"/>
    <mergeCell ref="F104:G104"/>
    <mergeCell ref="F105:G105"/>
    <mergeCell ref="D103:E103"/>
    <mergeCell ref="D104:E104"/>
    <mergeCell ref="D105:E105"/>
    <mergeCell ref="F106:G106"/>
    <mergeCell ref="F107:G107"/>
    <mergeCell ref="F108:G108"/>
    <mergeCell ref="F109:G109"/>
    <mergeCell ref="H129:I129"/>
    <mergeCell ref="F129:G129"/>
    <mergeCell ref="F128:G128"/>
    <mergeCell ref="D141:E141"/>
    <mergeCell ref="D142:E142"/>
    <mergeCell ref="D128:E128"/>
    <mergeCell ref="J101:K101"/>
    <mergeCell ref="H101:I101"/>
    <mergeCell ref="J104:K104"/>
    <mergeCell ref="J110:K110"/>
    <mergeCell ref="J109:K109"/>
    <mergeCell ref="H108:I108"/>
    <mergeCell ref="H109:I109"/>
    <mergeCell ref="J105:K105"/>
    <mergeCell ref="J106:K106"/>
    <mergeCell ref="J107:K107"/>
    <mergeCell ref="J103:K103"/>
    <mergeCell ref="H110:I110"/>
    <mergeCell ref="H107:I107"/>
    <mergeCell ref="H103:I103"/>
    <mergeCell ref="L100:M100"/>
    <mergeCell ref="L101:M101"/>
    <mergeCell ref="L112:M112"/>
    <mergeCell ref="L103:M103"/>
    <mergeCell ref="L104:M104"/>
    <mergeCell ref="H121:I121"/>
    <mergeCell ref="F121:G121"/>
    <mergeCell ref="F119:G119"/>
    <mergeCell ref="D118:E118"/>
    <mergeCell ref="H119:I119"/>
    <mergeCell ref="H112:I112"/>
    <mergeCell ref="D112:E112"/>
    <mergeCell ref="D119:E119"/>
    <mergeCell ref="D121:E121"/>
    <mergeCell ref="L105:M105"/>
    <mergeCell ref="J111:K111"/>
    <mergeCell ref="L108:M108"/>
    <mergeCell ref="L106:M106"/>
    <mergeCell ref="L107:M107"/>
    <mergeCell ref="J108:K108"/>
    <mergeCell ref="J112:K112"/>
    <mergeCell ref="F114:G114"/>
    <mergeCell ref="F118:G118"/>
    <mergeCell ref="H118:I118"/>
    <mergeCell ref="L128:M128"/>
    <mergeCell ref="L129:M129"/>
    <mergeCell ref="L130:M130"/>
    <mergeCell ref="H127:I127"/>
    <mergeCell ref="L118:M118"/>
    <mergeCell ref="L121:M121"/>
    <mergeCell ref="L122:M122"/>
    <mergeCell ref="L123:M123"/>
    <mergeCell ref="L119:M119"/>
    <mergeCell ref="J119:K119"/>
    <mergeCell ref="J121:K121"/>
    <mergeCell ref="J122:K122"/>
    <mergeCell ref="J123:K123"/>
    <mergeCell ref="J118:K118"/>
    <mergeCell ref="L124:M124"/>
    <mergeCell ref="L125:M125"/>
    <mergeCell ref="L126:M126"/>
    <mergeCell ref="L127:M127"/>
    <mergeCell ref="J124:K124"/>
    <mergeCell ref="J125:K125"/>
    <mergeCell ref="J126:K126"/>
    <mergeCell ref="J127:K127"/>
    <mergeCell ref="J129:K129"/>
    <mergeCell ref="J130:K130"/>
    <mergeCell ref="J128:K128"/>
    <mergeCell ref="D129:E129"/>
    <mergeCell ref="H130:I130"/>
    <mergeCell ref="D130:E130"/>
    <mergeCell ref="F130:G130"/>
    <mergeCell ref="H128:I128"/>
    <mergeCell ref="D137:E137"/>
    <mergeCell ref="D139:E139"/>
    <mergeCell ref="D150:E150"/>
    <mergeCell ref="D151:E151"/>
    <mergeCell ref="D144:E144"/>
    <mergeCell ref="D145:E145"/>
    <mergeCell ref="D146:E146"/>
    <mergeCell ref="D147:E147"/>
    <mergeCell ref="D140:E140"/>
    <mergeCell ref="L196:M196"/>
    <mergeCell ref="L197:M197"/>
    <mergeCell ref="J183:K183"/>
    <mergeCell ref="H182:I182"/>
    <mergeCell ref="H183:I183"/>
    <mergeCell ref="H186:I186"/>
    <mergeCell ref="L209:M209"/>
    <mergeCell ref="J197:K197"/>
    <mergeCell ref="F182:G182"/>
    <mergeCell ref="F183:G183"/>
    <mergeCell ref="D186:E186"/>
    <mergeCell ref="D184:E184"/>
    <mergeCell ref="D152:E152"/>
    <mergeCell ref="D153:E153"/>
    <mergeCell ref="D154:E154"/>
    <mergeCell ref="D179:E179"/>
    <mergeCell ref="D180:E180"/>
    <mergeCell ref="D182:E182"/>
    <mergeCell ref="D183:E183"/>
    <mergeCell ref="F180:G180"/>
    <mergeCell ref="D187:E187"/>
    <mergeCell ref="D185:E185"/>
    <mergeCell ref="J198:K198"/>
    <mergeCell ref="H179:I179"/>
    <mergeCell ref="J184:K184"/>
    <mergeCell ref="J185:K185"/>
    <mergeCell ref="J186:K186"/>
    <mergeCell ref="J179:K179"/>
    <mergeCell ref="J180:K180"/>
    <mergeCell ref="J182:K182"/>
    <mergeCell ref="L221:M221"/>
    <mergeCell ref="J224:K224"/>
    <mergeCell ref="J226:K226"/>
    <mergeCell ref="J227:K227"/>
    <mergeCell ref="H226:I226"/>
    <mergeCell ref="J223:K223"/>
    <mergeCell ref="L212:M212"/>
    <mergeCell ref="L210:M210"/>
    <mergeCell ref="L213:M213"/>
    <mergeCell ref="L218:M218"/>
    <mergeCell ref="L219:M219"/>
    <mergeCell ref="L214:M214"/>
    <mergeCell ref="L215:M215"/>
    <mergeCell ref="H212:I212"/>
    <mergeCell ref="H213:I213"/>
    <mergeCell ref="H214:I214"/>
    <mergeCell ref="H210:I210"/>
    <mergeCell ref="H218:I218"/>
    <mergeCell ref="H219:I219"/>
    <mergeCell ref="J215:K215"/>
    <mergeCell ref="J216:K216"/>
    <mergeCell ref="L222:M222"/>
    <mergeCell ref="J210:K210"/>
    <mergeCell ref="H221:I221"/>
    <mergeCell ref="J308:K308"/>
    <mergeCell ref="F304:G304"/>
    <mergeCell ref="D304:E304"/>
    <mergeCell ref="J303:K303"/>
    <mergeCell ref="J307:K307"/>
    <mergeCell ref="H304:I304"/>
    <mergeCell ref="J304:K304"/>
    <mergeCell ref="J306:K306"/>
    <mergeCell ref="H307:I307"/>
    <mergeCell ref="D308:E308"/>
    <mergeCell ref="F308:G308"/>
    <mergeCell ref="H308:I308"/>
    <mergeCell ref="D303:E303"/>
    <mergeCell ref="D307:E307"/>
    <mergeCell ref="F307:G307"/>
    <mergeCell ref="L217:M217"/>
    <mergeCell ref="J233:K233"/>
    <mergeCell ref="J237:K237"/>
    <mergeCell ref="J219:K219"/>
    <mergeCell ref="J218:K218"/>
    <mergeCell ref="L234:M234"/>
    <mergeCell ref="D276:E276"/>
    <mergeCell ref="F264:G264"/>
    <mergeCell ref="F227:G227"/>
    <mergeCell ref="F225:G225"/>
    <mergeCell ref="D233:E233"/>
    <mergeCell ref="D239:E239"/>
    <mergeCell ref="D238:E238"/>
    <mergeCell ref="D236:E236"/>
    <mergeCell ref="D263:E263"/>
    <mergeCell ref="F239:G239"/>
    <mergeCell ref="F258:G258"/>
    <mergeCell ref="F236:G236"/>
    <mergeCell ref="F237:G237"/>
    <mergeCell ref="F262:G262"/>
    <mergeCell ref="D237:E237"/>
    <mergeCell ref="L225:M225"/>
    <mergeCell ref="L262:M262"/>
    <mergeCell ref="L275:M275"/>
    <mergeCell ref="L308:M308"/>
    <mergeCell ref="L306:M306"/>
    <mergeCell ref="L303:M303"/>
    <mergeCell ref="L297:M297"/>
    <mergeCell ref="F322:G322"/>
    <mergeCell ref="F266:G266"/>
    <mergeCell ref="F283:G283"/>
    <mergeCell ref="F299:G299"/>
    <mergeCell ref="F310:G310"/>
    <mergeCell ref="F292:G292"/>
    <mergeCell ref="F291:G291"/>
    <mergeCell ref="F290:G290"/>
    <mergeCell ref="L292:M292"/>
    <mergeCell ref="J292:K292"/>
    <mergeCell ref="F281:G281"/>
    <mergeCell ref="L273:M273"/>
    <mergeCell ref="J295:K295"/>
    <mergeCell ref="L295:M295"/>
    <mergeCell ref="L274:M274"/>
    <mergeCell ref="F276:G276"/>
    <mergeCell ref="J293:K293"/>
    <mergeCell ref="L293:M293"/>
    <mergeCell ref="L281:M281"/>
    <mergeCell ref="J290:K290"/>
    <mergeCell ref="L258:M258"/>
    <mergeCell ref="L261:M261"/>
    <mergeCell ref="J259:K259"/>
    <mergeCell ref="J261:K261"/>
    <mergeCell ref="J262:K262"/>
    <mergeCell ref="L259:M259"/>
    <mergeCell ref="H273:I273"/>
    <mergeCell ref="L271:M271"/>
    <mergeCell ref="L291:M291"/>
    <mergeCell ref="H290:I290"/>
    <mergeCell ref="L290:M290"/>
    <mergeCell ref="H275:I275"/>
    <mergeCell ref="J279:K279"/>
    <mergeCell ref="J287:K287"/>
    <mergeCell ref="H281:I281"/>
    <mergeCell ref="J281:K281"/>
    <mergeCell ref="L263:M263"/>
    <mergeCell ref="L270:M270"/>
    <mergeCell ref="J271:K271"/>
    <mergeCell ref="J264:K264"/>
    <mergeCell ref="L264:M264"/>
    <mergeCell ref="L276:M276"/>
    <mergeCell ref="L278:M278"/>
    <mergeCell ref="J278:K278"/>
    <mergeCell ref="F210:G210"/>
    <mergeCell ref="D280:E280"/>
    <mergeCell ref="F280:G280"/>
    <mergeCell ref="H280:I280"/>
    <mergeCell ref="J280:K280"/>
    <mergeCell ref="H258:I258"/>
    <mergeCell ref="J258:K258"/>
    <mergeCell ref="F273:G273"/>
    <mergeCell ref="F274:G274"/>
    <mergeCell ref="F275:G275"/>
    <mergeCell ref="F279:G279"/>
    <mergeCell ref="J234:K234"/>
    <mergeCell ref="H279:I279"/>
    <mergeCell ref="F217:G217"/>
    <mergeCell ref="F215:G215"/>
    <mergeCell ref="H215:I215"/>
    <mergeCell ref="J217:K217"/>
    <mergeCell ref="D259:E259"/>
    <mergeCell ref="F226:G226"/>
    <mergeCell ref="D258:E258"/>
    <mergeCell ref="D271:E271"/>
    <mergeCell ref="F271:G271"/>
    <mergeCell ref="D270:E270"/>
    <mergeCell ref="J270:K270"/>
    <mergeCell ref="L233:M233"/>
    <mergeCell ref="L236:M236"/>
    <mergeCell ref="H237:I237"/>
    <mergeCell ref="L250:O250"/>
    <mergeCell ref="J250:K250"/>
    <mergeCell ref="L237:M237"/>
    <mergeCell ref="H239:I239"/>
    <mergeCell ref="H92:N92"/>
    <mergeCell ref="B220:C220"/>
    <mergeCell ref="D193:E193"/>
    <mergeCell ref="L238:M238"/>
    <mergeCell ref="H233:I233"/>
    <mergeCell ref="D213:E213"/>
    <mergeCell ref="L223:M223"/>
    <mergeCell ref="L224:M224"/>
    <mergeCell ref="L226:M226"/>
    <mergeCell ref="L227:M227"/>
    <mergeCell ref="L220:M220"/>
    <mergeCell ref="L239:M239"/>
    <mergeCell ref="L184:M184"/>
    <mergeCell ref="F197:G197"/>
    <mergeCell ref="H198:I198"/>
    <mergeCell ref="L185:M185"/>
    <mergeCell ref="L186:M186"/>
    <mergeCell ref="N5:O5"/>
    <mergeCell ref="H217:I217"/>
    <mergeCell ref="H216:I216"/>
    <mergeCell ref="F212:G212"/>
    <mergeCell ref="F213:G213"/>
    <mergeCell ref="F198:G198"/>
    <mergeCell ref="F209:G209"/>
    <mergeCell ref="J187:K187"/>
    <mergeCell ref="F193:G193"/>
    <mergeCell ref="F194:G194"/>
    <mergeCell ref="L187:M187"/>
    <mergeCell ref="L216:M216"/>
    <mergeCell ref="F196:G196"/>
    <mergeCell ref="H193:I193"/>
    <mergeCell ref="H196:I196"/>
    <mergeCell ref="H197:I197"/>
    <mergeCell ref="F216:G216"/>
    <mergeCell ref="J213:K213"/>
    <mergeCell ref="J196:K196"/>
    <mergeCell ref="L179:M179"/>
    <mergeCell ref="L182:M182"/>
    <mergeCell ref="L183:M183"/>
    <mergeCell ref="H180:I180"/>
    <mergeCell ref="H209:I209"/>
    <mergeCell ref="C4:D4"/>
    <mergeCell ref="A168:A171"/>
    <mergeCell ref="A257:A260"/>
    <mergeCell ref="F132:G132"/>
    <mergeCell ref="D160:E160"/>
    <mergeCell ref="D175:E175"/>
    <mergeCell ref="F189:G189"/>
    <mergeCell ref="F200:G200"/>
    <mergeCell ref="F229:G229"/>
    <mergeCell ref="F241:G241"/>
    <mergeCell ref="D214:E214"/>
    <mergeCell ref="F214:G214"/>
    <mergeCell ref="F224:G224"/>
    <mergeCell ref="D215:E215"/>
    <mergeCell ref="F223:G223"/>
    <mergeCell ref="F187:G187"/>
    <mergeCell ref="D155:E155"/>
    <mergeCell ref="D156:E156"/>
    <mergeCell ref="D157:E157"/>
    <mergeCell ref="D158:E158"/>
    <mergeCell ref="F179:G179"/>
    <mergeCell ref="F184:G184"/>
    <mergeCell ref="F185:G185"/>
    <mergeCell ref="F186:G186"/>
  </mergeCells>
  <phoneticPr fontId="18" type="noConversion"/>
  <conditionalFormatting sqref="B100:O101">
    <cfRule type="expression" dxfId="132" priority="33" stopIfTrue="1">
      <formula>SUM($F$103:$G$112)&gt;0.1</formula>
    </cfRule>
    <cfRule type="expression" dxfId="131" priority="34" stopIfTrue="1">
      <formula>SUM($F$103:$G$112)&lt;0.1</formula>
    </cfRule>
  </conditionalFormatting>
  <conditionalFormatting sqref="B103:O114">
    <cfRule type="expression" dxfId="130" priority="35" stopIfTrue="1">
      <formula>SUM($F$103:$G$112)&lt;0.1</formula>
    </cfRule>
  </conditionalFormatting>
  <conditionalFormatting sqref="B118:O119">
    <cfRule type="expression" dxfId="129" priority="36" stopIfTrue="1">
      <formula>SUM($F$121:$G$130)&gt;0.1</formula>
    </cfRule>
    <cfRule type="expression" dxfId="128" priority="37" stopIfTrue="1">
      <formula>SUM($F$121:$G$130)&lt;0.1</formula>
    </cfRule>
  </conditionalFormatting>
  <conditionalFormatting sqref="B169:O170">
    <cfRule type="expression" dxfId="127" priority="38" stopIfTrue="1">
      <formula>SUM($D$172:$E$173)&gt;0.1</formula>
    </cfRule>
    <cfRule type="expression" dxfId="126" priority="39" stopIfTrue="1">
      <formula>SUM($D$172:$E$173)&lt;0.1</formula>
    </cfRule>
  </conditionalFormatting>
  <conditionalFormatting sqref="B179:O180">
    <cfRule type="expression" dxfId="125" priority="40" stopIfTrue="1">
      <formula>SUM($F$182:$G$187)&gt;0.1</formula>
    </cfRule>
    <cfRule type="expression" dxfId="124" priority="41" stopIfTrue="1">
      <formula>SUM($F$182:$G$187)&lt;0.1</formula>
    </cfRule>
  </conditionalFormatting>
  <conditionalFormatting sqref="B193:K194 N193:O194">
    <cfRule type="expression" dxfId="123" priority="42" stopIfTrue="1">
      <formula>SUM($F$196:$G$198)&gt;0.1</formula>
    </cfRule>
    <cfRule type="expression" dxfId="122" priority="43" stopIfTrue="1">
      <formula>SUM($F$196:$G$198)&lt;0.1</formula>
    </cfRule>
  </conditionalFormatting>
  <conditionalFormatting sqref="B196:O200">
    <cfRule type="expression" dxfId="121" priority="44" stopIfTrue="1">
      <formula>SUM($F$196:$G$198)&lt;0.1</formula>
    </cfRule>
  </conditionalFormatting>
  <conditionalFormatting sqref="B209:K210 N209:O210">
    <cfRule type="expression" dxfId="120" priority="45" stopIfTrue="1">
      <formula>SUM($F$212:$G$227)&gt;0.1</formula>
    </cfRule>
    <cfRule type="expression" dxfId="119" priority="46" stopIfTrue="1">
      <formula>SUM($F$212:$G$227)&lt;0.1</formula>
    </cfRule>
  </conditionalFormatting>
  <conditionalFormatting sqref="B212:O229">
    <cfRule type="expression" dxfId="118" priority="47" stopIfTrue="1">
      <formula>SUM($F$212:$G$227)&lt;0.1</formula>
    </cfRule>
  </conditionalFormatting>
  <conditionalFormatting sqref="B233:K234 N233:O234">
    <cfRule type="expression" dxfId="117" priority="48" stopIfTrue="1">
      <formula>SUM($F$236:$G$239)&gt;0.1</formula>
    </cfRule>
    <cfRule type="expression" dxfId="116" priority="49" stopIfTrue="1">
      <formula>SUM($F$236:$G$239)&lt;0.1</formula>
    </cfRule>
  </conditionalFormatting>
  <conditionalFormatting sqref="B236:O241">
    <cfRule type="expression" dxfId="115" priority="50" stopIfTrue="1">
      <formula>SUM($F$236:$G$239)&lt;0.1</formula>
    </cfRule>
  </conditionalFormatting>
  <conditionalFormatting sqref="B258:K259 N258:O259">
    <cfRule type="expression" dxfId="114" priority="51" stopIfTrue="1">
      <formula>SUM($F$261:$G$264)&gt;0.1</formula>
    </cfRule>
    <cfRule type="expression" dxfId="113" priority="52" stopIfTrue="1">
      <formula>SUM($F$261:$G$264)&lt;0.1</formula>
    </cfRule>
  </conditionalFormatting>
  <conditionalFormatting sqref="B261:O266">
    <cfRule type="expression" dxfId="112" priority="53" stopIfTrue="1">
      <formula>SUM($F$261:$G$264)&lt;0.1</formula>
    </cfRule>
  </conditionalFormatting>
  <conditionalFormatting sqref="B270:K271 N270:O271">
    <cfRule type="expression" dxfId="111" priority="54" stopIfTrue="1">
      <formula>SUM($F$273:$G$281)&gt;0.1</formula>
    </cfRule>
    <cfRule type="expression" dxfId="110" priority="55" stopIfTrue="1">
      <formula>SUM($F$273:$G$281)&lt;0.1</formula>
    </cfRule>
  </conditionalFormatting>
  <conditionalFormatting sqref="B273:O283">
    <cfRule type="expression" dxfId="109" priority="56" stopIfTrue="1">
      <formula>SUM($F$273:$G$281)&lt;0.1</formula>
    </cfRule>
  </conditionalFormatting>
  <conditionalFormatting sqref="B287:K288 N287:O288">
    <cfRule type="expression" dxfId="108" priority="57" stopIfTrue="1">
      <formula>SUM($F$290:$G$297)&gt;0.1</formula>
    </cfRule>
    <cfRule type="expression" dxfId="107" priority="58" stopIfTrue="1">
      <formula>SUM($F$290:$G$297)&lt;0.1</formula>
    </cfRule>
  </conditionalFormatting>
  <conditionalFormatting sqref="B303:K304 N303:O304">
    <cfRule type="expression" dxfId="106" priority="59" stopIfTrue="1">
      <formula>SUM($F$306:$G$308)&gt;0.1</formula>
    </cfRule>
    <cfRule type="expression" dxfId="105" priority="60" stopIfTrue="1">
      <formula>SUM($F$306:$G$308)&lt;0.1</formula>
    </cfRule>
  </conditionalFormatting>
  <conditionalFormatting sqref="B314:K315 N314:O315">
    <cfRule type="expression" dxfId="104" priority="61" stopIfTrue="1">
      <formula>SUM($F$317:$G$320)&gt;0.1</formula>
    </cfRule>
    <cfRule type="expression" dxfId="103" priority="62" stopIfTrue="1">
      <formula>SUM($F$317:$G$320)&lt;0.1</formula>
    </cfRule>
  </conditionalFormatting>
  <conditionalFormatting sqref="B306:O310">
    <cfRule type="expression" dxfId="102" priority="63" stopIfTrue="1">
      <formula>SUM($F$306:$G$308)&lt;0.1</formula>
    </cfRule>
  </conditionalFormatting>
  <conditionalFormatting sqref="B317:O322">
    <cfRule type="expression" dxfId="101" priority="64" stopIfTrue="1">
      <formula>SUM($F$317:$G$320)&lt;0.1</formula>
    </cfRule>
  </conditionalFormatting>
  <conditionalFormatting sqref="B290:O299">
    <cfRule type="expression" dxfId="100" priority="65" stopIfTrue="1">
      <formula>SUM($F$290:$G$297)&lt;0.1</formula>
    </cfRule>
  </conditionalFormatting>
  <conditionalFormatting sqref="B182:O189">
    <cfRule type="expression" dxfId="99" priority="66" stopIfTrue="1">
      <formula>SUM($F$182:$G$187)&lt;0.1</formula>
    </cfRule>
  </conditionalFormatting>
  <conditionalFormatting sqref="B172:O175">
    <cfRule type="expression" dxfId="98" priority="67" stopIfTrue="1">
      <formula>SUM($D$172:$E$173)&lt;0.1</formula>
    </cfRule>
  </conditionalFormatting>
  <conditionalFormatting sqref="B139:O160">
    <cfRule type="expression" dxfId="97" priority="68" stopIfTrue="1">
      <formula>SUM($D$139:$E$158)&lt;0.1</formula>
    </cfRule>
  </conditionalFormatting>
  <conditionalFormatting sqref="B121:O132">
    <cfRule type="expression" dxfId="96" priority="69" stopIfTrue="1">
      <formula>SUM($F$121:$G$130)&lt;0.1</formula>
    </cfRule>
  </conditionalFormatting>
  <conditionalFormatting sqref="B136:O137">
    <cfRule type="expression" dxfId="95" priority="70" stopIfTrue="1">
      <formula>SUM($D$139:$E$158)&gt;0.1</formula>
    </cfRule>
    <cfRule type="expression" dxfId="94" priority="71" stopIfTrue="1">
      <formula>SUM($D$139:$E$158)&lt;0.1</formula>
    </cfRule>
  </conditionalFormatting>
  <conditionalFormatting sqref="B206">
    <cfRule type="expression" dxfId="93" priority="72" stopIfTrue="1">
      <formula>(SUM($F$212:$G$229))+(SUM($F$236:$G$239))&lt;0.1</formula>
    </cfRule>
  </conditionalFormatting>
  <conditionalFormatting sqref="L193:M193">
    <cfRule type="expression" dxfId="92" priority="31" stopIfTrue="1">
      <formula>SUM($F$196:$G$198)&gt;0.1</formula>
    </cfRule>
    <cfRule type="expression" dxfId="91" priority="32" stopIfTrue="1">
      <formula>SUM($F$196:$G$198)&lt;0.1</formula>
    </cfRule>
  </conditionalFormatting>
  <conditionalFormatting sqref="L209:M209">
    <cfRule type="expression" dxfId="90" priority="29" stopIfTrue="1">
      <formula>SUM($F$212:$G$227)&gt;0.1</formula>
    </cfRule>
    <cfRule type="expression" dxfId="89" priority="30" stopIfTrue="1">
      <formula>SUM($F$212:$G$227)&lt;0.1</formula>
    </cfRule>
  </conditionalFormatting>
  <conditionalFormatting sqref="L233:M233">
    <cfRule type="expression" dxfId="88" priority="27" stopIfTrue="1">
      <formula>SUM($F$236:$G$239)&gt;0.1</formula>
    </cfRule>
    <cfRule type="expression" dxfId="87" priority="28" stopIfTrue="1">
      <formula>SUM($F$236:$G$239)&lt;0.1</formula>
    </cfRule>
  </conditionalFormatting>
  <conditionalFormatting sqref="L258:M258">
    <cfRule type="expression" dxfId="86" priority="25" stopIfTrue="1">
      <formula>SUM($F$261:$G$264)&gt;0.1</formula>
    </cfRule>
    <cfRule type="expression" dxfId="85" priority="26" stopIfTrue="1">
      <formula>SUM($F$261:$G$264)&lt;0.1</formula>
    </cfRule>
  </conditionalFormatting>
  <conditionalFormatting sqref="L270:M270">
    <cfRule type="expression" dxfId="84" priority="23" stopIfTrue="1">
      <formula>SUM($F$273:$G$281)&gt;0.1</formula>
    </cfRule>
    <cfRule type="expression" dxfId="83" priority="24" stopIfTrue="1">
      <formula>SUM($F$273:$G$281)&lt;0.1</formula>
    </cfRule>
  </conditionalFormatting>
  <conditionalFormatting sqref="L287:M287">
    <cfRule type="expression" dxfId="82" priority="21" stopIfTrue="1">
      <formula>SUM($F$290:$G$297)&gt;0.1</formula>
    </cfRule>
    <cfRule type="expression" dxfId="81" priority="22" stopIfTrue="1">
      <formula>SUM($F$290:$G$297)&lt;0.1</formula>
    </cfRule>
  </conditionalFormatting>
  <conditionalFormatting sqref="L303:M303">
    <cfRule type="expression" dxfId="80" priority="19" stopIfTrue="1">
      <formula>SUM($F$306:$G$308)&gt;0.1</formula>
    </cfRule>
    <cfRule type="expression" dxfId="79" priority="20" stopIfTrue="1">
      <formula>SUM($F$306:$G$308)&lt;0.1</formula>
    </cfRule>
  </conditionalFormatting>
  <conditionalFormatting sqref="L314:M314">
    <cfRule type="expression" dxfId="78" priority="17" stopIfTrue="1">
      <formula>SUM($F$317:$G$320)&gt;0.1</formula>
    </cfRule>
    <cfRule type="expression" dxfId="77" priority="18" stopIfTrue="1">
      <formula>SUM($F$317:$G$320)&lt;0.1</formula>
    </cfRule>
  </conditionalFormatting>
  <conditionalFormatting sqref="L194:M194">
    <cfRule type="expression" dxfId="76" priority="15" stopIfTrue="1">
      <formula>SUM($F$196:$G$198)&gt;0.1</formula>
    </cfRule>
    <cfRule type="expression" dxfId="75" priority="16" stopIfTrue="1">
      <formula>SUM($F$196:$G$198)&lt;0.1</formula>
    </cfRule>
  </conditionalFormatting>
  <conditionalFormatting sqref="L210:M210">
    <cfRule type="expression" dxfId="74" priority="13" stopIfTrue="1">
      <formula>SUM($F$212:$G$227)&gt;0.1</formula>
    </cfRule>
    <cfRule type="expression" dxfId="73" priority="14" stopIfTrue="1">
      <formula>SUM($F$182:$G$187)&lt;0.1</formula>
    </cfRule>
  </conditionalFormatting>
  <conditionalFormatting sqref="L234:M234">
    <cfRule type="expression" dxfId="72" priority="11" stopIfTrue="1">
      <formula>SUM($F$236:$G$239)&gt;0.1</formula>
    </cfRule>
    <cfRule type="expression" dxfId="71" priority="12" stopIfTrue="1">
      <formula>SUM($F$236:$G$239)&lt;0.1</formula>
    </cfRule>
  </conditionalFormatting>
  <conditionalFormatting sqref="L259:M259">
    <cfRule type="expression" dxfId="70" priority="9" stopIfTrue="1">
      <formula>SUM($F$261:$G$264)&gt;0.1</formula>
    </cfRule>
    <cfRule type="expression" dxfId="69" priority="10" stopIfTrue="1">
      <formula>SUM($F$261:$G$264)&lt;0.1</formula>
    </cfRule>
  </conditionalFormatting>
  <conditionalFormatting sqref="L271:M271">
    <cfRule type="expression" dxfId="68" priority="7" stopIfTrue="1">
      <formula>SUM($F$273:$G$281)&gt;0.1</formula>
    </cfRule>
    <cfRule type="expression" dxfId="67" priority="8" stopIfTrue="1">
      <formula>SUM($F$273:$G$281)&lt;0.1</formula>
    </cfRule>
  </conditionalFormatting>
  <conditionalFormatting sqref="L288:M288">
    <cfRule type="expression" dxfId="66" priority="5" stopIfTrue="1">
      <formula>SUM($F$290:$G$297)&gt;0.1</formula>
    </cfRule>
    <cfRule type="expression" dxfId="65" priority="6" stopIfTrue="1">
      <formula>SUM($F$290:$G$297)&lt;0.1</formula>
    </cfRule>
  </conditionalFormatting>
  <conditionalFormatting sqref="L304:M304">
    <cfRule type="expression" dxfId="64" priority="3" stopIfTrue="1">
      <formula>SUM($F$306:$G$308)&gt;0.1</formula>
    </cfRule>
    <cfRule type="expression" dxfId="63" priority="4" stopIfTrue="1">
      <formula>SUM($F$306:$G$308)&lt;0.1</formula>
    </cfRule>
  </conditionalFormatting>
  <conditionalFormatting sqref="L315:M315">
    <cfRule type="expression" dxfId="62" priority="1" stopIfTrue="1">
      <formula>SUM($F$317:$G$320)&gt;0.1</formula>
    </cfRule>
    <cfRule type="expression" dxfId="61" priority="2" stopIfTrue="1">
      <formula>SUM($F$317:$G$320)&lt;0.1</formula>
    </cfRule>
  </conditionalFormatting>
  <printOptions horizontalCentered="1"/>
  <pageMargins left="0.39000000000000007" right="0.39000000000000007" top="0.59" bottom="0.31496062992125984" header="0.51" footer="0.55000000000000004"/>
  <pageSetup paperSize="9" scale="92" fitToHeight="3" orientation="portrait" horizontalDpi="4294967292" verticalDpi="4294967292"/>
  <rowBreaks count="3" manualBreakCount="3">
    <brk id="78" max="14" man="1"/>
    <brk id="164" max="16383" man="1"/>
    <brk id="250"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4">
    <tabColor rgb="FF00B050"/>
    <pageSetUpPr autoPageBreaks="0"/>
  </sheetPr>
  <dimension ref="B1:FA791"/>
  <sheetViews>
    <sheetView showGridLines="0" showRowColHeaders="0" zoomScale="150" zoomScaleNormal="150" zoomScaleSheetLayoutView="150" zoomScalePageLayoutView="150" workbookViewId="0">
      <selection activeCell="D7" sqref="D7:E7"/>
    </sheetView>
  </sheetViews>
  <sheetFormatPr baseColWidth="10" defaultColWidth="10.875" defaultRowHeight="10.199999999999999"/>
  <cols>
    <col min="1" max="1" width="8" style="24" customWidth="1"/>
    <col min="2" max="2" width="6.375" style="24" customWidth="1"/>
    <col min="3" max="3" width="26.5" style="24" customWidth="1"/>
    <col min="4" max="4" width="12.5" style="24" customWidth="1"/>
    <col min="5" max="5" width="11" style="24" customWidth="1"/>
    <col min="6" max="8" width="12" style="24" customWidth="1"/>
    <col min="9" max="9" width="10.875" style="101"/>
    <col min="10" max="12" width="10.875" style="37"/>
    <col min="13" max="25" width="10.875" style="101"/>
    <col min="26" max="16384" width="10.875" style="24"/>
  </cols>
  <sheetData>
    <row r="1" spans="2:157" ht="10.050000000000001" customHeight="1">
      <c r="B1" s="1342">
        <f>Nutzung!G10</f>
        <v>0</v>
      </c>
      <c r="C1" s="1342"/>
      <c r="D1" s="139" t="str">
        <f>IF(Nutzung!$E$8="","",Nutzung!$E$8)</f>
        <v/>
      </c>
      <c r="H1" s="140" t="s">
        <v>556</v>
      </c>
      <c r="J1" s="101"/>
      <c r="K1" s="101"/>
      <c r="L1" s="101"/>
    </row>
    <row r="2" spans="2:157" ht="10.050000000000001" customHeight="1">
      <c r="D2" s="25"/>
      <c r="H2" s="138"/>
      <c r="J2" s="101"/>
      <c r="K2" s="101"/>
      <c r="L2" s="101"/>
    </row>
    <row r="3" spans="2:157" ht="10.050000000000001" customHeight="1">
      <c r="D3" s="25"/>
      <c r="H3" s="138"/>
      <c r="J3" s="101"/>
      <c r="K3" s="101"/>
      <c r="L3" s="101"/>
    </row>
    <row r="4" spans="2:157" ht="18" customHeight="1">
      <c r="B4" s="1351" t="s">
        <v>376</v>
      </c>
      <c r="C4" s="1351"/>
      <c r="D4" s="1351"/>
      <c r="E4" s="1351"/>
      <c r="F4" s="1351"/>
      <c r="G4" s="1351"/>
      <c r="H4" s="1351"/>
      <c r="J4" s="101"/>
      <c r="K4" s="101"/>
      <c r="L4" s="101"/>
    </row>
    <row r="5" spans="2:157" ht="10.050000000000001" customHeight="1">
      <c r="J5" s="101"/>
      <c r="K5" s="101"/>
      <c r="L5" s="101"/>
      <c r="Z5" s="86"/>
      <c r="AA5" s="86"/>
      <c r="AB5" s="86"/>
      <c r="AC5" s="86"/>
      <c r="AD5" s="86"/>
      <c r="AE5" s="86"/>
      <c r="AF5" s="86"/>
      <c r="AG5" s="86"/>
      <c r="AH5" s="86"/>
      <c r="AI5" s="86"/>
      <c r="AJ5" s="86"/>
      <c r="AK5" s="86"/>
      <c r="AL5" s="86"/>
      <c r="AM5" s="86"/>
      <c r="AN5" s="86"/>
      <c r="AO5" s="86"/>
      <c r="AP5" s="86"/>
      <c r="AQ5" s="86"/>
      <c r="AR5" s="86"/>
      <c r="AS5" s="86"/>
      <c r="AT5" s="86"/>
      <c r="AU5" s="86"/>
      <c r="AV5" s="86"/>
      <c r="AW5" s="86"/>
      <c r="AX5" s="86"/>
      <c r="AY5" s="86"/>
      <c r="AZ5" s="86"/>
      <c r="BA5" s="86"/>
      <c r="BB5" s="86"/>
      <c r="BC5" s="86"/>
      <c r="BD5" s="86"/>
      <c r="BE5" s="86"/>
      <c r="BF5" s="86"/>
      <c r="BG5" s="86"/>
      <c r="BH5" s="86"/>
      <c r="BI5" s="86"/>
      <c r="BJ5" s="86"/>
      <c r="BK5" s="86"/>
      <c r="BL5" s="86"/>
      <c r="BM5" s="86"/>
      <c r="BN5" s="86"/>
      <c r="BO5" s="86"/>
      <c r="BP5" s="86"/>
      <c r="BQ5" s="86"/>
      <c r="BR5" s="86"/>
      <c r="BS5" s="86"/>
      <c r="BT5" s="86"/>
      <c r="BU5" s="86"/>
      <c r="BV5" s="86"/>
      <c r="BW5" s="86"/>
      <c r="BX5" s="86"/>
      <c r="BY5" s="86"/>
      <c r="BZ5" s="86"/>
      <c r="CA5" s="86"/>
      <c r="CB5" s="86"/>
      <c r="CC5" s="86"/>
      <c r="CD5" s="86"/>
      <c r="CE5" s="86"/>
      <c r="CF5" s="86"/>
      <c r="CG5" s="86"/>
      <c r="CH5" s="86"/>
      <c r="CI5" s="86"/>
      <c r="CJ5" s="86"/>
      <c r="CK5" s="86"/>
      <c r="CL5" s="86"/>
      <c r="CM5" s="86"/>
      <c r="CN5" s="86"/>
      <c r="CO5" s="86"/>
      <c r="CP5" s="86"/>
      <c r="CQ5" s="86"/>
      <c r="CR5" s="86"/>
      <c r="CS5" s="86"/>
      <c r="CT5" s="86"/>
      <c r="CU5" s="86"/>
      <c r="CV5" s="86"/>
      <c r="CW5" s="86"/>
      <c r="CX5" s="86"/>
      <c r="CY5" s="86"/>
      <c r="CZ5" s="86"/>
      <c r="DA5" s="86"/>
      <c r="DB5" s="86"/>
      <c r="DC5" s="86"/>
      <c r="DD5" s="86"/>
      <c r="DE5" s="86"/>
      <c r="DF5" s="86"/>
      <c r="DG5" s="86"/>
      <c r="DH5" s="86"/>
      <c r="DI5" s="86"/>
      <c r="DJ5" s="86"/>
      <c r="DK5" s="86"/>
      <c r="DL5" s="86"/>
      <c r="DM5" s="86"/>
      <c r="DN5" s="86"/>
      <c r="DO5" s="86"/>
      <c r="DP5" s="86"/>
      <c r="DQ5" s="86"/>
      <c r="DR5" s="86"/>
      <c r="DS5" s="86"/>
      <c r="DT5" s="86"/>
      <c r="DU5" s="86"/>
      <c r="DV5" s="86"/>
      <c r="DW5" s="86"/>
      <c r="DX5" s="86"/>
      <c r="DY5" s="86"/>
      <c r="DZ5" s="86"/>
      <c r="EA5" s="86"/>
      <c r="EB5" s="86"/>
      <c r="EC5" s="86"/>
      <c r="ED5" s="86"/>
      <c r="EE5" s="86"/>
      <c r="EF5" s="86"/>
      <c r="EG5" s="86"/>
      <c r="EH5" s="86"/>
      <c r="EI5" s="86"/>
      <c r="EJ5" s="86"/>
      <c r="EK5" s="86"/>
      <c r="EL5" s="86"/>
      <c r="EM5" s="86"/>
      <c r="EN5" s="86"/>
      <c r="EO5" s="86"/>
      <c r="EP5" s="86"/>
      <c r="EQ5" s="86"/>
      <c r="ER5" s="86"/>
      <c r="ES5" s="86"/>
      <c r="ET5" s="86"/>
      <c r="EU5" s="86"/>
      <c r="EV5" s="86"/>
      <c r="EW5" s="86"/>
      <c r="EX5" s="86"/>
      <c r="EY5" s="86"/>
      <c r="EZ5" s="86"/>
      <c r="FA5" s="86"/>
    </row>
    <row r="6" spans="2:157" ht="10.050000000000001" customHeight="1">
      <c r="B6" s="33"/>
      <c r="C6" s="33"/>
      <c r="D6" s="33"/>
      <c r="E6" s="33"/>
      <c r="F6" s="33"/>
      <c r="G6" s="33"/>
      <c r="H6" s="33"/>
      <c r="J6" s="101"/>
      <c r="K6" s="101"/>
      <c r="L6" s="101"/>
      <c r="Z6" s="86"/>
      <c r="AA6" s="86"/>
      <c r="AB6" s="86"/>
      <c r="AC6" s="86"/>
      <c r="AD6" s="86"/>
      <c r="AE6" s="86"/>
      <c r="AF6" s="86"/>
      <c r="AG6" s="86"/>
      <c r="AH6" s="86"/>
      <c r="AI6" s="86"/>
      <c r="AJ6" s="86"/>
      <c r="AK6" s="86"/>
      <c r="AL6" s="86"/>
      <c r="AM6" s="86"/>
      <c r="AN6" s="86"/>
      <c r="AO6" s="86"/>
      <c r="AP6" s="86"/>
      <c r="AQ6" s="86"/>
      <c r="AR6" s="86"/>
      <c r="AS6" s="86"/>
      <c r="AT6" s="86"/>
      <c r="AU6" s="86"/>
      <c r="AV6" s="86"/>
      <c r="AW6" s="86"/>
      <c r="AX6" s="86"/>
      <c r="AY6" s="86"/>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c r="CZ6" s="86"/>
      <c r="DA6" s="86"/>
      <c r="DB6" s="86"/>
      <c r="DC6" s="86"/>
      <c r="DD6" s="86"/>
      <c r="DE6" s="86"/>
      <c r="DF6" s="86"/>
      <c r="DG6" s="86"/>
      <c r="DH6" s="86"/>
      <c r="DI6" s="86"/>
      <c r="DJ6" s="86"/>
      <c r="DK6" s="86"/>
      <c r="DL6" s="86"/>
      <c r="DM6" s="86"/>
      <c r="DN6" s="86"/>
      <c r="DO6" s="86"/>
      <c r="DP6" s="86"/>
      <c r="DQ6" s="86"/>
      <c r="DR6" s="86"/>
      <c r="DS6" s="86"/>
      <c r="DT6" s="86"/>
      <c r="DU6" s="86"/>
      <c r="DV6" s="86"/>
      <c r="DW6" s="86"/>
      <c r="DX6" s="86"/>
      <c r="DY6" s="86"/>
      <c r="DZ6" s="86"/>
      <c r="EA6" s="86"/>
      <c r="EB6" s="86"/>
      <c r="EC6" s="86"/>
      <c r="ED6" s="86"/>
      <c r="EE6" s="86"/>
      <c r="EF6" s="86"/>
      <c r="EG6" s="86"/>
      <c r="EH6" s="86"/>
      <c r="EI6" s="86"/>
      <c r="EJ6" s="86"/>
      <c r="EK6" s="86"/>
      <c r="EL6" s="86"/>
      <c r="EM6" s="86"/>
      <c r="EN6" s="86"/>
      <c r="EO6" s="86"/>
      <c r="EP6" s="86"/>
      <c r="EQ6" s="86"/>
      <c r="ER6" s="86"/>
      <c r="ES6" s="86"/>
      <c r="ET6" s="86"/>
      <c r="EU6" s="86"/>
      <c r="EV6" s="86"/>
      <c r="EW6" s="86"/>
      <c r="EX6" s="86"/>
      <c r="EY6" s="86"/>
      <c r="EZ6" s="86"/>
      <c r="FA6" s="86"/>
    </row>
    <row r="7" spans="2:157" ht="10.95" customHeight="1">
      <c r="B7" s="1347" t="s">
        <v>510</v>
      </c>
      <c r="C7" s="1348"/>
      <c r="D7" s="1345"/>
      <c r="E7" s="1346"/>
      <c r="F7" s="842"/>
      <c r="G7" s="837" t="s">
        <v>4</v>
      </c>
      <c r="H7" s="856"/>
      <c r="J7" s="101"/>
      <c r="K7" s="101"/>
      <c r="L7" s="101"/>
      <c r="Z7" s="86"/>
      <c r="AA7" s="86"/>
      <c r="AB7" s="86"/>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6"/>
      <c r="BF7" s="86"/>
      <c r="BG7" s="86"/>
      <c r="BH7" s="86"/>
      <c r="BI7" s="86"/>
      <c r="BJ7" s="86"/>
      <c r="BK7" s="86"/>
      <c r="BL7" s="86"/>
      <c r="BM7" s="86"/>
      <c r="BN7" s="86"/>
      <c r="BO7" s="86"/>
      <c r="BP7" s="86"/>
      <c r="BQ7" s="86"/>
      <c r="BR7" s="86"/>
      <c r="BS7" s="86"/>
      <c r="BT7" s="86"/>
      <c r="BU7" s="86"/>
      <c r="BV7" s="86"/>
      <c r="BW7" s="86"/>
      <c r="BX7" s="86"/>
      <c r="BY7" s="86"/>
      <c r="BZ7" s="86"/>
      <c r="CA7" s="86"/>
      <c r="CB7" s="86"/>
      <c r="CC7" s="86"/>
      <c r="CD7" s="86"/>
      <c r="CE7" s="86"/>
      <c r="CF7" s="86"/>
      <c r="CG7" s="86"/>
      <c r="CH7" s="86"/>
      <c r="CI7" s="86"/>
      <c r="CJ7" s="86"/>
      <c r="CK7" s="86"/>
      <c r="CL7" s="86"/>
      <c r="CM7" s="86"/>
      <c r="CN7" s="86"/>
      <c r="CO7" s="86"/>
      <c r="CP7" s="86"/>
      <c r="CQ7" s="86"/>
      <c r="CR7" s="86"/>
      <c r="CS7" s="86"/>
      <c r="CT7" s="86"/>
      <c r="CU7" s="86"/>
      <c r="CV7" s="86"/>
      <c r="CW7" s="86"/>
      <c r="CX7" s="86"/>
      <c r="CY7" s="86"/>
      <c r="CZ7" s="86"/>
      <c r="DA7" s="86"/>
      <c r="DB7" s="86"/>
      <c r="DC7" s="86"/>
      <c r="DD7" s="86"/>
      <c r="DE7" s="86"/>
      <c r="DF7" s="86"/>
      <c r="DG7" s="86"/>
      <c r="DH7" s="86"/>
      <c r="DI7" s="86"/>
      <c r="DJ7" s="86"/>
      <c r="DK7" s="86"/>
      <c r="DL7" s="86"/>
      <c r="DM7" s="86"/>
      <c r="DN7" s="86"/>
      <c r="DO7" s="86"/>
      <c r="DP7" s="86"/>
      <c r="DQ7" s="86"/>
      <c r="DR7" s="86"/>
      <c r="DS7" s="86"/>
      <c r="DT7" s="86"/>
      <c r="DU7" s="86"/>
      <c r="DV7" s="86"/>
      <c r="DW7" s="86"/>
      <c r="DX7" s="86"/>
      <c r="DY7" s="86"/>
      <c r="DZ7" s="86"/>
      <c r="EA7" s="86"/>
      <c r="EB7" s="86"/>
      <c r="EC7" s="86"/>
      <c r="ED7" s="86"/>
      <c r="EE7" s="86"/>
      <c r="EF7" s="86"/>
      <c r="EG7" s="86"/>
      <c r="EH7" s="86"/>
      <c r="EI7" s="86"/>
      <c r="EJ7" s="86"/>
      <c r="EK7" s="86"/>
      <c r="EL7" s="86"/>
      <c r="EM7" s="86"/>
      <c r="EN7" s="86"/>
      <c r="EO7" s="86"/>
      <c r="EP7" s="86"/>
      <c r="EQ7" s="86"/>
      <c r="ER7" s="86"/>
      <c r="ES7" s="86"/>
      <c r="ET7" s="86"/>
      <c r="EU7" s="86"/>
      <c r="EV7" s="86"/>
      <c r="EW7" s="86"/>
      <c r="EX7" s="86"/>
      <c r="EY7" s="86"/>
      <c r="EZ7" s="86"/>
      <c r="FA7" s="86"/>
    </row>
    <row r="8" spans="2:157" ht="10.95" customHeight="1">
      <c r="B8" s="1347" t="s">
        <v>582</v>
      </c>
      <c r="C8" s="1349"/>
      <c r="D8" s="1345"/>
      <c r="E8" s="1346"/>
      <c r="F8" s="839"/>
      <c r="G8" s="853" t="s">
        <v>345</v>
      </c>
      <c r="H8" s="854">
        <f>ROUND(1/(SUM(H11:H21)),2)</f>
        <v>5.88</v>
      </c>
      <c r="J8" s="101"/>
      <c r="K8" s="101"/>
      <c r="L8" s="101"/>
      <c r="Z8" s="86"/>
      <c r="AA8" s="86"/>
      <c r="AB8" s="86"/>
      <c r="AC8" s="86"/>
      <c r="AD8" s="86"/>
      <c r="AE8" s="86"/>
      <c r="AF8" s="86"/>
      <c r="AG8" s="86"/>
      <c r="AH8" s="86"/>
      <c r="AI8" s="86"/>
      <c r="AJ8" s="86"/>
      <c r="AK8" s="86"/>
      <c r="AL8" s="86"/>
      <c r="AM8" s="86"/>
      <c r="AN8" s="86"/>
      <c r="AO8" s="86"/>
      <c r="AP8" s="86"/>
      <c r="AQ8" s="86"/>
      <c r="AR8" s="86"/>
      <c r="AS8" s="86"/>
      <c r="AT8" s="86"/>
      <c r="AU8" s="86"/>
      <c r="AV8" s="86"/>
      <c r="AW8" s="86"/>
      <c r="AX8" s="86"/>
      <c r="AY8" s="86"/>
      <c r="AZ8" s="86"/>
      <c r="BA8" s="86"/>
      <c r="BB8" s="86"/>
      <c r="BC8" s="86"/>
      <c r="BD8" s="86"/>
      <c r="BE8" s="86"/>
      <c r="BF8" s="86"/>
      <c r="BG8" s="86"/>
      <c r="BH8" s="86"/>
      <c r="BI8" s="86"/>
      <c r="BJ8" s="86"/>
      <c r="BK8" s="86"/>
      <c r="BL8" s="86"/>
      <c r="BM8" s="86"/>
      <c r="BN8" s="86"/>
      <c r="BO8" s="86"/>
      <c r="BP8" s="86"/>
      <c r="BQ8" s="86"/>
      <c r="BR8" s="86"/>
      <c r="BS8" s="86"/>
      <c r="BT8" s="86"/>
      <c r="BU8" s="86"/>
      <c r="BV8" s="86"/>
      <c r="BW8" s="86"/>
      <c r="BX8" s="86"/>
      <c r="BY8" s="86"/>
      <c r="BZ8" s="86"/>
      <c r="CA8" s="86"/>
      <c r="CB8" s="86"/>
      <c r="CC8" s="86"/>
      <c r="CD8" s="86"/>
      <c r="CE8" s="86"/>
      <c r="CF8" s="86"/>
      <c r="CG8" s="86"/>
      <c r="CH8" s="86"/>
      <c r="CI8" s="86"/>
      <c r="CJ8" s="86"/>
      <c r="CK8" s="86"/>
      <c r="CL8" s="86"/>
      <c r="CM8" s="86"/>
      <c r="CN8" s="86"/>
      <c r="CO8" s="86"/>
      <c r="CP8" s="86"/>
      <c r="CQ8" s="86"/>
      <c r="CR8" s="86"/>
      <c r="CS8" s="86"/>
      <c r="CT8" s="86"/>
      <c r="CU8" s="86"/>
      <c r="CV8" s="86"/>
      <c r="CW8" s="86"/>
      <c r="CX8" s="86"/>
      <c r="CY8" s="86"/>
      <c r="CZ8" s="86"/>
      <c r="DA8" s="86"/>
      <c r="DB8" s="86"/>
      <c r="DC8" s="86"/>
      <c r="DD8" s="86"/>
      <c r="DE8" s="86"/>
      <c r="DF8" s="86"/>
      <c r="DG8" s="86"/>
      <c r="DH8" s="86"/>
      <c r="DI8" s="86"/>
      <c r="DJ8" s="86"/>
      <c r="DK8" s="86"/>
      <c r="DL8" s="86"/>
      <c r="DM8" s="86"/>
      <c r="DN8" s="86"/>
      <c r="DO8" s="86"/>
      <c r="DP8" s="86"/>
      <c r="DQ8" s="86"/>
      <c r="DR8" s="86"/>
      <c r="DS8" s="86"/>
      <c r="DT8" s="86"/>
      <c r="DU8" s="86"/>
      <c r="DV8" s="86"/>
      <c r="DW8" s="86"/>
      <c r="DX8" s="86"/>
      <c r="DY8" s="86"/>
      <c r="DZ8" s="86"/>
      <c r="EA8" s="86"/>
      <c r="EB8" s="86"/>
      <c r="EC8" s="86"/>
      <c r="ED8" s="86"/>
      <c r="EE8" s="86"/>
      <c r="EF8" s="86"/>
      <c r="EG8" s="86"/>
      <c r="EH8" s="86"/>
      <c r="EI8" s="86"/>
      <c r="EJ8" s="86"/>
      <c r="EK8" s="86"/>
      <c r="EL8" s="86"/>
      <c r="EM8" s="86"/>
      <c r="EN8" s="86"/>
      <c r="EO8" s="86"/>
      <c r="EP8" s="86"/>
      <c r="EQ8" s="86"/>
      <c r="ER8" s="86"/>
      <c r="ES8" s="86"/>
      <c r="ET8" s="86"/>
      <c r="EU8" s="86"/>
      <c r="EV8" s="86"/>
      <c r="EW8" s="86"/>
      <c r="EX8" s="86"/>
      <c r="EY8" s="86"/>
      <c r="EZ8" s="86"/>
      <c r="FA8" s="86"/>
    </row>
    <row r="9" spans="2:157">
      <c r="B9" s="839"/>
      <c r="C9" s="839"/>
      <c r="D9" s="844"/>
      <c r="E9" s="839"/>
      <c r="F9" s="839"/>
      <c r="G9" s="852"/>
      <c r="H9" s="850"/>
      <c r="J9" s="101"/>
      <c r="K9" s="101"/>
      <c r="L9" s="101"/>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c r="BI9" s="86"/>
      <c r="BJ9" s="86"/>
      <c r="BK9" s="86"/>
      <c r="BL9" s="86"/>
      <c r="BM9" s="86"/>
      <c r="BN9" s="86"/>
      <c r="BO9" s="86"/>
      <c r="BP9" s="86"/>
      <c r="BQ9" s="86"/>
      <c r="BR9" s="86"/>
      <c r="BS9" s="86"/>
      <c r="BT9" s="86"/>
      <c r="BU9" s="86"/>
      <c r="BV9" s="86"/>
      <c r="BW9" s="86"/>
      <c r="BX9" s="86"/>
      <c r="BY9" s="86"/>
      <c r="BZ9" s="86"/>
      <c r="CA9" s="86"/>
      <c r="CB9" s="86"/>
      <c r="CC9" s="86"/>
      <c r="CD9" s="86"/>
      <c r="CE9" s="86"/>
      <c r="CF9" s="86"/>
      <c r="CG9" s="86"/>
      <c r="CH9" s="86"/>
      <c r="CI9" s="86"/>
      <c r="CJ9" s="86"/>
      <c r="CK9" s="86"/>
      <c r="CL9" s="86"/>
      <c r="CM9" s="86"/>
      <c r="CN9" s="86"/>
      <c r="CO9" s="86"/>
      <c r="CP9" s="86"/>
      <c r="CQ9" s="86"/>
      <c r="CR9" s="86"/>
      <c r="CS9" s="86"/>
      <c r="CT9" s="86"/>
      <c r="CU9" s="86"/>
      <c r="CV9" s="86"/>
      <c r="CW9" s="86"/>
      <c r="CX9" s="86"/>
      <c r="CY9" s="86"/>
      <c r="CZ9" s="86"/>
      <c r="DA9" s="86"/>
      <c r="DB9" s="86"/>
      <c r="DC9" s="86"/>
      <c r="DD9" s="86"/>
      <c r="DE9" s="86"/>
      <c r="DF9" s="86"/>
      <c r="DG9" s="86"/>
      <c r="DH9" s="86"/>
      <c r="DI9" s="86"/>
      <c r="DJ9" s="86"/>
      <c r="DK9" s="86"/>
      <c r="DL9" s="86"/>
      <c r="DM9" s="86"/>
      <c r="DN9" s="86"/>
      <c r="DO9" s="86"/>
      <c r="DP9" s="86"/>
      <c r="DQ9" s="86"/>
      <c r="DR9" s="86"/>
      <c r="DS9" s="86"/>
      <c r="DT9" s="86"/>
      <c r="DU9" s="86"/>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row>
    <row r="10" spans="2:157" s="25" customFormat="1" ht="12.75" customHeight="1">
      <c r="B10" s="844" t="s">
        <v>349</v>
      </c>
      <c r="C10" s="1352" t="s">
        <v>344</v>
      </c>
      <c r="D10" s="1352"/>
      <c r="E10" s="87"/>
      <c r="F10" s="846" t="s">
        <v>170</v>
      </c>
      <c r="G10" s="847" t="s">
        <v>361</v>
      </c>
      <c r="H10" s="846" t="s">
        <v>281</v>
      </c>
      <c r="I10" s="99"/>
      <c r="J10" s="101"/>
      <c r="K10" s="101"/>
      <c r="L10" s="101"/>
      <c r="M10" s="99"/>
      <c r="N10" s="99"/>
      <c r="O10" s="99"/>
      <c r="P10" s="99"/>
      <c r="Q10" s="99"/>
      <c r="R10" s="99"/>
      <c r="S10" s="99"/>
      <c r="T10" s="99"/>
      <c r="U10" s="99"/>
      <c r="V10" s="99"/>
      <c r="W10" s="99"/>
      <c r="X10" s="99"/>
      <c r="Y10" s="99"/>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7"/>
      <c r="CN10" s="87"/>
      <c r="CO10" s="87"/>
      <c r="CP10" s="87"/>
      <c r="CQ10" s="87"/>
      <c r="CR10" s="87"/>
      <c r="CS10" s="87"/>
      <c r="CT10" s="87"/>
      <c r="CU10" s="87"/>
      <c r="CV10" s="87"/>
      <c r="CW10" s="87"/>
      <c r="CX10" s="87"/>
      <c r="CY10" s="87"/>
      <c r="CZ10" s="87"/>
      <c r="DA10" s="87"/>
      <c r="DB10" s="87"/>
      <c r="DC10" s="87"/>
      <c r="DD10" s="87"/>
      <c r="DE10" s="87"/>
      <c r="DF10" s="87"/>
      <c r="DG10" s="87"/>
      <c r="DH10" s="87"/>
      <c r="DI10" s="87"/>
      <c r="DJ10" s="87"/>
      <c r="DK10" s="87"/>
      <c r="DL10" s="87"/>
      <c r="DM10" s="87"/>
      <c r="DN10" s="87"/>
      <c r="DO10" s="87"/>
      <c r="DP10" s="87"/>
      <c r="DQ10" s="87"/>
      <c r="DR10" s="87"/>
      <c r="DS10" s="87"/>
      <c r="DT10" s="87"/>
      <c r="DU10" s="87"/>
      <c r="DV10" s="87"/>
      <c r="DW10" s="87"/>
      <c r="DX10" s="87"/>
      <c r="DY10" s="87"/>
      <c r="DZ10" s="87"/>
      <c r="EA10" s="87"/>
      <c r="EB10" s="87"/>
      <c r="EC10" s="87"/>
      <c r="ED10" s="87"/>
      <c r="EE10" s="87"/>
      <c r="EF10" s="87"/>
      <c r="EG10" s="87"/>
      <c r="EH10" s="87"/>
      <c r="EI10" s="87"/>
      <c r="EJ10" s="87"/>
      <c r="EK10" s="87"/>
      <c r="EL10" s="87"/>
      <c r="EM10" s="87"/>
      <c r="EN10" s="87"/>
      <c r="EO10" s="87"/>
      <c r="EP10" s="87"/>
      <c r="EQ10" s="87"/>
      <c r="ER10" s="87"/>
      <c r="ES10" s="87"/>
      <c r="ET10" s="87"/>
      <c r="EU10" s="87"/>
      <c r="EV10" s="87"/>
      <c r="EW10" s="87"/>
      <c r="EX10" s="87"/>
      <c r="EY10" s="87"/>
      <c r="EZ10" s="87"/>
      <c r="FA10" s="87"/>
    </row>
    <row r="11" spans="2:157" s="25" customFormat="1" ht="10.050000000000001" customHeight="1">
      <c r="B11" s="845" t="s">
        <v>546</v>
      </c>
      <c r="C11" s="1350" t="s">
        <v>106</v>
      </c>
      <c r="D11" s="1350"/>
      <c r="E11" s="87"/>
      <c r="F11" s="848" t="s">
        <v>546</v>
      </c>
      <c r="G11" s="848" t="s">
        <v>546</v>
      </c>
      <c r="H11" s="1016">
        <v>0.13</v>
      </c>
      <c r="I11" s="99"/>
      <c r="J11" s="101"/>
      <c r="K11" s="101"/>
      <c r="L11" s="101"/>
      <c r="M11" s="99"/>
      <c r="N11" s="99"/>
      <c r="O11" s="99"/>
      <c r="P11" s="99"/>
      <c r="Q11" s="99"/>
      <c r="R11" s="99"/>
      <c r="S11" s="99"/>
      <c r="T11" s="99"/>
      <c r="U11" s="99"/>
      <c r="V11" s="99"/>
      <c r="W11" s="99"/>
      <c r="X11" s="99"/>
      <c r="Y11" s="99"/>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S11" s="87"/>
      <c r="BT11" s="87"/>
      <c r="BU11" s="87"/>
      <c r="BV11" s="87"/>
      <c r="BW11" s="87"/>
      <c r="BX11" s="87"/>
      <c r="BY11" s="87"/>
      <c r="BZ11" s="87"/>
      <c r="CA11" s="87"/>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c r="CZ11" s="87"/>
      <c r="DA11" s="87"/>
      <c r="DB11" s="87"/>
      <c r="DC11" s="87"/>
      <c r="DD11" s="87"/>
      <c r="DE11" s="87"/>
      <c r="DF11" s="87"/>
      <c r="DG11" s="87"/>
      <c r="DH11" s="87"/>
      <c r="DI11" s="87"/>
      <c r="DJ11" s="87"/>
      <c r="DK11" s="87"/>
      <c r="DL11" s="87"/>
      <c r="DM11" s="87"/>
      <c r="DN11" s="87"/>
      <c r="DO11" s="87"/>
      <c r="DP11" s="87"/>
      <c r="DQ11" s="87"/>
      <c r="DR11" s="87"/>
      <c r="DS11" s="87"/>
      <c r="DT11" s="87"/>
      <c r="DU11" s="87"/>
      <c r="DV11" s="87"/>
      <c r="DW11" s="87"/>
      <c r="DX11" s="87"/>
      <c r="DY11" s="87"/>
      <c r="DZ11" s="87"/>
      <c r="EA11" s="87"/>
      <c r="EB11" s="87"/>
      <c r="EC11" s="87"/>
      <c r="ED11" s="87"/>
      <c r="EE11" s="87"/>
      <c r="EF11" s="87"/>
      <c r="EG11" s="87"/>
      <c r="EH11" s="87"/>
      <c r="EI11" s="87"/>
      <c r="EJ11" s="87"/>
      <c r="EK11" s="87"/>
      <c r="EL11" s="87"/>
      <c r="EM11" s="87"/>
      <c r="EN11" s="87"/>
      <c r="EO11" s="87"/>
      <c r="EP11" s="87"/>
      <c r="EQ11" s="87"/>
      <c r="ER11" s="87"/>
      <c r="ES11" s="87"/>
      <c r="ET11" s="87"/>
      <c r="EU11" s="87"/>
      <c r="EV11" s="87"/>
      <c r="EW11" s="87"/>
      <c r="EX11" s="87"/>
      <c r="EY11" s="87"/>
      <c r="EZ11" s="87"/>
      <c r="FA11" s="87"/>
    </row>
    <row r="12" spans="2:157" ht="9.75" customHeight="1">
      <c r="B12" s="845">
        <v>1</v>
      </c>
      <c r="C12" s="1344"/>
      <c r="D12" s="1344"/>
      <c r="E12" s="1344"/>
      <c r="F12" s="857"/>
      <c r="G12" s="857"/>
      <c r="H12" s="875" t="str">
        <f t="shared" ref="H12:H20" si="0">IF(G12=0,"",(F12/(G12+0.00000000001)))</f>
        <v/>
      </c>
      <c r="J12" s="101"/>
      <c r="K12" s="101"/>
      <c r="L12" s="101"/>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86"/>
      <c r="BI12" s="86"/>
      <c r="BJ12" s="86"/>
      <c r="BK12" s="86"/>
      <c r="BL12" s="86"/>
      <c r="BM12" s="86"/>
      <c r="BN12" s="86"/>
      <c r="BO12" s="86"/>
      <c r="BP12" s="86"/>
      <c r="BQ12" s="86"/>
      <c r="BR12" s="86"/>
      <c r="BS12" s="86"/>
      <c r="BT12" s="86"/>
      <c r="BU12" s="86"/>
      <c r="BV12" s="86"/>
      <c r="BW12" s="86"/>
      <c r="BX12" s="86"/>
      <c r="BY12" s="86"/>
      <c r="BZ12" s="86"/>
      <c r="CA12" s="86"/>
      <c r="CB12" s="86"/>
      <c r="CC12" s="86"/>
      <c r="CD12" s="86"/>
      <c r="CE12" s="86"/>
      <c r="CF12" s="86"/>
      <c r="CG12" s="86"/>
      <c r="CH12" s="86"/>
      <c r="CI12" s="86"/>
      <c r="CJ12" s="86"/>
      <c r="CK12" s="86"/>
      <c r="CL12" s="86"/>
      <c r="CM12" s="86"/>
      <c r="CN12" s="86"/>
      <c r="CO12" s="86"/>
      <c r="CP12" s="86"/>
      <c r="CQ12" s="86"/>
      <c r="CR12" s="86"/>
      <c r="CS12" s="86"/>
      <c r="CT12" s="86"/>
      <c r="CU12" s="86"/>
      <c r="CV12" s="86"/>
      <c r="CW12" s="86"/>
      <c r="CX12" s="86"/>
      <c r="CY12" s="86"/>
      <c r="CZ12" s="86"/>
      <c r="DA12" s="86"/>
      <c r="DB12" s="86"/>
      <c r="DC12" s="86"/>
      <c r="DD12" s="86"/>
      <c r="DE12" s="86"/>
      <c r="DF12" s="86"/>
      <c r="DG12" s="86"/>
      <c r="DH12" s="86"/>
      <c r="DI12" s="86"/>
      <c r="DJ12" s="86"/>
      <c r="DK12" s="86"/>
      <c r="DL12" s="86"/>
      <c r="DM12" s="86"/>
      <c r="DN12" s="86"/>
      <c r="DO12" s="86"/>
      <c r="DP12" s="86"/>
      <c r="DQ12" s="86"/>
      <c r="DR12" s="86"/>
      <c r="DS12" s="86"/>
      <c r="DT12" s="86"/>
      <c r="DU12" s="86"/>
      <c r="DV12" s="86"/>
      <c r="DW12" s="86"/>
      <c r="DX12" s="86"/>
      <c r="DY12" s="86"/>
      <c r="DZ12" s="86"/>
      <c r="EA12" s="86"/>
      <c r="EB12" s="86"/>
      <c r="EC12" s="86"/>
      <c r="ED12" s="86"/>
      <c r="EE12" s="86"/>
      <c r="EF12" s="86"/>
      <c r="EG12" s="86"/>
      <c r="EH12" s="86"/>
      <c r="EI12" s="86"/>
      <c r="EJ12" s="86"/>
      <c r="EK12" s="86"/>
      <c r="EL12" s="86"/>
      <c r="EM12" s="86"/>
      <c r="EN12" s="86"/>
      <c r="EO12" s="86"/>
      <c r="EP12" s="86"/>
      <c r="EQ12" s="86"/>
      <c r="ER12" s="86"/>
      <c r="ES12" s="86"/>
      <c r="ET12" s="86"/>
      <c r="EU12" s="86"/>
      <c r="EV12" s="86"/>
      <c r="EW12" s="86"/>
      <c r="EX12" s="86"/>
      <c r="EY12" s="86"/>
      <c r="EZ12" s="86"/>
      <c r="FA12" s="86"/>
    </row>
    <row r="13" spans="2:157" ht="9.75" customHeight="1">
      <c r="B13" s="845">
        <v>2</v>
      </c>
      <c r="C13" s="1344"/>
      <c r="D13" s="1344"/>
      <c r="E13" s="1344"/>
      <c r="F13" s="857"/>
      <c r="G13" s="857"/>
      <c r="H13" s="875" t="str">
        <f t="shared" si="0"/>
        <v/>
      </c>
      <c r="J13" s="101"/>
      <c r="K13" s="101"/>
      <c r="L13" s="101"/>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c r="CO13" s="86"/>
      <c r="CP13" s="86"/>
      <c r="CQ13" s="86"/>
      <c r="CR13" s="86"/>
      <c r="CS13" s="86"/>
      <c r="CT13" s="86"/>
      <c r="CU13" s="86"/>
      <c r="CV13" s="86"/>
      <c r="CW13" s="86"/>
      <c r="CX13" s="86"/>
      <c r="CY13" s="86"/>
      <c r="CZ13" s="86"/>
      <c r="DA13" s="86"/>
      <c r="DB13" s="86"/>
      <c r="DC13" s="86"/>
      <c r="DD13" s="86"/>
      <c r="DE13" s="86"/>
      <c r="DF13" s="86"/>
      <c r="DG13" s="86"/>
      <c r="DH13" s="86"/>
      <c r="DI13" s="86"/>
      <c r="DJ13" s="86"/>
      <c r="DK13" s="86"/>
      <c r="DL13" s="86"/>
      <c r="DM13" s="86"/>
      <c r="DN13" s="86"/>
      <c r="DO13" s="86"/>
      <c r="DP13" s="86"/>
      <c r="DQ13" s="86"/>
      <c r="DR13" s="86"/>
      <c r="DS13" s="86"/>
      <c r="DT13" s="86"/>
      <c r="DU13" s="86"/>
      <c r="DV13" s="86"/>
      <c r="DW13" s="86"/>
      <c r="DX13" s="86"/>
      <c r="DY13" s="86"/>
      <c r="DZ13" s="86"/>
      <c r="EA13" s="86"/>
      <c r="EB13" s="86"/>
      <c r="EC13" s="86"/>
      <c r="ED13" s="86"/>
      <c r="EE13" s="86"/>
      <c r="EF13" s="86"/>
      <c r="EG13" s="86"/>
      <c r="EH13" s="86"/>
      <c r="EI13" s="86"/>
      <c r="EJ13" s="86"/>
      <c r="EK13" s="86"/>
      <c r="EL13" s="86"/>
      <c r="EM13" s="86"/>
      <c r="EN13" s="86"/>
      <c r="EO13" s="86"/>
      <c r="EP13" s="86"/>
      <c r="EQ13" s="86"/>
      <c r="ER13" s="86"/>
      <c r="ES13" s="86"/>
      <c r="ET13" s="86"/>
      <c r="EU13" s="86"/>
      <c r="EV13" s="86"/>
      <c r="EW13" s="86"/>
      <c r="EX13" s="86"/>
      <c r="EY13" s="86"/>
      <c r="EZ13" s="86"/>
      <c r="FA13" s="86"/>
    </row>
    <row r="14" spans="2:157" ht="9.75" customHeight="1">
      <c r="B14" s="845">
        <v>3</v>
      </c>
      <c r="C14" s="1344"/>
      <c r="D14" s="1344"/>
      <c r="E14" s="1344"/>
      <c r="F14" s="857"/>
      <c r="G14" s="857"/>
      <c r="H14" s="875" t="str">
        <f t="shared" si="0"/>
        <v/>
      </c>
      <c r="J14" s="101"/>
      <c r="K14" s="101"/>
      <c r="L14" s="101"/>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row>
    <row r="15" spans="2:157" ht="9.75" customHeight="1">
      <c r="B15" s="845">
        <v>4</v>
      </c>
      <c r="C15" s="1344"/>
      <c r="D15" s="1344"/>
      <c r="E15" s="1344"/>
      <c r="F15" s="857"/>
      <c r="G15" s="857"/>
      <c r="H15" s="875" t="str">
        <f t="shared" si="0"/>
        <v/>
      </c>
      <c r="J15" s="101"/>
      <c r="K15" s="101"/>
      <c r="L15" s="101"/>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row>
    <row r="16" spans="2:157" ht="9.75" customHeight="1">
      <c r="B16" s="845">
        <v>5</v>
      </c>
      <c r="C16" s="1344"/>
      <c r="D16" s="1344"/>
      <c r="E16" s="1344"/>
      <c r="F16" s="857"/>
      <c r="G16" s="857"/>
      <c r="H16" s="875" t="str">
        <f t="shared" si="0"/>
        <v/>
      </c>
      <c r="J16" s="101"/>
      <c r="K16" s="101"/>
      <c r="L16" s="101"/>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row>
    <row r="17" spans="2:157" ht="9.75" customHeight="1">
      <c r="B17" s="845">
        <v>6</v>
      </c>
      <c r="C17" s="1344"/>
      <c r="D17" s="1344"/>
      <c r="E17" s="1344"/>
      <c r="F17" s="857"/>
      <c r="G17" s="857"/>
      <c r="H17" s="875" t="str">
        <f t="shared" si="0"/>
        <v/>
      </c>
      <c r="J17" s="101"/>
      <c r="K17" s="101"/>
      <c r="L17" s="101"/>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row>
    <row r="18" spans="2:157" ht="9.75" customHeight="1">
      <c r="B18" s="845">
        <v>7</v>
      </c>
      <c r="C18" s="1344"/>
      <c r="D18" s="1344"/>
      <c r="E18" s="1344"/>
      <c r="F18" s="857"/>
      <c r="G18" s="857"/>
      <c r="H18" s="875" t="str">
        <f t="shared" si="0"/>
        <v/>
      </c>
      <c r="J18" s="101"/>
      <c r="K18" s="101"/>
      <c r="L18" s="101"/>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6"/>
      <c r="BA18" s="86"/>
      <c r="BB18" s="86"/>
      <c r="BC18" s="86"/>
      <c r="BD18" s="86"/>
      <c r="BE18" s="86"/>
      <c r="BF18" s="86"/>
      <c r="BG18" s="86"/>
      <c r="BH18" s="86"/>
      <c r="BI18" s="86"/>
      <c r="BJ18" s="86"/>
      <c r="BK18" s="86"/>
      <c r="BL18" s="86"/>
      <c r="BM18" s="86"/>
      <c r="BN18" s="86"/>
      <c r="BO18" s="86"/>
      <c r="BP18" s="86"/>
      <c r="BQ18" s="86"/>
      <c r="BR18" s="86"/>
      <c r="BS18" s="86"/>
      <c r="BT18" s="86"/>
      <c r="BU18" s="86"/>
      <c r="BV18" s="86"/>
      <c r="BW18" s="86"/>
      <c r="BX18" s="86"/>
      <c r="BY18" s="86"/>
      <c r="BZ18" s="86"/>
      <c r="CA18" s="86"/>
      <c r="CB18" s="86"/>
      <c r="CC18" s="86"/>
      <c r="CD18" s="86"/>
      <c r="CE18" s="86"/>
      <c r="CF18" s="86"/>
      <c r="CG18" s="86"/>
      <c r="CH18" s="86"/>
      <c r="CI18" s="86"/>
      <c r="CJ18" s="86"/>
      <c r="CK18" s="86"/>
      <c r="CL18" s="86"/>
      <c r="CM18" s="86"/>
      <c r="CN18" s="86"/>
      <c r="CO18" s="86"/>
      <c r="CP18" s="86"/>
      <c r="CQ18" s="86"/>
      <c r="CR18" s="86"/>
      <c r="CS18" s="86"/>
      <c r="CT18" s="86"/>
      <c r="CU18" s="86"/>
      <c r="CV18" s="86"/>
      <c r="CW18" s="86"/>
      <c r="CX18" s="86"/>
      <c r="CY18" s="86"/>
      <c r="CZ18" s="86"/>
      <c r="DA18" s="86"/>
      <c r="DB18" s="86"/>
      <c r="DC18" s="86"/>
      <c r="DD18" s="86"/>
      <c r="DE18" s="86"/>
      <c r="DF18" s="86"/>
      <c r="DG18" s="86"/>
      <c r="DH18" s="86"/>
      <c r="DI18" s="86"/>
      <c r="DJ18" s="86"/>
      <c r="DK18" s="86"/>
      <c r="DL18" s="86"/>
      <c r="DM18" s="86"/>
      <c r="DN18" s="86"/>
      <c r="DO18" s="86"/>
      <c r="DP18" s="86"/>
      <c r="DQ18" s="86"/>
      <c r="DR18" s="86"/>
      <c r="DS18" s="86"/>
      <c r="DT18" s="86"/>
      <c r="DU18" s="86"/>
      <c r="DV18" s="86"/>
      <c r="DW18" s="86"/>
      <c r="DX18" s="86"/>
      <c r="DY18" s="86"/>
      <c r="DZ18" s="86"/>
      <c r="EA18" s="86"/>
      <c r="EB18" s="86"/>
      <c r="EC18" s="86"/>
      <c r="ED18" s="86"/>
      <c r="EE18" s="86"/>
      <c r="EF18" s="86"/>
      <c r="EG18" s="86"/>
      <c r="EH18" s="86"/>
      <c r="EI18" s="86"/>
      <c r="EJ18" s="86"/>
      <c r="EK18" s="86"/>
      <c r="EL18" s="86"/>
      <c r="EM18" s="86"/>
      <c r="EN18" s="86"/>
      <c r="EO18" s="86"/>
      <c r="EP18" s="86"/>
      <c r="EQ18" s="86"/>
      <c r="ER18" s="86"/>
      <c r="ES18" s="86"/>
      <c r="ET18" s="86"/>
      <c r="EU18" s="86"/>
      <c r="EV18" s="86"/>
      <c r="EW18" s="86"/>
      <c r="EX18" s="86"/>
      <c r="EY18" s="86"/>
      <c r="EZ18" s="86"/>
      <c r="FA18" s="86"/>
    </row>
    <row r="19" spans="2:157" ht="9.75" customHeight="1">
      <c r="B19" s="845">
        <v>8</v>
      </c>
      <c r="C19" s="1344"/>
      <c r="D19" s="1344"/>
      <c r="E19" s="1344"/>
      <c r="F19" s="857"/>
      <c r="G19" s="857"/>
      <c r="H19" s="875" t="str">
        <f t="shared" si="0"/>
        <v/>
      </c>
      <c r="J19" s="101"/>
      <c r="K19" s="101"/>
      <c r="L19" s="101"/>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86"/>
      <c r="DD19" s="86"/>
      <c r="DE19" s="86"/>
      <c r="DF19" s="86"/>
      <c r="DG19" s="86"/>
      <c r="DH19" s="86"/>
      <c r="DI19" s="86"/>
      <c r="DJ19" s="86"/>
      <c r="DK19" s="86"/>
      <c r="DL19" s="86"/>
      <c r="DM19" s="86"/>
      <c r="DN19" s="86"/>
      <c r="DO19" s="86"/>
      <c r="DP19" s="86"/>
      <c r="DQ19" s="86"/>
      <c r="DR19" s="86"/>
      <c r="DS19" s="86"/>
      <c r="DT19" s="86"/>
      <c r="DU19" s="86"/>
      <c r="DV19" s="86"/>
      <c r="DW19" s="86"/>
      <c r="DX19" s="86"/>
      <c r="DY19" s="86"/>
      <c r="DZ19" s="86"/>
      <c r="EA19" s="86"/>
      <c r="EB19" s="86"/>
      <c r="EC19" s="86"/>
      <c r="ED19" s="86"/>
      <c r="EE19" s="86"/>
      <c r="EF19" s="86"/>
      <c r="EG19" s="86"/>
      <c r="EH19" s="86"/>
      <c r="EI19" s="86"/>
      <c r="EJ19" s="86"/>
      <c r="EK19" s="86"/>
      <c r="EL19" s="86"/>
      <c r="EM19" s="86"/>
      <c r="EN19" s="86"/>
      <c r="EO19" s="86"/>
      <c r="EP19" s="86"/>
      <c r="EQ19" s="86"/>
      <c r="ER19" s="86"/>
      <c r="ES19" s="86"/>
      <c r="ET19" s="86"/>
      <c r="EU19" s="86"/>
      <c r="EV19" s="86"/>
      <c r="EW19" s="86"/>
      <c r="EX19" s="86"/>
      <c r="EY19" s="86"/>
      <c r="EZ19" s="86"/>
      <c r="FA19" s="86"/>
    </row>
    <row r="20" spans="2:157" ht="9.75" customHeight="1">
      <c r="B20" s="845">
        <v>9</v>
      </c>
      <c r="C20" s="1344"/>
      <c r="D20" s="1344"/>
      <c r="E20" s="1344"/>
      <c r="F20" s="857"/>
      <c r="G20" s="857"/>
      <c r="H20" s="875" t="str">
        <f t="shared" si="0"/>
        <v/>
      </c>
      <c r="J20" s="101"/>
      <c r="K20" s="101"/>
      <c r="L20" s="101"/>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6"/>
      <c r="BW20" s="86"/>
      <c r="BX20" s="86"/>
      <c r="BY20" s="86"/>
      <c r="BZ20" s="86"/>
      <c r="CA20" s="86"/>
      <c r="CB20" s="86"/>
      <c r="CC20" s="86"/>
      <c r="CD20" s="86"/>
      <c r="CE20" s="86"/>
      <c r="CF20" s="86"/>
      <c r="CG20" s="86"/>
      <c r="CH20" s="86"/>
      <c r="CI20" s="86"/>
      <c r="CJ20" s="86"/>
      <c r="CK20" s="86"/>
      <c r="CL20" s="86"/>
      <c r="CM20" s="86"/>
      <c r="CN20" s="86"/>
      <c r="CO20" s="86"/>
      <c r="CP20" s="86"/>
      <c r="CQ20" s="86"/>
      <c r="CR20" s="86"/>
      <c r="CS20" s="86"/>
      <c r="CT20" s="86"/>
      <c r="CU20" s="86"/>
      <c r="CV20" s="86"/>
      <c r="CW20" s="86"/>
      <c r="CX20" s="86"/>
      <c r="CY20" s="86"/>
      <c r="CZ20" s="86"/>
      <c r="DA20" s="86"/>
      <c r="DB20" s="86"/>
      <c r="DC20" s="86"/>
      <c r="DD20" s="86"/>
      <c r="DE20" s="86"/>
      <c r="DF20" s="86"/>
      <c r="DG20" s="86"/>
      <c r="DH20" s="86"/>
      <c r="DI20" s="86"/>
      <c r="DJ20" s="86"/>
      <c r="DK20" s="86"/>
      <c r="DL20" s="86"/>
      <c r="DM20" s="86"/>
      <c r="DN20" s="86"/>
      <c r="DO20" s="86"/>
      <c r="DP20" s="86"/>
      <c r="DQ20" s="86"/>
      <c r="DR20" s="86"/>
      <c r="DS20" s="86"/>
      <c r="DT20" s="86"/>
      <c r="DU20" s="86"/>
      <c r="DV20" s="86"/>
      <c r="DW20" s="86"/>
      <c r="DX20" s="86"/>
      <c r="DY20" s="86"/>
      <c r="DZ20" s="86"/>
      <c r="EA20" s="86"/>
      <c r="EB20" s="86"/>
      <c r="EC20" s="86"/>
      <c r="ED20" s="86"/>
      <c r="EE20" s="86"/>
      <c r="EF20" s="86"/>
      <c r="EG20" s="86"/>
      <c r="EH20" s="86"/>
      <c r="EI20" s="86"/>
      <c r="EJ20" s="86"/>
      <c r="EK20" s="86"/>
      <c r="EL20" s="86"/>
      <c r="EM20" s="86"/>
      <c r="EN20" s="86"/>
      <c r="EO20" s="86"/>
      <c r="EP20" s="86"/>
      <c r="EQ20" s="86"/>
      <c r="ER20" s="86"/>
      <c r="ES20" s="86"/>
      <c r="ET20" s="86"/>
      <c r="EU20" s="86"/>
      <c r="EV20" s="86"/>
      <c r="EW20" s="86"/>
      <c r="EX20" s="86"/>
      <c r="EY20" s="86"/>
      <c r="EZ20" s="86"/>
      <c r="FA20" s="86"/>
    </row>
    <row r="21" spans="2:157" ht="10.050000000000001" customHeight="1">
      <c r="B21" s="845" t="s">
        <v>546</v>
      </c>
      <c r="C21" s="836" t="s">
        <v>73</v>
      </c>
      <c r="D21" s="839"/>
      <c r="E21" s="86"/>
      <c r="F21" s="848" t="s">
        <v>546</v>
      </c>
      <c r="G21" s="848" t="s">
        <v>546</v>
      </c>
      <c r="H21" s="858">
        <v>0.04</v>
      </c>
      <c r="J21" s="101"/>
      <c r="K21" s="101"/>
      <c r="L21" s="101"/>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6"/>
      <c r="CN21" s="86"/>
      <c r="CO21" s="86"/>
      <c r="CP21" s="86"/>
      <c r="CQ21" s="86"/>
      <c r="CR21" s="86"/>
      <c r="CS21" s="86"/>
      <c r="CT21" s="86"/>
      <c r="CU21" s="86"/>
      <c r="CV21" s="86"/>
      <c r="CW21" s="86"/>
      <c r="CX21" s="86"/>
      <c r="CY21" s="86"/>
      <c r="CZ21" s="86"/>
      <c r="DA21" s="86"/>
      <c r="DB21" s="86"/>
      <c r="DC21" s="86"/>
      <c r="DD21" s="86"/>
      <c r="DE21" s="86"/>
      <c r="DF21" s="86"/>
      <c r="DG21" s="86"/>
      <c r="DH21" s="86"/>
      <c r="DI21" s="86"/>
      <c r="DJ21" s="86"/>
      <c r="DK21" s="86"/>
      <c r="DL21" s="86"/>
      <c r="DM21" s="86"/>
      <c r="DN21" s="86"/>
      <c r="DO21" s="86"/>
      <c r="DP21" s="86"/>
      <c r="DQ21" s="86"/>
      <c r="DR21" s="86"/>
      <c r="DS21" s="86"/>
      <c r="DT21" s="86"/>
      <c r="DU21" s="86"/>
      <c r="DV21" s="86"/>
      <c r="DW21" s="86"/>
      <c r="DX21" s="86"/>
      <c r="DY21" s="86"/>
      <c r="DZ21" s="86"/>
      <c r="EA21" s="86"/>
      <c r="EB21" s="86"/>
      <c r="EC21" s="86"/>
      <c r="ED21" s="86"/>
      <c r="EE21" s="86"/>
      <c r="EF21" s="86"/>
      <c r="EG21" s="86"/>
      <c r="EH21" s="86"/>
      <c r="EI21" s="86"/>
      <c r="EJ21" s="86"/>
      <c r="EK21" s="86"/>
      <c r="EL21" s="86"/>
      <c r="EM21" s="86"/>
      <c r="EN21" s="86"/>
      <c r="EO21" s="86"/>
      <c r="EP21" s="86"/>
      <c r="EQ21" s="86"/>
      <c r="ER21" s="86"/>
      <c r="ES21" s="86"/>
      <c r="ET21" s="86"/>
      <c r="EU21" s="86"/>
      <c r="EV21" s="86"/>
      <c r="EW21" s="86"/>
      <c r="EX21" s="86"/>
      <c r="EY21" s="86"/>
      <c r="EZ21" s="86"/>
      <c r="FA21" s="86"/>
    </row>
    <row r="22" spans="2:157" ht="9.75" customHeight="1">
      <c r="B22" s="849"/>
      <c r="C22" s="849"/>
      <c r="D22" s="849"/>
      <c r="E22" s="849"/>
      <c r="F22" s="849"/>
      <c r="G22" s="849"/>
      <c r="H22" s="855"/>
      <c r="J22" s="101"/>
      <c r="K22" s="101"/>
      <c r="L22" s="101"/>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86"/>
      <c r="AY22" s="86"/>
      <c r="AZ22" s="86"/>
      <c r="BA22" s="86"/>
      <c r="BB22" s="86"/>
      <c r="BC22" s="86"/>
      <c r="BD22" s="86"/>
      <c r="BE22" s="86"/>
      <c r="BF22" s="86"/>
      <c r="BG22" s="86"/>
      <c r="BH22" s="86"/>
      <c r="BI22" s="86"/>
      <c r="BJ22" s="86"/>
      <c r="BK22" s="86"/>
      <c r="BL22" s="86"/>
      <c r="BM22" s="86"/>
      <c r="BN22" s="86"/>
      <c r="BO22" s="86"/>
      <c r="BP22" s="86"/>
      <c r="BQ22" s="86"/>
      <c r="BR22" s="86"/>
      <c r="BS22" s="86"/>
      <c r="BT22" s="86"/>
      <c r="BU22" s="86"/>
      <c r="BV22" s="86"/>
      <c r="BW22" s="86"/>
      <c r="BX22" s="86"/>
      <c r="BY22" s="86"/>
      <c r="BZ22" s="86"/>
      <c r="CA22" s="86"/>
      <c r="CB22" s="86"/>
      <c r="CC22" s="86"/>
      <c r="CD22" s="86"/>
      <c r="CE22" s="86"/>
      <c r="CF22" s="86"/>
      <c r="CG22" s="86"/>
      <c r="CH22" s="86"/>
      <c r="CI22" s="86"/>
      <c r="CJ22" s="86"/>
      <c r="CK22" s="86"/>
      <c r="CL22" s="86"/>
      <c r="CM22" s="86"/>
      <c r="CN22" s="86"/>
      <c r="CO22" s="86"/>
      <c r="CP22" s="86"/>
      <c r="CQ22" s="86"/>
      <c r="CR22" s="86"/>
      <c r="CS22" s="86"/>
      <c r="CT22" s="86"/>
      <c r="CU22" s="86"/>
      <c r="CV22" s="86"/>
      <c r="CW22" s="86"/>
      <c r="CX22" s="86"/>
      <c r="CY22" s="86"/>
      <c r="CZ22" s="86"/>
      <c r="DA22" s="86"/>
      <c r="DB22" s="86"/>
      <c r="DC22" s="86"/>
      <c r="DD22" s="86"/>
      <c r="DE22" s="86"/>
      <c r="DF22" s="86"/>
      <c r="DG22" s="86"/>
      <c r="DH22" s="86"/>
      <c r="DI22" s="86"/>
      <c r="DJ22" s="86"/>
      <c r="DK22" s="86"/>
      <c r="DL22" s="86"/>
      <c r="DM22" s="86"/>
      <c r="DN22" s="86"/>
      <c r="DO22" s="86"/>
      <c r="DP22" s="86"/>
      <c r="DQ22" s="86"/>
      <c r="DR22" s="86"/>
      <c r="DS22" s="86"/>
      <c r="DT22" s="86"/>
      <c r="DU22" s="86"/>
      <c r="DV22" s="86"/>
      <c r="DW22" s="86"/>
      <c r="DX22" s="86"/>
      <c r="DY22" s="86"/>
      <c r="DZ22" s="86"/>
      <c r="EA22" s="86"/>
      <c r="EB22" s="86"/>
      <c r="EC22" s="86"/>
      <c r="ED22" s="86"/>
      <c r="EE22" s="86"/>
      <c r="EF22" s="86"/>
      <c r="EG22" s="86"/>
      <c r="EH22" s="86"/>
      <c r="EI22" s="86"/>
      <c r="EJ22" s="86"/>
      <c r="EK22" s="86"/>
      <c r="EL22" s="86"/>
      <c r="EM22" s="86"/>
      <c r="EN22" s="86"/>
      <c r="EO22" s="86"/>
      <c r="EP22" s="86"/>
      <c r="EQ22" s="86"/>
      <c r="ER22" s="86"/>
      <c r="ES22" s="86"/>
      <c r="ET22" s="86"/>
      <c r="EU22" s="86"/>
      <c r="EV22" s="86"/>
      <c r="EW22" s="86"/>
      <c r="EX22" s="86"/>
      <c r="EY22" s="86"/>
      <c r="EZ22" s="86"/>
      <c r="FA22" s="86"/>
    </row>
    <row r="23" spans="2:157" ht="9.75" customHeight="1">
      <c r="D23" s="33"/>
      <c r="H23" s="851"/>
      <c r="J23" s="101"/>
      <c r="K23" s="101"/>
      <c r="L23" s="101"/>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c r="BQ23" s="86"/>
      <c r="BR23" s="86"/>
      <c r="BS23" s="86"/>
      <c r="BT23" s="86"/>
      <c r="BU23" s="86"/>
      <c r="BV23" s="86"/>
      <c r="BW23" s="86"/>
      <c r="BX23" s="86"/>
      <c r="BY23" s="86"/>
      <c r="BZ23" s="86"/>
      <c r="CA23" s="86"/>
      <c r="CB23" s="86"/>
      <c r="CC23" s="86"/>
      <c r="CD23" s="86"/>
      <c r="CE23" s="86"/>
      <c r="CF23" s="86"/>
      <c r="CG23" s="86"/>
      <c r="CH23" s="86"/>
      <c r="CI23" s="86"/>
      <c r="CJ23" s="86"/>
      <c r="CK23" s="86"/>
      <c r="CL23" s="86"/>
      <c r="CM23" s="86"/>
      <c r="CN23" s="86"/>
      <c r="CO23" s="86"/>
      <c r="CP23" s="86"/>
      <c r="CQ23" s="86"/>
      <c r="CR23" s="86"/>
      <c r="CS23" s="86"/>
      <c r="CT23" s="86"/>
      <c r="CU23" s="86"/>
      <c r="CV23" s="86"/>
      <c r="CW23" s="86"/>
      <c r="CX23" s="86"/>
      <c r="CY23" s="86"/>
      <c r="CZ23" s="86"/>
      <c r="DA23" s="86"/>
      <c r="DB23" s="86"/>
      <c r="DC23" s="86"/>
      <c r="DD23" s="86"/>
      <c r="DE23" s="86"/>
      <c r="DF23" s="86"/>
      <c r="DG23" s="86"/>
      <c r="DH23" s="86"/>
      <c r="DI23" s="86"/>
      <c r="DJ23" s="86"/>
      <c r="DK23" s="86"/>
      <c r="DL23" s="86"/>
      <c r="DM23" s="86"/>
      <c r="DN23" s="86"/>
      <c r="DO23" s="86"/>
      <c r="DP23" s="86"/>
      <c r="DQ23" s="86"/>
      <c r="DR23" s="86"/>
      <c r="DS23" s="86"/>
      <c r="DT23" s="86"/>
      <c r="DU23" s="86"/>
      <c r="DV23" s="86"/>
      <c r="DW23" s="86"/>
      <c r="DX23" s="86"/>
      <c r="DY23" s="86"/>
      <c r="DZ23" s="86"/>
      <c r="EA23" s="86"/>
      <c r="EB23" s="86"/>
      <c r="EC23" s="86"/>
      <c r="ED23" s="86"/>
      <c r="EE23" s="86"/>
      <c r="EF23" s="86"/>
      <c r="EG23" s="86"/>
      <c r="EH23" s="86"/>
      <c r="EI23" s="86"/>
      <c r="EJ23" s="86"/>
      <c r="EK23" s="86"/>
      <c r="EL23" s="86"/>
      <c r="EM23" s="86"/>
      <c r="EN23" s="86"/>
      <c r="EO23" s="86"/>
      <c r="EP23" s="86"/>
      <c r="EQ23" s="86"/>
      <c r="ER23" s="86"/>
      <c r="ES23" s="86"/>
      <c r="ET23" s="86"/>
      <c r="EU23" s="86"/>
      <c r="EV23" s="86"/>
      <c r="EW23" s="86"/>
      <c r="EX23" s="86"/>
      <c r="EY23" s="86"/>
      <c r="EZ23" s="86"/>
      <c r="FA23" s="86"/>
    </row>
    <row r="24" spans="2:157" ht="9.75" customHeight="1">
      <c r="B24" s="839"/>
      <c r="C24" s="839"/>
      <c r="D24" s="839"/>
      <c r="E24" s="839"/>
      <c r="F24" s="839"/>
      <c r="G24" s="839"/>
      <c r="H24" s="839"/>
      <c r="J24" s="101"/>
      <c r="K24" s="101"/>
      <c r="L24" s="101"/>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c r="DF24" s="86"/>
      <c r="DG24" s="86"/>
      <c r="DH24" s="86"/>
      <c r="DI24" s="86"/>
      <c r="DJ24" s="86"/>
      <c r="DK24" s="86"/>
      <c r="DL24" s="86"/>
      <c r="DM24" s="86"/>
      <c r="DN24" s="86"/>
      <c r="DO24" s="86"/>
      <c r="DP24" s="86"/>
      <c r="DQ24" s="86"/>
      <c r="DR24" s="86"/>
      <c r="DS24" s="86"/>
      <c r="DT24" s="86"/>
      <c r="DU24" s="86"/>
      <c r="DV24" s="86"/>
      <c r="DW24" s="86"/>
      <c r="DX24" s="86"/>
      <c r="DY24" s="86"/>
      <c r="DZ24" s="86"/>
      <c r="EA24" s="86"/>
      <c r="EB24" s="86"/>
      <c r="EC24" s="86"/>
      <c r="ED24" s="86"/>
      <c r="EE24" s="86"/>
      <c r="EF24" s="86"/>
      <c r="EG24" s="86"/>
      <c r="EH24" s="86"/>
      <c r="EI24" s="86"/>
      <c r="EJ24" s="86"/>
      <c r="EK24" s="86"/>
      <c r="EL24" s="86"/>
      <c r="EM24" s="86"/>
      <c r="EN24" s="86"/>
      <c r="EO24" s="86"/>
      <c r="EP24" s="86"/>
      <c r="EQ24" s="86"/>
      <c r="ER24" s="86"/>
      <c r="ES24" s="86"/>
      <c r="ET24" s="86"/>
      <c r="EU24" s="86"/>
      <c r="EV24" s="86"/>
      <c r="EW24" s="86"/>
      <c r="EX24" s="86"/>
      <c r="EY24" s="86"/>
      <c r="EZ24" s="86"/>
      <c r="FA24" s="86"/>
    </row>
    <row r="25" spans="2:157" customFormat="1" ht="9.75" customHeight="1">
      <c r="B25" s="840"/>
      <c r="C25" s="840"/>
      <c r="D25" s="840"/>
      <c r="E25" s="840"/>
      <c r="F25" s="840"/>
      <c r="G25" s="840"/>
      <c r="H25" s="840"/>
      <c r="I25" s="131"/>
      <c r="J25" s="101"/>
      <c r="K25" s="101"/>
      <c r="L25" s="101"/>
      <c r="M25" s="131"/>
      <c r="N25" s="131"/>
      <c r="O25" s="131"/>
      <c r="P25" s="131"/>
      <c r="Q25" s="131"/>
      <c r="R25" s="131"/>
      <c r="S25" s="131"/>
      <c r="T25" s="131"/>
      <c r="U25" s="131"/>
      <c r="V25" s="131"/>
      <c r="W25" s="131"/>
      <c r="X25" s="131"/>
      <c r="Y25" s="131"/>
      <c r="Z25" s="88"/>
      <c r="AA25" s="88"/>
      <c r="AB25" s="88"/>
      <c r="AC25" s="88"/>
      <c r="AD25" s="88"/>
      <c r="AE25" s="88"/>
      <c r="AF25" s="88"/>
      <c r="AG25" s="88"/>
      <c r="AH25" s="88"/>
      <c r="AI25" s="88"/>
      <c r="AJ25" s="88"/>
      <c r="AK25" s="88"/>
      <c r="AL25" s="88"/>
      <c r="AM25" s="88"/>
      <c r="AN25" s="88"/>
      <c r="AO25" s="88"/>
      <c r="AP25" s="88"/>
      <c r="AQ25" s="88"/>
      <c r="AR25" s="88"/>
      <c r="AS25" s="88"/>
      <c r="AT25" s="88"/>
      <c r="AU25" s="88"/>
      <c r="AV25" s="88"/>
      <c r="AW25" s="88"/>
      <c r="AX25" s="88"/>
      <c r="AY25" s="88"/>
      <c r="AZ25" s="88"/>
      <c r="BA25" s="88"/>
      <c r="BB25" s="88"/>
      <c r="BC25" s="88"/>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88"/>
      <c r="DP25" s="88"/>
      <c r="DQ25" s="88"/>
      <c r="DR25" s="88"/>
      <c r="DS25" s="88"/>
      <c r="DT25" s="88"/>
      <c r="DU25" s="88"/>
      <c r="DV25" s="88"/>
      <c r="DW25" s="88"/>
      <c r="DX25" s="88"/>
      <c r="DY25" s="88"/>
      <c r="DZ25" s="88"/>
      <c r="EA25" s="88"/>
      <c r="EB25" s="88"/>
      <c r="EC25" s="88"/>
      <c r="ED25" s="88"/>
      <c r="EE25" s="88"/>
      <c r="EF25" s="88"/>
      <c r="EG25" s="88"/>
      <c r="EH25" s="88"/>
      <c r="EI25" s="88"/>
      <c r="EJ25" s="88"/>
      <c r="EK25" s="88"/>
      <c r="EL25" s="88"/>
      <c r="EM25" s="88"/>
      <c r="EN25" s="88"/>
      <c r="EO25" s="88"/>
      <c r="EP25" s="88"/>
      <c r="EQ25" s="88"/>
      <c r="ER25" s="88"/>
      <c r="ES25" s="88"/>
      <c r="ET25" s="88"/>
      <c r="EU25" s="88"/>
      <c r="EV25" s="88"/>
      <c r="EW25" s="88"/>
      <c r="EX25" s="88"/>
      <c r="EY25" s="88"/>
      <c r="EZ25" s="88"/>
      <c r="FA25" s="88"/>
    </row>
    <row r="26" spans="2:157" customFormat="1" ht="10.95" customHeight="1">
      <c r="B26" s="1347" t="s">
        <v>510</v>
      </c>
      <c r="C26" s="1348"/>
      <c r="D26" s="1345"/>
      <c r="E26" s="1346"/>
      <c r="F26" s="842"/>
      <c r="G26" s="837" t="s">
        <v>4</v>
      </c>
      <c r="H26" s="856"/>
      <c r="I26" s="131"/>
      <c r="J26" s="101"/>
      <c r="K26" s="101"/>
      <c r="L26" s="101"/>
      <c r="M26" s="131"/>
      <c r="N26" s="131"/>
      <c r="O26" s="131"/>
      <c r="P26" s="131"/>
      <c r="Q26" s="131"/>
      <c r="R26" s="131"/>
      <c r="S26" s="131"/>
      <c r="T26" s="131"/>
      <c r="U26" s="131"/>
      <c r="V26" s="131"/>
      <c r="W26" s="131"/>
      <c r="X26" s="131"/>
      <c r="Y26" s="131"/>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8"/>
      <c r="BU26" s="88"/>
      <c r="BV26" s="88"/>
      <c r="BW26" s="88"/>
      <c r="BX26" s="88"/>
      <c r="BY26" s="88"/>
      <c r="BZ26" s="88"/>
      <c r="CA26" s="88"/>
      <c r="CB26" s="88"/>
      <c r="CC26" s="88"/>
      <c r="CD26" s="88"/>
      <c r="CE26" s="88"/>
      <c r="CF26" s="88"/>
      <c r="CG26" s="88"/>
      <c r="CH26" s="88"/>
      <c r="CI26" s="88"/>
      <c r="CJ26" s="88"/>
      <c r="CK26" s="88"/>
      <c r="CL26" s="88"/>
      <c r="CM26" s="88"/>
      <c r="CN26" s="88"/>
      <c r="CO26" s="88"/>
      <c r="CP26" s="88"/>
      <c r="CQ26" s="88"/>
      <c r="CR26" s="88"/>
      <c r="CS26" s="88"/>
      <c r="CT26" s="88"/>
      <c r="CU26" s="88"/>
      <c r="CV26" s="88"/>
      <c r="CW26" s="88"/>
      <c r="CX26" s="88"/>
      <c r="CY26" s="88"/>
      <c r="CZ26" s="88"/>
      <c r="DA26" s="88"/>
      <c r="DB26" s="88"/>
      <c r="DC26" s="88"/>
      <c r="DD26" s="88"/>
      <c r="DE26" s="88"/>
      <c r="DF26" s="88"/>
      <c r="DG26" s="88"/>
      <c r="DH26" s="88"/>
      <c r="DI26" s="88"/>
      <c r="DJ26" s="88"/>
      <c r="DK26" s="88"/>
      <c r="DL26" s="88"/>
      <c r="DM26" s="88"/>
      <c r="DN26" s="88"/>
      <c r="DO26" s="88"/>
      <c r="DP26" s="88"/>
      <c r="DQ26" s="88"/>
      <c r="DR26" s="88"/>
      <c r="DS26" s="88"/>
      <c r="DT26" s="88"/>
      <c r="DU26" s="88"/>
      <c r="DV26" s="88"/>
      <c r="DW26" s="88"/>
      <c r="DX26" s="88"/>
      <c r="DY26" s="88"/>
      <c r="DZ26" s="88"/>
      <c r="EA26" s="88"/>
      <c r="EB26" s="88"/>
      <c r="EC26" s="88"/>
      <c r="ED26" s="88"/>
      <c r="EE26" s="88"/>
      <c r="EF26" s="88"/>
      <c r="EG26" s="88"/>
      <c r="EH26" s="88"/>
      <c r="EI26" s="88"/>
      <c r="EJ26" s="88"/>
      <c r="EK26" s="88"/>
      <c r="EL26" s="88"/>
      <c r="EM26" s="88"/>
      <c r="EN26" s="88"/>
      <c r="EO26" s="88"/>
      <c r="EP26" s="88"/>
      <c r="EQ26" s="88"/>
      <c r="ER26" s="88"/>
      <c r="ES26" s="88"/>
      <c r="ET26" s="88"/>
      <c r="EU26" s="88"/>
      <c r="EV26" s="88"/>
      <c r="EW26" s="88"/>
      <c r="EX26" s="88"/>
      <c r="EY26" s="88"/>
      <c r="EZ26" s="88"/>
      <c r="FA26" s="88"/>
    </row>
    <row r="27" spans="2:157" customFormat="1" ht="10.95" customHeight="1">
      <c r="B27" s="1347" t="s">
        <v>582</v>
      </c>
      <c r="C27" s="1349"/>
      <c r="D27" s="1345"/>
      <c r="E27" s="1346"/>
      <c r="F27" s="839"/>
      <c r="G27" s="853" t="s">
        <v>345</v>
      </c>
      <c r="H27" s="854">
        <f>ROUND(1/(SUM(H30:H40)),2)</f>
        <v>5.88</v>
      </c>
      <c r="I27" s="131"/>
      <c r="J27" s="101"/>
      <c r="K27" s="101"/>
      <c r="L27" s="101"/>
      <c r="M27" s="131"/>
      <c r="N27" s="131"/>
      <c r="O27" s="131"/>
      <c r="P27" s="131"/>
      <c r="Q27" s="131"/>
      <c r="R27" s="131"/>
      <c r="S27" s="131"/>
      <c r="T27" s="131"/>
      <c r="U27" s="131"/>
      <c r="V27" s="131"/>
      <c r="W27" s="131"/>
      <c r="X27" s="131"/>
      <c r="Y27" s="131"/>
      <c r="Z27" s="88"/>
      <c r="AA27" s="88"/>
      <c r="AB27" s="88"/>
      <c r="AC27" s="88"/>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88"/>
      <c r="CB27" s="88"/>
      <c r="CC27" s="88"/>
      <c r="CD27" s="88"/>
      <c r="CE27" s="88"/>
      <c r="CF27" s="88"/>
      <c r="CG27" s="88"/>
      <c r="CH27" s="88"/>
      <c r="CI27" s="88"/>
      <c r="CJ27" s="88"/>
      <c r="CK27" s="88"/>
      <c r="CL27" s="88"/>
      <c r="CM27" s="88"/>
      <c r="CN27" s="88"/>
      <c r="CO27" s="88"/>
      <c r="CP27" s="88"/>
      <c r="CQ27" s="88"/>
      <c r="CR27" s="88"/>
      <c r="CS27" s="88"/>
      <c r="CT27" s="88"/>
      <c r="CU27" s="88"/>
      <c r="CV27" s="88"/>
      <c r="CW27" s="88"/>
      <c r="CX27" s="88"/>
      <c r="CY27" s="88"/>
      <c r="CZ27" s="88"/>
      <c r="DA27" s="88"/>
      <c r="DB27" s="88"/>
      <c r="DC27" s="88"/>
      <c r="DD27" s="88"/>
      <c r="DE27" s="88"/>
      <c r="DF27" s="88"/>
      <c r="DG27" s="88"/>
      <c r="DH27" s="88"/>
      <c r="DI27" s="88"/>
      <c r="DJ27" s="88"/>
      <c r="DK27" s="88"/>
      <c r="DL27" s="88"/>
      <c r="DM27" s="88"/>
      <c r="DN27" s="88"/>
      <c r="DO27" s="88"/>
      <c r="DP27" s="88"/>
      <c r="DQ27" s="88"/>
      <c r="DR27" s="88"/>
      <c r="DS27" s="88"/>
      <c r="DT27" s="88"/>
      <c r="DU27" s="88"/>
      <c r="DV27" s="88"/>
      <c r="DW27" s="88"/>
      <c r="DX27" s="88"/>
      <c r="DY27" s="88"/>
      <c r="DZ27" s="88"/>
      <c r="EA27" s="88"/>
      <c r="EB27" s="88"/>
      <c r="EC27" s="88"/>
      <c r="ED27" s="88"/>
      <c r="EE27" s="88"/>
      <c r="EF27" s="88"/>
      <c r="EG27" s="88"/>
      <c r="EH27" s="88"/>
      <c r="EI27" s="88"/>
      <c r="EJ27" s="88"/>
      <c r="EK27" s="88"/>
      <c r="EL27" s="88"/>
      <c r="EM27" s="88"/>
      <c r="EN27" s="88"/>
      <c r="EO27" s="88"/>
      <c r="EP27" s="88"/>
      <c r="EQ27" s="88"/>
      <c r="ER27" s="88"/>
      <c r="ES27" s="88"/>
      <c r="ET27" s="88"/>
      <c r="EU27" s="88"/>
      <c r="EV27" s="88"/>
      <c r="EW27" s="88"/>
      <c r="EX27" s="88"/>
      <c r="EY27" s="88"/>
      <c r="EZ27" s="88"/>
      <c r="FA27" s="88"/>
    </row>
    <row r="28" spans="2:157" customFormat="1" ht="9.75" customHeight="1">
      <c r="B28" s="839"/>
      <c r="C28" s="839"/>
      <c r="D28" s="844"/>
      <c r="E28" s="839"/>
      <c r="F28" s="839"/>
      <c r="G28" s="852"/>
      <c r="H28" s="850"/>
      <c r="I28" s="131"/>
      <c r="J28" s="101"/>
      <c r="K28" s="101"/>
      <c r="L28" s="101"/>
      <c r="M28" s="131"/>
      <c r="N28" s="131"/>
      <c r="O28" s="131"/>
      <c r="P28" s="131"/>
      <c r="Q28" s="131"/>
      <c r="R28" s="131"/>
      <c r="S28" s="131"/>
      <c r="T28" s="131"/>
      <c r="U28" s="131"/>
      <c r="V28" s="131"/>
      <c r="W28" s="131"/>
      <c r="X28" s="131"/>
      <c r="Y28" s="131"/>
      <c r="Z28" s="88"/>
      <c r="AA28" s="88"/>
      <c r="AB28" s="88"/>
      <c r="AC28" s="88"/>
      <c r="AD28" s="88"/>
      <c r="AE28" s="88"/>
      <c r="AF28" s="88"/>
      <c r="AG28" s="88"/>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c r="BQ28" s="88"/>
      <c r="BR28" s="88"/>
      <c r="BS28" s="88"/>
      <c r="BT28" s="88"/>
      <c r="BU28" s="88"/>
      <c r="BV28" s="88"/>
      <c r="BW28" s="88"/>
      <c r="BX28" s="88"/>
      <c r="BY28" s="88"/>
      <c r="BZ28" s="88"/>
      <c r="CA28" s="88"/>
      <c r="CB28" s="88"/>
      <c r="CC28" s="88"/>
      <c r="CD28" s="88"/>
      <c r="CE28" s="88"/>
      <c r="CF28" s="88"/>
      <c r="CG28" s="88"/>
      <c r="CH28" s="88"/>
      <c r="CI28" s="88"/>
      <c r="CJ28" s="88"/>
      <c r="CK28" s="88"/>
      <c r="CL28" s="88"/>
      <c r="CM28" s="88"/>
      <c r="CN28" s="88"/>
      <c r="CO28" s="88"/>
      <c r="CP28" s="88"/>
      <c r="CQ28" s="88"/>
      <c r="CR28" s="88"/>
      <c r="CS28" s="88"/>
      <c r="CT28" s="88"/>
      <c r="CU28" s="88"/>
      <c r="CV28" s="88"/>
      <c r="CW28" s="88"/>
      <c r="CX28" s="88"/>
      <c r="CY28" s="88"/>
      <c r="CZ28" s="88"/>
      <c r="DA28" s="88"/>
      <c r="DB28" s="88"/>
      <c r="DC28" s="88"/>
      <c r="DD28" s="88"/>
      <c r="DE28" s="88"/>
      <c r="DF28" s="88"/>
      <c r="DG28" s="88"/>
      <c r="DH28" s="88"/>
      <c r="DI28" s="88"/>
      <c r="DJ28" s="88"/>
      <c r="DK28" s="88"/>
      <c r="DL28" s="88"/>
      <c r="DM28" s="88"/>
      <c r="DN28" s="88"/>
      <c r="DO28" s="88"/>
      <c r="DP28" s="88"/>
      <c r="DQ28" s="88"/>
      <c r="DR28" s="88"/>
      <c r="DS28" s="88"/>
      <c r="DT28" s="88"/>
      <c r="DU28" s="88"/>
      <c r="DV28" s="88"/>
      <c r="DW28" s="88"/>
      <c r="DX28" s="88"/>
      <c r="DY28" s="88"/>
      <c r="DZ28" s="88"/>
      <c r="EA28" s="88"/>
      <c r="EB28" s="88"/>
      <c r="EC28" s="88"/>
      <c r="ED28" s="88"/>
      <c r="EE28" s="88"/>
      <c r="EF28" s="88"/>
      <c r="EG28" s="88"/>
      <c r="EH28" s="88"/>
      <c r="EI28" s="88"/>
      <c r="EJ28" s="88"/>
      <c r="EK28" s="88"/>
      <c r="EL28" s="88"/>
      <c r="EM28" s="88"/>
      <c r="EN28" s="88"/>
      <c r="EO28" s="88"/>
      <c r="EP28" s="88"/>
      <c r="EQ28" s="88"/>
      <c r="ER28" s="88"/>
      <c r="ES28" s="88"/>
      <c r="ET28" s="88"/>
      <c r="EU28" s="88"/>
      <c r="EV28" s="88"/>
      <c r="EW28" s="88"/>
      <c r="EX28" s="88"/>
      <c r="EY28" s="88"/>
      <c r="EZ28" s="88"/>
      <c r="FA28" s="88"/>
    </row>
    <row r="29" spans="2:157" customFormat="1" ht="9.75" customHeight="1">
      <c r="B29" s="844" t="s">
        <v>349</v>
      </c>
      <c r="C29" s="1352" t="s">
        <v>344</v>
      </c>
      <c r="D29" s="1352"/>
      <c r="E29" s="87"/>
      <c r="F29" s="846" t="s">
        <v>170</v>
      </c>
      <c r="G29" s="847" t="s">
        <v>361</v>
      </c>
      <c r="H29" s="846" t="s">
        <v>281</v>
      </c>
      <c r="I29" s="131"/>
      <c r="J29" s="101"/>
      <c r="K29" s="101"/>
      <c r="L29" s="101"/>
      <c r="M29" s="131"/>
      <c r="N29" s="131"/>
      <c r="O29" s="131"/>
      <c r="P29" s="131"/>
      <c r="Q29" s="131"/>
      <c r="R29" s="131"/>
      <c r="S29" s="131"/>
      <c r="T29" s="131"/>
      <c r="U29" s="131"/>
      <c r="V29" s="131"/>
      <c r="W29" s="131"/>
      <c r="X29" s="131"/>
      <c r="Y29" s="131"/>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c r="DE29" s="88"/>
      <c r="DF29" s="88"/>
      <c r="DG29" s="88"/>
      <c r="DH29" s="88"/>
      <c r="DI29" s="88"/>
      <c r="DJ29" s="88"/>
      <c r="DK29" s="88"/>
      <c r="DL29" s="88"/>
      <c r="DM29" s="88"/>
      <c r="DN29" s="88"/>
      <c r="DO29" s="88"/>
      <c r="DP29" s="88"/>
      <c r="DQ29" s="88"/>
      <c r="DR29" s="88"/>
      <c r="DS29" s="88"/>
      <c r="DT29" s="88"/>
      <c r="DU29" s="88"/>
      <c r="DV29" s="88"/>
      <c r="DW29" s="88"/>
      <c r="DX29" s="88"/>
      <c r="DY29" s="88"/>
      <c r="DZ29" s="88"/>
      <c r="EA29" s="88"/>
      <c r="EB29" s="88"/>
      <c r="EC29" s="88"/>
      <c r="ED29" s="88"/>
      <c r="EE29" s="88"/>
      <c r="EF29" s="88"/>
      <c r="EG29" s="88"/>
      <c r="EH29" s="88"/>
      <c r="EI29" s="88"/>
      <c r="EJ29" s="88"/>
      <c r="EK29" s="88"/>
      <c r="EL29" s="88"/>
      <c r="EM29" s="88"/>
      <c r="EN29" s="88"/>
      <c r="EO29" s="88"/>
      <c r="EP29" s="88"/>
      <c r="EQ29" s="88"/>
      <c r="ER29" s="88"/>
      <c r="ES29" s="88"/>
      <c r="ET29" s="88"/>
      <c r="EU29" s="88"/>
      <c r="EV29" s="88"/>
      <c r="EW29" s="88"/>
      <c r="EX29" s="88"/>
      <c r="EY29" s="88"/>
      <c r="EZ29" s="88"/>
      <c r="FA29" s="88"/>
    </row>
    <row r="30" spans="2:157" customFormat="1" ht="10.050000000000001" customHeight="1">
      <c r="B30" s="845" t="s">
        <v>546</v>
      </c>
      <c r="C30" s="1350" t="s">
        <v>106</v>
      </c>
      <c r="D30" s="1350"/>
      <c r="E30" s="87"/>
      <c r="F30" s="848" t="s">
        <v>546</v>
      </c>
      <c r="G30" s="848" t="s">
        <v>546</v>
      </c>
      <c r="H30" s="1016">
        <v>0.13</v>
      </c>
      <c r="I30" s="131"/>
      <c r="J30" s="101"/>
      <c r="K30" s="101"/>
      <c r="L30" s="101"/>
      <c r="M30" s="131"/>
      <c r="N30" s="131"/>
      <c r="O30" s="131"/>
      <c r="P30" s="131"/>
      <c r="Q30" s="131"/>
      <c r="R30" s="131"/>
      <c r="S30" s="131"/>
      <c r="T30" s="131"/>
      <c r="U30" s="131"/>
      <c r="V30" s="131"/>
      <c r="W30" s="131"/>
      <c r="X30" s="131"/>
      <c r="Y30" s="131"/>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c r="CK30" s="88"/>
      <c r="CL30" s="88"/>
      <c r="CM30" s="88"/>
      <c r="CN30" s="88"/>
      <c r="CO30" s="88"/>
      <c r="CP30" s="88"/>
      <c r="CQ30" s="88"/>
      <c r="CR30" s="88"/>
      <c r="CS30" s="88"/>
      <c r="CT30" s="88"/>
      <c r="CU30" s="88"/>
      <c r="CV30" s="88"/>
      <c r="CW30" s="88"/>
      <c r="CX30" s="88"/>
      <c r="CY30" s="88"/>
      <c r="CZ30" s="88"/>
      <c r="DA30" s="88"/>
      <c r="DB30" s="88"/>
      <c r="DC30" s="88"/>
      <c r="DD30" s="88"/>
      <c r="DE30" s="88"/>
      <c r="DF30" s="88"/>
      <c r="DG30" s="88"/>
      <c r="DH30" s="88"/>
      <c r="DI30" s="88"/>
      <c r="DJ30" s="88"/>
      <c r="DK30" s="88"/>
      <c r="DL30" s="88"/>
      <c r="DM30" s="88"/>
      <c r="DN30" s="88"/>
      <c r="DO30" s="88"/>
      <c r="DP30" s="88"/>
      <c r="DQ30" s="88"/>
      <c r="DR30" s="88"/>
      <c r="DS30" s="88"/>
      <c r="DT30" s="88"/>
      <c r="DU30" s="88"/>
      <c r="DV30" s="88"/>
      <c r="DW30" s="88"/>
      <c r="DX30" s="88"/>
      <c r="DY30" s="88"/>
      <c r="DZ30" s="88"/>
      <c r="EA30" s="88"/>
      <c r="EB30" s="88"/>
      <c r="EC30" s="88"/>
      <c r="ED30" s="88"/>
      <c r="EE30" s="88"/>
      <c r="EF30" s="88"/>
      <c r="EG30" s="88"/>
      <c r="EH30" s="88"/>
      <c r="EI30" s="88"/>
      <c r="EJ30" s="88"/>
      <c r="EK30" s="88"/>
      <c r="EL30" s="88"/>
      <c r="EM30" s="88"/>
      <c r="EN30" s="88"/>
      <c r="EO30" s="88"/>
      <c r="EP30" s="88"/>
      <c r="EQ30" s="88"/>
      <c r="ER30" s="88"/>
      <c r="ES30" s="88"/>
      <c r="ET30" s="88"/>
      <c r="EU30" s="88"/>
      <c r="EV30" s="88"/>
      <c r="EW30" s="88"/>
      <c r="EX30" s="88"/>
      <c r="EY30" s="88"/>
      <c r="EZ30" s="88"/>
      <c r="FA30" s="88"/>
    </row>
    <row r="31" spans="2:157" customFormat="1" ht="9.75" customHeight="1">
      <c r="B31" s="845">
        <v>1</v>
      </c>
      <c r="C31" s="1344"/>
      <c r="D31" s="1344"/>
      <c r="E31" s="1344"/>
      <c r="F31" s="857"/>
      <c r="G31" s="857"/>
      <c r="H31" s="875" t="str">
        <f t="shared" ref="H31:H39" si="1">IF(G31=0,"",(F31/(G31+0.00000000001)))</f>
        <v/>
      </c>
      <c r="I31" s="131"/>
      <c r="J31" s="101"/>
      <c r="K31" s="101"/>
      <c r="L31" s="101"/>
      <c r="M31" s="131"/>
      <c r="N31" s="131"/>
      <c r="O31" s="131"/>
      <c r="P31" s="131"/>
      <c r="Q31" s="131"/>
      <c r="R31" s="131"/>
      <c r="S31" s="131"/>
      <c r="T31" s="131"/>
      <c r="U31" s="131"/>
      <c r="V31" s="131"/>
      <c r="W31" s="131"/>
      <c r="X31" s="131"/>
      <c r="Y31" s="131"/>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c r="CK31" s="88"/>
      <c r="CL31" s="88"/>
      <c r="CM31" s="88"/>
      <c r="CN31" s="88"/>
      <c r="CO31" s="88"/>
      <c r="CP31" s="88"/>
      <c r="CQ31" s="88"/>
      <c r="CR31" s="88"/>
      <c r="CS31" s="88"/>
      <c r="CT31" s="88"/>
      <c r="CU31" s="88"/>
      <c r="CV31" s="88"/>
      <c r="CW31" s="88"/>
      <c r="CX31" s="88"/>
      <c r="CY31" s="88"/>
      <c r="CZ31" s="88"/>
      <c r="DA31" s="88"/>
      <c r="DB31" s="88"/>
      <c r="DC31" s="88"/>
      <c r="DD31" s="88"/>
      <c r="DE31" s="88"/>
      <c r="DF31" s="88"/>
      <c r="DG31" s="88"/>
      <c r="DH31" s="88"/>
      <c r="DI31" s="88"/>
      <c r="DJ31" s="88"/>
      <c r="DK31" s="88"/>
      <c r="DL31" s="88"/>
      <c r="DM31" s="88"/>
      <c r="DN31" s="88"/>
      <c r="DO31" s="88"/>
      <c r="DP31" s="88"/>
      <c r="DQ31" s="88"/>
      <c r="DR31" s="88"/>
      <c r="DS31" s="88"/>
      <c r="DT31" s="88"/>
      <c r="DU31" s="88"/>
      <c r="DV31" s="88"/>
      <c r="DW31" s="88"/>
      <c r="DX31" s="88"/>
      <c r="DY31" s="88"/>
      <c r="DZ31" s="88"/>
      <c r="EA31" s="88"/>
      <c r="EB31" s="88"/>
      <c r="EC31" s="88"/>
      <c r="ED31" s="88"/>
      <c r="EE31" s="88"/>
      <c r="EF31" s="88"/>
      <c r="EG31" s="88"/>
      <c r="EH31" s="88"/>
      <c r="EI31" s="88"/>
      <c r="EJ31" s="88"/>
      <c r="EK31" s="88"/>
      <c r="EL31" s="88"/>
      <c r="EM31" s="88"/>
      <c r="EN31" s="88"/>
      <c r="EO31" s="88"/>
      <c r="EP31" s="88"/>
      <c r="EQ31" s="88"/>
      <c r="ER31" s="88"/>
      <c r="ES31" s="88"/>
      <c r="ET31" s="88"/>
      <c r="EU31" s="88"/>
      <c r="EV31" s="88"/>
      <c r="EW31" s="88"/>
      <c r="EX31" s="88"/>
      <c r="EY31" s="88"/>
      <c r="EZ31" s="88"/>
      <c r="FA31" s="88"/>
    </row>
    <row r="32" spans="2:157" customFormat="1" ht="9.75" customHeight="1">
      <c r="B32" s="845">
        <v>2</v>
      </c>
      <c r="C32" s="1344"/>
      <c r="D32" s="1344"/>
      <c r="E32" s="1344"/>
      <c r="F32" s="857"/>
      <c r="G32" s="857"/>
      <c r="H32" s="875" t="str">
        <f t="shared" si="1"/>
        <v/>
      </c>
      <c r="I32" s="131"/>
      <c r="J32" s="101"/>
      <c r="K32" s="101"/>
      <c r="L32" s="101"/>
      <c r="M32" s="131"/>
      <c r="N32" s="131"/>
      <c r="O32" s="131"/>
      <c r="P32" s="131"/>
      <c r="Q32" s="131"/>
      <c r="R32" s="131"/>
      <c r="S32" s="131"/>
      <c r="T32" s="131"/>
      <c r="U32" s="131"/>
      <c r="V32" s="131"/>
      <c r="W32" s="131"/>
      <c r="X32" s="131"/>
      <c r="Y32" s="131"/>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c r="CK32" s="88"/>
      <c r="CL32" s="88"/>
      <c r="CM32" s="88"/>
      <c r="CN32" s="88"/>
      <c r="CO32" s="88"/>
      <c r="CP32" s="88"/>
      <c r="CQ32" s="88"/>
      <c r="CR32" s="88"/>
      <c r="CS32" s="88"/>
      <c r="CT32" s="88"/>
      <c r="CU32" s="88"/>
      <c r="CV32" s="88"/>
      <c r="CW32" s="88"/>
      <c r="CX32" s="88"/>
      <c r="CY32" s="88"/>
      <c r="CZ32" s="88"/>
      <c r="DA32" s="88"/>
      <c r="DB32" s="88"/>
      <c r="DC32" s="88"/>
      <c r="DD32" s="88"/>
      <c r="DE32" s="88"/>
      <c r="DF32" s="88"/>
      <c r="DG32" s="88"/>
      <c r="DH32" s="88"/>
      <c r="DI32" s="88"/>
      <c r="DJ32" s="88"/>
      <c r="DK32" s="88"/>
      <c r="DL32" s="88"/>
      <c r="DM32" s="88"/>
      <c r="DN32" s="88"/>
      <c r="DO32" s="88"/>
      <c r="DP32" s="88"/>
      <c r="DQ32" s="88"/>
      <c r="DR32" s="88"/>
      <c r="DS32" s="88"/>
      <c r="DT32" s="88"/>
      <c r="DU32" s="88"/>
      <c r="DV32" s="88"/>
      <c r="DW32" s="88"/>
      <c r="DX32" s="88"/>
      <c r="DY32" s="88"/>
      <c r="DZ32" s="88"/>
      <c r="EA32" s="88"/>
      <c r="EB32" s="88"/>
      <c r="EC32" s="88"/>
      <c r="ED32" s="88"/>
      <c r="EE32" s="88"/>
      <c r="EF32" s="88"/>
      <c r="EG32" s="88"/>
      <c r="EH32" s="88"/>
      <c r="EI32" s="88"/>
      <c r="EJ32" s="88"/>
      <c r="EK32" s="88"/>
      <c r="EL32" s="88"/>
      <c r="EM32" s="88"/>
      <c r="EN32" s="88"/>
      <c r="EO32" s="88"/>
      <c r="EP32" s="88"/>
      <c r="EQ32" s="88"/>
      <c r="ER32" s="88"/>
      <c r="ES32" s="88"/>
      <c r="ET32" s="88"/>
      <c r="EU32" s="88"/>
      <c r="EV32" s="88"/>
      <c r="EW32" s="88"/>
      <c r="EX32" s="88"/>
      <c r="EY32" s="88"/>
      <c r="EZ32" s="88"/>
      <c r="FA32" s="88"/>
    </row>
    <row r="33" spans="2:157" customFormat="1" ht="9.75" customHeight="1">
      <c r="B33" s="845">
        <v>3</v>
      </c>
      <c r="C33" s="1344"/>
      <c r="D33" s="1344"/>
      <c r="E33" s="1344"/>
      <c r="F33" s="857"/>
      <c r="G33" s="857"/>
      <c r="H33" s="875" t="str">
        <f t="shared" si="1"/>
        <v/>
      </c>
      <c r="I33" s="131"/>
      <c r="J33" s="101"/>
      <c r="K33" s="101"/>
      <c r="L33" s="101"/>
      <c r="M33" s="131"/>
      <c r="N33" s="131"/>
      <c r="O33" s="131"/>
      <c r="P33" s="131"/>
      <c r="Q33" s="131"/>
      <c r="R33" s="131"/>
      <c r="S33" s="131"/>
      <c r="T33" s="131"/>
      <c r="U33" s="131"/>
      <c r="V33" s="131"/>
      <c r="W33" s="131"/>
      <c r="X33" s="131"/>
      <c r="Y33" s="131"/>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c r="BM33" s="88"/>
      <c r="BN33" s="88"/>
      <c r="BO33" s="88"/>
      <c r="BP33" s="88"/>
      <c r="BQ33" s="88"/>
      <c r="BR33" s="88"/>
      <c r="BS33" s="88"/>
      <c r="BT33" s="88"/>
      <c r="BU33" s="88"/>
      <c r="BV33" s="88"/>
      <c r="BW33" s="88"/>
      <c r="BX33" s="88"/>
      <c r="BY33" s="88"/>
      <c r="BZ33" s="88"/>
      <c r="CA33" s="88"/>
      <c r="CB33" s="88"/>
      <c r="CC33" s="88"/>
      <c r="CD33" s="88"/>
      <c r="CE33" s="88"/>
      <c r="CF33" s="88"/>
      <c r="CG33" s="88"/>
      <c r="CH33" s="88"/>
      <c r="CI33" s="88"/>
      <c r="CJ33" s="88"/>
      <c r="CK33" s="88"/>
      <c r="CL33" s="88"/>
      <c r="CM33" s="88"/>
      <c r="CN33" s="88"/>
      <c r="CO33" s="88"/>
      <c r="CP33" s="88"/>
      <c r="CQ33" s="88"/>
      <c r="CR33" s="88"/>
      <c r="CS33" s="88"/>
      <c r="CT33" s="88"/>
      <c r="CU33" s="88"/>
      <c r="CV33" s="88"/>
      <c r="CW33" s="88"/>
      <c r="CX33" s="88"/>
      <c r="CY33" s="88"/>
      <c r="CZ33" s="88"/>
      <c r="DA33" s="88"/>
      <c r="DB33" s="88"/>
      <c r="DC33" s="88"/>
      <c r="DD33" s="88"/>
      <c r="DE33" s="88"/>
      <c r="DF33" s="88"/>
      <c r="DG33" s="88"/>
      <c r="DH33" s="88"/>
      <c r="DI33" s="88"/>
      <c r="DJ33" s="88"/>
      <c r="DK33" s="88"/>
      <c r="DL33" s="88"/>
      <c r="DM33" s="88"/>
      <c r="DN33" s="88"/>
      <c r="DO33" s="88"/>
      <c r="DP33" s="88"/>
      <c r="DQ33" s="88"/>
      <c r="DR33" s="88"/>
      <c r="DS33" s="88"/>
      <c r="DT33" s="88"/>
      <c r="DU33" s="88"/>
      <c r="DV33" s="88"/>
      <c r="DW33" s="88"/>
      <c r="DX33" s="88"/>
      <c r="DY33" s="88"/>
      <c r="DZ33" s="88"/>
      <c r="EA33" s="88"/>
      <c r="EB33" s="88"/>
      <c r="EC33" s="88"/>
      <c r="ED33" s="88"/>
      <c r="EE33" s="88"/>
      <c r="EF33" s="88"/>
      <c r="EG33" s="88"/>
      <c r="EH33" s="88"/>
      <c r="EI33" s="88"/>
      <c r="EJ33" s="88"/>
      <c r="EK33" s="88"/>
      <c r="EL33" s="88"/>
      <c r="EM33" s="88"/>
      <c r="EN33" s="88"/>
      <c r="EO33" s="88"/>
      <c r="EP33" s="88"/>
      <c r="EQ33" s="88"/>
      <c r="ER33" s="88"/>
      <c r="ES33" s="88"/>
      <c r="ET33" s="88"/>
      <c r="EU33" s="88"/>
      <c r="EV33" s="88"/>
      <c r="EW33" s="88"/>
      <c r="EX33" s="88"/>
      <c r="EY33" s="88"/>
      <c r="EZ33" s="88"/>
      <c r="FA33" s="88"/>
    </row>
    <row r="34" spans="2:157" customFormat="1" ht="9.75" customHeight="1">
      <c r="B34" s="845">
        <v>4</v>
      </c>
      <c r="C34" s="1344"/>
      <c r="D34" s="1344"/>
      <c r="E34" s="1344"/>
      <c r="F34" s="857"/>
      <c r="G34" s="857"/>
      <c r="H34" s="875" t="str">
        <f t="shared" si="1"/>
        <v/>
      </c>
      <c r="I34" s="131"/>
      <c r="J34" s="101"/>
      <c r="K34" s="101"/>
      <c r="L34" s="101"/>
      <c r="M34" s="131"/>
      <c r="N34" s="131"/>
      <c r="O34" s="131"/>
      <c r="P34" s="131"/>
      <c r="Q34" s="131"/>
      <c r="R34" s="131"/>
      <c r="S34" s="131"/>
      <c r="T34" s="131"/>
      <c r="U34" s="131"/>
      <c r="V34" s="131"/>
      <c r="W34" s="131"/>
      <c r="X34" s="131"/>
      <c r="Y34" s="131"/>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8"/>
      <c r="BU34" s="88"/>
      <c r="BV34" s="88"/>
      <c r="BW34" s="88"/>
      <c r="BX34" s="88"/>
      <c r="BY34" s="88"/>
      <c r="BZ34" s="88"/>
      <c r="CA34" s="88"/>
      <c r="CB34" s="88"/>
      <c r="CC34" s="88"/>
      <c r="CD34" s="88"/>
      <c r="CE34" s="88"/>
      <c r="CF34" s="88"/>
      <c r="CG34" s="88"/>
      <c r="CH34" s="88"/>
      <c r="CI34" s="88"/>
      <c r="CJ34" s="88"/>
      <c r="CK34" s="88"/>
      <c r="CL34" s="88"/>
      <c r="CM34" s="88"/>
      <c r="CN34" s="88"/>
      <c r="CO34" s="88"/>
      <c r="CP34" s="88"/>
      <c r="CQ34" s="88"/>
      <c r="CR34" s="88"/>
      <c r="CS34" s="88"/>
      <c r="CT34" s="88"/>
      <c r="CU34" s="88"/>
      <c r="CV34" s="88"/>
      <c r="CW34" s="88"/>
      <c r="CX34" s="88"/>
      <c r="CY34" s="88"/>
      <c r="CZ34" s="88"/>
      <c r="DA34" s="88"/>
      <c r="DB34" s="88"/>
      <c r="DC34" s="88"/>
      <c r="DD34" s="88"/>
      <c r="DE34" s="88"/>
      <c r="DF34" s="88"/>
      <c r="DG34" s="88"/>
      <c r="DH34" s="88"/>
      <c r="DI34" s="88"/>
      <c r="DJ34" s="88"/>
      <c r="DK34" s="88"/>
      <c r="DL34" s="88"/>
      <c r="DM34" s="88"/>
      <c r="DN34" s="88"/>
      <c r="DO34" s="88"/>
      <c r="DP34" s="88"/>
      <c r="DQ34" s="88"/>
      <c r="DR34" s="88"/>
      <c r="DS34" s="88"/>
      <c r="DT34" s="88"/>
      <c r="DU34" s="88"/>
      <c r="DV34" s="88"/>
      <c r="DW34" s="88"/>
      <c r="DX34" s="88"/>
      <c r="DY34" s="88"/>
      <c r="DZ34" s="88"/>
      <c r="EA34" s="88"/>
      <c r="EB34" s="88"/>
      <c r="EC34" s="88"/>
      <c r="ED34" s="88"/>
      <c r="EE34" s="88"/>
      <c r="EF34" s="88"/>
      <c r="EG34" s="88"/>
      <c r="EH34" s="88"/>
      <c r="EI34" s="88"/>
      <c r="EJ34" s="88"/>
      <c r="EK34" s="88"/>
      <c r="EL34" s="88"/>
      <c r="EM34" s="88"/>
      <c r="EN34" s="88"/>
      <c r="EO34" s="88"/>
      <c r="EP34" s="88"/>
      <c r="EQ34" s="88"/>
      <c r="ER34" s="88"/>
      <c r="ES34" s="88"/>
      <c r="ET34" s="88"/>
      <c r="EU34" s="88"/>
      <c r="EV34" s="88"/>
      <c r="EW34" s="88"/>
      <c r="EX34" s="88"/>
      <c r="EY34" s="88"/>
      <c r="EZ34" s="88"/>
      <c r="FA34" s="88"/>
    </row>
    <row r="35" spans="2:157" customFormat="1" ht="9.75" customHeight="1">
      <c r="B35" s="845">
        <v>5</v>
      </c>
      <c r="C35" s="1344"/>
      <c r="D35" s="1344"/>
      <c r="E35" s="1344"/>
      <c r="F35" s="857"/>
      <c r="G35" s="857"/>
      <c r="H35" s="875" t="str">
        <f t="shared" si="1"/>
        <v/>
      </c>
      <c r="I35" s="131"/>
      <c r="J35" s="101"/>
      <c r="K35" s="101"/>
      <c r="L35" s="101"/>
      <c r="M35" s="131"/>
      <c r="N35" s="131"/>
      <c r="O35" s="131"/>
      <c r="P35" s="131"/>
      <c r="Q35" s="131"/>
      <c r="R35" s="131"/>
      <c r="S35" s="131"/>
      <c r="T35" s="131"/>
      <c r="U35" s="131"/>
      <c r="V35" s="131"/>
      <c r="W35" s="131"/>
      <c r="X35" s="131"/>
      <c r="Y35" s="131"/>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c r="CK35" s="88"/>
      <c r="CL35" s="88"/>
      <c r="CM35" s="88"/>
      <c r="CN35" s="88"/>
      <c r="CO35" s="88"/>
      <c r="CP35" s="88"/>
      <c r="CQ35" s="88"/>
      <c r="CR35" s="88"/>
      <c r="CS35" s="88"/>
      <c r="CT35" s="88"/>
      <c r="CU35" s="88"/>
      <c r="CV35" s="88"/>
      <c r="CW35" s="88"/>
      <c r="CX35" s="88"/>
      <c r="CY35" s="88"/>
      <c r="CZ35" s="88"/>
      <c r="DA35" s="88"/>
      <c r="DB35" s="88"/>
      <c r="DC35" s="88"/>
      <c r="DD35" s="88"/>
      <c r="DE35" s="88"/>
      <c r="DF35" s="88"/>
      <c r="DG35" s="88"/>
      <c r="DH35" s="88"/>
      <c r="DI35" s="88"/>
      <c r="DJ35" s="88"/>
      <c r="DK35" s="88"/>
      <c r="DL35" s="88"/>
      <c r="DM35" s="88"/>
      <c r="DN35" s="88"/>
      <c r="DO35" s="88"/>
      <c r="DP35" s="88"/>
      <c r="DQ35" s="88"/>
      <c r="DR35" s="88"/>
      <c r="DS35" s="88"/>
      <c r="DT35" s="88"/>
      <c r="DU35" s="88"/>
      <c r="DV35" s="88"/>
      <c r="DW35" s="88"/>
      <c r="DX35" s="88"/>
      <c r="DY35" s="88"/>
      <c r="DZ35" s="88"/>
      <c r="EA35" s="88"/>
      <c r="EB35" s="88"/>
      <c r="EC35" s="88"/>
      <c r="ED35" s="88"/>
      <c r="EE35" s="88"/>
      <c r="EF35" s="88"/>
      <c r="EG35" s="88"/>
      <c r="EH35" s="88"/>
      <c r="EI35" s="88"/>
      <c r="EJ35" s="88"/>
      <c r="EK35" s="88"/>
      <c r="EL35" s="88"/>
      <c r="EM35" s="88"/>
      <c r="EN35" s="88"/>
      <c r="EO35" s="88"/>
      <c r="EP35" s="88"/>
      <c r="EQ35" s="88"/>
      <c r="ER35" s="88"/>
      <c r="ES35" s="88"/>
      <c r="ET35" s="88"/>
      <c r="EU35" s="88"/>
      <c r="EV35" s="88"/>
      <c r="EW35" s="88"/>
      <c r="EX35" s="88"/>
      <c r="EY35" s="88"/>
      <c r="EZ35" s="88"/>
      <c r="FA35" s="88"/>
    </row>
    <row r="36" spans="2:157" ht="9.75" customHeight="1">
      <c r="B36" s="845">
        <v>6</v>
      </c>
      <c r="C36" s="1344"/>
      <c r="D36" s="1344"/>
      <c r="E36" s="1344"/>
      <c r="F36" s="857"/>
      <c r="G36" s="857"/>
      <c r="H36" s="875" t="str">
        <f t="shared" si="1"/>
        <v/>
      </c>
      <c r="J36" s="101"/>
      <c r="K36" s="101"/>
      <c r="L36" s="101"/>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6"/>
      <c r="BQ36" s="86"/>
      <c r="BR36" s="86"/>
      <c r="BS36" s="86"/>
      <c r="BT36" s="86"/>
      <c r="BU36" s="86"/>
      <c r="BV36" s="86"/>
      <c r="BW36" s="86"/>
      <c r="BX36" s="86"/>
      <c r="BY36" s="86"/>
      <c r="BZ36" s="86"/>
      <c r="CA36" s="86"/>
      <c r="CB36" s="86"/>
      <c r="CC36" s="86"/>
      <c r="CD36" s="86"/>
      <c r="CE36" s="86"/>
      <c r="CF36" s="86"/>
      <c r="CG36" s="86"/>
      <c r="CH36" s="86"/>
      <c r="CI36" s="86"/>
      <c r="CJ36" s="86"/>
      <c r="CK36" s="86"/>
      <c r="CL36" s="86"/>
      <c r="CM36" s="86"/>
      <c r="CN36" s="86"/>
      <c r="CO36" s="86"/>
      <c r="CP36" s="86"/>
      <c r="CQ36" s="86"/>
      <c r="CR36" s="86"/>
      <c r="CS36" s="86"/>
      <c r="CT36" s="86"/>
      <c r="CU36" s="86"/>
      <c r="CV36" s="86"/>
      <c r="CW36" s="86"/>
      <c r="CX36" s="86"/>
      <c r="CY36" s="86"/>
      <c r="CZ36" s="86"/>
      <c r="DA36" s="86"/>
      <c r="DB36" s="86"/>
      <c r="DC36" s="86"/>
      <c r="DD36" s="86"/>
      <c r="DE36" s="86"/>
      <c r="DF36" s="86"/>
      <c r="DG36" s="86"/>
      <c r="DH36" s="86"/>
      <c r="DI36" s="86"/>
      <c r="DJ36" s="86"/>
      <c r="DK36" s="86"/>
      <c r="DL36" s="86"/>
      <c r="DM36" s="86"/>
      <c r="DN36" s="86"/>
      <c r="DO36" s="86"/>
      <c r="DP36" s="86"/>
      <c r="DQ36" s="86"/>
      <c r="DR36" s="86"/>
      <c r="DS36" s="86"/>
      <c r="DT36" s="86"/>
      <c r="DU36" s="86"/>
      <c r="DV36" s="86"/>
      <c r="DW36" s="86"/>
      <c r="DX36" s="86"/>
      <c r="DY36" s="86"/>
      <c r="DZ36" s="86"/>
      <c r="EA36" s="86"/>
      <c r="EB36" s="86"/>
      <c r="EC36" s="86"/>
      <c r="ED36" s="86"/>
      <c r="EE36" s="86"/>
      <c r="EF36" s="86"/>
      <c r="EG36" s="86"/>
      <c r="EH36" s="86"/>
      <c r="EI36" s="86"/>
      <c r="EJ36" s="86"/>
      <c r="EK36" s="86"/>
      <c r="EL36" s="86"/>
      <c r="EM36" s="86"/>
      <c r="EN36" s="86"/>
      <c r="EO36" s="86"/>
      <c r="EP36" s="86"/>
      <c r="EQ36" s="86"/>
      <c r="ER36" s="86"/>
      <c r="ES36" s="86"/>
      <c r="ET36" s="86"/>
      <c r="EU36" s="86"/>
      <c r="EV36" s="86"/>
      <c r="EW36" s="86"/>
      <c r="EX36" s="86"/>
      <c r="EY36" s="86"/>
      <c r="EZ36" s="86"/>
      <c r="FA36" s="86"/>
    </row>
    <row r="37" spans="2:157" ht="9.75" customHeight="1">
      <c r="B37" s="845">
        <v>7</v>
      </c>
      <c r="C37" s="1344"/>
      <c r="D37" s="1344"/>
      <c r="E37" s="1344"/>
      <c r="F37" s="857"/>
      <c r="G37" s="857"/>
      <c r="H37" s="875" t="str">
        <f t="shared" si="1"/>
        <v/>
      </c>
      <c r="J37" s="101"/>
      <c r="K37" s="101"/>
      <c r="L37" s="101"/>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6"/>
      <c r="BR37" s="86"/>
      <c r="BS37" s="86"/>
      <c r="BT37" s="86"/>
      <c r="BU37" s="86"/>
      <c r="BV37" s="86"/>
      <c r="BW37" s="86"/>
      <c r="BX37" s="86"/>
      <c r="BY37" s="86"/>
      <c r="BZ37" s="86"/>
      <c r="CA37" s="86"/>
      <c r="CB37" s="86"/>
      <c r="CC37" s="86"/>
      <c r="CD37" s="86"/>
      <c r="CE37" s="86"/>
      <c r="CF37" s="86"/>
      <c r="CG37" s="86"/>
      <c r="CH37" s="86"/>
      <c r="CI37" s="86"/>
      <c r="CJ37" s="86"/>
      <c r="CK37" s="86"/>
      <c r="CL37" s="86"/>
      <c r="CM37" s="86"/>
      <c r="CN37" s="86"/>
      <c r="CO37" s="86"/>
      <c r="CP37" s="86"/>
      <c r="CQ37" s="86"/>
      <c r="CR37" s="86"/>
      <c r="CS37" s="86"/>
      <c r="CT37" s="86"/>
      <c r="CU37" s="86"/>
      <c r="CV37" s="86"/>
      <c r="CW37" s="86"/>
      <c r="CX37" s="86"/>
      <c r="CY37" s="86"/>
      <c r="CZ37" s="86"/>
      <c r="DA37" s="86"/>
      <c r="DB37" s="86"/>
      <c r="DC37" s="86"/>
      <c r="DD37" s="86"/>
      <c r="DE37" s="86"/>
      <c r="DF37" s="86"/>
      <c r="DG37" s="86"/>
      <c r="DH37" s="86"/>
      <c r="DI37" s="86"/>
      <c r="DJ37" s="86"/>
      <c r="DK37" s="86"/>
      <c r="DL37" s="86"/>
      <c r="DM37" s="86"/>
      <c r="DN37" s="86"/>
      <c r="DO37" s="86"/>
      <c r="DP37" s="86"/>
      <c r="DQ37" s="86"/>
      <c r="DR37" s="86"/>
      <c r="DS37" s="86"/>
      <c r="DT37" s="86"/>
      <c r="DU37" s="86"/>
      <c r="DV37" s="86"/>
      <c r="DW37" s="86"/>
      <c r="DX37" s="86"/>
      <c r="DY37" s="86"/>
      <c r="DZ37" s="86"/>
      <c r="EA37" s="86"/>
      <c r="EB37" s="86"/>
      <c r="EC37" s="86"/>
      <c r="ED37" s="86"/>
      <c r="EE37" s="86"/>
      <c r="EF37" s="86"/>
      <c r="EG37" s="86"/>
      <c r="EH37" s="86"/>
      <c r="EI37" s="86"/>
      <c r="EJ37" s="86"/>
      <c r="EK37" s="86"/>
      <c r="EL37" s="86"/>
      <c r="EM37" s="86"/>
      <c r="EN37" s="86"/>
      <c r="EO37" s="86"/>
      <c r="EP37" s="86"/>
      <c r="EQ37" s="86"/>
      <c r="ER37" s="86"/>
      <c r="ES37" s="86"/>
      <c r="ET37" s="86"/>
      <c r="EU37" s="86"/>
      <c r="EV37" s="86"/>
      <c r="EW37" s="86"/>
      <c r="EX37" s="86"/>
      <c r="EY37" s="86"/>
      <c r="EZ37" s="86"/>
      <c r="FA37" s="86"/>
    </row>
    <row r="38" spans="2:157" ht="9.75" customHeight="1">
      <c r="B38" s="845">
        <v>8</v>
      </c>
      <c r="C38" s="1344"/>
      <c r="D38" s="1344"/>
      <c r="E38" s="1344"/>
      <c r="F38" s="857"/>
      <c r="G38" s="857"/>
      <c r="H38" s="875" t="str">
        <f t="shared" si="1"/>
        <v/>
      </c>
      <c r="J38" s="101"/>
      <c r="K38" s="101"/>
      <c r="L38" s="101"/>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6"/>
      <c r="BQ38" s="86"/>
      <c r="BR38" s="86"/>
      <c r="BS38" s="86"/>
      <c r="BT38" s="86"/>
      <c r="BU38" s="86"/>
      <c r="BV38" s="86"/>
      <c r="BW38" s="86"/>
      <c r="BX38" s="86"/>
      <c r="BY38" s="86"/>
      <c r="BZ38" s="86"/>
      <c r="CA38" s="86"/>
      <c r="CB38" s="86"/>
      <c r="CC38" s="86"/>
      <c r="CD38" s="86"/>
      <c r="CE38" s="86"/>
      <c r="CF38" s="86"/>
      <c r="CG38" s="86"/>
      <c r="CH38" s="86"/>
      <c r="CI38" s="86"/>
      <c r="CJ38" s="86"/>
      <c r="CK38" s="86"/>
      <c r="CL38" s="86"/>
      <c r="CM38" s="86"/>
      <c r="CN38" s="86"/>
      <c r="CO38" s="86"/>
      <c r="CP38" s="86"/>
      <c r="CQ38" s="86"/>
      <c r="CR38" s="86"/>
      <c r="CS38" s="86"/>
      <c r="CT38" s="86"/>
      <c r="CU38" s="86"/>
      <c r="CV38" s="86"/>
      <c r="CW38" s="86"/>
      <c r="CX38" s="86"/>
      <c r="CY38" s="86"/>
      <c r="CZ38" s="86"/>
      <c r="DA38" s="86"/>
      <c r="DB38" s="86"/>
      <c r="DC38" s="86"/>
      <c r="DD38" s="86"/>
      <c r="DE38" s="86"/>
      <c r="DF38" s="86"/>
      <c r="DG38" s="86"/>
      <c r="DH38" s="86"/>
      <c r="DI38" s="86"/>
      <c r="DJ38" s="86"/>
      <c r="DK38" s="86"/>
      <c r="DL38" s="86"/>
      <c r="DM38" s="86"/>
      <c r="DN38" s="86"/>
      <c r="DO38" s="86"/>
      <c r="DP38" s="86"/>
      <c r="DQ38" s="86"/>
      <c r="DR38" s="86"/>
      <c r="DS38" s="86"/>
      <c r="DT38" s="86"/>
      <c r="DU38" s="86"/>
      <c r="DV38" s="86"/>
      <c r="DW38" s="86"/>
      <c r="DX38" s="86"/>
      <c r="DY38" s="86"/>
      <c r="DZ38" s="86"/>
      <c r="EA38" s="86"/>
      <c r="EB38" s="86"/>
      <c r="EC38" s="86"/>
      <c r="ED38" s="86"/>
      <c r="EE38" s="86"/>
      <c r="EF38" s="86"/>
      <c r="EG38" s="86"/>
      <c r="EH38" s="86"/>
      <c r="EI38" s="86"/>
      <c r="EJ38" s="86"/>
      <c r="EK38" s="86"/>
      <c r="EL38" s="86"/>
      <c r="EM38" s="86"/>
      <c r="EN38" s="86"/>
      <c r="EO38" s="86"/>
      <c r="EP38" s="86"/>
      <c r="EQ38" s="86"/>
      <c r="ER38" s="86"/>
      <c r="ES38" s="86"/>
      <c r="ET38" s="86"/>
      <c r="EU38" s="86"/>
      <c r="EV38" s="86"/>
      <c r="EW38" s="86"/>
      <c r="EX38" s="86"/>
      <c r="EY38" s="86"/>
      <c r="EZ38" s="86"/>
      <c r="FA38" s="86"/>
    </row>
    <row r="39" spans="2:157" ht="9.75" customHeight="1">
      <c r="B39" s="845">
        <v>9</v>
      </c>
      <c r="C39" s="1344"/>
      <c r="D39" s="1344"/>
      <c r="E39" s="1344"/>
      <c r="F39" s="857"/>
      <c r="G39" s="857"/>
      <c r="H39" s="875" t="str">
        <f t="shared" si="1"/>
        <v/>
      </c>
      <c r="J39" s="101"/>
      <c r="K39" s="101"/>
      <c r="L39" s="101"/>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6"/>
      <c r="BQ39" s="86"/>
      <c r="BR39" s="86"/>
      <c r="BS39" s="86"/>
      <c r="BT39" s="86"/>
      <c r="BU39" s="86"/>
      <c r="BV39" s="86"/>
      <c r="BW39" s="86"/>
      <c r="BX39" s="86"/>
      <c r="BY39" s="86"/>
      <c r="BZ39" s="86"/>
      <c r="CA39" s="86"/>
      <c r="CB39" s="86"/>
      <c r="CC39" s="86"/>
      <c r="CD39" s="86"/>
      <c r="CE39" s="86"/>
      <c r="CF39" s="86"/>
      <c r="CG39" s="86"/>
      <c r="CH39" s="86"/>
      <c r="CI39" s="86"/>
      <c r="CJ39" s="86"/>
      <c r="CK39" s="86"/>
      <c r="CL39" s="86"/>
      <c r="CM39" s="86"/>
      <c r="CN39" s="86"/>
      <c r="CO39" s="86"/>
      <c r="CP39" s="86"/>
      <c r="CQ39" s="86"/>
      <c r="CR39" s="86"/>
      <c r="CS39" s="86"/>
      <c r="CT39" s="86"/>
      <c r="CU39" s="86"/>
      <c r="CV39" s="86"/>
      <c r="CW39" s="86"/>
      <c r="CX39" s="86"/>
      <c r="CY39" s="86"/>
      <c r="CZ39" s="86"/>
      <c r="DA39" s="86"/>
      <c r="DB39" s="86"/>
      <c r="DC39" s="86"/>
      <c r="DD39" s="86"/>
      <c r="DE39" s="86"/>
      <c r="DF39" s="86"/>
      <c r="DG39" s="86"/>
      <c r="DH39" s="86"/>
      <c r="DI39" s="86"/>
      <c r="DJ39" s="86"/>
      <c r="DK39" s="86"/>
      <c r="DL39" s="86"/>
      <c r="DM39" s="86"/>
      <c r="DN39" s="86"/>
      <c r="DO39" s="86"/>
      <c r="DP39" s="86"/>
      <c r="DQ39" s="86"/>
      <c r="DR39" s="86"/>
      <c r="DS39" s="86"/>
      <c r="DT39" s="86"/>
      <c r="DU39" s="86"/>
      <c r="DV39" s="86"/>
      <c r="DW39" s="86"/>
      <c r="DX39" s="86"/>
      <c r="DY39" s="86"/>
      <c r="DZ39" s="86"/>
      <c r="EA39" s="86"/>
      <c r="EB39" s="86"/>
      <c r="EC39" s="86"/>
      <c r="ED39" s="86"/>
      <c r="EE39" s="86"/>
      <c r="EF39" s="86"/>
      <c r="EG39" s="86"/>
      <c r="EH39" s="86"/>
      <c r="EI39" s="86"/>
      <c r="EJ39" s="86"/>
      <c r="EK39" s="86"/>
      <c r="EL39" s="86"/>
      <c r="EM39" s="86"/>
      <c r="EN39" s="86"/>
      <c r="EO39" s="86"/>
      <c r="EP39" s="86"/>
      <c r="EQ39" s="86"/>
      <c r="ER39" s="86"/>
      <c r="ES39" s="86"/>
      <c r="ET39" s="86"/>
      <c r="EU39" s="86"/>
      <c r="EV39" s="86"/>
      <c r="EW39" s="86"/>
      <c r="EX39" s="86"/>
      <c r="EY39" s="86"/>
      <c r="EZ39" s="86"/>
      <c r="FA39" s="86"/>
    </row>
    <row r="40" spans="2:157" ht="10.050000000000001" customHeight="1">
      <c r="B40" s="845" t="s">
        <v>546</v>
      </c>
      <c r="C40" s="836" t="s">
        <v>73</v>
      </c>
      <c r="D40" s="839"/>
      <c r="E40" s="86"/>
      <c r="F40" s="848" t="s">
        <v>546</v>
      </c>
      <c r="G40" s="848" t="s">
        <v>546</v>
      </c>
      <c r="H40" s="858">
        <v>0.04</v>
      </c>
      <c r="J40" s="101"/>
      <c r="K40" s="101"/>
      <c r="L40" s="101"/>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c r="BG40" s="86"/>
      <c r="BH40" s="86"/>
      <c r="BI40" s="86"/>
      <c r="BJ40" s="86"/>
      <c r="BK40" s="86"/>
      <c r="BL40" s="86"/>
      <c r="BM40" s="86"/>
      <c r="BN40" s="86"/>
      <c r="BO40" s="86"/>
      <c r="BP40" s="86"/>
      <c r="BQ40" s="86"/>
      <c r="BR40" s="86"/>
      <c r="BS40" s="86"/>
      <c r="BT40" s="86"/>
      <c r="BU40" s="86"/>
      <c r="BV40" s="86"/>
      <c r="BW40" s="86"/>
      <c r="BX40" s="86"/>
      <c r="BY40" s="86"/>
      <c r="BZ40" s="86"/>
      <c r="CA40" s="86"/>
      <c r="CB40" s="86"/>
      <c r="CC40" s="86"/>
      <c r="CD40" s="86"/>
      <c r="CE40" s="86"/>
      <c r="CF40" s="86"/>
      <c r="CG40" s="86"/>
      <c r="CH40" s="86"/>
      <c r="CI40" s="86"/>
      <c r="CJ40" s="86"/>
      <c r="CK40" s="86"/>
      <c r="CL40" s="86"/>
      <c r="CM40" s="86"/>
      <c r="CN40" s="86"/>
      <c r="CO40" s="86"/>
      <c r="CP40" s="86"/>
      <c r="CQ40" s="86"/>
      <c r="CR40" s="86"/>
      <c r="CS40" s="86"/>
      <c r="CT40" s="86"/>
      <c r="CU40" s="86"/>
      <c r="CV40" s="86"/>
      <c r="CW40" s="86"/>
      <c r="CX40" s="86"/>
      <c r="CY40" s="86"/>
      <c r="CZ40" s="86"/>
      <c r="DA40" s="86"/>
      <c r="DB40" s="86"/>
      <c r="DC40" s="86"/>
      <c r="DD40" s="86"/>
      <c r="DE40" s="86"/>
      <c r="DF40" s="86"/>
      <c r="DG40" s="86"/>
      <c r="DH40" s="86"/>
      <c r="DI40" s="86"/>
      <c r="DJ40" s="86"/>
      <c r="DK40" s="86"/>
      <c r="DL40" s="86"/>
      <c r="DM40" s="86"/>
      <c r="DN40" s="86"/>
      <c r="DO40" s="86"/>
      <c r="DP40" s="86"/>
      <c r="DQ40" s="86"/>
      <c r="DR40" s="86"/>
      <c r="DS40" s="86"/>
      <c r="DT40" s="86"/>
      <c r="DU40" s="86"/>
      <c r="DV40" s="86"/>
      <c r="DW40" s="86"/>
      <c r="DX40" s="86"/>
      <c r="DY40" s="86"/>
      <c r="DZ40" s="86"/>
      <c r="EA40" s="86"/>
      <c r="EB40" s="86"/>
      <c r="EC40" s="86"/>
      <c r="ED40" s="86"/>
      <c r="EE40" s="86"/>
      <c r="EF40" s="86"/>
      <c r="EG40" s="86"/>
      <c r="EH40" s="86"/>
      <c r="EI40" s="86"/>
      <c r="EJ40" s="86"/>
      <c r="EK40" s="86"/>
      <c r="EL40" s="86"/>
      <c r="EM40" s="86"/>
      <c r="EN40" s="86"/>
      <c r="EO40" s="86"/>
      <c r="EP40" s="86"/>
      <c r="EQ40" s="86"/>
      <c r="ER40" s="86"/>
      <c r="ES40" s="86"/>
      <c r="ET40" s="86"/>
      <c r="EU40" s="86"/>
      <c r="EV40" s="86"/>
      <c r="EW40" s="86"/>
      <c r="EX40" s="86"/>
      <c r="EY40" s="86"/>
      <c r="EZ40" s="86"/>
      <c r="FA40" s="86"/>
    </row>
    <row r="41" spans="2:157" ht="9.75" customHeight="1">
      <c r="B41" s="849"/>
      <c r="C41" s="849"/>
      <c r="D41" s="849"/>
      <c r="E41" s="33"/>
      <c r="F41" s="33"/>
      <c r="G41" s="33"/>
      <c r="H41" s="855"/>
      <c r="J41" s="101"/>
      <c r="K41" s="101"/>
      <c r="L41" s="101"/>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6"/>
      <c r="BM41" s="86"/>
      <c r="BN41" s="86"/>
      <c r="BO41" s="86"/>
      <c r="BP41" s="86"/>
      <c r="BQ41" s="86"/>
      <c r="BR41" s="86"/>
      <c r="BS41" s="86"/>
      <c r="BT41" s="86"/>
      <c r="BU41" s="86"/>
      <c r="BV41" s="86"/>
      <c r="BW41" s="86"/>
      <c r="BX41" s="86"/>
      <c r="BY41" s="86"/>
      <c r="BZ41" s="86"/>
      <c r="CA41" s="86"/>
      <c r="CB41" s="86"/>
      <c r="CC41" s="86"/>
      <c r="CD41" s="86"/>
      <c r="CE41" s="86"/>
      <c r="CF41" s="86"/>
      <c r="CG41" s="86"/>
      <c r="CH41" s="86"/>
      <c r="CI41" s="86"/>
      <c r="CJ41" s="86"/>
      <c r="CK41" s="86"/>
      <c r="CL41" s="86"/>
      <c r="CM41" s="86"/>
      <c r="CN41" s="86"/>
      <c r="CO41" s="86"/>
      <c r="CP41" s="86"/>
      <c r="CQ41" s="86"/>
      <c r="CR41" s="86"/>
      <c r="CS41" s="86"/>
      <c r="CT41" s="86"/>
      <c r="CU41" s="86"/>
      <c r="CV41" s="86"/>
      <c r="CW41" s="86"/>
      <c r="CX41" s="86"/>
      <c r="CY41" s="86"/>
      <c r="CZ41" s="86"/>
      <c r="DA41" s="86"/>
      <c r="DB41" s="86"/>
      <c r="DC41" s="86"/>
      <c r="DD41" s="86"/>
      <c r="DE41" s="86"/>
      <c r="DF41" s="86"/>
      <c r="DG41" s="86"/>
      <c r="DH41" s="86"/>
      <c r="DI41" s="86"/>
      <c r="DJ41" s="86"/>
      <c r="DK41" s="86"/>
      <c r="DL41" s="86"/>
      <c r="DM41" s="86"/>
      <c r="DN41" s="86"/>
      <c r="DO41" s="86"/>
      <c r="DP41" s="86"/>
      <c r="DQ41" s="86"/>
      <c r="DR41" s="86"/>
      <c r="DS41" s="86"/>
      <c r="DT41" s="86"/>
      <c r="DU41" s="86"/>
      <c r="DV41" s="86"/>
      <c r="DW41" s="86"/>
      <c r="DX41" s="86"/>
      <c r="DY41" s="86"/>
      <c r="DZ41" s="86"/>
      <c r="EA41" s="86"/>
      <c r="EB41" s="86"/>
      <c r="EC41" s="86"/>
      <c r="ED41" s="86"/>
      <c r="EE41" s="86"/>
      <c r="EF41" s="86"/>
      <c r="EG41" s="86"/>
      <c r="EH41" s="86"/>
      <c r="EI41" s="86"/>
      <c r="EJ41" s="86"/>
      <c r="EK41" s="86"/>
      <c r="EL41" s="86"/>
      <c r="EM41" s="86"/>
      <c r="EN41" s="86"/>
      <c r="EO41" s="86"/>
      <c r="EP41" s="86"/>
      <c r="EQ41" s="86"/>
      <c r="ER41" s="86"/>
      <c r="ES41" s="86"/>
      <c r="ET41" s="86"/>
      <c r="EU41" s="86"/>
      <c r="EV41" s="86"/>
      <c r="EW41" s="86"/>
      <c r="EX41" s="86"/>
      <c r="EY41" s="86"/>
      <c r="EZ41" s="86"/>
      <c r="FA41" s="86"/>
    </row>
    <row r="42" spans="2:157" ht="9.75" customHeight="1">
      <c r="B42" s="33"/>
      <c r="C42" s="33"/>
      <c r="D42" s="33"/>
      <c r="E42" s="859"/>
      <c r="F42" s="860"/>
      <c r="G42" s="861"/>
      <c r="H42" s="33"/>
      <c r="J42" s="101"/>
      <c r="K42" s="101"/>
      <c r="L42" s="101"/>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c r="BE42" s="86"/>
      <c r="BF42" s="86"/>
      <c r="BG42" s="86"/>
      <c r="BH42" s="86"/>
      <c r="BI42" s="86"/>
      <c r="BJ42" s="86"/>
      <c r="BK42" s="86"/>
      <c r="BL42" s="86"/>
      <c r="BM42" s="86"/>
      <c r="BN42" s="86"/>
      <c r="BO42" s="86"/>
      <c r="BP42" s="86"/>
      <c r="BQ42" s="86"/>
      <c r="BR42" s="86"/>
      <c r="BS42" s="86"/>
      <c r="BT42" s="86"/>
      <c r="BU42" s="86"/>
      <c r="BV42" s="86"/>
      <c r="BW42" s="86"/>
      <c r="BX42" s="86"/>
      <c r="BY42" s="86"/>
      <c r="BZ42" s="86"/>
      <c r="CA42" s="86"/>
      <c r="CB42" s="86"/>
      <c r="CC42" s="86"/>
      <c r="CD42" s="86"/>
      <c r="CE42" s="86"/>
      <c r="CF42" s="86"/>
      <c r="CG42" s="86"/>
      <c r="CH42" s="86"/>
      <c r="CI42" s="86"/>
      <c r="CJ42" s="86"/>
      <c r="CK42" s="86"/>
      <c r="CL42" s="86"/>
      <c r="CM42" s="86"/>
      <c r="CN42" s="86"/>
      <c r="CO42" s="86"/>
      <c r="CP42" s="86"/>
      <c r="CQ42" s="86"/>
      <c r="CR42" s="86"/>
      <c r="CS42" s="86"/>
      <c r="CT42" s="86"/>
      <c r="CU42" s="86"/>
      <c r="CV42" s="86"/>
      <c r="CW42" s="86"/>
      <c r="CX42" s="86"/>
      <c r="CY42" s="86"/>
      <c r="CZ42" s="86"/>
      <c r="DA42" s="86"/>
      <c r="DB42" s="86"/>
      <c r="DC42" s="86"/>
      <c r="DD42" s="86"/>
      <c r="DE42" s="86"/>
      <c r="DF42" s="86"/>
      <c r="DG42" s="86"/>
      <c r="DH42" s="86"/>
      <c r="DI42" s="86"/>
      <c r="DJ42" s="86"/>
      <c r="DK42" s="86"/>
      <c r="DL42" s="86"/>
      <c r="DM42" s="86"/>
      <c r="DN42" s="86"/>
      <c r="DO42" s="86"/>
      <c r="DP42" s="86"/>
      <c r="DQ42" s="86"/>
      <c r="DR42" s="86"/>
      <c r="DS42" s="86"/>
      <c r="DT42" s="86"/>
      <c r="DU42" s="86"/>
      <c r="DV42" s="86"/>
      <c r="DW42" s="86"/>
      <c r="DX42" s="86"/>
      <c r="DY42" s="86"/>
      <c r="DZ42" s="86"/>
      <c r="EA42" s="86"/>
      <c r="EB42" s="86"/>
      <c r="EC42" s="86"/>
      <c r="ED42" s="86"/>
      <c r="EE42" s="86"/>
      <c r="EF42" s="86"/>
      <c r="EG42" s="86"/>
      <c r="EH42" s="86"/>
      <c r="EI42" s="86"/>
      <c r="EJ42" s="86"/>
      <c r="EK42" s="86"/>
      <c r="EL42" s="86"/>
      <c r="EM42" s="86"/>
      <c r="EN42" s="86"/>
      <c r="EO42" s="86"/>
      <c r="EP42" s="86"/>
      <c r="EQ42" s="86"/>
      <c r="ER42" s="86"/>
      <c r="ES42" s="86"/>
      <c r="ET42" s="86"/>
      <c r="EU42" s="86"/>
      <c r="EV42" s="86"/>
      <c r="EW42" s="86"/>
      <c r="EX42" s="86"/>
      <c r="EY42" s="86"/>
      <c r="EZ42" s="86"/>
      <c r="FA42" s="86"/>
    </row>
    <row r="43" spans="2:157" ht="9.75" customHeight="1">
      <c r="B43" s="33"/>
      <c r="C43" s="33"/>
      <c r="D43" s="33"/>
      <c r="E43" s="842"/>
      <c r="F43" s="843"/>
      <c r="G43" s="841"/>
      <c r="H43" s="33"/>
      <c r="J43" s="101"/>
      <c r="K43" s="101"/>
      <c r="L43" s="101"/>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6"/>
      <c r="BM43" s="86"/>
      <c r="BN43" s="86"/>
      <c r="BO43" s="86"/>
      <c r="BP43" s="86"/>
      <c r="BQ43" s="86"/>
      <c r="BR43" s="86"/>
      <c r="BS43" s="86"/>
      <c r="BT43" s="86"/>
      <c r="BU43" s="86"/>
      <c r="BV43" s="86"/>
      <c r="BW43" s="86"/>
      <c r="BX43" s="86"/>
      <c r="BY43" s="86"/>
      <c r="BZ43" s="86"/>
      <c r="CA43" s="86"/>
      <c r="CB43" s="86"/>
      <c r="CC43" s="86"/>
      <c r="CD43" s="86"/>
      <c r="CE43" s="86"/>
      <c r="CF43" s="86"/>
      <c r="CG43" s="86"/>
      <c r="CH43" s="86"/>
      <c r="CI43" s="86"/>
      <c r="CJ43" s="86"/>
      <c r="CK43" s="86"/>
      <c r="CL43" s="86"/>
      <c r="CM43" s="86"/>
      <c r="CN43" s="86"/>
      <c r="CO43" s="86"/>
      <c r="CP43" s="86"/>
      <c r="CQ43" s="86"/>
      <c r="CR43" s="86"/>
      <c r="CS43" s="86"/>
      <c r="CT43" s="86"/>
      <c r="CU43" s="86"/>
      <c r="CV43" s="86"/>
      <c r="CW43" s="86"/>
      <c r="CX43" s="86"/>
      <c r="CY43" s="86"/>
      <c r="CZ43" s="86"/>
      <c r="DA43" s="86"/>
      <c r="DB43" s="86"/>
      <c r="DC43" s="86"/>
      <c r="DD43" s="86"/>
      <c r="DE43" s="86"/>
      <c r="DF43" s="86"/>
      <c r="DG43" s="86"/>
      <c r="DH43" s="86"/>
      <c r="DI43" s="86"/>
      <c r="DJ43" s="86"/>
      <c r="DK43" s="86"/>
      <c r="DL43" s="86"/>
      <c r="DM43" s="86"/>
      <c r="DN43" s="86"/>
      <c r="DO43" s="86"/>
      <c r="DP43" s="86"/>
      <c r="DQ43" s="86"/>
      <c r="DR43" s="86"/>
      <c r="DS43" s="86"/>
      <c r="DT43" s="86"/>
      <c r="DU43" s="86"/>
      <c r="DV43" s="86"/>
      <c r="DW43" s="86"/>
      <c r="DX43" s="86"/>
      <c r="DY43" s="86"/>
      <c r="DZ43" s="86"/>
      <c r="EA43" s="86"/>
      <c r="EB43" s="86"/>
      <c r="EC43" s="86"/>
      <c r="ED43" s="86"/>
      <c r="EE43" s="86"/>
      <c r="EF43" s="86"/>
      <c r="EG43" s="86"/>
      <c r="EH43" s="86"/>
      <c r="EI43" s="86"/>
      <c r="EJ43" s="86"/>
      <c r="EK43" s="86"/>
      <c r="EL43" s="86"/>
      <c r="EM43" s="86"/>
      <c r="EN43" s="86"/>
      <c r="EO43" s="86"/>
      <c r="EP43" s="86"/>
      <c r="EQ43" s="86"/>
      <c r="ER43" s="86"/>
      <c r="ES43" s="86"/>
      <c r="ET43" s="86"/>
      <c r="EU43" s="86"/>
      <c r="EV43" s="86"/>
      <c r="EW43" s="86"/>
      <c r="EX43" s="86"/>
      <c r="EY43" s="86"/>
      <c r="EZ43" s="86"/>
      <c r="FA43" s="86"/>
    </row>
    <row r="44" spans="2:157" ht="9.75" customHeight="1">
      <c r="B44" s="27"/>
      <c r="C44" s="27"/>
      <c r="D44" s="27"/>
      <c r="E44" s="91"/>
      <c r="F44" s="171"/>
      <c r="G44" s="29"/>
      <c r="H44" s="27"/>
      <c r="J44" s="101"/>
      <c r="K44" s="101"/>
      <c r="L44" s="101"/>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c r="BI44" s="86"/>
      <c r="BJ44" s="86"/>
      <c r="BK44" s="86"/>
      <c r="BL44" s="86"/>
      <c r="BM44" s="86"/>
      <c r="BN44" s="86"/>
      <c r="BO44" s="86"/>
      <c r="BP44" s="86"/>
      <c r="BQ44" s="86"/>
      <c r="BR44" s="86"/>
      <c r="BS44" s="86"/>
      <c r="BT44" s="86"/>
      <c r="BU44" s="86"/>
      <c r="BV44" s="86"/>
      <c r="BW44" s="86"/>
      <c r="BX44" s="86"/>
      <c r="BY44" s="86"/>
      <c r="BZ44" s="86"/>
      <c r="CA44" s="86"/>
      <c r="CB44" s="86"/>
      <c r="CC44" s="86"/>
      <c r="CD44" s="86"/>
      <c r="CE44" s="86"/>
      <c r="CF44" s="86"/>
      <c r="CG44" s="86"/>
      <c r="CH44" s="86"/>
      <c r="CI44" s="86"/>
      <c r="CJ44" s="86"/>
      <c r="CK44" s="86"/>
      <c r="CL44" s="86"/>
      <c r="CM44" s="86"/>
      <c r="CN44" s="86"/>
      <c r="CO44" s="86"/>
      <c r="CP44" s="86"/>
      <c r="CQ44" s="86"/>
      <c r="CR44" s="86"/>
      <c r="CS44" s="86"/>
      <c r="CT44" s="86"/>
      <c r="CU44" s="86"/>
      <c r="CV44" s="86"/>
      <c r="CW44" s="86"/>
      <c r="CX44" s="86"/>
      <c r="CY44" s="86"/>
      <c r="CZ44" s="86"/>
      <c r="DA44" s="86"/>
      <c r="DB44" s="86"/>
      <c r="DC44" s="86"/>
      <c r="DD44" s="86"/>
      <c r="DE44" s="86"/>
      <c r="DF44" s="86"/>
      <c r="DG44" s="86"/>
      <c r="DH44" s="86"/>
      <c r="DI44" s="86"/>
      <c r="DJ44" s="86"/>
      <c r="DK44" s="86"/>
      <c r="DL44" s="86"/>
      <c r="DM44" s="86"/>
      <c r="DN44" s="86"/>
      <c r="DO44" s="86"/>
      <c r="DP44" s="86"/>
      <c r="DQ44" s="86"/>
      <c r="DR44" s="86"/>
      <c r="DS44" s="86"/>
      <c r="DT44" s="86"/>
      <c r="DU44" s="86"/>
      <c r="DV44" s="86"/>
      <c r="DW44" s="86"/>
      <c r="DX44" s="86"/>
      <c r="DY44" s="86"/>
      <c r="DZ44" s="86"/>
      <c r="EA44" s="86"/>
      <c r="EB44" s="86"/>
      <c r="EC44" s="86"/>
      <c r="ED44" s="86"/>
      <c r="EE44" s="86"/>
      <c r="EF44" s="86"/>
      <c r="EG44" s="86"/>
      <c r="EH44" s="86"/>
      <c r="EI44" s="86"/>
      <c r="EJ44" s="86"/>
      <c r="EK44" s="86"/>
      <c r="EL44" s="86"/>
      <c r="EM44" s="86"/>
      <c r="EN44" s="86"/>
      <c r="EO44" s="86"/>
      <c r="EP44" s="86"/>
      <c r="EQ44" s="86"/>
      <c r="ER44" s="86"/>
      <c r="ES44" s="86"/>
      <c r="ET44" s="86"/>
      <c r="EU44" s="86"/>
      <c r="EV44" s="86"/>
      <c r="EW44" s="86"/>
      <c r="EX44" s="86"/>
      <c r="EY44" s="86"/>
      <c r="EZ44" s="86"/>
      <c r="FA44" s="86"/>
    </row>
    <row r="45" spans="2:157" ht="9.75" customHeight="1">
      <c r="B45" s="33"/>
      <c r="C45" s="33"/>
      <c r="D45" s="33"/>
      <c r="E45" s="33"/>
      <c r="F45" s="33"/>
      <c r="G45" s="33"/>
      <c r="H45" s="33"/>
      <c r="J45" s="101"/>
      <c r="K45" s="101"/>
      <c r="L45" s="101"/>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c r="BP45" s="86"/>
      <c r="BQ45" s="86"/>
      <c r="BR45" s="86"/>
      <c r="BS45" s="86"/>
      <c r="BT45" s="86"/>
      <c r="BU45" s="86"/>
      <c r="BV45" s="86"/>
      <c r="BW45" s="86"/>
      <c r="BX45" s="86"/>
      <c r="BY45" s="86"/>
      <c r="BZ45" s="86"/>
      <c r="CA45" s="86"/>
      <c r="CB45" s="86"/>
      <c r="CC45" s="86"/>
      <c r="CD45" s="86"/>
      <c r="CE45" s="86"/>
      <c r="CF45" s="86"/>
      <c r="CG45" s="86"/>
      <c r="CH45" s="86"/>
      <c r="CI45" s="86"/>
      <c r="CJ45" s="86"/>
      <c r="CK45" s="86"/>
      <c r="CL45" s="86"/>
      <c r="CM45" s="86"/>
      <c r="CN45" s="86"/>
      <c r="CO45" s="86"/>
      <c r="CP45" s="86"/>
      <c r="CQ45" s="86"/>
      <c r="CR45" s="86"/>
      <c r="CS45" s="86"/>
      <c r="CT45" s="86"/>
      <c r="CU45" s="86"/>
      <c r="CV45" s="86"/>
      <c r="CW45" s="86"/>
      <c r="CX45" s="86"/>
      <c r="CY45" s="86"/>
      <c r="CZ45" s="86"/>
      <c r="DA45" s="86"/>
      <c r="DB45" s="86"/>
      <c r="DC45" s="86"/>
      <c r="DD45" s="86"/>
      <c r="DE45" s="86"/>
      <c r="DF45" s="86"/>
      <c r="DG45" s="86"/>
      <c r="DH45" s="86"/>
      <c r="DI45" s="86"/>
      <c r="DJ45" s="86"/>
      <c r="DK45" s="86"/>
      <c r="DL45" s="86"/>
      <c r="DM45" s="86"/>
      <c r="DN45" s="86"/>
      <c r="DO45" s="86"/>
      <c r="DP45" s="86"/>
      <c r="DQ45" s="86"/>
      <c r="DR45" s="86"/>
      <c r="DS45" s="86"/>
      <c r="DT45" s="86"/>
      <c r="DU45" s="86"/>
      <c r="DV45" s="86"/>
      <c r="DW45" s="86"/>
      <c r="DX45" s="86"/>
      <c r="DY45" s="86"/>
      <c r="DZ45" s="86"/>
      <c r="EA45" s="86"/>
      <c r="EB45" s="86"/>
      <c r="EC45" s="86"/>
      <c r="ED45" s="86"/>
      <c r="EE45" s="86"/>
      <c r="EF45" s="86"/>
      <c r="EG45" s="86"/>
      <c r="EH45" s="86"/>
      <c r="EI45" s="86"/>
      <c r="EJ45" s="86"/>
      <c r="EK45" s="86"/>
      <c r="EL45" s="86"/>
      <c r="EM45" s="86"/>
      <c r="EN45" s="86"/>
      <c r="EO45" s="86"/>
      <c r="EP45" s="86"/>
      <c r="EQ45" s="86"/>
      <c r="ER45" s="86"/>
      <c r="ES45" s="86"/>
      <c r="ET45" s="86"/>
      <c r="EU45" s="86"/>
      <c r="EV45" s="86"/>
      <c r="EW45" s="86"/>
      <c r="EX45" s="86"/>
      <c r="EY45" s="86"/>
      <c r="EZ45" s="86"/>
      <c r="FA45" s="86"/>
    </row>
    <row r="46" spans="2:157" ht="10.95" customHeight="1">
      <c r="B46" s="1347" t="s">
        <v>510</v>
      </c>
      <c r="C46" s="1348"/>
      <c r="D46" s="1345"/>
      <c r="E46" s="1346"/>
      <c r="F46" s="842"/>
      <c r="G46" s="837" t="s">
        <v>4</v>
      </c>
      <c r="H46" s="856">
        <v>3</v>
      </c>
      <c r="J46" s="101"/>
      <c r="K46" s="101"/>
      <c r="L46" s="101"/>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86"/>
      <c r="CE46" s="86"/>
      <c r="CF46" s="86"/>
      <c r="CG46" s="86"/>
      <c r="CH46" s="86"/>
      <c r="CI46" s="86"/>
      <c r="CJ46" s="86"/>
      <c r="CK46" s="86"/>
      <c r="CL46" s="86"/>
      <c r="CM46" s="86"/>
      <c r="CN46" s="86"/>
      <c r="CO46" s="86"/>
      <c r="CP46" s="86"/>
      <c r="CQ46" s="86"/>
      <c r="CR46" s="86"/>
      <c r="CS46" s="86"/>
      <c r="CT46" s="86"/>
      <c r="CU46" s="86"/>
      <c r="CV46" s="86"/>
      <c r="CW46" s="86"/>
      <c r="CX46" s="86"/>
      <c r="CY46" s="86"/>
      <c r="CZ46" s="86"/>
      <c r="DA46" s="86"/>
      <c r="DB46" s="86"/>
      <c r="DC46" s="86"/>
      <c r="DD46" s="86"/>
      <c r="DE46" s="86"/>
      <c r="DF46" s="86"/>
      <c r="DG46" s="86"/>
      <c r="DH46" s="86"/>
      <c r="DI46" s="86"/>
      <c r="DJ46" s="86"/>
      <c r="DK46" s="86"/>
      <c r="DL46" s="86"/>
      <c r="DM46" s="86"/>
      <c r="DN46" s="86"/>
      <c r="DO46" s="86"/>
      <c r="DP46" s="86"/>
      <c r="DQ46" s="86"/>
      <c r="DR46" s="86"/>
      <c r="DS46" s="86"/>
      <c r="DT46" s="86"/>
      <c r="DU46" s="86"/>
      <c r="DV46" s="86"/>
      <c r="DW46" s="86"/>
      <c r="DX46" s="86"/>
      <c r="DY46" s="86"/>
      <c r="DZ46" s="86"/>
      <c r="EA46" s="86"/>
      <c r="EB46" s="86"/>
      <c r="EC46" s="86"/>
      <c r="ED46" s="86"/>
      <c r="EE46" s="86"/>
      <c r="EF46" s="86"/>
      <c r="EG46" s="86"/>
      <c r="EH46" s="86"/>
      <c r="EI46" s="86"/>
      <c r="EJ46" s="86"/>
      <c r="EK46" s="86"/>
      <c r="EL46" s="86"/>
      <c r="EM46" s="86"/>
      <c r="EN46" s="86"/>
      <c r="EO46" s="86"/>
      <c r="EP46" s="86"/>
      <c r="EQ46" s="86"/>
      <c r="ER46" s="86"/>
      <c r="ES46" s="86"/>
      <c r="ET46" s="86"/>
      <c r="EU46" s="86"/>
      <c r="EV46" s="86"/>
      <c r="EW46" s="86"/>
      <c r="EX46" s="86"/>
      <c r="EY46" s="86"/>
      <c r="EZ46" s="86"/>
      <c r="FA46" s="86"/>
    </row>
    <row r="47" spans="2:157" ht="10.95" customHeight="1">
      <c r="B47" s="1347" t="s">
        <v>582</v>
      </c>
      <c r="C47" s="1349"/>
      <c r="D47" s="1345"/>
      <c r="E47" s="1346"/>
      <c r="F47" s="839"/>
      <c r="G47" s="853" t="s">
        <v>345</v>
      </c>
      <c r="H47" s="854">
        <f>ROUND(1/(SUM(H50:H60)),2)</f>
        <v>5.88</v>
      </c>
      <c r="J47" s="101"/>
      <c r="K47" s="101"/>
      <c r="L47" s="101"/>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c r="BP47" s="86"/>
      <c r="BQ47" s="86"/>
      <c r="BR47" s="86"/>
      <c r="BS47" s="86"/>
      <c r="BT47" s="86"/>
      <c r="BU47" s="86"/>
      <c r="BV47" s="86"/>
      <c r="BW47" s="86"/>
      <c r="BX47" s="86"/>
      <c r="BY47" s="86"/>
      <c r="BZ47" s="86"/>
      <c r="CA47" s="86"/>
      <c r="CB47" s="86"/>
      <c r="CC47" s="86"/>
      <c r="CD47" s="86"/>
      <c r="CE47" s="86"/>
      <c r="CF47" s="86"/>
      <c r="CG47" s="86"/>
      <c r="CH47" s="86"/>
      <c r="CI47" s="86"/>
      <c r="CJ47" s="86"/>
      <c r="CK47" s="86"/>
      <c r="CL47" s="86"/>
      <c r="CM47" s="86"/>
      <c r="CN47" s="86"/>
      <c r="CO47" s="86"/>
      <c r="CP47" s="86"/>
      <c r="CQ47" s="86"/>
      <c r="CR47" s="86"/>
      <c r="CS47" s="86"/>
      <c r="CT47" s="86"/>
      <c r="CU47" s="86"/>
      <c r="CV47" s="86"/>
      <c r="CW47" s="86"/>
      <c r="CX47" s="86"/>
      <c r="CY47" s="86"/>
      <c r="CZ47" s="86"/>
      <c r="DA47" s="86"/>
      <c r="DB47" s="86"/>
      <c r="DC47" s="86"/>
      <c r="DD47" s="86"/>
      <c r="DE47" s="86"/>
      <c r="DF47" s="86"/>
      <c r="DG47" s="86"/>
      <c r="DH47" s="86"/>
      <c r="DI47" s="86"/>
      <c r="DJ47" s="86"/>
      <c r="DK47" s="86"/>
      <c r="DL47" s="86"/>
      <c r="DM47" s="86"/>
      <c r="DN47" s="86"/>
      <c r="DO47" s="86"/>
      <c r="DP47" s="86"/>
      <c r="DQ47" s="86"/>
      <c r="DR47" s="86"/>
      <c r="DS47" s="86"/>
      <c r="DT47" s="86"/>
      <c r="DU47" s="86"/>
      <c r="DV47" s="86"/>
      <c r="DW47" s="86"/>
      <c r="DX47" s="86"/>
      <c r="DY47" s="86"/>
      <c r="DZ47" s="86"/>
      <c r="EA47" s="86"/>
      <c r="EB47" s="86"/>
      <c r="EC47" s="86"/>
      <c r="ED47" s="86"/>
      <c r="EE47" s="86"/>
      <c r="EF47" s="86"/>
      <c r="EG47" s="86"/>
      <c r="EH47" s="86"/>
      <c r="EI47" s="86"/>
      <c r="EJ47" s="86"/>
      <c r="EK47" s="86"/>
      <c r="EL47" s="86"/>
      <c r="EM47" s="86"/>
      <c r="EN47" s="86"/>
      <c r="EO47" s="86"/>
      <c r="EP47" s="86"/>
      <c r="EQ47" s="86"/>
      <c r="ER47" s="86"/>
      <c r="ES47" s="86"/>
      <c r="ET47" s="86"/>
      <c r="EU47" s="86"/>
      <c r="EV47" s="86"/>
      <c r="EW47" s="86"/>
      <c r="EX47" s="86"/>
      <c r="EY47" s="86"/>
      <c r="EZ47" s="86"/>
      <c r="FA47" s="86"/>
    </row>
    <row r="48" spans="2:157" ht="9.75" customHeight="1">
      <c r="B48" s="839"/>
      <c r="C48" s="839"/>
      <c r="D48" s="844"/>
      <c r="E48" s="839"/>
      <c r="F48" s="839"/>
      <c r="G48" s="852"/>
      <c r="H48" s="850"/>
      <c r="J48" s="101"/>
      <c r="K48" s="101"/>
      <c r="L48" s="101"/>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c r="BP48" s="86"/>
      <c r="BQ48" s="86"/>
      <c r="BR48" s="86"/>
      <c r="BS48" s="86"/>
      <c r="BT48" s="86"/>
      <c r="BU48" s="86"/>
      <c r="BV48" s="86"/>
      <c r="BW48" s="86"/>
      <c r="BX48" s="86"/>
      <c r="BY48" s="86"/>
      <c r="BZ48" s="86"/>
      <c r="CA48" s="86"/>
      <c r="CB48" s="86"/>
      <c r="CC48" s="86"/>
      <c r="CD48" s="86"/>
      <c r="CE48" s="86"/>
      <c r="CF48" s="86"/>
      <c r="CG48" s="86"/>
      <c r="CH48" s="86"/>
      <c r="CI48" s="86"/>
      <c r="CJ48" s="86"/>
      <c r="CK48" s="86"/>
      <c r="CL48" s="86"/>
      <c r="CM48" s="86"/>
      <c r="CN48" s="86"/>
      <c r="CO48" s="86"/>
      <c r="CP48" s="86"/>
      <c r="CQ48" s="86"/>
      <c r="CR48" s="86"/>
      <c r="CS48" s="86"/>
      <c r="CT48" s="86"/>
      <c r="CU48" s="86"/>
      <c r="CV48" s="86"/>
      <c r="CW48" s="86"/>
      <c r="CX48" s="86"/>
      <c r="CY48" s="86"/>
      <c r="CZ48" s="86"/>
      <c r="DA48" s="86"/>
      <c r="DB48" s="86"/>
      <c r="DC48" s="86"/>
      <c r="DD48" s="86"/>
      <c r="DE48" s="86"/>
      <c r="DF48" s="86"/>
      <c r="DG48" s="86"/>
      <c r="DH48" s="86"/>
      <c r="DI48" s="86"/>
      <c r="DJ48" s="86"/>
      <c r="DK48" s="86"/>
      <c r="DL48" s="86"/>
      <c r="DM48" s="86"/>
      <c r="DN48" s="86"/>
      <c r="DO48" s="86"/>
      <c r="DP48" s="86"/>
      <c r="DQ48" s="86"/>
      <c r="DR48" s="86"/>
      <c r="DS48" s="86"/>
      <c r="DT48" s="86"/>
      <c r="DU48" s="86"/>
      <c r="DV48" s="86"/>
      <c r="DW48" s="86"/>
      <c r="DX48" s="86"/>
      <c r="DY48" s="86"/>
      <c r="DZ48" s="86"/>
      <c r="EA48" s="86"/>
      <c r="EB48" s="86"/>
      <c r="EC48" s="86"/>
      <c r="ED48" s="86"/>
      <c r="EE48" s="86"/>
      <c r="EF48" s="86"/>
      <c r="EG48" s="86"/>
      <c r="EH48" s="86"/>
      <c r="EI48" s="86"/>
      <c r="EJ48" s="86"/>
      <c r="EK48" s="86"/>
      <c r="EL48" s="86"/>
      <c r="EM48" s="86"/>
      <c r="EN48" s="86"/>
      <c r="EO48" s="86"/>
      <c r="EP48" s="86"/>
      <c r="EQ48" s="86"/>
      <c r="ER48" s="86"/>
      <c r="ES48" s="86"/>
      <c r="ET48" s="86"/>
      <c r="EU48" s="86"/>
      <c r="EV48" s="86"/>
      <c r="EW48" s="86"/>
      <c r="EX48" s="86"/>
      <c r="EY48" s="86"/>
      <c r="EZ48" s="86"/>
      <c r="FA48" s="86"/>
    </row>
    <row r="49" spans="2:157" ht="9.75" customHeight="1">
      <c r="B49" s="844" t="s">
        <v>349</v>
      </c>
      <c r="C49" s="1352" t="s">
        <v>344</v>
      </c>
      <c r="D49" s="1352"/>
      <c r="E49" s="87"/>
      <c r="F49" s="846" t="s">
        <v>170</v>
      </c>
      <c r="G49" s="847" t="s">
        <v>361</v>
      </c>
      <c r="H49" s="846" t="s">
        <v>281</v>
      </c>
      <c r="J49" s="101"/>
      <c r="K49" s="101"/>
      <c r="L49" s="101"/>
      <c r="Z49" s="86"/>
      <c r="AA49" s="86"/>
      <c r="AB49" s="86"/>
      <c r="AC49" s="86"/>
      <c r="AD49" s="86"/>
      <c r="AE49" s="86"/>
      <c r="AF49" s="86"/>
      <c r="AG49" s="86"/>
      <c r="AH49" s="86"/>
      <c r="AI49" s="86"/>
      <c r="AJ49" s="86"/>
      <c r="AK49" s="86"/>
      <c r="AL49" s="86"/>
      <c r="AM49" s="86"/>
      <c r="AN49" s="86"/>
      <c r="AO49" s="86"/>
      <c r="AP49" s="86"/>
      <c r="AQ49" s="86"/>
      <c r="AR49" s="86"/>
      <c r="AS49" s="86"/>
      <c r="AT49" s="86"/>
      <c r="AU49" s="86"/>
      <c r="AV49" s="86"/>
      <c r="AW49" s="86"/>
      <c r="AX49" s="86"/>
      <c r="AY49" s="86"/>
      <c r="AZ49" s="86"/>
      <c r="BA49" s="86"/>
      <c r="BB49" s="86"/>
      <c r="BC49" s="86"/>
      <c r="BD49" s="86"/>
      <c r="BE49" s="86"/>
      <c r="BF49" s="86"/>
      <c r="BG49" s="86"/>
      <c r="BH49" s="86"/>
      <c r="BI49" s="86"/>
      <c r="BJ49" s="86"/>
      <c r="BK49" s="86"/>
      <c r="BL49" s="86"/>
      <c r="BM49" s="86"/>
      <c r="BN49" s="86"/>
      <c r="BO49" s="86"/>
      <c r="BP49" s="86"/>
      <c r="BQ49" s="86"/>
      <c r="BR49" s="86"/>
      <c r="BS49" s="86"/>
      <c r="BT49" s="86"/>
      <c r="BU49" s="86"/>
      <c r="BV49" s="86"/>
      <c r="BW49" s="86"/>
      <c r="BX49" s="86"/>
      <c r="BY49" s="86"/>
      <c r="BZ49" s="86"/>
      <c r="CA49" s="86"/>
      <c r="CB49" s="86"/>
      <c r="CC49" s="86"/>
      <c r="CD49" s="86"/>
      <c r="CE49" s="86"/>
      <c r="CF49" s="86"/>
      <c r="CG49" s="86"/>
      <c r="CH49" s="86"/>
      <c r="CI49" s="86"/>
      <c r="CJ49" s="86"/>
      <c r="CK49" s="86"/>
      <c r="CL49" s="86"/>
      <c r="CM49" s="86"/>
      <c r="CN49" s="86"/>
      <c r="CO49" s="86"/>
      <c r="CP49" s="86"/>
      <c r="CQ49" s="86"/>
      <c r="CR49" s="86"/>
      <c r="CS49" s="86"/>
      <c r="CT49" s="86"/>
      <c r="CU49" s="86"/>
      <c r="CV49" s="86"/>
      <c r="CW49" s="86"/>
      <c r="CX49" s="86"/>
      <c r="CY49" s="86"/>
      <c r="CZ49" s="86"/>
      <c r="DA49" s="86"/>
      <c r="DB49" s="86"/>
      <c r="DC49" s="86"/>
      <c r="DD49" s="86"/>
      <c r="DE49" s="86"/>
      <c r="DF49" s="86"/>
      <c r="DG49" s="86"/>
      <c r="DH49" s="86"/>
      <c r="DI49" s="86"/>
      <c r="DJ49" s="86"/>
      <c r="DK49" s="86"/>
      <c r="DL49" s="86"/>
      <c r="DM49" s="86"/>
      <c r="DN49" s="86"/>
      <c r="DO49" s="86"/>
      <c r="DP49" s="86"/>
      <c r="DQ49" s="86"/>
      <c r="DR49" s="86"/>
      <c r="DS49" s="86"/>
      <c r="DT49" s="86"/>
      <c r="DU49" s="86"/>
      <c r="DV49" s="86"/>
      <c r="DW49" s="86"/>
      <c r="DX49" s="86"/>
      <c r="DY49" s="86"/>
      <c r="DZ49" s="86"/>
      <c r="EA49" s="86"/>
      <c r="EB49" s="86"/>
      <c r="EC49" s="86"/>
      <c r="ED49" s="86"/>
      <c r="EE49" s="86"/>
      <c r="EF49" s="86"/>
      <c r="EG49" s="86"/>
      <c r="EH49" s="86"/>
      <c r="EI49" s="86"/>
      <c r="EJ49" s="86"/>
      <c r="EK49" s="86"/>
      <c r="EL49" s="86"/>
      <c r="EM49" s="86"/>
      <c r="EN49" s="86"/>
      <c r="EO49" s="86"/>
      <c r="EP49" s="86"/>
      <c r="EQ49" s="86"/>
      <c r="ER49" s="86"/>
      <c r="ES49" s="86"/>
      <c r="ET49" s="86"/>
      <c r="EU49" s="86"/>
      <c r="EV49" s="86"/>
      <c r="EW49" s="86"/>
      <c r="EX49" s="86"/>
      <c r="EY49" s="86"/>
      <c r="EZ49" s="86"/>
      <c r="FA49" s="86"/>
    </row>
    <row r="50" spans="2:157" ht="10.050000000000001" customHeight="1">
      <c r="B50" s="845" t="s">
        <v>546</v>
      </c>
      <c r="C50" s="1350" t="s">
        <v>106</v>
      </c>
      <c r="D50" s="1350"/>
      <c r="E50" s="87"/>
      <c r="F50" s="848" t="s">
        <v>546</v>
      </c>
      <c r="G50" s="848" t="s">
        <v>546</v>
      </c>
      <c r="H50" s="1016">
        <v>0.13</v>
      </c>
      <c r="J50" s="101"/>
      <c r="K50" s="101"/>
      <c r="L50" s="101"/>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6"/>
      <c r="BR50" s="86"/>
      <c r="BS50" s="86"/>
      <c r="BT50" s="86"/>
      <c r="BU50" s="86"/>
      <c r="BV50" s="86"/>
      <c r="BW50" s="86"/>
      <c r="BX50" s="86"/>
      <c r="BY50" s="86"/>
      <c r="BZ50" s="86"/>
      <c r="CA50" s="86"/>
      <c r="CB50" s="86"/>
      <c r="CC50" s="86"/>
      <c r="CD50" s="86"/>
      <c r="CE50" s="86"/>
      <c r="CF50" s="86"/>
      <c r="CG50" s="86"/>
      <c r="CH50" s="86"/>
      <c r="CI50" s="86"/>
      <c r="CJ50" s="86"/>
      <c r="CK50" s="86"/>
      <c r="CL50" s="86"/>
      <c r="CM50" s="86"/>
      <c r="CN50" s="86"/>
      <c r="CO50" s="86"/>
      <c r="CP50" s="86"/>
      <c r="CQ50" s="86"/>
      <c r="CR50" s="86"/>
      <c r="CS50" s="86"/>
      <c r="CT50" s="86"/>
      <c r="CU50" s="86"/>
      <c r="CV50" s="86"/>
      <c r="CW50" s="86"/>
      <c r="CX50" s="86"/>
      <c r="CY50" s="86"/>
      <c r="CZ50" s="86"/>
      <c r="DA50" s="86"/>
      <c r="DB50" s="86"/>
      <c r="DC50" s="86"/>
      <c r="DD50" s="86"/>
      <c r="DE50" s="86"/>
      <c r="DF50" s="86"/>
      <c r="DG50" s="86"/>
      <c r="DH50" s="86"/>
      <c r="DI50" s="86"/>
      <c r="DJ50" s="86"/>
      <c r="DK50" s="86"/>
      <c r="DL50" s="86"/>
      <c r="DM50" s="86"/>
      <c r="DN50" s="86"/>
      <c r="DO50" s="86"/>
      <c r="DP50" s="86"/>
      <c r="DQ50" s="86"/>
      <c r="DR50" s="86"/>
      <c r="DS50" s="86"/>
      <c r="DT50" s="86"/>
      <c r="DU50" s="86"/>
      <c r="DV50" s="86"/>
      <c r="DW50" s="86"/>
      <c r="DX50" s="86"/>
      <c r="DY50" s="86"/>
      <c r="DZ50" s="86"/>
      <c r="EA50" s="86"/>
      <c r="EB50" s="86"/>
      <c r="EC50" s="86"/>
      <c r="ED50" s="86"/>
      <c r="EE50" s="86"/>
      <c r="EF50" s="86"/>
      <c r="EG50" s="86"/>
      <c r="EH50" s="86"/>
      <c r="EI50" s="86"/>
      <c r="EJ50" s="86"/>
      <c r="EK50" s="86"/>
      <c r="EL50" s="86"/>
      <c r="EM50" s="86"/>
      <c r="EN50" s="86"/>
      <c r="EO50" s="86"/>
      <c r="EP50" s="86"/>
      <c r="EQ50" s="86"/>
      <c r="ER50" s="86"/>
      <c r="ES50" s="86"/>
      <c r="ET50" s="86"/>
      <c r="EU50" s="86"/>
      <c r="EV50" s="86"/>
      <c r="EW50" s="86"/>
      <c r="EX50" s="86"/>
      <c r="EY50" s="86"/>
      <c r="EZ50" s="86"/>
      <c r="FA50" s="86"/>
    </row>
    <row r="51" spans="2:157" ht="9.75" customHeight="1">
      <c r="B51" s="845">
        <v>1</v>
      </c>
      <c r="C51" s="1344"/>
      <c r="D51" s="1344"/>
      <c r="E51" s="1344"/>
      <c r="F51" s="857"/>
      <c r="G51" s="857"/>
      <c r="H51" s="875" t="str">
        <f t="shared" ref="H51:H59" si="2">IF(G51=0,"",(F51/(G51+0.00000000001)))</f>
        <v/>
      </c>
      <c r="J51" s="101"/>
      <c r="K51" s="101"/>
      <c r="L51" s="101"/>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c r="BQ51" s="86"/>
      <c r="BR51" s="86"/>
      <c r="BS51" s="86"/>
      <c r="BT51" s="86"/>
      <c r="BU51" s="86"/>
      <c r="BV51" s="86"/>
      <c r="BW51" s="86"/>
      <c r="BX51" s="86"/>
      <c r="BY51" s="86"/>
      <c r="BZ51" s="86"/>
      <c r="CA51" s="86"/>
      <c r="CB51" s="86"/>
      <c r="CC51" s="86"/>
      <c r="CD51" s="86"/>
      <c r="CE51" s="86"/>
      <c r="CF51" s="86"/>
      <c r="CG51" s="86"/>
      <c r="CH51" s="86"/>
      <c r="CI51" s="86"/>
      <c r="CJ51" s="86"/>
      <c r="CK51" s="86"/>
      <c r="CL51" s="86"/>
      <c r="CM51" s="86"/>
      <c r="CN51" s="86"/>
      <c r="CO51" s="86"/>
      <c r="CP51" s="86"/>
      <c r="CQ51" s="86"/>
      <c r="CR51" s="86"/>
      <c r="CS51" s="86"/>
      <c r="CT51" s="86"/>
      <c r="CU51" s="86"/>
      <c r="CV51" s="86"/>
      <c r="CW51" s="86"/>
      <c r="CX51" s="86"/>
      <c r="CY51" s="86"/>
      <c r="CZ51" s="86"/>
      <c r="DA51" s="86"/>
      <c r="DB51" s="86"/>
      <c r="DC51" s="86"/>
      <c r="DD51" s="86"/>
      <c r="DE51" s="86"/>
      <c r="DF51" s="86"/>
      <c r="DG51" s="86"/>
      <c r="DH51" s="86"/>
      <c r="DI51" s="86"/>
      <c r="DJ51" s="86"/>
      <c r="DK51" s="86"/>
      <c r="DL51" s="86"/>
      <c r="DM51" s="86"/>
      <c r="DN51" s="86"/>
      <c r="DO51" s="86"/>
      <c r="DP51" s="86"/>
      <c r="DQ51" s="86"/>
      <c r="DR51" s="86"/>
      <c r="DS51" s="86"/>
      <c r="DT51" s="86"/>
      <c r="DU51" s="86"/>
      <c r="DV51" s="86"/>
      <c r="DW51" s="86"/>
      <c r="DX51" s="86"/>
      <c r="DY51" s="86"/>
      <c r="DZ51" s="86"/>
      <c r="EA51" s="86"/>
      <c r="EB51" s="86"/>
      <c r="EC51" s="86"/>
      <c r="ED51" s="86"/>
      <c r="EE51" s="86"/>
      <c r="EF51" s="86"/>
      <c r="EG51" s="86"/>
      <c r="EH51" s="86"/>
      <c r="EI51" s="86"/>
      <c r="EJ51" s="86"/>
      <c r="EK51" s="86"/>
      <c r="EL51" s="86"/>
      <c r="EM51" s="86"/>
      <c r="EN51" s="86"/>
      <c r="EO51" s="86"/>
      <c r="EP51" s="86"/>
      <c r="EQ51" s="86"/>
      <c r="ER51" s="86"/>
      <c r="ES51" s="86"/>
      <c r="ET51" s="86"/>
      <c r="EU51" s="86"/>
      <c r="EV51" s="86"/>
      <c r="EW51" s="86"/>
      <c r="EX51" s="86"/>
      <c r="EY51" s="86"/>
      <c r="EZ51" s="86"/>
      <c r="FA51" s="86"/>
    </row>
    <row r="52" spans="2:157" ht="9.75" customHeight="1">
      <c r="B52" s="845">
        <v>2</v>
      </c>
      <c r="C52" s="1344"/>
      <c r="D52" s="1344"/>
      <c r="E52" s="1344"/>
      <c r="F52" s="857"/>
      <c r="G52" s="857"/>
      <c r="H52" s="875" t="str">
        <f t="shared" si="2"/>
        <v/>
      </c>
      <c r="J52" s="101"/>
      <c r="K52" s="101"/>
      <c r="L52" s="101"/>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c r="CM52" s="86"/>
      <c r="CN52" s="86"/>
      <c r="CO52" s="86"/>
      <c r="CP52" s="86"/>
      <c r="CQ52" s="86"/>
      <c r="CR52" s="86"/>
      <c r="CS52" s="86"/>
      <c r="CT52" s="86"/>
      <c r="CU52" s="86"/>
      <c r="CV52" s="86"/>
      <c r="CW52" s="86"/>
      <c r="CX52" s="86"/>
      <c r="CY52" s="86"/>
      <c r="CZ52" s="86"/>
      <c r="DA52" s="86"/>
      <c r="DB52" s="86"/>
      <c r="DC52" s="86"/>
      <c r="DD52" s="86"/>
      <c r="DE52" s="86"/>
      <c r="DF52" s="86"/>
      <c r="DG52" s="86"/>
      <c r="DH52" s="86"/>
      <c r="DI52" s="86"/>
      <c r="DJ52" s="86"/>
      <c r="DK52" s="86"/>
      <c r="DL52" s="86"/>
      <c r="DM52" s="86"/>
      <c r="DN52" s="86"/>
      <c r="DO52" s="86"/>
      <c r="DP52" s="86"/>
      <c r="DQ52" s="86"/>
      <c r="DR52" s="86"/>
      <c r="DS52" s="86"/>
      <c r="DT52" s="86"/>
      <c r="DU52" s="86"/>
      <c r="DV52" s="86"/>
      <c r="DW52" s="86"/>
      <c r="DX52" s="86"/>
      <c r="DY52" s="86"/>
      <c r="DZ52" s="86"/>
      <c r="EA52" s="86"/>
      <c r="EB52" s="86"/>
      <c r="EC52" s="86"/>
      <c r="ED52" s="86"/>
      <c r="EE52" s="86"/>
      <c r="EF52" s="86"/>
      <c r="EG52" s="86"/>
      <c r="EH52" s="86"/>
      <c r="EI52" s="86"/>
      <c r="EJ52" s="86"/>
      <c r="EK52" s="86"/>
      <c r="EL52" s="86"/>
      <c r="EM52" s="86"/>
      <c r="EN52" s="86"/>
      <c r="EO52" s="86"/>
      <c r="EP52" s="86"/>
      <c r="EQ52" s="86"/>
      <c r="ER52" s="86"/>
      <c r="ES52" s="86"/>
      <c r="ET52" s="86"/>
      <c r="EU52" s="86"/>
      <c r="EV52" s="86"/>
      <c r="EW52" s="86"/>
      <c r="EX52" s="86"/>
      <c r="EY52" s="86"/>
      <c r="EZ52" s="86"/>
      <c r="FA52" s="86"/>
    </row>
    <row r="53" spans="2:157" ht="9.75" customHeight="1">
      <c r="B53" s="845">
        <v>3</v>
      </c>
      <c r="C53" s="1344"/>
      <c r="D53" s="1344"/>
      <c r="E53" s="1344"/>
      <c r="F53" s="857"/>
      <c r="G53" s="857"/>
      <c r="H53" s="875" t="str">
        <f t="shared" si="2"/>
        <v/>
      </c>
      <c r="J53" s="101"/>
      <c r="K53" s="101"/>
      <c r="L53" s="101"/>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6"/>
      <c r="BR53" s="86"/>
      <c r="BS53" s="86"/>
      <c r="BT53" s="86"/>
      <c r="BU53" s="86"/>
      <c r="BV53" s="86"/>
      <c r="BW53" s="86"/>
      <c r="BX53" s="86"/>
      <c r="BY53" s="86"/>
      <c r="BZ53" s="86"/>
      <c r="CA53" s="86"/>
      <c r="CB53" s="86"/>
      <c r="CC53" s="86"/>
      <c r="CD53" s="86"/>
      <c r="CE53" s="86"/>
      <c r="CF53" s="86"/>
      <c r="CG53" s="86"/>
      <c r="CH53" s="86"/>
      <c r="CI53" s="86"/>
      <c r="CJ53" s="86"/>
      <c r="CK53" s="86"/>
      <c r="CL53" s="86"/>
      <c r="CM53" s="86"/>
      <c r="CN53" s="86"/>
      <c r="CO53" s="86"/>
      <c r="CP53" s="86"/>
      <c r="CQ53" s="86"/>
      <c r="CR53" s="86"/>
      <c r="CS53" s="86"/>
      <c r="CT53" s="86"/>
      <c r="CU53" s="86"/>
      <c r="CV53" s="86"/>
      <c r="CW53" s="86"/>
      <c r="CX53" s="86"/>
      <c r="CY53" s="86"/>
      <c r="CZ53" s="86"/>
      <c r="DA53" s="86"/>
      <c r="DB53" s="86"/>
      <c r="DC53" s="86"/>
      <c r="DD53" s="86"/>
      <c r="DE53" s="86"/>
      <c r="DF53" s="86"/>
      <c r="DG53" s="86"/>
      <c r="DH53" s="86"/>
      <c r="DI53" s="86"/>
      <c r="DJ53" s="86"/>
      <c r="DK53" s="86"/>
      <c r="DL53" s="86"/>
      <c r="DM53" s="86"/>
      <c r="DN53" s="86"/>
      <c r="DO53" s="86"/>
      <c r="DP53" s="86"/>
      <c r="DQ53" s="86"/>
      <c r="DR53" s="86"/>
      <c r="DS53" s="86"/>
      <c r="DT53" s="86"/>
      <c r="DU53" s="86"/>
      <c r="DV53" s="86"/>
      <c r="DW53" s="86"/>
      <c r="DX53" s="86"/>
      <c r="DY53" s="86"/>
      <c r="DZ53" s="86"/>
      <c r="EA53" s="86"/>
      <c r="EB53" s="86"/>
      <c r="EC53" s="86"/>
      <c r="ED53" s="86"/>
      <c r="EE53" s="86"/>
      <c r="EF53" s="86"/>
      <c r="EG53" s="86"/>
      <c r="EH53" s="86"/>
      <c r="EI53" s="86"/>
      <c r="EJ53" s="86"/>
      <c r="EK53" s="86"/>
      <c r="EL53" s="86"/>
      <c r="EM53" s="86"/>
      <c r="EN53" s="86"/>
      <c r="EO53" s="86"/>
      <c r="EP53" s="86"/>
      <c r="EQ53" s="86"/>
      <c r="ER53" s="86"/>
      <c r="ES53" s="86"/>
      <c r="ET53" s="86"/>
      <c r="EU53" s="86"/>
      <c r="EV53" s="86"/>
      <c r="EW53" s="86"/>
      <c r="EX53" s="86"/>
      <c r="EY53" s="86"/>
      <c r="EZ53" s="86"/>
      <c r="FA53" s="86"/>
    </row>
    <row r="54" spans="2:157" ht="9.75" customHeight="1">
      <c r="B54" s="845">
        <v>4</v>
      </c>
      <c r="C54" s="1344"/>
      <c r="D54" s="1344"/>
      <c r="E54" s="1344"/>
      <c r="F54" s="857"/>
      <c r="G54" s="857"/>
      <c r="H54" s="875" t="str">
        <f t="shared" si="2"/>
        <v/>
      </c>
      <c r="J54" s="101"/>
      <c r="K54" s="101"/>
      <c r="L54" s="101"/>
      <c r="Z54" s="86"/>
      <c r="AA54" s="86"/>
      <c r="AB54" s="86"/>
      <c r="AC54" s="86"/>
      <c r="AD54" s="86"/>
      <c r="AE54" s="86"/>
      <c r="AF54" s="86"/>
      <c r="AG54" s="86"/>
      <c r="AH54" s="86"/>
      <c r="AI54" s="86"/>
      <c r="AJ54" s="86"/>
      <c r="AK54" s="86"/>
      <c r="AL54" s="86"/>
      <c r="AM54" s="86"/>
      <c r="AN54" s="86"/>
      <c r="AO54" s="86"/>
      <c r="AP54" s="86"/>
      <c r="AQ54" s="86"/>
      <c r="AR54" s="86"/>
      <c r="AS54" s="86"/>
      <c r="AT54" s="86"/>
      <c r="AU54" s="86"/>
      <c r="AV54" s="86"/>
      <c r="AW54" s="86"/>
      <c r="AX54" s="86"/>
      <c r="AY54" s="86"/>
      <c r="AZ54" s="86"/>
      <c r="BA54" s="86"/>
      <c r="BB54" s="86"/>
      <c r="BC54" s="86"/>
      <c r="BD54" s="86"/>
      <c r="BE54" s="86"/>
      <c r="BF54" s="86"/>
      <c r="BG54" s="86"/>
      <c r="BH54" s="86"/>
      <c r="BI54" s="86"/>
      <c r="BJ54" s="86"/>
      <c r="BK54" s="86"/>
      <c r="BL54" s="86"/>
      <c r="BM54" s="86"/>
      <c r="BN54" s="86"/>
      <c r="BO54" s="86"/>
      <c r="BP54" s="86"/>
      <c r="BQ54" s="86"/>
      <c r="BR54" s="86"/>
      <c r="BS54" s="86"/>
      <c r="BT54" s="86"/>
      <c r="BU54" s="86"/>
      <c r="BV54" s="86"/>
      <c r="BW54" s="86"/>
      <c r="BX54" s="86"/>
      <c r="BY54" s="86"/>
      <c r="BZ54" s="86"/>
      <c r="CA54" s="86"/>
      <c r="CB54" s="86"/>
      <c r="CC54" s="86"/>
      <c r="CD54" s="86"/>
      <c r="CE54" s="86"/>
      <c r="CF54" s="86"/>
      <c r="CG54" s="86"/>
      <c r="CH54" s="86"/>
      <c r="CI54" s="86"/>
      <c r="CJ54" s="86"/>
      <c r="CK54" s="86"/>
      <c r="CL54" s="86"/>
      <c r="CM54" s="86"/>
      <c r="CN54" s="86"/>
      <c r="CO54" s="86"/>
      <c r="CP54" s="86"/>
      <c r="CQ54" s="86"/>
      <c r="CR54" s="86"/>
      <c r="CS54" s="86"/>
      <c r="CT54" s="86"/>
      <c r="CU54" s="86"/>
      <c r="CV54" s="86"/>
      <c r="CW54" s="86"/>
      <c r="CX54" s="86"/>
      <c r="CY54" s="86"/>
      <c r="CZ54" s="86"/>
      <c r="DA54" s="86"/>
      <c r="DB54" s="86"/>
      <c r="DC54" s="86"/>
      <c r="DD54" s="86"/>
      <c r="DE54" s="86"/>
      <c r="DF54" s="86"/>
      <c r="DG54" s="86"/>
      <c r="DH54" s="86"/>
      <c r="DI54" s="86"/>
      <c r="DJ54" s="86"/>
      <c r="DK54" s="86"/>
      <c r="DL54" s="86"/>
      <c r="DM54" s="86"/>
      <c r="DN54" s="86"/>
      <c r="DO54" s="86"/>
      <c r="DP54" s="86"/>
      <c r="DQ54" s="86"/>
      <c r="DR54" s="86"/>
      <c r="DS54" s="86"/>
      <c r="DT54" s="86"/>
      <c r="DU54" s="86"/>
      <c r="DV54" s="86"/>
      <c r="DW54" s="86"/>
      <c r="DX54" s="86"/>
      <c r="DY54" s="86"/>
      <c r="DZ54" s="86"/>
      <c r="EA54" s="86"/>
      <c r="EB54" s="86"/>
      <c r="EC54" s="86"/>
      <c r="ED54" s="86"/>
      <c r="EE54" s="86"/>
      <c r="EF54" s="86"/>
      <c r="EG54" s="86"/>
      <c r="EH54" s="86"/>
      <c r="EI54" s="86"/>
      <c r="EJ54" s="86"/>
      <c r="EK54" s="86"/>
      <c r="EL54" s="86"/>
      <c r="EM54" s="86"/>
      <c r="EN54" s="86"/>
      <c r="EO54" s="86"/>
      <c r="EP54" s="86"/>
      <c r="EQ54" s="86"/>
      <c r="ER54" s="86"/>
      <c r="ES54" s="86"/>
      <c r="ET54" s="86"/>
      <c r="EU54" s="86"/>
      <c r="EV54" s="86"/>
      <c r="EW54" s="86"/>
      <c r="EX54" s="86"/>
      <c r="EY54" s="86"/>
      <c r="EZ54" s="86"/>
      <c r="FA54" s="86"/>
    </row>
    <row r="55" spans="2:157" ht="9.75" customHeight="1">
      <c r="B55" s="845">
        <v>5</v>
      </c>
      <c r="C55" s="1344"/>
      <c r="D55" s="1344"/>
      <c r="E55" s="1344"/>
      <c r="F55" s="857"/>
      <c r="G55" s="857"/>
      <c r="H55" s="875" t="str">
        <f t="shared" si="2"/>
        <v/>
      </c>
      <c r="J55" s="101"/>
      <c r="K55" s="101"/>
      <c r="L55" s="101"/>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86"/>
      <c r="AY55" s="86"/>
      <c r="AZ55" s="86"/>
      <c r="BA55" s="86"/>
      <c r="BB55" s="86"/>
      <c r="BC55" s="86"/>
      <c r="BD55" s="86"/>
      <c r="BE55" s="86"/>
      <c r="BF55" s="86"/>
      <c r="BG55" s="86"/>
      <c r="BH55" s="86"/>
      <c r="BI55" s="86"/>
      <c r="BJ55" s="86"/>
      <c r="BK55" s="86"/>
      <c r="BL55" s="86"/>
      <c r="BM55" s="86"/>
      <c r="BN55" s="86"/>
      <c r="BO55" s="86"/>
      <c r="BP55" s="86"/>
      <c r="BQ55" s="86"/>
      <c r="BR55" s="86"/>
      <c r="BS55" s="86"/>
      <c r="BT55" s="86"/>
      <c r="BU55" s="86"/>
      <c r="BV55" s="86"/>
      <c r="BW55" s="86"/>
      <c r="BX55" s="86"/>
      <c r="BY55" s="86"/>
      <c r="BZ55" s="86"/>
      <c r="CA55" s="86"/>
      <c r="CB55" s="86"/>
      <c r="CC55" s="86"/>
      <c r="CD55" s="86"/>
      <c r="CE55" s="86"/>
      <c r="CF55" s="86"/>
      <c r="CG55" s="86"/>
      <c r="CH55" s="86"/>
      <c r="CI55" s="86"/>
      <c r="CJ55" s="86"/>
      <c r="CK55" s="86"/>
      <c r="CL55" s="86"/>
      <c r="CM55" s="86"/>
      <c r="CN55" s="86"/>
      <c r="CO55" s="86"/>
      <c r="CP55" s="86"/>
      <c r="CQ55" s="86"/>
      <c r="CR55" s="86"/>
      <c r="CS55" s="86"/>
      <c r="CT55" s="86"/>
      <c r="CU55" s="86"/>
      <c r="CV55" s="86"/>
      <c r="CW55" s="86"/>
      <c r="CX55" s="86"/>
      <c r="CY55" s="86"/>
      <c r="CZ55" s="86"/>
      <c r="DA55" s="86"/>
      <c r="DB55" s="86"/>
      <c r="DC55" s="86"/>
      <c r="DD55" s="86"/>
      <c r="DE55" s="86"/>
      <c r="DF55" s="86"/>
      <c r="DG55" s="86"/>
      <c r="DH55" s="86"/>
      <c r="DI55" s="86"/>
      <c r="DJ55" s="86"/>
      <c r="DK55" s="86"/>
      <c r="DL55" s="86"/>
      <c r="DM55" s="86"/>
      <c r="DN55" s="86"/>
      <c r="DO55" s="86"/>
      <c r="DP55" s="86"/>
      <c r="DQ55" s="86"/>
      <c r="DR55" s="86"/>
      <c r="DS55" s="86"/>
      <c r="DT55" s="86"/>
      <c r="DU55" s="86"/>
      <c r="DV55" s="86"/>
      <c r="DW55" s="86"/>
      <c r="DX55" s="86"/>
      <c r="DY55" s="86"/>
      <c r="DZ55" s="86"/>
      <c r="EA55" s="86"/>
      <c r="EB55" s="86"/>
      <c r="EC55" s="86"/>
      <c r="ED55" s="86"/>
      <c r="EE55" s="86"/>
      <c r="EF55" s="86"/>
      <c r="EG55" s="86"/>
      <c r="EH55" s="86"/>
      <c r="EI55" s="86"/>
      <c r="EJ55" s="86"/>
      <c r="EK55" s="86"/>
      <c r="EL55" s="86"/>
      <c r="EM55" s="86"/>
      <c r="EN55" s="86"/>
      <c r="EO55" s="86"/>
      <c r="EP55" s="86"/>
      <c r="EQ55" s="86"/>
      <c r="ER55" s="86"/>
      <c r="ES55" s="86"/>
      <c r="ET55" s="86"/>
      <c r="EU55" s="86"/>
      <c r="EV55" s="86"/>
      <c r="EW55" s="86"/>
      <c r="EX55" s="86"/>
      <c r="EY55" s="86"/>
      <c r="EZ55" s="86"/>
      <c r="FA55" s="86"/>
    </row>
    <row r="56" spans="2:157" ht="9.75" customHeight="1">
      <c r="B56" s="845">
        <v>6</v>
      </c>
      <c r="C56" s="1344"/>
      <c r="D56" s="1344"/>
      <c r="E56" s="1344"/>
      <c r="F56" s="857"/>
      <c r="G56" s="857"/>
      <c r="H56" s="875" t="str">
        <f t="shared" si="2"/>
        <v/>
      </c>
      <c r="J56" s="101"/>
      <c r="K56" s="101"/>
      <c r="L56" s="101"/>
      <c r="Z56" s="86"/>
      <c r="AA56" s="86"/>
      <c r="AB56" s="86"/>
      <c r="AC56" s="86"/>
      <c r="AD56" s="86"/>
      <c r="AE56" s="86"/>
      <c r="AF56" s="86"/>
      <c r="AG56" s="86"/>
      <c r="AH56" s="86"/>
      <c r="AI56" s="86"/>
      <c r="AJ56" s="86"/>
      <c r="AK56" s="86"/>
      <c r="AL56" s="86"/>
      <c r="AM56" s="86"/>
      <c r="AN56" s="86"/>
      <c r="AO56" s="86"/>
      <c r="AP56" s="86"/>
      <c r="AQ56" s="86"/>
      <c r="AR56" s="86"/>
      <c r="AS56" s="86"/>
      <c r="AT56" s="86"/>
      <c r="AU56" s="86"/>
      <c r="AV56" s="86"/>
      <c r="AW56" s="86"/>
      <c r="AX56" s="86"/>
      <c r="AY56" s="86"/>
      <c r="AZ56" s="86"/>
      <c r="BA56" s="86"/>
      <c r="BB56" s="86"/>
      <c r="BC56" s="86"/>
      <c r="BD56" s="86"/>
      <c r="BE56" s="86"/>
      <c r="BF56" s="86"/>
      <c r="BG56" s="86"/>
      <c r="BH56" s="86"/>
      <c r="BI56" s="86"/>
      <c r="BJ56" s="86"/>
      <c r="BK56" s="86"/>
      <c r="BL56" s="86"/>
      <c r="BM56" s="86"/>
      <c r="BN56" s="86"/>
      <c r="BO56" s="86"/>
      <c r="BP56" s="86"/>
      <c r="BQ56" s="86"/>
      <c r="BR56" s="86"/>
      <c r="BS56" s="86"/>
      <c r="BT56" s="86"/>
      <c r="BU56" s="86"/>
      <c r="BV56" s="86"/>
      <c r="BW56" s="86"/>
      <c r="BX56" s="86"/>
      <c r="BY56" s="86"/>
      <c r="BZ56" s="86"/>
      <c r="CA56" s="86"/>
      <c r="CB56" s="86"/>
      <c r="CC56" s="86"/>
      <c r="CD56" s="86"/>
      <c r="CE56" s="86"/>
      <c r="CF56" s="86"/>
      <c r="CG56" s="86"/>
      <c r="CH56" s="86"/>
      <c r="CI56" s="86"/>
      <c r="CJ56" s="86"/>
      <c r="CK56" s="86"/>
      <c r="CL56" s="86"/>
      <c r="CM56" s="86"/>
      <c r="CN56" s="86"/>
      <c r="CO56" s="86"/>
      <c r="CP56" s="86"/>
      <c r="CQ56" s="86"/>
      <c r="CR56" s="86"/>
      <c r="CS56" s="86"/>
      <c r="CT56" s="86"/>
      <c r="CU56" s="86"/>
      <c r="CV56" s="86"/>
      <c r="CW56" s="86"/>
      <c r="CX56" s="86"/>
      <c r="CY56" s="86"/>
      <c r="CZ56" s="86"/>
      <c r="DA56" s="86"/>
      <c r="DB56" s="86"/>
      <c r="DC56" s="86"/>
      <c r="DD56" s="86"/>
      <c r="DE56" s="86"/>
      <c r="DF56" s="86"/>
      <c r="DG56" s="86"/>
      <c r="DH56" s="86"/>
      <c r="DI56" s="86"/>
      <c r="DJ56" s="86"/>
      <c r="DK56" s="86"/>
      <c r="DL56" s="86"/>
      <c r="DM56" s="86"/>
      <c r="DN56" s="86"/>
      <c r="DO56" s="86"/>
      <c r="DP56" s="86"/>
      <c r="DQ56" s="86"/>
      <c r="DR56" s="86"/>
      <c r="DS56" s="86"/>
      <c r="DT56" s="86"/>
      <c r="DU56" s="86"/>
      <c r="DV56" s="86"/>
      <c r="DW56" s="86"/>
      <c r="DX56" s="86"/>
      <c r="DY56" s="86"/>
      <c r="DZ56" s="86"/>
      <c r="EA56" s="86"/>
      <c r="EB56" s="86"/>
      <c r="EC56" s="86"/>
      <c r="ED56" s="86"/>
      <c r="EE56" s="86"/>
      <c r="EF56" s="86"/>
      <c r="EG56" s="86"/>
      <c r="EH56" s="86"/>
      <c r="EI56" s="86"/>
      <c r="EJ56" s="86"/>
      <c r="EK56" s="86"/>
      <c r="EL56" s="86"/>
      <c r="EM56" s="86"/>
      <c r="EN56" s="86"/>
      <c r="EO56" s="86"/>
      <c r="EP56" s="86"/>
      <c r="EQ56" s="86"/>
      <c r="ER56" s="86"/>
      <c r="ES56" s="86"/>
      <c r="ET56" s="86"/>
      <c r="EU56" s="86"/>
      <c r="EV56" s="86"/>
      <c r="EW56" s="86"/>
      <c r="EX56" s="86"/>
      <c r="EY56" s="86"/>
      <c r="EZ56" s="86"/>
      <c r="FA56" s="86"/>
    </row>
    <row r="57" spans="2:157" ht="9.75" customHeight="1">
      <c r="B57" s="845">
        <v>7</v>
      </c>
      <c r="C57" s="1344"/>
      <c r="D57" s="1344"/>
      <c r="E57" s="1344"/>
      <c r="F57" s="857"/>
      <c r="G57" s="857"/>
      <c r="H57" s="875" t="str">
        <f t="shared" si="2"/>
        <v/>
      </c>
      <c r="J57" s="101"/>
      <c r="K57" s="101"/>
      <c r="L57" s="101"/>
      <c r="Z57" s="86"/>
      <c r="AA57" s="86"/>
      <c r="AB57" s="86"/>
      <c r="AC57" s="86"/>
      <c r="AD57" s="86"/>
      <c r="AE57" s="86"/>
      <c r="AF57" s="86"/>
      <c r="AG57" s="86"/>
      <c r="AH57" s="86"/>
      <c r="AI57" s="86"/>
      <c r="AJ57" s="86"/>
      <c r="AK57" s="86"/>
      <c r="AL57" s="86"/>
      <c r="AM57" s="86"/>
      <c r="AN57" s="86"/>
      <c r="AO57" s="86"/>
      <c r="AP57" s="86"/>
      <c r="AQ57" s="86"/>
      <c r="AR57" s="86"/>
      <c r="AS57" s="86"/>
      <c r="AT57" s="86"/>
      <c r="AU57" s="86"/>
      <c r="AV57" s="86"/>
      <c r="AW57" s="86"/>
      <c r="AX57" s="86"/>
      <c r="AY57" s="86"/>
      <c r="AZ57" s="86"/>
      <c r="BA57" s="86"/>
      <c r="BB57" s="86"/>
      <c r="BC57" s="86"/>
      <c r="BD57" s="86"/>
      <c r="BE57" s="86"/>
      <c r="BF57" s="86"/>
      <c r="BG57" s="86"/>
      <c r="BH57" s="86"/>
      <c r="BI57" s="86"/>
      <c r="BJ57" s="86"/>
      <c r="BK57" s="86"/>
      <c r="BL57" s="86"/>
      <c r="BM57" s="86"/>
      <c r="BN57" s="86"/>
      <c r="BO57" s="86"/>
      <c r="BP57" s="86"/>
      <c r="BQ57" s="86"/>
      <c r="BR57" s="86"/>
      <c r="BS57" s="86"/>
      <c r="BT57" s="86"/>
      <c r="BU57" s="86"/>
      <c r="BV57" s="86"/>
      <c r="BW57" s="86"/>
      <c r="BX57" s="86"/>
      <c r="BY57" s="86"/>
      <c r="BZ57" s="86"/>
      <c r="CA57" s="86"/>
      <c r="CB57" s="86"/>
      <c r="CC57" s="86"/>
      <c r="CD57" s="86"/>
      <c r="CE57" s="86"/>
      <c r="CF57" s="86"/>
      <c r="CG57" s="86"/>
      <c r="CH57" s="86"/>
      <c r="CI57" s="86"/>
      <c r="CJ57" s="86"/>
      <c r="CK57" s="86"/>
      <c r="CL57" s="86"/>
      <c r="CM57" s="86"/>
      <c r="CN57" s="86"/>
      <c r="CO57" s="86"/>
      <c r="CP57" s="86"/>
      <c r="CQ57" s="86"/>
      <c r="CR57" s="86"/>
      <c r="CS57" s="86"/>
      <c r="CT57" s="86"/>
      <c r="CU57" s="86"/>
      <c r="CV57" s="86"/>
      <c r="CW57" s="86"/>
      <c r="CX57" s="86"/>
      <c r="CY57" s="86"/>
      <c r="CZ57" s="86"/>
      <c r="DA57" s="86"/>
      <c r="DB57" s="86"/>
      <c r="DC57" s="86"/>
      <c r="DD57" s="86"/>
      <c r="DE57" s="86"/>
      <c r="DF57" s="86"/>
      <c r="DG57" s="86"/>
      <c r="DH57" s="86"/>
      <c r="DI57" s="86"/>
      <c r="DJ57" s="86"/>
      <c r="DK57" s="86"/>
      <c r="DL57" s="86"/>
      <c r="DM57" s="86"/>
      <c r="DN57" s="86"/>
      <c r="DO57" s="86"/>
      <c r="DP57" s="86"/>
      <c r="DQ57" s="86"/>
      <c r="DR57" s="86"/>
      <c r="DS57" s="86"/>
      <c r="DT57" s="86"/>
      <c r="DU57" s="86"/>
      <c r="DV57" s="86"/>
      <c r="DW57" s="86"/>
      <c r="DX57" s="86"/>
      <c r="DY57" s="86"/>
      <c r="DZ57" s="86"/>
      <c r="EA57" s="86"/>
      <c r="EB57" s="86"/>
      <c r="EC57" s="86"/>
      <c r="ED57" s="86"/>
      <c r="EE57" s="86"/>
      <c r="EF57" s="86"/>
      <c r="EG57" s="86"/>
      <c r="EH57" s="86"/>
      <c r="EI57" s="86"/>
      <c r="EJ57" s="86"/>
      <c r="EK57" s="86"/>
      <c r="EL57" s="86"/>
      <c r="EM57" s="86"/>
      <c r="EN57" s="86"/>
      <c r="EO57" s="86"/>
      <c r="EP57" s="86"/>
      <c r="EQ57" s="86"/>
      <c r="ER57" s="86"/>
      <c r="ES57" s="86"/>
      <c r="ET57" s="86"/>
      <c r="EU57" s="86"/>
      <c r="EV57" s="86"/>
      <c r="EW57" s="86"/>
      <c r="EX57" s="86"/>
      <c r="EY57" s="86"/>
      <c r="EZ57" s="86"/>
      <c r="FA57" s="86"/>
    </row>
    <row r="58" spans="2:157" ht="9.75" customHeight="1">
      <c r="B58" s="845">
        <v>8</v>
      </c>
      <c r="C58" s="1344"/>
      <c r="D58" s="1344"/>
      <c r="E58" s="1344"/>
      <c r="F58" s="857"/>
      <c r="G58" s="857"/>
      <c r="H58" s="875" t="str">
        <f t="shared" si="2"/>
        <v/>
      </c>
      <c r="J58" s="101"/>
      <c r="K58" s="101"/>
      <c r="L58" s="101"/>
      <c r="Z58" s="86"/>
      <c r="AA58" s="86"/>
      <c r="AB58" s="86"/>
      <c r="AC58" s="86"/>
      <c r="AD58" s="86"/>
      <c r="AE58" s="86"/>
      <c r="AF58" s="86"/>
      <c r="AG58" s="86"/>
      <c r="AH58" s="86"/>
      <c r="AI58" s="86"/>
      <c r="AJ58" s="86"/>
      <c r="AK58" s="86"/>
      <c r="AL58" s="86"/>
      <c r="AM58" s="86"/>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c r="BM58" s="86"/>
      <c r="BN58" s="86"/>
      <c r="BO58" s="86"/>
      <c r="BP58" s="86"/>
      <c r="BQ58" s="86"/>
      <c r="BR58" s="86"/>
      <c r="BS58" s="86"/>
      <c r="BT58" s="86"/>
      <c r="BU58" s="86"/>
      <c r="BV58" s="86"/>
      <c r="BW58" s="86"/>
      <c r="BX58" s="86"/>
      <c r="BY58" s="86"/>
      <c r="BZ58" s="86"/>
      <c r="CA58" s="86"/>
      <c r="CB58" s="86"/>
      <c r="CC58" s="86"/>
      <c r="CD58" s="86"/>
      <c r="CE58" s="86"/>
      <c r="CF58" s="86"/>
      <c r="CG58" s="86"/>
      <c r="CH58" s="86"/>
      <c r="CI58" s="86"/>
      <c r="CJ58" s="86"/>
      <c r="CK58" s="86"/>
      <c r="CL58" s="86"/>
      <c r="CM58" s="86"/>
      <c r="CN58" s="86"/>
      <c r="CO58" s="86"/>
      <c r="CP58" s="86"/>
      <c r="CQ58" s="86"/>
      <c r="CR58" s="86"/>
      <c r="CS58" s="86"/>
      <c r="CT58" s="86"/>
      <c r="CU58" s="86"/>
      <c r="CV58" s="86"/>
      <c r="CW58" s="86"/>
      <c r="CX58" s="86"/>
      <c r="CY58" s="86"/>
      <c r="CZ58" s="86"/>
      <c r="DA58" s="86"/>
      <c r="DB58" s="86"/>
      <c r="DC58" s="86"/>
      <c r="DD58" s="86"/>
      <c r="DE58" s="86"/>
      <c r="DF58" s="86"/>
      <c r="DG58" s="86"/>
      <c r="DH58" s="86"/>
      <c r="DI58" s="86"/>
      <c r="DJ58" s="86"/>
      <c r="DK58" s="86"/>
      <c r="DL58" s="86"/>
      <c r="DM58" s="86"/>
      <c r="DN58" s="86"/>
      <c r="DO58" s="86"/>
      <c r="DP58" s="86"/>
      <c r="DQ58" s="86"/>
      <c r="DR58" s="86"/>
      <c r="DS58" s="86"/>
      <c r="DT58" s="86"/>
      <c r="DU58" s="86"/>
      <c r="DV58" s="86"/>
      <c r="DW58" s="86"/>
      <c r="DX58" s="86"/>
      <c r="DY58" s="86"/>
      <c r="DZ58" s="86"/>
      <c r="EA58" s="86"/>
      <c r="EB58" s="86"/>
      <c r="EC58" s="86"/>
      <c r="ED58" s="86"/>
      <c r="EE58" s="86"/>
      <c r="EF58" s="86"/>
      <c r="EG58" s="86"/>
      <c r="EH58" s="86"/>
      <c r="EI58" s="86"/>
      <c r="EJ58" s="86"/>
      <c r="EK58" s="86"/>
      <c r="EL58" s="86"/>
      <c r="EM58" s="86"/>
      <c r="EN58" s="86"/>
      <c r="EO58" s="86"/>
      <c r="EP58" s="86"/>
      <c r="EQ58" s="86"/>
      <c r="ER58" s="86"/>
      <c r="ES58" s="86"/>
      <c r="ET58" s="86"/>
      <c r="EU58" s="86"/>
      <c r="EV58" s="86"/>
      <c r="EW58" s="86"/>
      <c r="EX58" s="86"/>
      <c r="EY58" s="86"/>
      <c r="EZ58" s="86"/>
      <c r="FA58" s="86"/>
    </row>
    <row r="59" spans="2:157" ht="9.75" customHeight="1">
      <c r="B59" s="845">
        <v>9</v>
      </c>
      <c r="C59" s="1344"/>
      <c r="D59" s="1344"/>
      <c r="E59" s="1344"/>
      <c r="F59" s="857"/>
      <c r="G59" s="857"/>
      <c r="H59" s="875" t="str">
        <f t="shared" si="2"/>
        <v/>
      </c>
      <c r="J59" s="101"/>
      <c r="K59" s="101"/>
      <c r="L59" s="101"/>
      <c r="Z59" s="86"/>
      <c r="AA59" s="86"/>
      <c r="AB59" s="86"/>
      <c r="AC59" s="86"/>
      <c r="AD59" s="86"/>
      <c r="AE59" s="86"/>
      <c r="AF59" s="86"/>
      <c r="AG59" s="86"/>
      <c r="AH59" s="86"/>
      <c r="AI59" s="86"/>
      <c r="AJ59" s="86"/>
      <c r="AK59" s="86"/>
      <c r="AL59" s="86"/>
      <c r="AM59" s="86"/>
      <c r="AN59" s="86"/>
      <c r="AO59" s="86"/>
      <c r="AP59" s="86"/>
      <c r="AQ59" s="86"/>
      <c r="AR59" s="86"/>
      <c r="AS59" s="86"/>
      <c r="AT59" s="86"/>
      <c r="AU59" s="86"/>
      <c r="AV59" s="86"/>
      <c r="AW59" s="86"/>
      <c r="AX59" s="86"/>
      <c r="AY59" s="86"/>
      <c r="AZ59" s="86"/>
      <c r="BA59" s="86"/>
      <c r="BB59" s="86"/>
      <c r="BC59" s="86"/>
      <c r="BD59" s="86"/>
      <c r="BE59" s="86"/>
      <c r="BF59" s="86"/>
      <c r="BG59" s="86"/>
      <c r="BH59" s="86"/>
      <c r="BI59" s="86"/>
      <c r="BJ59" s="86"/>
      <c r="BK59" s="86"/>
      <c r="BL59" s="86"/>
      <c r="BM59" s="86"/>
      <c r="BN59" s="86"/>
      <c r="BO59" s="86"/>
      <c r="BP59" s="86"/>
      <c r="BQ59" s="86"/>
      <c r="BR59" s="86"/>
      <c r="BS59" s="86"/>
      <c r="BT59" s="86"/>
      <c r="BU59" s="86"/>
      <c r="BV59" s="86"/>
      <c r="BW59" s="86"/>
      <c r="BX59" s="86"/>
      <c r="BY59" s="86"/>
      <c r="BZ59" s="86"/>
      <c r="CA59" s="86"/>
      <c r="CB59" s="86"/>
      <c r="CC59" s="86"/>
      <c r="CD59" s="86"/>
      <c r="CE59" s="86"/>
      <c r="CF59" s="86"/>
      <c r="CG59" s="86"/>
      <c r="CH59" s="86"/>
      <c r="CI59" s="86"/>
      <c r="CJ59" s="86"/>
      <c r="CK59" s="86"/>
      <c r="CL59" s="86"/>
      <c r="CM59" s="86"/>
      <c r="CN59" s="86"/>
      <c r="CO59" s="86"/>
      <c r="CP59" s="86"/>
      <c r="CQ59" s="86"/>
      <c r="CR59" s="86"/>
      <c r="CS59" s="86"/>
      <c r="CT59" s="86"/>
      <c r="CU59" s="86"/>
      <c r="CV59" s="86"/>
      <c r="CW59" s="86"/>
      <c r="CX59" s="86"/>
      <c r="CY59" s="86"/>
      <c r="CZ59" s="86"/>
      <c r="DA59" s="86"/>
      <c r="DB59" s="86"/>
      <c r="DC59" s="86"/>
      <c r="DD59" s="86"/>
      <c r="DE59" s="86"/>
      <c r="DF59" s="86"/>
      <c r="DG59" s="86"/>
      <c r="DH59" s="86"/>
      <c r="DI59" s="86"/>
      <c r="DJ59" s="86"/>
      <c r="DK59" s="86"/>
      <c r="DL59" s="86"/>
      <c r="DM59" s="86"/>
      <c r="DN59" s="86"/>
      <c r="DO59" s="86"/>
      <c r="DP59" s="86"/>
      <c r="DQ59" s="86"/>
      <c r="DR59" s="86"/>
      <c r="DS59" s="86"/>
      <c r="DT59" s="86"/>
      <c r="DU59" s="86"/>
      <c r="DV59" s="86"/>
      <c r="DW59" s="86"/>
      <c r="DX59" s="86"/>
      <c r="DY59" s="86"/>
      <c r="DZ59" s="86"/>
      <c r="EA59" s="86"/>
      <c r="EB59" s="86"/>
      <c r="EC59" s="86"/>
      <c r="ED59" s="86"/>
      <c r="EE59" s="86"/>
      <c r="EF59" s="86"/>
      <c r="EG59" s="86"/>
      <c r="EH59" s="86"/>
      <c r="EI59" s="86"/>
      <c r="EJ59" s="86"/>
      <c r="EK59" s="86"/>
      <c r="EL59" s="86"/>
      <c r="EM59" s="86"/>
      <c r="EN59" s="86"/>
      <c r="EO59" s="86"/>
      <c r="EP59" s="86"/>
      <c r="EQ59" s="86"/>
      <c r="ER59" s="86"/>
      <c r="ES59" s="86"/>
      <c r="ET59" s="86"/>
      <c r="EU59" s="86"/>
      <c r="EV59" s="86"/>
      <c r="EW59" s="86"/>
      <c r="EX59" s="86"/>
      <c r="EY59" s="86"/>
      <c r="EZ59" s="86"/>
      <c r="FA59" s="86"/>
    </row>
    <row r="60" spans="2:157" ht="10.050000000000001" customHeight="1">
      <c r="B60" s="845" t="s">
        <v>546</v>
      </c>
      <c r="C60" s="836" t="s">
        <v>73</v>
      </c>
      <c r="D60" s="839"/>
      <c r="E60" s="86"/>
      <c r="F60" s="848" t="s">
        <v>546</v>
      </c>
      <c r="G60" s="848" t="s">
        <v>546</v>
      </c>
      <c r="H60" s="858">
        <v>0.04</v>
      </c>
      <c r="J60" s="101"/>
      <c r="K60" s="101"/>
      <c r="L60" s="101"/>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86"/>
      <c r="AX60" s="86"/>
      <c r="AY60" s="86"/>
      <c r="AZ60" s="86"/>
      <c r="BA60" s="86"/>
      <c r="BB60" s="86"/>
      <c r="BC60" s="86"/>
      <c r="BD60" s="86"/>
      <c r="BE60" s="86"/>
      <c r="BF60" s="86"/>
      <c r="BG60" s="86"/>
      <c r="BH60" s="86"/>
      <c r="BI60" s="86"/>
      <c r="BJ60" s="86"/>
      <c r="BK60" s="86"/>
      <c r="BL60" s="86"/>
      <c r="BM60" s="86"/>
      <c r="BN60" s="86"/>
      <c r="BO60" s="86"/>
      <c r="BP60" s="86"/>
      <c r="BQ60" s="86"/>
      <c r="BR60" s="86"/>
      <c r="BS60" s="86"/>
      <c r="BT60" s="86"/>
      <c r="BU60" s="86"/>
      <c r="BV60" s="86"/>
      <c r="BW60" s="86"/>
      <c r="BX60" s="86"/>
      <c r="BY60" s="86"/>
      <c r="BZ60" s="86"/>
      <c r="CA60" s="86"/>
      <c r="CB60" s="86"/>
      <c r="CC60" s="86"/>
      <c r="CD60" s="86"/>
      <c r="CE60" s="86"/>
      <c r="CF60" s="86"/>
      <c r="CG60" s="86"/>
      <c r="CH60" s="86"/>
      <c r="CI60" s="86"/>
      <c r="CJ60" s="86"/>
      <c r="CK60" s="86"/>
      <c r="CL60" s="86"/>
      <c r="CM60" s="86"/>
      <c r="CN60" s="86"/>
      <c r="CO60" s="86"/>
      <c r="CP60" s="86"/>
      <c r="CQ60" s="86"/>
      <c r="CR60" s="86"/>
      <c r="CS60" s="86"/>
      <c r="CT60" s="86"/>
      <c r="CU60" s="86"/>
      <c r="CV60" s="86"/>
      <c r="CW60" s="86"/>
      <c r="CX60" s="86"/>
      <c r="CY60" s="86"/>
      <c r="CZ60" s="86"/>
      <c r="DA60" s="86"/>
      <c r="DB60" s="86"/>
      <c r="DC60" s="86"/>
      <c r="DD60" s="86"/>
      <c r="DE60" s="86"/>
      <c r="DF60" s="86"/>
      <c r="DG60" s="86"/>
      <c r="DH60" s="86"/>
      <c r="DI60" s="86"/>
      <c r="DJ60" s="86"/>
      <c r="DK60" s="86"/>
      <c r="DL60" s="86"/>
      <c r="DM60" s="86"/>
      <c r="DN60" s="86"/>
      <c r="DO60" s="86"/>
      <c r="DP60" s="86"/>
      <c r="DQ60" s="86"/>
      <c r="DR60" s="86"/>
      <c r="DS60" s="86"/>
      <c r="DT60" s="86"/>
      <c r="DU60" s="86"/>
      <c r="DV60" s="86"/>
      <c r="DW60" s="86"/>
      <c r="DX60" s="86"/>
      <c r="DY60" s="86"/>
      <c r="DZ60" s="86"/>
      <c r="EA60" s="86"/>
      <c r="EB60" s="86"/>
      <c r="EC60" s="86"/>
      <c r="ED60" s="86"/>
      <c r="EE60" s="86"/>
      <c r="EF60" s="86"/>
      <c r="EG60" s="86"/>
      <c r="EH60" s="86"/>
      <c r="EI60" s="86"/>
      <c r="EJ60" s="86"/>
      <c r="EK60" s="86"/>
      <c r="EL60" s="86"/>
      <c r="EM60" s="86"/>
      <c r="EN60" s="86"/>
      <c r="EO60" s="86"/>
      <c r="EP60" s="86"/>
      <c r="EQ60" s="86"/>
      <c r="ER60" s="86"/>
      <c r="ES60" s="86"/>
      <c r="ET60" s="86"/>
      <c r="EU60" s="86"/>
      <c r="EV60" s="86"/>
      <c r="EW60" s="86"/>
      <c r="EX60" s="86"/>
      <c r="EY60" s="86"/>
      <c r="EZ60" s="86"/>
      <c r="FA60" s="86"/>
    </row>
    <row r="61" spans="2:157" ht="9.75" customHeight="1">
      <c r="B61" s="849"/>
      <c r="C61" s="849"/>
      <c r="D61" s="849"/>
      <c r="E61" s="849"/>
      <c r="F61" s="849"/>
      <c r="G61" s="849"/>
      <c r="H61" s="855"/>
      <c r="J61" s="101"/>
      <c r="K61" s="101"/>
      <c r="L61" s="101"/>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86"/>
      <c r="CA61" s="86"/>
      <c r="CB61" s="86"/>
      <c r="CC61" s="86"/>
      <c r="CD61" s="86"/>
      <c r="CE61" s="86"/>
      <c r="CF61" s="86"/>
      <c r="CG61" s="86"/>
      <c r="CH61" s="86"/>
      <c r="CI61" s="86"/>
      <c r="CJ61" s="86"/>
      <c r="CK61" s="86"/>
      <c r="CL61" s="86"/>
      <c r="CM61" s="86"/>
      <c r="CN61" s="86"/>
      <c r="CO61" s="86"/>
      <c r="CP61" s="86"/>
      <c r="CQ61" s="86"/>
      <c r="CR61" s="86"/>
      <c r="CS61" s="86"/>
      <c r="CT61" s="86"/>
      <c r="CU61" s="86"/>
      <c r="CV61" s="86"/>
      <c r="CW61" s="86"/>
      <c r="CX61" s="86"/>
      <c r="CY61" s="86"/>
      <c r="CZ61" s="86"/>
      <c r="DA61" s="86"/>
      <c r="DB61" s="86"/>
      <c r="DC61" s="86"/>
      <c r="DD61" s="86"/>
      <c r="DE61" s="86"/>
      <c r="DF61" s="86"/>
      <c r="DG61" s="86"/>
      <c r="DH61" s="86"/>
      <c r="DI61" s="86"/>
      <c r="DJ61" s="86"/>
      <c r="DK61" s="86"/>
      <c r="DL61" s="86"/>
      <c r="DM61" s="86"/>
      <c r="DN61" s="86"/>
      <c r="DO61" s="86"/>
      <c r="DP61" s="86"/>
      <c r="DQ61" s="86"/>
      <c r="DR61" s="86"/>
      <c r="DS61" s="86"/>
      <c r="DT61" s="86"/>
      <c r="DU61" s="86"/>
      <c r="DV61" s="86"/>
      <c r="DW61" s="86"/>
      <c r="DX61" s="86"/>
      <c r="DY61" s="86"/>
      <c r="DZ61" s="86"/>
      <c r="EA61" s="86"/>
      <c r="EB61" s="86"/>
      <c r="EC61" s="86"/>
      <c r="ED61" s="86"/>
      <c r="EE61" s="86"/>
      <c r="EF61" s="86"/>
      <c r="EG61" s="86"/>
      <c r="EH61" s="86"/>
      <c r="EI61" s="86"/>
      <c r="EJ61" s="86"/>
      <c r="EK61" s="86"/>
      <c r="EL61" s="86"/>
      <c r="EM61" s="86"/>
      <c r="EN61" s="86"/>
      <c r="EO61" s="86"/>
      <c r="EP61" s="86"/>
      <c r="EQ61" s="86"/>
      <c r="ER61" s="86"/>
      <c r="ES61" s="86"/>
      <c r="ET61" s="86"/>
      <c r="EU61" s="86"/>
      <c r="EV61" s="86"/>
      <c r="EW61" s="86"/>
      <c r="EX61" s="86"/>
      <c r="EY61" s="86"/>
      <c r="EZ61" s="86"/>
      <c r="FA61" s="86"/>
    </row>
    <row r="62" spans="2:157" ht="9.75" customHeight="1">
      <c r="B62" s="33"/>
      <c r="C62" s="33"/>
      <c r="D62" s="33"/>
      <c r="E62" s="842"/>
      <c r="F62" s="843"/>
      <c r="G62" s="841"/>
      <c r="H62" s="33"/>
      <c r="J62" s="101"/>
      <c r="K62" s="101"/>
      <c r="L62" s="101"/>
      <c r="Z62" s="86"/>
      <c r="AA62" s="86"/>
      <c r="AB62" s="86"/>
      <c r="AC62" s="86"/>
      <c r="AD62" s="86"/>
      <c r="AE62" s="86"/>
      <c r="AF62" s="86"/>
      <c r="AG62" s="86"/>
      <c r="AH62" s="86"/>
      <c r="AI62" s="86"/>
      <c r="AJ62" s="86"/>
      <c r="AK62" s="86"/>
      <c r="AL62" s="86"/>
      <c r="AM62" s="86"/>
      <c r="AN62" s="86"/>
      <c r="AO62" s="86"/>
      <c r="AP62" s="86"/>
      <c r="AQ62" s="86"/>
      <c r="AR62" s="86"/>
      <c r="AS62" s="86"/>
      <c r="AT62" s="86"/>
      <c r="AU62" s="86"/>
      <c r="AV62" s="86"/>
      <c r="AW62" s="86"/>
      <c r="AX62" s="86"/>
      <c r="AY62" s="86"/>
      <c r="AZ62" s="86"/>
      <c r="BA62" s="86"/>
      <c r="BB62" s="86"/>
      <c r="BC62" s="86"/>
      <c r="BD62" s="86"/>
      <c r="BE62" s="86"/>
      <c r="BF62" s="86"/>
      <c r="BG62" s="86"/>
      <c r="BH62" s="86"/>
      <c r="BI62" s="86"/>
      <c r="BJ62" s="86"/>
      <c r="BK62" s="86"/>
      <c r="BL62" s="86"/>
      <c r="BM62" s="86"/>
      <c r="BN62" s="86"/>
      <c r="BO62" s="86"/>
      <c r="BP62" s="86"/>
      <c r="BQ62" s="86"/>
      <c r="BR62" s="86"/>
      <c r="BS62" s="86"/>
      <c r="BT62" s="86"/>
      <c r="BU62" s="86"/>
      <c r="BV62" s="86"/>
      <c r="BW62" s="86"/>
      <c r="BX62" s="86"/>
      <c r="BY62" s="86"/>
      <c r="BZ62" s="86"/>
      <c r="CA62" s="86"/>
      <c r="CB62" s="86"/>
      <c r="CC62" s="86"/>
      <c r="CD62" s="86"/>
      <c r="CE62" s="86"/>
      <c r="CF62" s="86"/>
      <c r="CG62" s="86"/>
      <c r="CH62" s="86"/>
      <c r="CI62" s="86"/>
      <c r="CJ62" s="86"/>
      <c r="CK62" s="86"/>
      <c r="CL62" s="86"/>
      <c r="CM62" s="86"/>
      <c r="CN62" s="86"/>
      <c r="CO62" s="86"/>
      <c r="CP62" s="86"/>
      <c r="CQ62" s="86"/>
      <c r="CR62" s="86"/>
      <c r="CS62" s="86"/>
      <c r="CT62" s="86"/>
      <c r="CU62" s="86"/>
      <c r="CV62" s="86"/>
      <c r="CW62" s="86"/>
      <c r="CX62" s="86"/>
      <c r="CY62" s="86"/>
      <c r="CZ62" s="86"/>
      <c r="DA62" s="86"/>
      <c r="DB62" s="86"/>
      <c r="DC62" s="86"/>
      <c r="DD62" s="86"/>
      <c r="DE62" s="86"/>
      <c r="DF62" s="86"/>
      <c r="DG62" s="86"/>
      <c r="DH62" s="86"/>
      <c r="DI62" s="86"/>
      <c r="DJ62" s="86"/>
      <c r="DK62" s="86"/>
      <c r="DL62" s="86"/>
      <c r="DM62" s="86"/>
      <c r="DN62" s="86"/>
      <c r="DO62" s="86"/>
      <c r="DP62" s="86"/>
      <c r="DQ62" s="86"/>
      <c r="DR62" s="86"/>
      <c r="DS62" s="86"/>
      <c r="DT62" s="86"/>
      <c r="DU62" s="86"/>
      <c r="DV62" s="86"/>
      <c r="DW62" s="86"/>
      <c r="DX62" s="86"/>
      <c r="DY62" s="86"/>
      <c r="DZ62" s="86"/>
      <c r="EA62" s="86"/>
      <c r="EB62" s="86"/>
      <c r="EC62" s="86"/>
      <c r="ED62" s="86"/>
      <c r="EE62" s="86"/>
      <c r="EF62" s="86"/>
      <c r="EG62" s="86"/>
      <c r="EH62" s="86"/>
      <c r="EI62" s="86"/>
      <c r="EJ62" s="86"/>
      <c r="EK62" s="86"/>
      <c r="EL62" s="86"/>
      <c r="EM62" s="86"/>
      <c r="EN62" s="86"/>
      <c r="EO62" s="86"/>
      <c r="EP62" s="86"/>
      <c r="EQ62" s="86"/>
      <c r="ER62" s="86"/>
      <c r="ES62" s="86"/>
      <c r="ET62" s="86"/>
      <c r="EU62" s="86"/>
      <c r="EV62" s="86"/>
      <c r="EW62" s="86"/>
      <c r="EX62" s="86"/>
      <c r="EY62" s="86"/>
      <c r="EZ62" s="86"/>
      <c r="FA62" s="86"/>
    </row>
    <row r="63" spans="2:157" ht="9.75" customHeight="1">
      <c r="B63" s="33"/>
      <c r="C63" s="33"/>
      <c r="D63" s="33"/>
      <c r="E63" s="33"/>
      <c r="F63" s="33"/>
      <c r="G63" s="33"/>
      <c r="H63" s="33"/>
      <c r="J63" s="101"/>
      <c r="K63" s="101"/>
      <c r="L63" s="101"/>
      <c r="Z63" s="86"/>
      <c r="AA63" s="86"/>
      <c r="AB63" s="86"/>
      <c r="AC63" s="86"/>
      <c r="AD63" s="86"/>
      <c r="AE63" s="86"/>
      <c r="AF63" s="86"/>
      <c r="AG63" s="86"/>
      <c r="AH63" s="86"/>
      <c r="AI63" s="86"/>
      <c r="AJ63" s="86"/>
      <c r="AK63" s="86"/>
      <c r="AL63" s="86"/>
      <c r="AM63" s="86"/>
      <c r="AN63" s="86"/>
      <c r="AO63" s="86"/>
      <c r="AP63" s="86"/>
      <c r="AQ63" s="86"/>
      <c r="AR63" s="86"/>
      <c r="AS63" s="86"/>
      <c r="AT63" s="86"/>
      <c r="AU63" s="86"/>
      <c r="AV63" s="86"/>
      <c r="AW63" s="86"/>
      <c r="AX63" s="86"/>
      <c r="AY63" s="86"/>
      <c r="AZ63" s="86"/>
      <c r="BA63" s="86"/>
      <c r="BB63" s="86"/>
      <c r="BC63" s="86"/>
      <c r="BD63" s="86"/>
      <c r="BE63" s="86"/>
      <c r="BF63" s="86"/>
      <c r="BG63" s="86"/>
      <c r="BH63" s="86"/>
      <c r="BI63" s="86"/>
      <c r="BJ63" s="86"/>
      <c r="BK63" s="86"/>
      <c r="BL63" s="86"/>
      <c r="BM63" s="86"/>
      <c r="BN63" s="86"/>
      <c r="BO63" s="86"/>
      <c r="BP63" s="86"/>
      <c r="BQ63" s="86"/>
      <c r="BR63" s="86"/>
      <c r="BS63" s="86"/>
      <c r="BT63" s="86"/>
      <c r="BU63" s="86"/>
      <c r="BV63" s="86"/>
      <c r="BW63" s="86"/>
      <c r="BX63" s="86"/>
      <c r="BY63" s="86"/>
      <c r="BZ63" s="86"/>
      <c r="CA63" s="86"/>
      <c r="CB63" s="86"/>
      <c r="CC63" s="86"/>
      <c r="CD63" s="86"/>
      <c r="CE63" s="86"/>
      <c r="CF63" s="86"/>
      <c r="CG63" s="86"/>
      <c r="CH63" s="86"/>
      <c r="CI63" s="86"/>
      <c r="CJ63" s="86"/>
      <c r="CK63" s="86"/>
      <c r="CL63" s="86"/>
      <c r="CM63" s="86"/>
      <c r="CN63" s="86"/>
      <c r="CO63" s="86"/>
      <c r="CP63" s="86"/>
      <c r="CQ63" s="86"/>
      <c r="CR63" s="86"/>
      <c r="CS63" s="86"/>
      <c r="CT63" s="86"/>
      <c r="CU63" s="86"/>
      <c r="CV63" s="86"/>
      <c r="CW63" s="86"/>
      <c r="CX63" s="86"/>
      <c r="CY63" s="86"/>
      <c r="CZ63" s="86"/>
      <c r="DA63" s="86"/>
      <c r="DB63" s="86"/>
      <c r="DC63" s="86"/>
      <c r="DD63" s="86"/>
      <c r="DE63" s="86"/>
      <c r="DF63" s="86"/>
      <c r="DG63" s="86"/>
      <c r="DH63" s="86"/>
      <c r="DI63" s="86"/>
      <c r="DJ63" s="86"/>
      <c r="DK63" s="86"/>
      <c r="DL63" s="86"/>
      <c r="DM63" s="86"/>
      <c r="DN63" s="86"/>
      <c r="DO63" s="86"/>
      <c r="DP63" s="86"/>
      <c r="DQ63" s="86"/>
      <c r="DR63" s="86"/>
      <c r="DS63" s="86"/>
      <c r="DT63" s="86"/>
      <c r="DU63" s="86"/>
      <c r="DV63" s="86"/>
      <c r="DW63" s="86"/>
      <c r="DX63" s="86"/>
      <c r="DY63" s="86"/>
      <c r="DZ63" s="86"/>
      <c r="EA63" s="86"/>
      <c r="EB63" s="86"/>
      <c r="EC63" s="86"/>
      <c r="ED63" s="86"/>
      <c r="EE63" s="86"/>
      <c r="EF63" s="86"/>
      <c r="EG63" s="86"/>
      <c r="EH63" s="86"/>
      <c r="EI63" s="86"/>
      <c r="EJ63" s="86"/>
      <c r="EK63" s="86"/>
      <c r="EL63" s="86"/>
      <c r="EM63" s="86"/>
      <c r="EN63" s="86"/>
      <c r="EO63" s="86"/>
      <c r="EP63" s="86"/>
      <c r="EQ63" s="86"/>
      <c r="ER63" s="86"/>
      <c r="ES63" s="86"/>
      <c r="ET63" s="86"/>
      <c r="EU63" s="86"/>
      <c r="EV63" s="86"/>
      <c r="EW63" s="86"/>
      <c r="EX63" s="86"/>
      <c r="EY63" s="86"/>
      <c r="EZ63" s="86"/>
      <c r="FA63" s="86"/>
    </row>
    <row r="64" spans="2:157" ht="9.75" customHeight="1">
      <c r="B64" s="27"/>
      <c r="C64" s="27"/>
      <c r="D64" s="27"/>
      <c r="E64" s="27"/>
      <c r="F64" s="27"/>
      <c r="G64" s="27"/>
      <c r="H64" s="27"/>
      <c r="J64" s="101"/>
      <c r="K64" s="101"/>
      <c r="L64" s="101"/>
      <c r="Z64" s="86"/>
      <c r="AA64" s="86"/>
      <c r="AB64" s="86"/>
      <c r="AC64" s="86"/>
      <c r="AD64" s="86"/>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6"/>
      <c r="BM64" s="86"/>
      <c r="BN64" s="86"/>
      <c r="BO64" s="86"/>
      <c r="BP64" s="86"/>
      <c r="BQ64" s="86"/>
      <c r="BR64" s="86"/>
      <c r="BS64" s="86"/>
      <c r="BT64" s="86"/>
      <c r="BU64" s="86"/>
      <c r="BV64" s="86"/>
      <c r="BW64" s="86"/>
      <c r="BX64" s="86"/>
      <c r="BY64" s="86"/>
      <c r="BZ64" s="86"/>
      <c r="CA64" s="86"/>
      <c r="CB64" s="86"/>
      <c r="CC64" s="86"/>
      <c r="CD64" s="86"/>
      <c r="CE64" s="86"/>
      <c r="CF64" s="86"/>
      <c r="CG64" s="86"/>
      <c r="CH64" s="86"/>
      <c r="CI64" s="86"/>
      <c r="CJ64" s="86"/>
      <c r="CK64" s="86"/>
      <c r="CL64" s="86"/>
      <c r="CM64" s="86"/>
      <c r="CN64" s="86"/>
      <c r="CO64" s="86"/>
      <c r="CP64" s="86"/>
      <c r="CQ64" s="86"/>
      <c r="CR64" s="86"/>
      <c r="CS64" s="86"/>
      <c r="CT64" s="86"/>
      <c r="CU64" s="86"/>
      <c r="CV64" s="86"/>
      <c r="CW64" s="86"/>
      <c r="CX64" s="86"/>
      <c r="CY64" s="86"/>
      <c r="CZ64" s="86"/>
      <c r="DA64" s="86"/>
      <c r="DB64" s="86"/>
      <c r="DC64" s="86"/>
      <c r="DD64" s="86"/>
      <c r="DE64" s="86"/>
      <c r="DF64" s="86"/>
      <c r="DG64" s="86"/>
      <c r="DH64" s="86"/>
      <c r="DI64" s="86"/>
      <c r="DJ64" s="86"/>
      <c r="DK64" s="86"/>
      <c r="DL64" s="86"/>
      <c r="DM64" s="86"/>
      <c r="DN64" s="86"/>
      <c r="DO64" s="86"/>
      <c r="DP64" s="86"/>
      <c r="DQ64" s="86"/>
      <c r="DR64" s="86"/>
      <c r="DS64" s="86"/>
      <c r="DT64" s="86"/>
      <c r="DU64" s="86"/>
      <c r="DV64" s="86"/>
      <c r="DW64" s="86"/>
      <c r="DX64" s="86"/>
      <c r="DY64" s="86"/>
      <c r="DZ64" s="86"/>
      <c r="EA64" s="86"/>
      <c r="EB64" s="86"/>
      <c r="EC64" s="86"/>
      <c r="ED64" s="86"/>
      <c r="EE64" s="86"/>
      <c r="EF64" s="86"/>
      <c r="EG64" s="86"/>
      <c r="EH64" s="86"/>
      <c r="EI64" s="86"/>
      <c r="EJ64" s="86"/>
      <c r="EK64" s="86"/>
      <c r="EL64" s="86"/>
      <c r="EM64" s="86"/>
      <c r="EN64" s="86"/>
      <c r="EO64" s="86"/>
      <c r="EP64" s="86"/>
      <c r="EQ64" s="86"/>
      <c r="ER64" s="86"/>
      <c r="ES64" s="86"/>
      <c r="ET64" s="86"/>
      <c r="EU64" s="86"/>
      <c r="EV64" s="86"/>
      <c r="EW64" s="86"/>
      <c r="EX64" s="86"/>
      <c r="EY64" s="86"/>
      <c r="EZ64" s="86"/>
      <c r="FA64" s="86"/>
    </row>
    <row r="65" spans="2:157" ht="9.75" customHeight="1">
      <c r="B65" s="31"/>
      <c r="C65" s="31"/>
      <c r="D65" s="31"/>
      <c r="E65" s="31"/>
      <c r="F65" s="31"/>
      <c r="G65" s="31"/>
      <c r="H65" s="31"/>
      <c r="J65" s="101"/>
      <c r="K65" s="101"/>
      <c r="L65" s="101"/>
      <c r="Z65" s="86"/>
      <c r="AA65" s="86"/>
      <c r="AB65" s="86"/>
      <c r="AC65" s="86"/>
      <c r="AD65" s="86"/>
      <c r="AE65" s="86"/>
      <c r="AF65" s="86"/>
      <c r="AG65" s="86"/>
      <c r="AH65" s="86"/>
      <c r="AI65" s="86"/>
      <c r="AJ65" s="86"/>
      <c r="AK65" s="86"/>
      <c r="AL65" s="86"/>
      <c r="AM65" s="86"/>
      <c r="AN65" s="86"/>
      <c r="AO65" s="86"/>
      <c r="AP65" s="86"/>
      <c r="AQ65" s="86"/>
      <c r="AR65" s="86"/>
      <c r="AS65" s="86"/>
      <c r="AT65" s="86"/>
      <c r="AU65" s="86"/>
      <c r="AV65" s="86"/>
      <c r="AW65" s="86"/>
      <c r="AX65" s="86"/>
      <c r="AY65" s="86"/>
      <c r="AZ65" s="86"/>
      <c r="BA65" s="86"/>
      <c r="BB65" s="86"/>
      <c r="BC65" s="86"/>
      <c r="BD65" s="86"/>
      <c r="BE65" s="86"/>
      <c r="BF65" s="86"/>
      <c r="BG65" s="86"/>
      <c r="BH65" s="86"/>
      <c r="BI65" s="86"/>
      <c r="BJ65" s="86"/>
      <c r="BK65" s="86"/>
      <c r="BL65" s="86"/>
      <c r="BM65" s="86"/>
      <c r="BN65" s="86"/>
      <c r="BO65" s="86"/>
      <c r="BP65" s="86"/>
      <c r="BQ65" s="86"/>
      <c r="BR65" s="86"/>
      <c r="BS65" s="86"/>
      <c r="BT65" s="86"/>
      <c r="BU65" s="86"/>
      <c r="BV65" s="86"/>
      <c r="BW65" s="86"/>
      <c r="BX65" s="86"/>
      <c r="BY65" s="86"/>
      <c r="BZ65" s="86"/>
      <c r="CA65" s="86"/>
      <c r="CB65" s="86"/>
      <c r="CC65" s="86"/>
      <c r="CD65" s="86"/>
      <c r="CE65" s="86"/>
      <c r="CF65" s="86"/>
      <c r="CG65" s="86"/>
      <c r="CH65" s="86"/>
      <c r="CI65" s="86"/>
      <c r="CJ65" s="86"/>
      <c r="CK65" s="86"/>
      <c r="CL65" s="86"/>
      <c r="CM65" s="86"/>
      <c r="CN65" s="86"/>
      <c r="CO65" s="86"/>
      <c r="CP65" s="86"/>
      <c r="CQ65" s="86"/>
      <c r="CR65" s="86"/>
      <c r="CS65" s="86"/>
      <c r="CT65" s="86"/>
      <c r="CU65" s="86"/>
      <c r="CV65" s="86"/>
      <c r="CW65" s="86"/>
      <c r="CX65" s="86"/>
      <c r="CY65" s="86"/>
      <c r="CZ65" s="86"/>
      <c r="DA65" s="86"/>
      <c r="DB65" s="86"/>
      <c r="DC65" s="86"/>
      <c r="DD65" s="86"/>
      <c r="DE65" s="86"/>
      <c r="DF65" s="86"/>
      <c r="DG65" s="86"/>
      <c r="DH65" s="86"/>
      <c r="DI65" s="86"/>
      <c r="DJ65" s="86"/>
      <c r="DK65" s="86"/>
      <c r="DL65" s="86"/>
      <c r="DM65" s="86"/>
      <c r="DN65" s="86"/>
      <c r="DO65" s="86"/>
      <c r="DP65" s="86"/>
      <c r="DQ65" s="86"/>
      <c r="DR65" s="86"/>
      <c r="DS65" s="86"/>
      <c r="DT65" s="86"/>
      <c r="DU65" s="86"/>
      <c r="DV65" s="86"/>
      <c r="DW65" s="86"/>
      <c r="DX65" s="86"/>
      <c r="DY65" s="86"/>
      <c r="DZ65" s="86"/>
      <c r="EA65" s="86"/>
      <c r="EB65" s="86"/>
      <c r="EC65" s="86"/>
      <c r="ED65" s="86"/>
      <c r="EE65" s="86"/>
      <c r="EF65" s="86"/>
      <c r="EG65" s="86"/>
      <c r="EH65" s="86"/>
      <c r="EI65" s="86"/>
      <c r="EJ65" s="86"/>
      <c r="EK65" s="86"/>
      <c r="EL65" s="86"/>
      <c r="EM65" s="86"/>
      <c r="EN65" s="86"/>
      <c r="EO65" s="86"/>
      <c r="EP65" s="86"/>
      <c r="EQ65" s="86"/>
      <c r="ER65" s="86"/>
      <c r="ES65" s="86"/>
      <c r="ET65" s="86"/>
      <c r="EU65" s="86"/>
      <c r="EV65" s="86"/>
      <c r="EW65" s="86"/>
      <c r="EX65" s="86"/>
      <c r="EY65" s="86"/>
      <c r="EZ65" s="86"/>
      <c r="FA65" s="86"/>
    </row>
    <row r="66" spans="2:157" ht="10.95" customHeight="1">
      <c r="B66" s="1347" t="s">
        <v>510</v>
      </c>
      <c r="C66" s="1348"/>
      <c r="D66" s="1345"/>
      <c r="E66" s="1346"/>
      <c r="F66" s="842"/>
      <c r="G66" s="837" t="s">
        <v>4</v>
      </c>
      <c r="H66" s="856"/>
      <c r="J66" s="101"/>
      <c r="K66" s="101"/>
      <c r="L66" s="101"/>
      <c r="Z66" s="86"/>
      <c r="AA66" s="86"/>
      <c r="AB66" s="86"/>
      <c r="AC66" s="86"/>
      <c r="AD66" s="86"/>
      <c r="AE66" s="86"/>
      <c r="AF66" s="86"/>
      <c r="AG66" s="86"/>
      <c r="AH66" s="86"/>
      <c r="AI66" s="86"/>
      <c r="AJ66" s="86"/>
      <c r="AK66" s="86"/>
      <c r="AL66" s="86"/>
      <c r="AM66" s="86"/>
      <c r="AN66" s="86"/>
      <c r="AO66" s="86"/>
      <c r="AP66" s="86"/>
      <c r="AQ66" s="86"/>
      <c r="AR66" s="86"/>
      <c r="AS66" s="86"/>
      <c r="AT66" s="86"/>
      <c r="AU66" s="86"/>
      <c r="AV66" s="86"/>
      <c r="AW66" s="86"/>
      <c r="AX66" s="86"/>
      <c r="AY66" s="86"/>
      <c r="AZ66" s="86"/>
      <c r="BA66" s="86"/>
      <c r="BB66" s="86"/>
      <c r="BC66" s="86"/>
      <c r="BD66" s="86"/>
      <c r="BE66" s="86"/>
      <c r="BF66" s="86"/>
      <c r="BG66" s="86"/>
      <c r="BH66" s="86"/>
      <c r="BI66" s="86"/>
      <c r="BJ66" s="86"/>
      <c r="BK66" s="86"/>
      <c r="BL66" s="86"/>
      <c r="BM66" s="86"/>
      <c r="BN66" s="86"/>
      <c r="BO66" s="86"/>
      <c r="BP66" s="86"/>
      <c r="BQ66" s="86"/>
      <c r="BR66" s="86"/>
      <c r="BS66" s="86"/>
      <c r="BT66" s="86"/>
      <c r="BU66" s="86"/>
      <c r="BV66" s="86"/>
      <c r="BW66" s="86"/>
      <c r="BX66" s="86"/>
      <c r="BY66" s="86"/>
      <c r="BZ66" s="86"/>
      <c r="CA66" s="86"/>
      <c r="CB66" s="86"/>
      <c r="CC66" s="86"/>
      <c r="CD66" s="86"/>
      <c r="CE66" s="86"/>
      <c r="CF66" s="86"/>
      <c r="CG66" s="86"/>
      <c r="CH66" s="86"/>
      <c r="CI66" s="86"/>
      <c r="CJ66" s="86"/>
      <c r="CK66" s="86"/>
      <c r="CL66" s="86"/>
      <c r="CM66" s="86"/>
      <c r="CN66" s="86"/>
      <c r="CO66" s="86"/>
      <c r="CP66" s="86"/>
      <c r="CQ66" s="86"/>
      <c r="CR66" s="86"/>
      <c r="CS66" s="86"/>
      <c r="CT66" s="86"/>
      <c r="CU66" s="86"/>
      <c r="CV66" s="86"/>
      <c r="CW66" s="86"/>
      <c r="CX66" s="86"/>
      <c r="CY66" s="86"/>
      <c r="CZ66" s="86"/>
      <c r="DA66" s="86"/>
      <c r="DB66" s="86"/>
      <c r="DC66" s="86"/>
      <c r="DD66" s="86"/>
      <c r="DE66" s="86"/>
      <c r="DF66" s="86"/>
      <c r="DG66" s="86"/>
      <c r="DH66" s="86"/>
      <c r="DI66" s="86"/>
      <c r="DJ66" s="86"/>
      <c r="DK66" s="86"/>
      <c r="DL66" s="86"/>
      <c r="DM66" s="86"/>
      <c r="DN66" s="86"/>
      <c r="DO66" s="86"/>
      <c r="DP66" s="86"/>
      <c r="DQ66" s="86"/>
      <c r="DR66" s="86"/>
      <c r="DS66" s="86"/>
      <c r="DT66" s="86"/>
      <c r="DU66" s="86"/>
      <c r="DV66" s="86"/>
      <c r="DW66" s="86"/>
      <c r="DX66" s="86"/>
      <c r="DY66" s="86"/>
      <c r="DZ66" s="86"/>
      <c r="EA66" s="86"/>
      <c r="EB66" s="86"/>
      <c r="EC66" s="86"/>
      <c r="ED66" s="86"/>
      <c r="EE66" s="86"/>
      <c r="EF66" s="86"/>
      <c r="EG66" s="86"/>
      <c r="EH66" s="86"/>
      <c r="EI66" s="86"/>
      <c r="EJ66" s="86"/>
      <c r="EK66" s="86"/>
      <c r="EL66" s="86"/>
      <c r="EM66" s="86"/>
      <c r="EN66" s="86"/>
      <c r="EO66" s="86"/>
      <c r="EP66" s="86"/>
      <c r="EQ66" s="86"/>
      <c r="ER66" s="86"/>
      <c r="ES66" s="86"/>
      <c r="ET66" s="86"/>
      <c r="EU66" s="86"/>
      <c r="EV66" s="86"/>
      <c r="EW66" s="86"/>
      <c r="EX66" s="86"/>
      <c r="EY66" s="86"/>
      <c r="EZ66" s="86"/>
      <c r="FA66" s="86"/>
    </row>
    <row r="67" spans="2:157" ht="10.95" customHeight="1">
      <c r="B67" s="1347" t="s">
        <v>582</v>
      </c>
      <c r="C67" s="1349"/>
      <c r="D67" s="1345"/>
      <c r="E67" s="1346"/>
      <c r="F67" s="839"/>
      <c r="G67" s="853" t="s">
        <v>345</v>
      </c>
      <c r="H67" s="854">
        <f>ROUND(1/(SUM(H70:H80)),2)</f>
        <v>5.88</v>
      </c>
      <c r="J67" s="101"/>
      <c r="K67" s="101"/>
      <c r="L67" s="101"/>
      <c r="Z67" s="86"/>
      <c r="AA67" s="86"/>
      <c r="AB67" s="86"/>
      <c r="AC67" s="86"/>
      <c r="AD67" s="86"/>
      <c r="AE67" s="86"/>
      <c r="AF67" s="86"/>
      <c r="AG67" s="86"/>
      <c r="AH67" s="86"/>
      <c r="AI67" s="86"/>
      <c r="AJ67" s="86"/>
      <c r="AK67" s="86"/>
      <c r="AL67" s="86"/>
      <c r="AM67" s="86"/>
      <c r="AN67" s="86"/>
      <c r="AO67" s="86"/>
      <c r="AP67" s="86"/>
      <c r="AQ67" s="86"/>
      <c r="AR67" s="86"/>
      <c r="AS67" s="86"/>
      <c r="AT67" s="86"/>
      <c r="AU67" s="86"/>
      <c r="AV67" s="86"/>
      <c r="AW67" s="86"/>
      <c r="AX67" s="86"/>
      <c r="AY67" s="86"/>
      <c r="AZ67" s="86"/>
      <c r="BA67" s="86"/>
      <c r="BB67" s="86"/>
      <c r="BC67" s="86"/>
      <c r="BD67" s="86"/>
      <c r="BE67" s="86"/>
      <c r="BF67" s="86"/>
      <c r="BG67" s="86"/>
      <c r="BH67" s="86"/>
      <c r="BI67" s="86"/>
      <c r="BJ67" s="86"/>
      <c r="BK67" s="86"/>
      <c r="BL67" s="86"/>
      <c r="BM67" s="86"/>
      <c r="BN67" s="86"/>
      <c r="BO67" s="86"/>
      <c r="BP67" s="86"/>
      <c r="BQ67" s="86"/>
      <c r="BR67" s="86"/>
      <c r="BS67" s="86"/>
      <c r="BT67" s="86"/>
      <c r="BU67" s="86"/>
      <c r="BV67" s="86"/>
      <c r="BW67" s="86"/>
      <c r="BX67" s="86"/>
      <c r="BY67" s="86"/>
      <c r="BZ67" s="86"/>
      <c r="CA67" s="86"/>
      <c r="CB67" s="86"/>
      <c r="CC67" s="86"/>
      <c r="CD67" s="86"/>
      <c r="CE67" s="86"/>
      <c r="CF67" s="86"/>
      <c r="CG67" s="86"/>
      <c r="CH67" s="86"/>
      <c r="CI67" s="86"/>
      <c r="CJ67" s="86"/>
      <c r="CK67" s="86"/>
      <c r="CL67" s="86"/>
      <c r="CM67" s="86"/>
      <c r="CN67" s="86"/>
      <c r="CO67" s="86"/>
      <c r="CP67" s="86"/>
      <c r="CQ67" s="86"/>
      <c r="CR67" s="86"/>
      <c r="CS67" s="86"/>
      <c r="CT67" s="86"/>
      <c r="CU67" s="86"/>
      <c r="CV67" s="86"/>
      <c r="CW67" s="86"/>
      <c r="CX67" s="86"/>
      <c r="CY67" s="86"/>
      <c r="CZ67" s="86"/>
      <c r="DA67" s="86"/>
      <c r="DB67" s="86"/>
      <c r="DC67" s="86"/>
      <c r="DD67" s="86"/>
      <c r="DE67" s="86"/>
      <c r="DF67" s="86"/>
      <c r="DG67" s="86"/>
      <c r="DH67" s="86"/>
      <c r="DI67" s="86"/>
      <c r="DJ67" s="86"/>
      <c r="DK67" s="86"/>
      <c r="DL67" s="86"/>
      <c r="DM67" s="86"/>
      <c r="DN67" s="86"/>
      <c r="DO67" s="86"/>
      <c r="DP67" s="86"/>
      <c r="DQ67" s="86"/>
      <c r="DR67" s="86"/>
      <c r="DS67" s="86"/>
      <c r="DT67" s="86"/>
      <c r="DU67" s="86"/>
      <c r="DV67" s="86"/>
      <c r="DW67" s="86"/>
      <c r="DX67" s="86"/>
      <c r="DY67" s="86"/>
      <c r="DZ67" s="86"/>
      <c r="EA67" s="86"/>
      <c r="EB67" s="86"/>
      <c r="EC67" s="86"/>
      <c r="ED67" s="86"/>
      <c r="EE67" s="86"/>
      <c r="EF67" s="86"/>
      <c r="EG67" s="86"/>
      <c r="EH67" s="86"/>
      <c r="EI67" s="86"/>
      <c r="EJ67" s="86"/>
      <c r="EK67" s="86"/>
      <c r="EL67" s="86"/>
      <c r="EM67" s="86"/>
      <c r="EN67" s="86"/>
      <c r="EO67" s="86"/>
      <c r="EP67" s="86"/>
      <c r="EQ67" s="86"/>
      <c r="ER67" s="86"/>
      <c r="ES67" s="86"/>
      <c r="ET67" s="86"/>
      <c r="EU67" s="86"/>
      <c r="EV67" s="86"/>
      <c r="EW67" s="86"/>
      <c r="EX67" s="86"/>
      <c r="EY67" s="86"/>
      <c r="EZ67" s="86"/>
      <c r="FA67" s="86"/>
    </row>
    <row r="68" spans="2:157" ht="9.75" customHeight="1">
      <c r="B68" s="839"/>
      <c r="C68" s="839"/>
      <c r="D68" s="844"/>
      <c r="E68" s="839"/>
      <c r="F68" s="839"/>
      <c r="G68" s="852"/>
      <c r="H68" s="850"/>
      <c r="J68" s="101"/>
      <c r="K68" s="101"/>
      <c r="L68" s="101"/>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86"/>
      <c r="AX68" s="86"/>
      <c r="AY68" s="86"/>
      <c r="AZ68" s="86"/>
      <c r="BA68" s="86"/>
      <c r="BB68" s="86"/>
      <c r="BC68" s="86"/>
      <c r="BD68" s="86"/>
      <c r="BE68" s="86"/>
      <c r="BF68" s="86"/>
      <c r="BG68" s="86"/>
      <c r="BH68" s="86"/>
      <c r="BI68" s="86"/>
      <c r="BJ68" s="86"/>
      <c r="BK68" s="86"/>
      <c r="BL68" s="86"/>
      <c r="BM68" s="86"/>
      <c r="BN68" s="86"/>
      <c r="BO68" s="86"/>
      <c r="BP68" s="86"/>
      <c r="BQ68" s="86"/>
      <c r="BR68" s="86"/>
      <c r="BS68" s="86"/>
      <c r="BT68" s="86"/>
      <c r="BU68" s="86"/>
      <c r="BV68" s="86"/>
      <c r="BW68" s="86"/>
      <c r="BX68" s="86"/>
      <c r="BY68" s="86"/>
      <c r="BZ68" s="86"/>
      <c r="CA68" s="86"/>
      <c r="CB68" s="86"/>
      <c r="CC68" s="86"/>
      <c r="CD68" s="86"/>
      <c r="CE68" s="86"/>
      <c r="CF68" s="86"/>
      <c r="CG68" s="86"/>
      <c r="CH68" s="86"/>
      <c r="CI68" s="86"/>
      <c r="CJ68" s="86"/>
      <c r="CK68" s="86"/>
      <c r="CL68" s="86"/>
      <c r="CM68" s="86"/>
      <c r="CN68" s="86"/>
      <c r="CO68" s="86"/>
      <c r="CP68" s="86"/>
      <c r="CQ68" s="86"/>
      <c r="CR68" s="86"/>
      <c r="CS68" s="86"/>
      <c r="CT68" s="86"/>
      <c r="CU68" s="86"/>
      <c r="CV68" s="86"/>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row>
    <row r="69" spans="2:157" ht="9.75" customHeight="1">
      <c r="B69" s="844" t="s">
        <v>349</v>
      </c>
      <c r="C69" s="1352" t="s">
        <v>344</v>
      </c>
      <c r="D69" s="1352"/>
      <c r="E69" s="87"/>
      <c r="F69" s="846" t="s">
        <v>170</v>
      </c>
      <c r="G69" s="847" t="s">
        <v>361</v>
      </c>
      <c r="H69" s="846" t="s">
        <v>281</v>
      </c>
      <c r="J69" s="101"/>
      <c r="K69" s="101"/>
      <c r="L69" s="101"/>
      <c r="Z69" s="86"/>
      <c r="AA69" s="86"/>
      <c r="AB69" s="86"/>
      <c r="AC69" s="86"/>
      <c r="AD69" s="86"/>
      <c r="AE69" s="86"/>
      <c r="AF69" s="86"/>
      <c r="AG69" s="86"/>
      <c r="AH69" s="86"/>
      <c r="AI69" s="86"/>
      <c r="AJ69" s="86"/>
      <c r="AK69" s="86"/>
      <c r="AL69" s="86"/>
      <c r="AM69" s="86"/>
      <c r="AN69" s="86"/>
      <c r="AO69" s="86"/>
      <c r="AP69" s="86"/>
      <c r="AQ69" s="86"/>
      <c r="AR69" s="86"/>
      <c r="AS69" s="86"/>
      <c r="AT69" s="86"/>
      <c r="AU69" s="86"/>
      <c r="AV69" s="86"/>
      <c r="AW69" s="86"/>
      <c r="AX69" s="86"/>
      <c r="AY69" s="86"/>
      <c r="AZ69" s="86"/>
      <c r="BA69" s="86"/>
      <c r="BB69" s="86"/>
      <c r="BC69" s="86"/>
      <c r="BD69" s="86"/>
      <c r="BE69" s="86"/>
      <c r="BF69" s="86"/>
      <c r="BG69" s="86"/>
      <c r="BH69" s="86"/>
      <c r="BI69" s="86"/>
      <c r="BJ69" s="86"/>
      <c r="BK69" s="86"/>
      <c r="BL69" s="86"/>
      <c r="BM69" s="86"/>
      <c r="BN69" s="86"/>
      <c r="BO69" s="86"/>
      <c r="BP69" s="86"/>
      <c r="BQ69" s="86"/>
      <c r="BR69" s="86"/>
      <c r="BS69" s="86"/>
      <c r="BT69" s="86"/>
      <c r="BU69" s="86"/>
      <c r="BV69" s="86"/>
      <c r="BW69" s="86"/>
      <c r="BX69" s="86"/>
      <c r="BY69" s="86"/>
      <c r="BZ69" s="86"/>
      <c r="CA69" s="86"/>
      <c r="CB69" s="86"/>
      <c r="CC69" s="86"/>
      <c r="CD69" s="86"/>
      <c r="CE69" s="86"/>
      <c r="CF69" s="86"/>
      <c r="CG69" s="86"/>
      <c r="CH69" s="86"/>
      <c r="CI69" s="86"/>
      <c r="CJ69" s="86"/>
      <c r="CK69" s="86"/>
      <c r="CL69" s="86"/>
      <c r="CM69" s="86"/>
      <c r="CN69" s="86"/>
      <c r="CO69" s="86"/>
      <c r="CP69" s="86"/>
      <c r="CQ69" s="86"/>
      <c r="CR69" s="86"/>
      <c r="CS69" s="86"/>
      <c r="CT69" s="86"/>
      <c r="CU69" s="86"/>
      <c r="CV69" s="86"/>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row>
    <row r="70" spans="2:157" ht="10.050000000000001" customHeight="1">
      <c r="B70" s="845" t="s">
        <v>546</v>
      </c>
      <c r="C70" s="1350" t="s">
        <v>106</v>
      </c>
      <c r="D70" s="1350"/>
      <c r="E70" s="87"/>
      <c r="F70" s="848" t="s">
        <v>546</v>
      </c>
      <c r="G70" s="848" t="s">
        <v>546</v>
      </c>
      <c r="H70" s="1016">
        <v>0.13</v>
      </c>
      <c r="J70" s="101"/>
      <c r="K70" s="101"/>
      <c r="L70" s="101"/>
      <c r="Z70" s="86"/>
      <c r="AA70" s="86"/>
      <c r="AB70" s="86"/>
      <c r="AC70" s="86"/>
      <c r="AD70" s="86"/>
      <c r="AE70" s="86"/>
      <c r="AF70" s="86"/>
      <c r="AG70" s="86"/>
      <c r="AH70" s="86"/>
      <c r="AI70" s="86"/>
      <c r="AJ70" s="86"/>
      <c r="AK70" s="86"/>
      <c r="AL70" s="86"/>
      <c r="AM70" s="86"/>
      <c r="AN70" s="86"/>
      <c r="AO70" s="86"/>
      <c r="AP70" s="86"/>
      <c r="AQ70" s="86"/>
      <c r="AR70" s="86"/>
      <c r="AS70" s="86"/>
      <c r="AT70" s="86"/>
      <c r="AU70" s="86"/>
      <c r="AV70" s="86"/>
      <c r="AW70" s="86"/>
      <c r="AX70" s="86"/>
      <c r="AY70" s="86"/>
      <c r="AZ70" s="86"/>
      <c r="BA70" s="86"/>
      <c r="BB70" s="86"/>
      <c r="BC70" s="86"/>
      <c r="BD70" s="86"/>
      <c r="BE70" s="86"/>
      <c r="BF70" s="86"/>
      <c r="BG70" s="86"/>
      <c r="BH70" s="86"/>
      <c r="BI70" s="86"/>
      <c r="BJ70" s="86"/>
      <c r="BK70" s="86"/>
      <c r="BL70" s="86"/>
      <c r="BM70" s="86"/>
      <c r="BN70" s="86"/>
      <c r="BO70" s="86"/>
      <c r="BP70" s="86"/>
      <c r="BQ70" s="86"/>
      <c r="BR70" s="86"/>
      <c r="BS70" s="86"/>
      <c r="BT70" s="86"/>
      <c r="BU70" s="86"/>
      <c r="BV70" s="86"/>
      <c r="BW70" s="86"/>
      <c r="BX70" s="86"/>
      <c r="BY70" s="86"/>
      <c r="BZ70" s="86"/>
      <c r="CA70" s="86"/>
      <c r="CB70" s="86"/>
      <c r="CC70" s="86"/>
      <c r="CD70" s="86"/>
      <c r="CE70" s="86"/>
      <c r="CF70" s="86"/>
      <c r="CG70" s="86"/>
      <c r="CH70" s="86"/>
      <c r="CI70" s="86"/>
      <c r="CJ70" s="86"/>
      <c r="CK70" s="86"/>
      <c r="CL70" s="86"/>
      <c r="CM70" s="86"/>
      <c r="CN70" s="86"/>
      <c r="CO70" s="86"/>
      <c r="CP70" s="86"/>
      <c r="CQ70" s="86"/>
      <c r="CR70" s="86"/>
      <c r="CS70" s="86"/>
      <c r="CT70" s="86"/>
      <c r="CU70" s="86"/>
      <c r="CV70" s="86"/>
      <c r="CW70" s="86"/>
      <c r="CX70" s="86"/>
      <c r="CY70" s="86"/>
      <c r="CZ70" s="86"/>
      <c r="DA70" s="86"/>
      <c r="DB70" s="86"/>
      <c r="DC70" s="86"/>
      <c r="DD70" s="86"/>
      <c r="DE70" s="86"/>
      <c r="DF70" s="86"/>
      <c r="DG70" s="86"/>
      <c r="DH70" s="86"/>
      <c r="DI70" s="86"/>
      <c r="DJ70" s="86"/>
      <c r="DK70" s="86"/>
      <c r="DL70" s="86"/>
      <c r="DM70" s="86"/>
      <c r="DN70" s="86"/>
      <c r="DO70" s="86"/>
      <c r="DP70" s="86"/>
      <c r="DQ70" s="86"/>
      <c r="DR70" s="86"/>
      <c r="DS70" s="86"/>
      <c r="DT70" s="86"/>
      <c r="DU70" s="86"/>
      <c r="DV70" s="86"/>
      <c r="DW70" s="86"/>
      <c r="DX70" s="86"/>
      <c r="DY70" s="86"/>
      <c r="DZ70" s="86"/>
      <c r="EA70" s="86"/>
      <c r="EB70" s="86"/>
      <c r="EC70" s="86"/>
      <c r="ED70" s="86"/>
      <c r="EE70" s="86"/>
      <c r="EF70" s="86"/>
      <c r="EG70" s="86"/>
      <c r="EH70" s="86"/>
      <c r="EI70" s="86"/>
      <c r="EJ70" s="86"/>
      <c r="EK70" s="86"/>
      <c r="EL70" s="86"/>
      <c r="EM70" s="86"/>
      <c r="EN70" s="86"/>
      <c r="EO70" s="86"/>
      <c r="EP70" s="86"/>
      <c r="EQ70" s="86"/>
      <c r="ER70" s="86"/>
      <c r="ES70" s="86"/>
      <c r="ET70" s="86"/>
      <c r="EU70" s="86"/>
      <c r="EV70" s="86"/>
      <c r="EW70" s="86"/>
      <c r="EX70" s="86"/>
      <c r="EY70" s="86"/>
      <c r="EZ70" s="86"/>
      <c r="FA70" s="86"/>
    </row>
    <row r="71" spans="2:157" ht="9.75" customHeight="1">
      <c r="B71" s="845">
        <v>1</v>
      </c>
      <c r="C71" s="1344"/>
      <c r="D71" s="1344"/>
      <c r="E71" s="1344"/>
      <c r="F71" s="857"/>
      <c r="G71" s="857"/>
      <c r="H71" s="875" t="str">
        <f t="shared" ref="H71:H79" si="3">IF(G71=0,"",(F71/(G71+0.00000000001)))</f>
        <v/>
      </c>
      <c r="J71" s="101"/>
      <c r="K71" s="101"/>
      <c r="L71" s="101"/>
      <c r="Z71" s="86"/>
      <c r="AA71" s="86"/>
      <c r="AB71" s="86"/>
      <c r="AC71" s="86"/>
      <c r="AD71" s="86"/>
      <c r="AE71" s="86"/>
      <c r="AF71" s="86"/>
      <c r="AG71" s="86"/>
      <c r="AH71" s="86"/>
      <c r="AI71" s="86"/>
      <c r="AJ71" s="86"/>
      <c r="AK71" s="86"/>
      <c r="AL71" s="86"/>
      <c r="AM71" s="86"/>
      <c r="AN71" s="86"/>
      <c r="AO71" s="86"/>
      <c r="AP71" s="86"/>
      <c r="AQ71" s="86"/>
      <c r="AR71" s="86"/>
      <c r="AS71" s="86"/>
      <c r="AT71" s="86"/>
      <c r="AU71" s="86"/>
      <c r="AV71" s="86"/>
      <c r="AW71" s="86"/>
      <c r="AX71" s="86"/>
      <c r="AY71" s="86"/>
      <c r="AZ71" s="86"/>
      <c r="BA71" s="86"/>
      <c r="BB71" s="86"/>
      <c r="BC71" s="86"/>
      <c r="BD71" s="86"/>
      <c r="BE71" s="86"/>
      <c r="BF71" s="86"/>
      <c r="BG71" s="86"/>
      <c r="BH71" s="86"/>
      <c r="BI71" s="86"/>
      <c r="BJ71" s="86"/>
      <c r="BK71" s="86"/>
      <c r="BL71" s="86"/>
      <c r="BM71" s="86"/>
      <c r="BN71" s="86"/>
      <c r="BO71" s="86"/>
      <c r="BP71" s="86"/>
      <c r="BQ71" s="86"/>
      <c r="BR71" s="86"/>
      <c r="BS71" s="86"/>
      <c r="BT71" s="86"/>
      <c r="BU71" s="86"/>
      <c r="BV71" s="86"/>
      <c r="BW71" s="86"/>
      <c r="BX71" s="86"/>
      <c r="BY71" s="86"/>
      <c r="BZ71" s="86"/>
      <c r="CA71" s="86"/>
      <c r="CB71" s="86"/>
      <c r="CC71" s="86"/>
      <c r="CD71" s="86"/>
      <c r="CE71" s="86"/>
      <c r="CF71" s="86"/>
      <c r="CG71" s="86"/>
      <c r="CH71" s="86"/>
      <c r="CI71" s="86"/>
      <c r="CJ71" s="86"/>
      <c r="CK71" s="86"/>
      <c r="CL71" s="86"/>
      <c r="CM71" s="86"/>
      <c r="CN71" s="86"/>
      <c r="CO71" s="86"/>
      <c r="CP71" s="86"/>
      <c r="CQ71" s="86"/>
      <c r="CR71" s="86"/>
      <c r="CS71" s="86"/>
      <c r="CT71" s="86"/>
      <c r="CU71" s="86"/>
      <c r="CV71" s="86"/>
      <c r="CW71" s="86"/>
      <c r="CX71" s="86"/>
      <c r="CY71" s="86"/>
      <c r="CZ71" s="86"/>
      <c r="DA71" s="86"/>
      <c r="DB71" s="86"/>
      <c r="DC71" s="86"/>
      <c r="DD71" s="86"/>
      <c r="DE71" s="86"/>
      <c r="DF71" s="86"/>
      <c r="DG71" s="86"/>
      <c r="DH71" s="86"/>
      <c r="DI71" s="86"/>
      <c r="DJ71" s="86"/>
      <c r="DK71" s="86"/>
      <c r="DL71" s="86"/>
      <c r="DM71" s="86"/>
      <c r="DN71" s="86"/>
      <c r="DO71" s="86"/>
      <c r="DP71" s="86"/>
      <c r="DQ71" s="86"/>
      <c r="DR71" s="86"/>
      <c r="DS71" s="86"/>
      <c r="DT71" s="86"/>
      <c r="DU71" s="86"/>
      <c r="DV71" s="86"/>
      <c r="DW71" s="86"/>
      <c r="DX71" s="86"/>
      <c r="DY71" s="86"/>
      <c r="DZ71" s="86"/>
      <c r="EA71" s="86"/>
      <c r="EB71" s="86"/>
      <c r="EC71" s="86"/>
      <c r="ED71" s="86"/>
      <c r="EE71" s="86"/>
      <c r="EF71" s="86"/>
      <c r="EG71" s="86"/>
      <c r="EH71" s="86"/>
      <c r="EI71" s="86"/>
      <c r="EJ71" s="86"/>
      <c r="EK71" s="86"/>
      <c r="EL71" s="86"/>
      <c r="EM71" s="86"/>
      <c r="EN71" s="86"/>
      <c r="EO71" s="86"/>
      <c r="EP71" s="86"/>
      <c r="EQ71" s="86"/>
      <c r="ER71" s="86"/>
      <c r="ES71" s="86"/>
      <c r="ET71" s="86"/>
      <c r="EU71" s="86"/>
      <c r="EV71" s="86"/>
      <c r="EW71" s="86"/>
      <c r="EX71" s="86"/>
      <c r="EY71" s="86"/>
      <c r="EZ71" s="86"/>
      <c r="FA71" s="86"/>
    </row>
    <row r="72" spans="2:157" ht="9.75" customHeight="1">
      <c r="B72" s="845">
        <v>2</v>
      </c>
      <c r="C72" s="1344"/>
      <c r="D72" s="1344"/>
      <c r="E72" s="1344"/>
      <c r="F72" s="857"/>
      <c r="G72" s="857"/>
      <c r="H72" s="875" t="str">
        <f t="shared" si="3"/>
        <v/>
      </c>
      <c r="J72" s="101"/>
      <c r="K72" s="101"/>
      <c r="L72" s="101"/>
      <c r="Z72" s="86"/>
      <c r="AA72" s="86"/>
      <c r="AB72" s="86"/>
      <c r="AC72" s="86"/>
      <c r="AD72" s="86"/>
      <c r="AE72" s="86"/>
      <c r="AF72" s="86"/>
      <c r="AG72" s="86"/>
      <c r="AH72" s="86"/>
      <c r="AI72" s="86"/>
      <c r="AJ72" s="86"/>
      <c r="AK72" s="86"/>
      <c r="AL72" s="86"/>
      <c r="AM72" s="86"/>
      <c r="AN72" s="86"/>
      <c r="AO72" s="86"/>
      <c r="AP72" s="86"/>
      <c r="AQ72" s="86"/>
      <c r="AR72" s="86"/>
      <c r="AS72" s="86"/>
      <c r="AT72" s="86"/>
      <c r="AU72" s="86"/>
      <c r="AV72" s="86"/>
      <c r="AW72" s="86"/>
      <c r="AX72" s="86"/>
      <c r="AY72" s="86"/>
      <c r="AZ72" s="86"/>
      <c r="BA72" s="86"/>
      <c r="BB72" s="86"/>
      <c r="BC72" s="86"/>
      <c r="BD72" s="86"/>
      <c r="BE72" s="86"/>
      <c r="BF72" s="86"/>
      <c r="BG72" s="86"/>
      <c r="BH72" s="86"/>
      <c r="BI72" s="86"/>
      <c r="BJ72" s="86"/>
      <c r="BK72" s="86"/>
      <c r="BL72" s="86"/>
      <c r="BM72" s="86"/>
      <c r="BN72" s="86"/>
      <c r="BO72" s="86"/>
      <c r="BP72" s="86"/>
      <c r="BQ72" s="86"/>
      <c r="BR72" s="86"/>
      <c r="BS72" s="86"/>
      <c r="BT72" s="86"/>
      <c r="BU72" s="86"/>
      <c r="BV72" s="86"/>
      <c r="BW72" s="86"/>
      <c r="BX72" s="86"/>
      <c r="BY72" s="86"/>
      <c r="BZ72" s="86"/>
      <c r="CA72" s="86"/>
      <c r="CB72" s="86"/>
      <c r="CC72" s="86"/>
      <c r="CD72" s="86"/>
      <c r="CE72" s="86"/>
      <c r="CF72" s="86"/>
      <c r="CG72" s="86"/>
      <c r="CH72" s="86"/>
      <c r="CI72" s="86"/>
      <c r="CJ72" s="86"/>
      <c r="CK72" s="86"/>
      <c r="CL72" s="86"/>
      <c r="CM72" s="86"/>
      <c r="CN72" s="86"/>
      <c r="CO72" s="86"/>
      <c r="CP72" s="86"/>
      <c r="CQ72" s="86"/>
      <c r="CR72" s="86"/>
      <c r="CS72" s="86"/>
      <c r="CT72" s="86"/>
      <c r="CU72" s="86"/>
      <c r="CV72" s="86"/>
      <c r="CW72" s="86"/>
      <c r="CX72" s="86"/>
      <c r="CY72" s="86"/>
      <c r="CZ72" s="86"/>
      <c r="DA72" s="86"/>
      <c r="DB72" s="86"/>
      <c r="DC72" s="86"/>
      <c r="DD72" s="86"/>
      <c r="DE72" s="86"/>
      <c r="DF72" s="86"/>
      <c r="DG72" s="86"/>
      <c r="DH72" s="86"/>
      <c r="DI72" s="86"/>
      <c r="DJ72" s="86"/>
      <c r="DK72" s="86"/>
      <c r="DL72" s="86"/>
      <c r="DM72" s="86"/>
      <c r="DN72" s="86"/>
      <c r="DO72" s="86"/>
      <c r="DP72" s="86"/>
      <c r="DQ72" s="86"/>
      <c r="DR72" s="86"/>
      <c r="DS72" s="86"/>
      <c r="DT72" s="86"/>
      <c r="DU72" s="86"/>
      <c r="DV72" s="86"/>
      <c r="DW72" s="86"/>
      <c r="DX72" s="86"/>
      <c r="DY72" s="86"/>
      <c r="DZ72" s="86"/>
      <c r="EA72" s="86"/>
      <c r="EB72" s="86"/>
      <c r="EC72" s="86"/>
      <c r="ED72" s="86"/>
      <c r="EE72" s="86"/>
      <c r="EF72" s="86"/>
      <c r="EG72" s="86"/>
      <c r="EH72" s="86"/>
      <c r="EI72" s="86"/>
      <c r="EJ72" s="86"/>
      <c r="EK72" s="86"/>
      <c r="EL72" s="86"/>
      <c r="EM72" s="86"/>
      <c r="EN72" s="86"/>
      <c r="EO72" s="86"/>
      <c r="EP72" s="86"/>
      <c r="EQ72" s="86"/>
      <c r="ER72" s="86"/>
      <c r="ES72" s="86"/>
      <c r="ET72" s="86"/>
      <c r="EU72" s="86"/>
      <c r="EV72" s="86"/>
      <c r="EW72" s="86"/>
      <c r="EX72" s="86"/>
      <c r="EY72" s="86"/>
      <c r="EZ72" s="86"/>
      <c r="FA72" s="86"/>
    </row>
    <row r="73" spans="2:157" ht="9.75" customHeight="1">
      <c r="B73" s="845">
        <v>3</v>
      </c>
      <c r="C73" s="1344"/>
      <c r="D73" s="1344"/>
      <c r="E73" s="1344"/>
      <c r="F73" s="857"/>
      <c r="G73" s="857"/>
      <c r="H73" s="875" t="str">
        <f t="shared" si="3"/>
        <v/>
      </c>
      <c r="J73" s="101"/>
      <c r="K73" s="101"/>
      <c r="L73" s="101"/>
      <c r="Z73" s="86"/>
      <c r="AA73" s="86"/>
      <c r="AB73" s="86"/>
      <c r="AC73" s="86"/>
      <c r="AD73" s="86"/>
      <c r="AE73" s="86"/>
      <c r="AF73" s="86"/>
      <c r="AG73" s="86"/>
      <c r="AH73" s="86"/>
      <c r="AI73" s="86"/>
      <c r="AJ73" s="86"/>
      <c r="AK73" s="86"/>
      <c r="AL73" s="86"/>
      <c r="AM73" s="86"/>
      <c r="AN73" s="86"/>
      <c r="AO73" s="86"/>
      <c r="AP73" s="86"/>
      <c r="AQ73" s="86"/>
      <c r="AR73" s="86"/>
      <c r="AS73" s="86"/>
      <c r="AT73" s="86"/>
      <c r="AU73" s="86"/>
      <c r="AV73" s="86"/>
      <c r="AW73" s="86"/>
      <c r="AX73" s="86"/>
      <c r="AY73" s="86"/>
      <c r="AZ73" s="86"/>
      <c r="BA73" s="86"/>
      <c r="BB73" s="86"/>
      <c r="BC73" s="86"/>
      <c r="BD73" s="86"/>
      <c r="BE73" s="86"/>
      <c r="BF73" s="86"/>
      <c r="BG73" s="86"/>
      <c r="BH73" s="86"/>
      <c r="BI73" s="86"/>
      <c r="BJ73" s="86"/>
      <c r="BK73" s="86"/>
      <c r="BL73" s="86"/>
      <c r="BM73" s="86"/>
      <c r="BN73" s="86"/>
      <c r="BO73" s="86"/>
      <c r="BP73" s="86"/>
      <c r="BQ73" s="86"/>
      <c r="BR73" s="86"/>
      <c r="BS73" s="86"/>
      <c r="BT73" s="86"/>
      <c r="BU73" s="86"/>
      <c r="BV73" s="86"/>
      <c r="BW73" s="86"/>
      <c r="BX73" s="86"/>
      <c r="BY73" s="86"/>
      <c r="BZ73" s="86"/>
      <c r="CA73" s="86"/>
      <c r="CB73" s="86"/>
      <c r="CC73" s="86"/>
      <c r="CD73" s="86"/>
      <c r="CE73" s="86"/>
      <c r="CF73" s="86"/>
      <c r="CG73" s="86"/>
      <c r="CH73" s="86"/>
      <c r="CI73" s="86"/>
      <c r="CJ73" s="86"/>
      <c r="CK73" s="86"/>
      <c r="CL73" s="86"/>
      <c r="CM73" s="86"/>
      <c r="CN73" s="86"/>
      <c r="CO73" s="86"/>
      <c r="CP73" s="86"/>
      <c r="CQ73" s="86"/>
      <c r="CR73" s="86"/>
      <c r="CS73" s="86"/>
      <c r="CT73" s="86"/>
      <c r="CU73" s="86"/>
      <c r="CV73" s="86"/>
      <c r="CW73" s="86"/>
      <c r="CX73" s="86"/>
      <c r="CY73" s="86"/>
      <c r="CZ73" s="86"/>
      <c r="DA73" s="86"/>
      <c r="DB73" s="86"/>
      <c r="DC73" s="86"/>
      <c r="DD73" s="86"/>
      <c r="DE73" s="86"/>
      <c r="DF73" s="86"/>
      <c r="DG73" s="86"/>
      <c r="DH73" s="86"/>
      <c r="DI73" s="86"/>
      <c r="DJ73" s="86"/>
      <c r="DK73" s="86"/>
      <c r="DL73" s="86"/>
      <c r="DM73" s="86"/>
      <c r="DN73" s="86"/>
      <c r="DO73" s="86"/>
      <c r="DP73" s="86"/>
      <c r="DQ73" s="86"/>
      <c r="DR73" s="86"/>
      <c r="DS73" s="86"/>
      <c r="DT73" s="86"/>
      <c r="DU73" s="86"/>
      <c r="DV73" s="86"/>
      <c r="DW73" s="86"/>
      <c r="DX73" s="86"/>
      <c r="DY73" s="86"/>
      <c r="DZ73" s="86"/>
      <c r="EA73" s="86"/>
      <c r="EB73" s="86"/>
      <c r="EC73" s="86"/>
      <c r="ED73" s="86"/>
      <c r="EE73" s="86"/>
      <c r="EF73" s="86"/>
      <c r="EG73" s="86"/>
      <c r="EH73" s="86"/>
      <c r="EI73" s="86"/>
      <c r="EJ73" s="86"/>
      <c r="EK73" s="86"/>
      <c r="EL73" s="86"/>
      <c r="EM73" s="86"/>
      <c r="EN73" s="86"/>
      <c r="EO73" s="86"/>
      <c r="EP73" s="86"/>
      <c r="EQ73" s="86"/>
      <c r="ER73" s="86"/>
      <c r="ES73" s="86"/>
      <c r="ET73" s="86"/>
      <c r="EU73" s="86"/>
      <c r="EV73" s="86"/>
      <c r="EW73" s="86"/>
      <c r="EX73" s="86"/>
      <c r="EY73" s="86"/>
      <c r="EZ73" s="86"/>
      <c r="FA73" s="86"/>
    </row>
    <row r="74" spans="2:157" ht="9.75" customHeight="1">
      <c r="B74" s="845">
        <v>4</v>
      </c>
      <c r="C74" s="1344"/>
      <c r="D74" s="1344"/>
      <c r="E74" s="1344"/>
      <c r="F74" s="857"/>
      <c r="G74" s="857"/>
      <c r="H74" s="875" t="str">
        <f t="shared" si="3"/>
        <v/>
      </c>
      <c r="J74" s="101"/>
      <c r="K74" s="101"/>
      <c r="L74" s="101"/>
      <c r="Z74" s="86"/>
      <c r="AA74" s="86"/>
      <c r="AB74" s="86"/>
      <c r="AC74" s="86"/>
      <c r="AD74" s="86"/>
      <c r="AE74" s="86"/>
      <c r="AF74" s="86"/>
      <c r="AG74" s="86"/>
      <c r="AH74" s="86"/>
      <c r="AI74" s="86"/>
      <c r="AJ74" s="86"/>
      <c r="AK74" s="86"/>
      <c r="AL74" s="86"/>
      <c r="AM74" s="86"/>
      <c r="AN74" s="86"/>
      <c r="AO74" s="86"/>
      <c r="AP74" s="86"/>
      <c r="AQ74" s="86"/>
      <c r="AR74" s="86"/>
      <c r="AS74" s="86"/>
      <c r="AT74" s="86"/>
      <c r="AU74" s="86"/>
      <c r="AV74" s="86"/>
      <c r="AW74" s="86"/>
      <c r="AX74" s="86"/>
      <c r="AY74" s="86"/>
      <c r="AZ74" s="86"/>
      <c r="BA74" s="86"/>
      <c r="BB74" s="86"/>
      <c r="BC74" s="86"/>
      <c r="BD74" s="86"/>
      <c r="BE74" s="86"/>
      <c r="BF74" s="86"/>
      <c r="BG74" s="86"/>
      <c r="BH74" s="86"/>
      <c r="BI74" s="86"/>
      <c r="BJ74" s="86"/>
      <c r="BK74" s="86"/>
      <c r="BL74" s="86"/>
      <c r="BM74" s="86"/>
      <c r="BN74" s="86"/>
      <c r="BO74" s="86"/>
      <c r="BP74" s="86"/>
      <c r="BQ74" s="86"/>
      <c r="BR74" s="86"/>
      <c r="BS74" s="86"/>
      <c r="BT74" s="86"/>
      <c r="BU74" s="86"/>
      <c r="BV74" s="86"/>
      <c r="BW74" s="86"/>
      <c r="BX74" s="86"/>
      <c r="BY74" s="86"/>
      <c r="BZ74" s="86"/>
      <c r="CA74" s="86"/>
      <c r="CB74" s="86"/>
      <c r="CC74" s="86"/>
      <c r="CD74" s="86"/>
      <c r="CE74" s="86"/>
      <c r="CF74" s="86"/>
      <c r="CG74" s="86"/>
      <c r="CH74" s="86"/>
      <c r="CI74" s="86"/>
      <c r="CJ74" s="86"/>
      <c r="CK74" s="86"/>
      <c r="CL74" s="86"/>
      <c r="CM74" s="86"/>
      <c r="CN74" s="86"/>
      <c r="CO74" s="86"/>
      <c r="CP74" s="86"/>
      <c r="CQ74" s="86"/>
      <c r="CR74" s="86"/>
      <c r="CS74" s="86"/>
      <c r="CT74" s="86"/>
      <c r="CU74" s="86"/>
      <c r="CV74" s="86"/>
      <c r="CW74" s="86"/>
      <c r="CX74" s="86"/>
      <c r="CY74" s="86"/>
      <c r="CZ74" s="86"/>
      <c r="DA74" s="86"/>
      <c r="DB74" s="86"/>
      <c r="DC74" s="86"/>
      <c r="DD74" s="86"/>
      <c r="DE74" s="86"/>
      <c r="DF74" s="86"/>
      <c r="DG74" s="86"/>
      <c r="DH74" s="86"/>
      <c r="DI74" s="86"/>
      <c r="DJ74" s="86"/>
      <c r="DK74" s="86"/>
      <c r="DL74" s="86"/>
      <c r="DM74" s="86"/>
      <c r="DN74" s="86"/>
      <c r="DO74" s="86"/>
      <c r="DP74" s="86"/>
      <c r="DQ74" s="86"/>
      <c r="DR74" s="86"/>
      <c r="DS74" s="86"/>
      <c r="DT74" s="86"/>
      <c r="DU74" s="86"/>
      <c r="DV74" s="86"/>
      <c r="DW74" s="86"/>
      <c r="DX74" s="86"/>
      <c r="DY74" s="86"/>
      <c r="DZ74" s="86"/>
      <c r="EA74" s="86"/>
      <c r="EB74" s="86"/>
      <c r="EC74" s="86"/>
      <c r="ED74" s="86"/>
      <c r="EE74" s="86"/>
      <c r="EF74" s="86"/>
      <c r="EG74" s="86"/>
      <c r="EH74" s="86"/>
      <c r="EI74" s="86"/>
      <c r="EJ74" s="86"/>
      <c r="EK74" s="86"/>
      <c r="EL74" s="86"/>
      <c r="EM74" s="86"/>
      <c r="EN74" s="86"/>
      <c r="EO74" s="86"/>
      <c r="EP74" s="86"/>
      <c r="EQ74" s="86"/>
      <c r="ER74" s="86"/>
      <c r="ES74" s="86"/>
      <c r="ET74" s="86"/>
      <c r="EU74" s="86"/>
      <c r="EV74" s="86"/>
      <c r="EW74" s="86"/>
      <c r="EX74" s="86"/>
      <c r="EY74" s="86"/>
      <c r="EZ74" s="86"/>
      <c r="FA74" s="86"/>
    </row>
    <row r="75" spans="2:157" ht="9.75" customHeight="1">
      <c r="B75" s="845">
        <v>5</v>
      </c>
      <c r="C75" s="1344"/>
      <c r="D75" s="1344"/>
      <c r="E75" s="1344"/>
      <c r="F75" s="857"/>
      <c r="G75" s="857"/>
      <c r="H75" s="875" t="str">
        <f t="shared" si="3"/>
        <v/>
      </c>
      <c r="J75" s="101"/>
      <c r="K75" s="101"/>
      <c r="L75" s="101"/>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86"/>
      <c r="BU75" s="86"/>
      <c r="BV75" s="86"/>
      <c r="BW75" s="86"/>
      <c r="BX75" s="86"/>
      <c r="BY75" s="86"/>
      <c r="BZ75" s="86"/>
      <c r="CA75" s="86"/>
      <c r="CB75" s="86"/>
      <c r="CC75" s="86"/>
      <c r="CD75" s="86"/>
      <c r="CE75" s="86"/>
      <c r="CF75" s="86"/>
      <c r="CG75" s="86"/>
      <c r="CH75" s="86"/>
      <c r="CI75" s="86"/>
      <c r="CJ75" s="86"/>
      <c r="CK75" s="86"/>
      <c r="CL75" s="86"/>
      <c r="CM75" s="86"/>
      <c r="CN75" s="86"/>
      <c r="CO75" s="86"/>
      <c r="CP75" s="86"/>
      <c r="CQ75" s="86"/>
      <c r="CR75" s="86"/>
      <c r="CS75" s="86"/>
      <c r="CT75" s="86"/>
      <c r="CU75" s="86"/>
      <c r="CV75" s="86"/>
      <c r="CW75" s="86"/>
      <c r="CX75" s="86"/>
      <c r="CY75" s="86"/>
      <c r="CZ75" s="86"/>
      <c r="DA75" s="86"/>
      <c r="DB75" s="86"/>
      <c r="DC75" s="86"/>
      <c r="DD75" s="86"/>
      <c r="DE75" s="86"/>
      <c r="DF75" s="86"/>
      <c r="DG75" s="86"/>
      <c r="DH75" s="86"/>
      <c r="DI75" s="86"/>
      <c r="DJ75" s="86"/>
      <c r="DK75" s="86"/>
      <c r="DL75" s="86"/>
      <c r="DM75" s="86"/>
      <c r="DN75" s="86"/>
      <c r="DO75" s="86"/>
      <c r="DP75" s="86"/>
      <c r="DQ75" s="86"/>
      <c r="DR75" s="86"/>
      <c r="DS75" s="86"/>
      <c r="DT75" s="86"/>
      <c r="DU75" s="86"/>
      <c r="DV75" s="86"/>
      <c r="DW75" s="86"/>
      <c r="DX75" s="86"/>
      <c r="DY75" s="86"/>
      <c r="DZ75" s="86"/>
      <c r="EA75" s="86"/>
      <c r="EB75" s="86"/>
      <c r="EC75" s="86"/>
      <c r="ED75" s="86"/>
      <c r="EE75" s="86"/>
      <c r="EF75" s="86"/>
      <c r="EG75" s="86"/>
      <c r="EH75" s="86"/>
      <c r="EI75" s="86"/>
      <c r="EJ75" s="86"/>
      <c r="EK75" s="86"/>
      <c r="EL75" s="86"/>
      <c r="EM75" s="86"/>
      <c r="EN75" s="86"/>
      <c r="EO75" s="86"/>
      <c r="EP75" s="86"/>
      <c r="EQ75" s="86"/>
      <c r="ER75" s="86"/>
      <c r="ES75" s="86"/>
      <c r="ET75" s="86"/>
      <c r="EU75" s="86"/>
      <c r="EV75" s="86"/>
      <c r="EW75" s="86"/>
      <c r="EX75" s="86"/>
      <c r="EY75" s="86"/>
      <c r="EZ75" s="86"/>
      <c r="FA75" s="86"/>
    </row>
    <row r="76" spans="2:157" ht="9.75" customHeight="1">
      <c r="B76" s="845">
        <v>6</v>
      </c>
      <c r="C76" s="1344"/>
      <c r="D76" s="1344"/>
      <c r="E76" s="1344"/>
      <c r="F76" s="857"/>
      <c r="G76" s="857"/>
      <c r="H76" s="875" t="str">
        <f t="shared" si="3"/>
        <v/>
      </c>
      <c r="J76" s="101"/>
      <c r="K76" s="101"/>
      <c r="L76" s="101"/>
      <c r="Z76" s="86"/>
      <c r="AA76" s="86"/>
      <c r="AB76" s="86"/>
      <c r="AC76" s="86"/>
      <c r="AD76" s="86"/>
      <c r="AE76" s="86"/>
      <c r="AF76" s="86"/>
      <c r="AG76" s="86"/>
      <c r="AH76" s="86"/>
      <c r="AI76" s="86"/>
      <c r="AJ76" s="86"/>
      <c r="AK76" s="86"/>
      <c r="AL76" s="86"/>
      <c r="AM76" s="86"/>
      <c r="AN76" s="86"/>
      <c r="AO76" s="86"/>
      <c r="AP76" s="86"/>
      <c r="AQ76" s="86"/>
      <c r="AR76" s="86"/>
      <c r="AS76" s="86"/>
      <c r="AT76" s="86"/>
      <c r="AU76" s="86"/>
      <c r="AV76" s="86"/>
      <c r="AW76" s="86"/>
      <c r="AX76" s="86"/>
      <c r="AY76" s="86"/>
      <c r="AZ76" s="86"/>
      <c r="BA76" s="86"/>
      <c r="BB76" s="86"/>
      <c r="BC76" s="86"/>
      <c r="BD76" s="86"/>
      <c r="BE76" s="86"/>
      <c r="BF76" s="86"/>
      <c r="BG76" s="86"/>
      <c r="BH76" s="86"/>
      <c r="BI76" s="86"/>
      <c r="BJ76" s="86"/>
      <c r="BK76" s="86"/>
      <c r="BL76" s="86"/>
      <c r="BM76" s="86"/>
      <c r="BN76" s="86"/>
      <c r="BO76" s="86"/>
      <c r="BP76" s="86"/>
      <c r="BQ76" s="86"/>
      <c r="BR76" s="86"/>
      <c r="BS76" s="86"/>
      <c r="BT76" s="86"/>
      <c r="BU76" s="86"/>
      <c r="BV76" s="86"/>
      <c r="BW76" s="86"/>
      <c r="BX76" s="86"/>
      <c r="BY76" s="86"/>
      <c r="BZ76" s="86"/>
      <c r="CA76" s="86"/>
      <c r="CB76" s="86"/>
      <c r="CC76" s="86"/>
      <c r="CD76" s="86"/>
      <c r="CE76" s="86"/>
      <c r="CF76" s="86"/>
      <c r="CG76" s="86"/>
      <c r="CH76" s="86"/>
      <c r="CI76" s="86"/>
      <c r="CJ76" s="86"/>
      <c r="CK76" s="86"/>
      <c r="CL76" s="86"/>
      <c r="CM76" s="86"/>
      <c r="CN76" s="86"/>
      <c r="CO76" s="86"/>
      <c r="CP76" s="86"/>
      <c r="CQ76" s="86"/>
      <c r="CR76" s="86"/>
      <c r="CS76" s="86"/>
      <c r="CT76" s="86"/>
      <c r="CU76" s="86"/>
      <c r="CV76" s="86"/>
      <c r="CW76" s="86"/>
      <c r="CX76" s="86"/>
      <c r="CY76" s="86"/>
      <c r="CZ76" s="86"/>
      <c r="DA76" s="86"/>
      <c r="DB76" s="86"/>
      <c r="DC76" s="86"/>
      <c r="DD76" s="86"/>
      <c r="DE76" s="86"/>
      <c r="DF76" s="86"/>
      <c r="DG76" s="86"/>
      <c r="DH76" s="86"/>
      <c r="DI76" s="86"/>
      <c r="DJ76" s="86"/>
      <c r="DK76" s="86"/>
      <c r="DL76" s="86"/>
      <c r="DM76" s="86"/>
      <c r="DN76" s="86"/>
      <c r="DO76" s="86"/>
      <c r="DP76" s="86"/>
      <c r="DQ76" s="86"/>
      <c r="DR76" s="86"/>
      <c r="DS76" s="86"/>
      <c r="DT76" s="86"/>
      <c r="DU76" s="86"/>
      <c r="DV76" s="86"/>
      <c r="DW76" s="86"/>
      <c r="DX76" s="86"/>
      <c r="DY76" s="86"/>
      <c r="DZ76" s="86"/>
      <c r="EA76" s="86"/>
      <c r="EB76" s="86"/>
      <c r="EC76" s="86"/>
      <c r="ED76" s="86"/>
      <c r="EE76" s="86"/>
      <c r="EF76" s="86"/>
      <c r="EG76" s="86"/>
      <c r="EH76" s="86"/>
      <c r="EI76" s="86"/>
      <c r="EJ76" s="86"/>
      <c r="EK76" s="86"/>
      <c r="EL76" s="86"/>
      <c r="EM76" s="86"/>
      <c r="EN76" s="86"/>
      <c r="EO76" s="86"/>
      <c r="EP76" s="86"/>
      <c r="EQ76" s="86"/>
      <c r="ER76" s="86"/>
      <c r="ES76" s="86"/>
      <c r="ET76" s="86"/>
      <c r="EU76" s="86"/>
      <c r="EV76" s="86"/>
      <c r="EW76" s="86"/>
      <c r="EX76" s="86"/>
      <c r="EY76" s="86"/>
      <c r="EZ76" s="86"/>
      <c r="FA76" s="86"/>
    </row>
    <row r="77" spans="2:157" ht="9.75" customHeight="1">
      <c r="B77" s="845">
        <v>7</v>
      </c>
      <c r="C77" s="1344"/>
      <c r="D77" s="1344"/>
      <c r="E77" s="1344"/>
      <c r="F77" s="857"/>
      <c r="G77" s="857"/>
      <c r="H77" s="875" t="str">
        <f t="shared" si="3"/>
        <v/>
      </c>
      <c r="J77" s="101"/>
      <c r="K77" s="101"/>
      <c r="L77" s="101"/>
      <c r="Z77" s="86"/>
      <c r="AA77" s="86"/>
      <c r="AB77" s="86"/>
      <c r="AC77" s="86"/>
      <c r="AD77" s="86"/>
      <c r="AE77" s="86"/>
      <c r="AF77" s="86"/>
      <c r="AG77" s="86"/>
      <c r="AH77" s="86"/>
      <c r="AI77" s="86"/>
      <c r="AJ77" s="86"/>
      <c r="AK77" s="86"/>
      <c r="AL77" s="86"/>
      <c r="AM77" s="86"/>
      <c r="AN77" s="86"/>
      <c r="AO77" s="86"/>
      <c r="AP77" s="86"/>
      <c r="AQ77" s="86"/>
      <c r="AR77" s="86"/>
      <c r="AS77" s="86"/>
      <c r="AT77" s="86"/>
      <c r="AU77" s="86"/>
      <c r="AV77" s="86"/>
      <c r="AW77" s="86"/>
      <c r="AX77" s="86"/>
      <c r="AY77" s="86"/>
      <c r="AZ77" s="86"/>
      <c r="BA77" s="86"/>
      <c r="BB77" s="86"/>
      <c r="BC77" s="86"/>
      <c r="BD77" s="86"/>
      <c r="BE77" s="86"/>
      <c r="BF77" s="86"/>
      <c r="BG77" s="86"/>
      <c r="BH77" s="86"/>
      <c r="BI77" s="86"/>
      <c r="BJ77" s="86"/>
      <c r="BK77" s="86"/>
      <c r="BL77" s="86"/>
      <c r="BM77" s="86"/>
      <c r="BN77" s="86"/>
      <c r="BO77" s="86"/>
      <c r="BP77" s="86"/>
      <c r="BQ77" s="86"/>
      <c r="BR77" s="86"/>
      <c r="BS77" s="86"/>
      <c r="BT77" s="86"/>
      <c r="BU77" s="86"/>
      <c r="BV77" s="86"/>
      <c r="BW77" s="86"/>
      <c r="BX77" s="86"/>
      <c r="BY77" s="86"/>
      <c r="BZ77" s="86"/>
      <c r="CA77" s="86"/>
      <c r="CB77" s="86"/>
      <c r="CC77" s="86"/>
      <c r="CD77" s="86"/>
      <c r="CE77" s="86"/>
      <c r="CF77" s="86"/>
      <c r="CG77" s="86"/>
      <c r="CH77" s="86"/>
      <c r="CI77" s="86"/>
      <c r="CJ77" s="86"/>
      <c r="CK77" s="86"/>
      <c r="CL77" s="86"/>
      <c r="CM77" s="86"/>
      <c r="CN77" s="86"/>
      <c r="CO77" s="86"/>
      <c r="CP77" s="86"/>
      <c r="CQ77" s="86"/>
      <c r="CR77" s="86"/>
      <c r="CS77" s="86"/>
      <c r="CT77" s="86"/>
      <c r="CU77" s="86"/>
      <c r="CV77" s="86"/>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row>
    <row r="78" spans="2:157" ht="9.75" customHeight="1">
      <c r="B78" s="845">
        <v>8</v>
      </c>
      <c r="C78" s="1344"/>
      <c r="D78" s="1344"/>
      <c r="E78" s="1344"/>
      <c r="F78" s="857"/>
      <c r="G78" s="857"/>
      <c r="H78" s="875" t="str">
        <f t="shared" si="3"/>
        <v/>
      </c>
      <c r="J78" s="101"/>
      <c r="K78" s="101"/>
      <c r="L78" s="101"/>
      <c r="Z78" s="86"/>
      <c r="AA78" s="86"/>
      <c r="AB78" s="86"/>
      <c r="AC78" s="86"/>
      <c r="AD78" s="86"/>
      <c r="AE78" s="86"/>
      <c r="AF78" s="86"/>
      <c r="AG78" s="86"/>
      <c r="AH78" s="86"/>
      <c r="AI78" s="86"/>
      <c r="AJ78" s="86"/>
      <c r="AK78" s="86"/>
      <c r="AL78" s="86"/>
      <c r="AM78" s="86"/>
      <c r="AN78" s="86"/>
      <c r="AO78" s="86"/>
      <c r="AP78" s="86"/>
      <c r="AQ78" s="86"/>
      <c r="AR78" s="86"/>
      <c r="AS78" s="86"/>
      <c r="AT78" s="86"/>
      <c r="AU78" s="86"/>
      <c r="AV78" s="86"/>
      <c r="AW78" s="86"/>
      <c r="AX78" s="86"/>
      <c r="AY78" s="86"/>
      <c r="AZ78" s="86"/>
      <c r="BA78" s="86"/>
      <c r="BB78" s="86"/>
      <c r="BC78" s="86"/>
      <c r="BD78" s="86"/>
      <c r="BE78" s="86"/>
      <c r="BF78" s="86"/>
      <c r="BG78" s="86"/>
      <c r="BH78" s="86"/>
      <c r="BI78" s="86"/>
      <c r="BJ78" s="86"/>
      <c r="BK78" s="86"/>
      <c r="BL78" s="86"/>
      <c r="BM78" s="86"/>
      <c r="BN78" s="86"/>
      <c r="BO78" s="86"/>
      <c r="BP78" s="86"/>
      <c r="BQ78" s="86"/>
      <c r="BR78" s="86"/>
      <c r="BS78" s="86"/>
      <c r="BT78" s="86"/>
      <c r="BU78" s="86"/>
      <c r="BV78" s="86"/>
      <c r="BW78" s="86"/>
      <c r="BX78" s="86"/>
      <c r="BY78" s="86"/>
      <c r="BZ78" s="86"/>
      <c r="CA78" s="86"/>
      <c r="CB78" s="86"/>
      <c r="CC78" s="86"/>
      <c r="CD78" s="86"/>
      <c r="CE78" s="86"/>
      <c r="CF78" s="86"/>
      <c r="CG78" s="86"/>
      <c r="CH78" s="86"/>
      <c r="CI78" s="86"/>
      <c r="CJ78" s="86"/>
      <c r="CK78" s="86"/>
      <c r="CL78" s="86"/>
      <c r="CM78" s="86"/>
      <c r="CN78" s="86"/>
      <c r="CO78" s="86"/>
      <c r="CP78" s="86"/>
      <c r="CQ78" s="86"/>
      <c r="CR78" s="86"/>
      <c r="CS78" s="86"/>
      <c r="CT78" s="86"/>
      <c r="CU78" s="86"/>
      <c r="CV78" s="86"/>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row>
    <row r="79" spans="2:157" ht="9.75" customHeight="1">
      <c r="B79" s="845">
        <v>9</v>
      </c>
      <c r="C79" s="1344"/>
      <c r="D79" s="1344"/>
      <c r="E79" s="1344"/>
      <c r="F79" s="857"/>
      <c r="G79" s="857"/>
      <c r="H79" s="875" t="str">
        <f t="shared" si="3"/>
        <v/>
      </c>
      <c r="J79" s="101"/>
      <c r="K79" s="101"/>
      <c r="L79" s="101"/>
      <c r="Z79" s="86"/>
      <c r="AA79" s="86"/>
      <c r="AB79" s="86"/>
      <c r="AC79" s="86"/>
      <c r="AD79" s="86"/>
      <c r="AE79" s="86"/>
      <c r="AF79" s="86"/>
      <c r="AG79" s="86"/>
      <c r="AH79" s="86"/>
      <c r="AI79" s="86"/>
      <c r="AJ79" s="86"/>
      <c r="AK79" s="86"/>
      <c r="AL79" s="86"/>
      <c r="AM79" s="86"/>
      <c r="AN79" s="86"/>
      <c r="AO79" s="86"/>
      <c r="AP79" s="86"/>
      <c r="AQ79" s="86"/>
      <c r="AR79" s="86"/>
      <c r="AS79" s="86"/>
      <c r="AT79" s="86"/>
      <c r="AU79" s="86"/>
      <c r="AV79" s="86"/>
      <c r="AW79" s="86"/>
      <c r="AX79" s="86"/>
      <c r="AY79" s="86"/>
      <c r="AZ79" s="86"/>
      <c r="BA79" s="86"/>
      <c r="BB79" s="86"/>
      <c r="BC79" s="86"/>
      <c r="BD79" s="86"/>
      <c r="BE79" s="86"/>
      <c r="BF79" s="86"/>
      <c r="BG79" s="86"/>
      <c r="BH79" s="86"/>
      <c r="BI79" s="86"/>
      <c r="BJ79" s="86"/>
      <c r="BK79" s="86"/>
      <c r="BL79" s="86"/>
      <c r="BM79" s="86"/>
      <c r="BN79" s="86"/>
      <c r="BO79" s="86"/>
      <c r="BP79" s="86"/>
      <c r="BQ79" s="86"/>
      <c r="BR79" s="86"/>
      <c r="BS79" s="86"/>
      <c r="BT79" s="86"/>
      <c r="BU79" s="86"/>
      <c r="BV79" s="86"/>
      <c r="BW79" s="86"/>
      <c r="BX79" s="86"/>
      <c r="BY79" s="86"/>
      <c r="BZ79" s="86"/>
      <c r="CA79" s="86"/>
      <c r="CB79" s="86"/>
      <c r="CC79" s="86"/>
      <c r="CD79" s="86"/>
      <c r="CE79" s="86"/>
      <c r="CF79" s="86"/>
      <c r="CG79" s="86"/>
      <c r="CH79" s="86"/>
      <c r="CI79" s="86"/>
      <c r="CJ79" s="86"/>
      <c r="CK79" s="86"/>
      <c r="CL79" s="86"/>
      <c r="CM79" s="86"/>
      <c r="CN79" s="86"/>
      <c r="CO79" s="86"/>
      <c r="CP79" s="86"/>
      <c r="CQ79" s="86"/>
      <c r="CR79" s="86"/>
      <c r="CS79" s="86"/>
      <c r="CT79" s="86"/>
      <c r="CU79" s="86"/>
      <c r="CV79" s="86"/>
      <c r="CW79" s="86"/>
      <c r="CX79" s="86"/>
      <c r="CY79" s="86"/>
      <c r="CZ79" s="86"/>
      <c r="DA79" s="86"/>
      <c r="DB79" s="86"/>
      <c r="DC79" s="86"/>
      <c r="DD79" s="86"/>
      <c r="DE79" s="86"/>
      <c r="DF79" s="86"/>
      <c r="DG79" s="86"/>
      <c r="DH79" s="86"/>
      <c r="DI79" s="86"/>
      <c r="DJ79" s="86"/>
      <c r="DK79" s="86"/>
      <c r="DL79" s="86"/>
      <c r="DM79" s="86"/>
      <c r="DN79" s="86"/>
      <c r="DO79" s="86"/>
      <c r="DP79" s="86"/>
      <c r="DQ79" s="86"/>
      <c r="DR79" s="86"/>
      <c r="DS79" s="86"/>
      <c r="DT79" s="86"/>
      <c r="DU79" s="86"/>
      <c r="DV79" s="86"/>
      <c r="DW79" s="86"/>
      <c r="DX79" s="86"/>
      <c r="DY79" s="86"/>
      <c r="DZ79" s="86"/>
      <c r="EA79" s="86"/>
      <c r="EB79" s="86"/>
      <c r="EC79" s="86"/>
      <c r="ED79" s="86"/>
      <c r="EE79" s="86"/>
      <c r="EF79" s="86"/>
      <c r="EG79" s="86"/>
      <c r="EH79" s="86"/>
      <c r="EI79" s="86"/>
      <c r="EJ79" s="86"/>
      <c r="EK79" s="86"/>
      <c r="EL79" s="86"/>
      <c r="EM79" s="86"/>
      <c r="EN79" s="86"/>
      <c r="EO79" s="86"/>
      <c r="EP79" s="86"/>
      <c r="EQ79" s="86"/>
      <c r="ER79" s="86"/>
      <c r="ES79" s="86"/>
      <c r="ET79" s="86"/>
      <c r="EU79" s="86"/>
      <c r="EV79" s="86"/>
      <c r="EW79" s="86"/>
      <c r="EX79" s="86"/>
      <c r="EY79" s="86"/>
      <c r="EZ79" s="86"/>
      <c r="FA79" s="86"/>
    </row>
    <row r="80" spans="2:157" ht="10.050000000000001" customHeight="1">
      <c r="B80" s="845" t="s">
        <v>546</v>
      </c>
      <c r="C80" s="836" t="s">
        <v>73</v>
      </c>
      <c r="D80" s="839"/>
      <c r="E80" s="86"/>
      <c r="F80" s="848" t="s">
        <v>546</v>
      </c>
      <c r="G80" s="848" t="s">
        <v>546</v>
      </c>
      <c r="H80" s="858">
        <v>0.04</v>
      </c>
      <c r="J80" s="101"/>
      <c r="K80" s="101"/>
      <c r="L80" s="101"/>
      <c r="Z80" s="86"/>
      <c r="AA80" s="86"/>
      <c r="AB80" s="86"/>
      <c r="AC80" s="86"/>
      <c r="AD80" s="86"/>
      <c r="AE80" s="86"/>
      <c r="AF80" s="86"/>
      <c r="AG80" s="86"/>
      <c r="AH80" s="86"/>
      <c r="AI80" s="86"/>
      <c r="AJ80" s="86"/>
      <c r="AK80" s="86"/>
      <c r="AL80" s="86"/>
      <c r="AM80" s="86"/>
      <c r="AN80" s="86"/>
      <c r="AO80" s="86"/>
      <c r="AP80" s="86"/>
      <c r="AQ80" s="86"/>
      <c r="AR80" s="86"/>
      <c r="AS80" s="86"/>
      <c r="AT80" s="86"/>
      <c r="AU80" s="86"/>
      <c r="AV80" s="86"/>
      <c r="AW80" s="86"/>
      <c r="AX80" s="86"/>
      <c r="AY80" s="86"/>
      <c r="AZ80" s="86"/>
      <c r="BA80" s="86"/>
      <c r="BB80" s="86"/>
      <c r="BC80" s="86"/>
      <c r="BD80" s="86"/>
      <c r="BE80" s="86"/>
      <c r="BF80" s="86"/>
      <c r="BG80" s="86"/>
      <c r="BH80" s="86"/>
      <c r="BI80" s="86"/>
      <c r="BJ80" s="86"/>
      <c r="BK80" s="86"/>
      <c r="BL80" s="86"/>
      <c r="BM80" s="86"/>
      <c r="BN80" s="86"/>
      <c r="BO80" s="86"/>
      <c r="BP80" s="86"/>
      <c r="BQ80" s="86"/>
      <c r="BR80" s="86"/>
      <c r="BS80" s="86"/>
      <c r="BT80" s="86"/>
      <c r="BU80" s="86"/>
      <c r="BV80" s="86"/>
      <c r="BW80" s="86"/>
      <c r="BX80" s="86"/>
      <c r="BY80" s="86"/>
      <c r="BZ80" s="86"/>
      <c r="CA80" s="86"/>
      <c r="CB80" s="86"/>
      <c r="CC80" s="86"/>
      <c r="CD80" s="86"/>
      <c r="CE80" s="86"/>
      <c r="CF80" s="86"/>
      <c r="CG80" s="86"/>
      <c r="CH80" s="86"/>
      <c r="CI80" s="86"/>
      <c r="CJ80" s="86"/>
      <c r="CK80" s="86"/>
      <c r="CL80" s="86"/>
      <c r="CM80" s="86"/>
      <c r="CN80" s="86"/>
      <c r="CO80" s="86"/>
      <c r="CP80" s="86"/>
      <c r="CQ80" s="86"/>
      <c r="CR80" s="86"/>
      <c r="CS80" s="86"/>
      <c r="CT80" s="86"/>
      <c r="CU80" s="86"/>
      <c r="CV80" s="86"/>
      <c r="CW80" s="86"/>
      <c r="CX80" s="86"/>
      <c r="CY80" s="86"/>
      <c r="CZ80" s="86"/>
      <c r="DA80" s="86"/>
      <c r="DB80" s="86"/>
      <c r="DC80" s="86"/>
      <c r="DD80" s="86"/>
      <c r="DE80" s="86"/>
      <c r="DF80" s="86"/>
      <c r="DG80" s="86"/>
      <c r="DH80" s="86"/>
      <c r="DI80" s="86"/>
      <c r="DJ80" s="86"/>
      <c r="DK80" s="86"/>
      <c r="DL80" s="86"/>
      <c r="DM80" s="86"/>
      <c r="DN80" s="86"/>
      <c r="DO80" s="86"/>
      <c r="DP80" s="86"/>
      <c r="DQ80" s="86"/>
      <c r="DR80" s="86"/>
      <c r="DS80" s="86"/>
      <c r="DT80" s="86"/>
      <c r="DU80" s="86"/>
      <c r="DV80" s="86"/>
      <c r="DW80" s="86"/>
      <c r="DX80" s="86"/>
      <c r="DY80" s="86"/>
      <c r="DZ80" s="86"/>
      <c r="EA80" s="86"/>
      <c r="EB80" s="86"/>
      <c r="EC80" s="86"/>
      <c r="ED80" s="86"/>
      <c r="EE80" s="86"/>
      <c r="EF80" s="86"/>
      <c r="EG80" s="86"/>
      <c r="EH80" s="86"/>
      <c r="EI80" s="86"/>
      <c r="EJ80" s="86"/>
      <c r="EK80" s="86"/>
      <c r="EL80" s="86"/>
      <c r="EM80" s="86"/>
      <c r="EN80" s="86"/>
      <c r="EO80" s="86"/>
      <c r="EP80" s="86"/>
      <c r="EQ80" s="86"/>
      <c r="ER80" s="86"/>
      <c r="ES80" s="86"/>
      <c r="ET80" s="86"/>
      <c r="EU80" s="86"/>
      <c r="EV80" s="86"/>
      <c r="EW80" s="86"/>
      <c r="EX80" s="86"/>
      <c r="EY80" s="86"/>
      <c r="EZ80" s="86"/>
      <c r="FA80" s="86"/>
    </row>
    <row r="81" spans="2:157" ht="9.75" customHeight="1">
      <c r="B81" s="849"/>
      <c r="C81" s="849"/>
      <c r="D81" s="849"/>
      <c r="E81" s="849"/>
      <c r="F81" s="849"/>
      <c r="G81" s="849"/>
      <c r="H81" s="855"/>
      <c r="J81" s="101"/>
      <c r="K81" s="101"/>
      <c r="L81" s="101"/>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86"/>
      <c r="AX81" s="86"/>
      <c r="AY81" s="86"/>
      <c r="AZ81" s="86"/>
      <c r="BA81" s="86"/>
      <c r="BB81" s="86"/>
      <c r="BC81" s="86"/>
      <c r="BD81" s="86"/>
      <c r="BE81" s="86"/>
      <c r="BF81" s="86"/>
      <c r="BG81" s="86"/>
      <c r="BH81" s="86"/>
      <c r="BI81" s="86"/>
      <c r="BJ81" s="86"/>
      <c r="BK81" s="86"/>
      <c r="BL81" s="86"/>
      <c r="BM81" s="86"/>
      <c r="BN81" s="86"/>
      <c r="BO81" s="86"/>
      <c r="BP81" s="86"/>
      <c r="BQ81" s="86"/>
      <c r="BR81" s="86"/>
      <c r="BS81" s="86"/>
      <c r="BT81" s="86"/>
      <c r="BU81" s="86"/>
      <c r="BV81" s="86"/>
      <c r="BW81" s="86"/>
      <c r="BX81" s="86"/>
      <c r="BY81" s="86"/>
      <c r="BZ81" s="86"/>
      <c r="CA81" s="86"/>
      <c r="CB81" s="86"/>
      <c r="CC81" s="86"/>
      <c r="CD81" s="86"/>
      <c r="CE81" s="86"/>
      <c r="CF81" s="86"/>
      <c r="CG81" s="86"/>
      <c r="CH81" s="86"/>
      <c r="CI81" s="86"/>
      <c r="CJ81" s="86"/>
      <c r="CK81" s="86"/>
      <c r="CL81" s="86"/>
      <c r="CM81" s="86"/>
      <c r="CN81" s="86"/>
      <c r="CO81" s="86"/>
      <c r="CP81" s="86"/>
      <c r="CQ81" s="86"/>
      <c r="CR81" s="86"/>
      <c r="CS81" s="86"/>
      <c r="CT81" s="86"/>
      <c r="CU81" s="86"/>
      <c r="CV81" s="86"/>
      <c r="CW81" s="86"/>
      <c r="CX81" s="86"/>
      <c r="CY81" s="86"/>
      <c r="CZ81" s="86"/>
      <c r="DA81" s="86"/>
      <c r="DB81" s="86"/>
      <c r="DC81" s="86"/>
      <c r="DD81" s="86"/>
      <c r="DE81" s="86"/>
      <c r="DF81" s="86"/>
      <c r="DG81" s="86"/>
      <c r="DH81" s="86"/>
      <c r="DI81" s="86"/>
      <c r="DJ81" s="86"/>
      <c r="DK81" s="86"/>
      <c r="DL81" s="86"/>
      <c r="DM81" s="86"/>
      <c r="DN81" s="86"/>
      <c r="DO81" s="86"/>
      <c r="DP81" s="86"/>
      <c r="DQ81" s="86"/>
      <c r="DR81" s="86"/>
      <c r="DS81" s="86"/>
      <c r="DT81" s="86"/>
      <c r="DU81" s="86"/>
      <c r="DV81" s="86"/>
      <c r="DW81" s="86"/>
      <c r="DX81" s="86"/>
      <c r="DY81" s="86"/>
      <c r="DZ81" s="86"/>
      <c r="EA81" s="86"/>
      <c r="EB81" s="86"/>
      <c r="EC81" s="86"/>
      <c r="ED81" s="86"/>
      <c r="EE81" s="86"/>
      <c r="EF81" s="86"/>
      <c r="EG81" s="86"/>
      <c r="EH81" s="86"/>
      <c r="EI81" s="86"/>
      <c r="EJ81" s="86"/>
      <c r="EK81" s="86"/>
      <c r="EL81" s="86"/>
      <c r="EM81" s="86"/>
      <c r="EN81" s="86"/>
      <c r="EO81" s="86"/>
      <c r="EP81" s="86"/>
      <c r="EQ81" s="86"/>
      <c r="ER81" s="86"/>
      <c r="ES81" s="86"/>
      <c r="ET81" s="86"/>
      <c r="EU81" s="86"/>
      <c r="EV81" s="86"/>
      <c r="EW81" s="86"/>
      <c r="EX81" s="86"/>
      <c r="EY81" s="86"/>
      <c r="EZ81" s="86"/>
      <c r="FA81" s="86"/>
    </row>
    <row r="82" spans="2:157" ht="10.050000000000001" customHeight="1">
      <c r="B82" s="27"/>
      <c r="C82" s="27"/>
      <c r="D82" s="27"/>
      <c r="E82" s="91"/>
      <c r="F82" s="171"/>
      <c r="G82" s="29"/>
      <c r="H82" s="27"/>
      <c r="J82" s="101"/>
      <c r="K82" s="101"/>
      <c r="L82" s="101"/>
      <c r="Z82" s="86"/>
      <c r="AA82" s="86"/>
      <c r="AB82" s="86"/>
      <c r="AC82" s="86"/>
      <c r="AD82" s="86"/>
      <c r="AE82" s="86"/>
      <c r="AF82" s="86"/>
      <c r="AG82" s="86"/>
      <c r="AH82" s="86"/>
      <c r="AI82" s="86"/>
      <c r="AJ82" s="86"/>
      <c r="AK82" s="86"/>
      <c r="AL82" s="86"/>
      <c r="AM82" s="86"/>
      <c r="AN82" s="86"/>
      <c r="AO82" s="86"/>
      <c r="AP82" s="86"/>
      <c r="AQ82" s="86"/>
      <c r="AR82" s="86"/>
      <c r="AS82" s="86"/>
      <c r="AT82" s="86"/>
      <c r="AU82" s="86"/>
      <c r="AV82" s="86"/>
      <c r="AW82" s="86"/>
      <c r="AX82" s="86"/>
      <c r="AY82" s="86"/>
      <c r="AZ82" s="86"/>
      <c r="BA82" s="86"/>
      <c r="BB82" s="86"/>
      <c r="BC82" s="86"/>
      <c r="BD82" s="86"/>
      <c r="BE82" s="86"/>
      <c r="BF82" s="86"/>
      <c r="BG82" s="86"/>
      <c r="BH82" s="86"/>
      <c r="BI82" s="86"/>
      <c r="BJ82" s="86"/>
      <c r="BK82" s="86"/>
      <c r="BL82" s="86"/>
      <c r="BM82" s="86"/>
      <c r="BN82" s="86"/>
      <c r="BO82" s="86"/>
      <c r="BP82" s="86"/>
      <c r="BQ82" s="86"/>
      <c r="BR82" s="86"/>
      <c r="BS82" s="86"/>
      <c r="BT82" s="86"/>
      <c r="BU82" s="86"/>
      <c r="BV82" s="86"/>
      <c r="BW82" s="86"/>
      <c r="BX82" s="86"/>
      <c r="BY82" s="86"/>
      <c r="BZ82" s="86"/>
      <c r="CA82" s="86"/>
      <c r="CB82" s="86"/>
      <c r="CC82" s="86"/>
      <c r="CD82" s="86"/>
      <c r="CE82" s="86"/>
      <c r="CF82" s="86"/>
      <c r="CG82" s="86"/>
      <c r="CH82" s="86"/>
      <c r="CI82" s="86"/>
      <c r="CJ82" s="86"/>
      <c r="CK82" s="86"/>
      <c r="CL82" s="86"/>
      <c r="CM82" s="86"/>
      <c r="CN82" s="86"/>
      <c r="CO82" s="86"/>
      <c r="CP82" s="86"/>
      <c r="CQ82" s="86"/>
      <c r="CR82" s="86"/>
      <c r="CS82" s="86"/>
      <c r="CT82" s="86"/>
      <c r="CU82" s="86"/>
      <c r="CV82" s="86"/>
      <c r="CW82" s="86"/>
      <c r="CX82" s="86"/>
      <c r="CY82" s="86"/>
      <c r="CZ82" s="86"/>
      <c r="DA82" s="86"/>
      <c r="DB82" s="86"/>
      <c r="DC82" s="86"/>
      <c r="DD82" s="86"/>
      <c r="DE82" s="86"/>
      <c r="DF82" s="86"/>
      <c r="DG82" s="86"/>
      <c r="DH82" s="86"/>
      <c r="DI82" s="86"/>
      <c r="DJ82" s="86"/>
      <c r="DK82" s="86"/>
      <c r="DL82" s="86"/>
      <c r="DM82" s="86"/>
      <c r="DN82" s="86"/>
      <c r="DO82" s="86"/>
      <c r="DP82" s="86"/>
      <c r="DQ82" s="86"/>
      <c r="DR82" s="86"/>
      <c r="DS82" s="86"/>
      <c r="DT82" s="86"/>
      <c r="DU82" s="86"/>
      <c r="DV82" s="86"/>
      <c r="DW82" s="86"/>
      <c r="DX82" s="86"/>
      <c r="DY82" s="86"/>
      <c r="DZ82" s="86"/>
      <c r="EA82" s="86"/>
      <c r="EB82" s="86"/>
      <c r="EC82" s="86"/>
      <c r="ED82" s="86"/>
      <c r="EE82" s="86"/>
      <c r="EF82" s="86"/>
      <c r="EG82" s="86"/>
      <c r="EH82" s="86"/>
      <c r="EI82" s="86"/>
      <c r="EJ82" s="86"/>
      <c r="EK82" s="86"/>
      <c r="EL82" s="86"/>
      <c r="EM82" s="86"/>
      <c r="EN82" s="86"/>
      <c r="EO82" s="86"/>
      <c r="EP82" s="86"/>
      <c r="EQ82" s="86"/>
      <c r="ER82" s="86"/>
      <c r="ES82" s="86"/>
      <c r="ET82" s="86"/>
      <c r="EU82" s="86"/>
      <c r="EV82" s="86"/>
      <c r="EW82" s="86"/>
      <c r="EX82" s="86"/>
      <c r="EY82" s="86"/>
      <c r="EZ82" s="86"/>
      <c r="FA82" s="86"/>
    </row>
    <row r="83" spans="2:157" ht="10.050000000000001" customHeight="1">
      <c r="B83" s="27"/>
      <c r="C83" s="27"/>
      <c r="D83" s="27"/>
      <c r="E83" s="27"/>
      <c r="F83" s="27"/>
      <c r="G83" s="27"/>
      <c r="H83" s="27"/>
      <c r="J83" s="101"/>
      <c r="K83" s="101"/>
      <c r="L83" s="101"/>
      <c r="Z83" s="86"/>
      <c r="AA83" s="86"/>
      <c r="AB83" s="86"/>
      <c r="AC83" s="86"/>
      <c r="AD83" s="86"/>
      <c r="AE83" s="86"/>
      <c r="AF83" s="86"/>
      <c r="AG83" s="86"/>
      <c r="AH83" s="86"/>
      <c r="AI83" s="86"/>
      <c r="AJ83" s="86"/>
      <c r="AK83" s="86"/>
      <c r="AL83" s="86"/>
      <c r="AM83" s="86"/>
      <c r="AN83" s="86"/>
      <c r="AO83" s="86"/>
      <c r="AP83" s="86"/>
      <c r="AQ83" s="86"/>
      <c r="AR83" s="86"/>
      <c r="AS83" s="86"/>
      <c r="AT83" s="86"/>
      <c r="AU83" s="86"/>
      <c r="AV83" s="86"/>
      <c r="AW83" s="86"/>
      <c r="AX83" s="86"/>
      <c r="AY83" s="86"/>
      <c r="AZ83" s="86"/>
      <c r="BA83" s="86"/>
      <c r="BB83" s="86"/>
      <c r="BC83" s="86"/>
      <c r="BD83" s="86"/>
      <c r="BE83" s="86"/>
      <c r="BF83" s="86"/>
      <c r="BG83" s="86"/>
      <c r="BH83" s="86"/>
      <c r="BI83" s="86"/>
      <c r="BJ83" s="86"/>
      <c r="BK83" s="86"/>
      <c r="BL83" s="86"/>
      <c r="BM83" s="86"/>
      <c r="BN83" s="86"/>
      <c r="BO83" s="86"/>
      <c r="BP83" s="86"/>
      <c r="BQ83" s="86"/>
      <c r="BR83" s="86"/>
      <c r="BS83" s="86"/>
      <c r="BT83" s="86"/>
      <c r="BU83" s="86"/>
      <c r="BV83" s="86"/>
      <c r="BW83" s="86"/>
      <c r="BX83" s="86"/>
      <c r="BY83" s="86"/>
      <c r="BZ83" s="86"/>
      <c r="CA83" s="86"/>
      <c r="CB83" s="86"/>
      <c r="CC83" s="86"/>
      <c r="CD83" s="86"/>
      <c r="CE83" s="86"/>
      <c r="CF83" s="86"/>
      <c r="CG83" s="86"/>
      <c r="CH83" s="86"/>
      <c r="CI83" s="86"/>
      <c r="CJ83" s="86"/>
      <c r="CK83" s="86"/>
      <c r="CL83" s="86"/>
      <c r="CM83" s="86"/>
      <c r="CN83" s="86"/>
      <c r="CO83" s="86"/>
      <c r="CP83" s="86"/>
      <c r="CQ83" s="86"/>
      <c r="CR83" s="86"/>
      <c r="CS83" s="86"/>
      <c r="CT83" s="86"/>
      <c r="CU83" s="86"/>
      <c r="CV83" s="86"/>
      <c r="CW83" s="86"/>
      <c r="CX83" s="86"/>
      <c r="CY83" s="86"/>
      <c r="CZ83" s="86"/>
      <c r="DA83" s="86"/>
      <c r="DB83" s="86"/>
      <c r="DC83" s="86"/>
      <c r="DD83" s="86"/>
      <c r="DE83" s="86"/>
      <c r="DF83" s="86"/>
      <c r="DG83" s="86"/>
      <c r="DH83" s="86"/>
      <c r="DI83" s="86"/>
      <c r="DJ83" s="86"/>
      <c r="DK83" s="86"/>
      <c r="DL83" s="86"/>
      <c r="DM83" s="86"/>
      <c r="DN83" s="86"/>
      <c r="DO83" s="86"/>
      <c r="DP83" s="86"/>
      <c r="DQ83" s="86"/>
      <c r="DR83" s="86"/>
      <c r="DS83" s="86"/>
      <c r="DT83" s="86"/>
      <c r="DU83" s="86"/>
      <c r="DV83" s="86"/>
      <c r="DW83" s="86"/>
      <c r="DX83" s="86"/>
      <c r="DY83" s="86"/>
      <c r="DZ83" s="86"/>
      <c r="EA83" s="86"/>
      <c r="EB83" s="86"/>
      <c r="EC83" s="86"/>
      <c r="ED83" s="86"/>
      <c r="EE83" s="86"/>
      <c r="EF83" s="86"/>
      <c r="EG83" s="86"/>
      <c r="EH83" s="86"/>
      <c r="EI83" s="86"/>
      <c r="EJ83" s="86"/>
      <c r="EK83" s="86"/>
      <c r="EL83" s="86"/>
      <c r="EM83" s="86"/>
      <c r="EN83" s="86"/>
      <c r="EO83" s="86"/>
      <c r="EP83" s="86"/>
      <c r="EQ83" s="86"/>
      <c r="ER83" s="86"/>
      <c r="ES83" s="86"/>
      <c r="ET83" s="86"/>
      <c r="EU83" s="86"/>
      <c r="EV83" s="86"/>
      <c r="EW83" s="86"/>
      <c r="EX83" s="86"/>
      <c r="EY83" s="86"/>
      <c r="EZ83" s="86"/>
      <c r="FA83" s="86"/>
    </row>
    <row r="84" spans="2:157" ht="10.050000000000001" customHeight="1">
      <c r="B84" s="31"/>
      <c r="C84" s="31"/>
      <c r="D84" s="31"/>
      <c r="E84" s="31"/>
      <c r="F84" s="31"/>
      <c r="G84" s="31"/>
      <c r="H84" s="31"/>
      <c r="J84" s="101"/>
      <c r="K84" s="101"/>
      <c r="L84" s="101"/>
      <c r="Z84" s="86"/>
      <c r="AA84" s="86"/>
      <c r="AB84" s="86"/>
      <c r="AC84" s="86"/>
      <c r="AD84" s="86"/>
      <c r="AE84" s="86"/>
      <c r="AF84" s="86"/>
      <c r="AG84" s="86"/>
      <c r="AH84" s="86"/>
      <c r="AI84" s="86"/>
      <c r="AJ84" s="86"/>
      <c r="AK84" s="86"/>
      <c r="AL84" s="86"/>
      <c r="AM84" s="86"/>
      <c r="AN84" s="86"/>
      <c r="AO84" s="86"/>
      <c r="AP84" s="86"/>
      <c r="AQ84" s="86"/>
      <c r="AR84" s="86"/>
      <c r="AS84" s="86"/>
      <c r="AT84" s="86"/>
      <c r="AU84" s="86"/>
      <c r="AV84" s="86"/>
      <c r="AW84" s="86"/>
      <c r="AX84" s="86"/>
      <c r="AY84" s="86"/>
      <c r="AZ84" s="86"/>
      <c r="BA84" s="86"/>
      <c r="BB84" s="86"/>
      <c r="BC84" s="86"/>
      <c r="BD84" s="86"/>
      <c r="BE84" s="86"/>
      <c r="BF84" s="86"/>
      <c r="BG84" s="86"/>
      <c r="BH84" s="86"/>
      <c r="BI84" s="86"/>
      <c r="BJ84" s="86"/>
      <c r="BK84" s="86"/>
      <c r="BL84" s="86"/>
      <c r="BM84" s="86"/>
      <c r="BN84" s="86"/>
      <c r="BO84" s="86"/>
      <c r="BP84" s="86"/>
      <c r="BQ84" s="86"/>
      <c r="BR84" s="86"/>
      <c r="BS84" s="86"/>
      <c r="BT84" s="86"/>
      <c r="BU84" s="86"/>
      <c r="BV84" s="86"/>
      <c r="BW84" s="86"/>
      <c r="BX84" s="86"/>
      <c r="BY84" s="86"/>
      <c r="BZ84" s="86"/>
      <c r="CA84" s="86"/>
      <c r="CB84" s="86"/>
      <c r="CC84" s="86"/>
      <c r="CD84" s="86"/>
      <c r="CE84" s="86"/>
      <c r="CF84" s="86"/>
      <c r="CG84" s="86"/>
      <c r="CH84" s="86"/>
      <c r="CI84" s="86"/>
      <c r="CJ84" s="86"/>
      <c r="CK84" s="86"/>
      <c r="CL84" s="86"/>
      <c r="CM84" s="86"/>
      <c r="CN84" s="86"/>
      <c r="CO84" s="86"/>
      <c r="CP84" s="86"/>
      <c r="CQ84" s="86"/>
      <c r="CR84" s="86"/>
      <c r="CS84" s="86"/>
      <c r="CT84" s="86"/>
      <c r="CU84" s="86"/>
      <c r="CV84" s="86"/>
      <c r="CW84" s="86"/>
      <c r="CX84" s="86"/>
      <c r="CY84" s="86"/>
      <c r="CZ84" s="86"/>
      <c r="DA84" s="86"/>
      <c r="DB84" s="86"/>
      <c r="DC84" s="86"/>
      <c r="DD84" s="86"/>
      <c r="DE84" s="86"/>
      <c r="DF84" s="86"/>
      <c r="DG84" s="86"/>
      <c r="DH84" s="86"/>
      <c r="DI84" s="86"/>
      <c r="DJ84" s="86"/>
      <c r="DK84" s="86"/>
      <c r="DL84" s="86"/>
      <c r="DM84" s="86"/>
      <c r="DN84" s="86"/>
      <c r="DO84" s="86"/>
      <c r="DP84" s="86"/>
      <c r="DQ84" s="86"/>
      <c r="DR84" s="86"/>
      <c r="DS84" s="86"/>
      <c r="DT84" s="86"/>
      <c r="DU84" s="86"/>
      <c r="DV84" s="86"/>
      <c r="DW84" s="86"/>
      <c r="DX84" s="86"/>
      <c r="DY84" s="86"/>
      <c r="DZ84" s="86"/>
      <c r="EA84" s="86"/>
      <c r="EB84" s="86"/>
      <c r="EC84" s="86"/>
      <c r="ED84" s="86"/>
      <c r="EE84" s="86"/>
      <c r="EF84" s="86"/>
      <c r="EG84" s="86"/>
      <c r="EH84" s="86"/>
      <c r="EI84" s="86"/>
      <c r="EJ84" s="86"/>
      <c r="EK84" s="86"/>
      <c r="EL84" s="86"/>
      <c r="EM84" s="86"/>
      <c r="EN84" s="86"/>
      <c r="EO84" s="86"/>
      <c r="EP84" s="86"/>
      <c r="EQ84" s="86"/>
      <c r="ER84" s="86"/>
      <c r="ES84" s="86"/>
      <c r="ET84" s="86"/>
      <c r="EU84" s="86"/>
      <c r="EV84" s="86"/>
      <c r="EW84" s="86"/>
      <c r="EX84" s="86"/>
      <c r="EY84" s="86"/>
      <c r="EZ84" s="86"/>
      <c r="FA84" s="86"/>
    </row>
    <row r="85" spans="2:157" ht="10.050000000000001" customHeight="1">
      <c r="B85" s="31"/>
      <c r="C85" s="31"/>
      <c r="D85" s="31"/>
      <c r="E85" s="31"/>
      <c r="F85" s="31"/>
      <c r="G85" s="31"/>
      <c r="H85" s="31"/>
      <c r="J85" s="101"/>
      <c r="K85" s="101"/>
      <c r="L85" s="101"/>
      <c r="Z85" s="86"/>
      <c r="AA85" s="86"/>
      <c r="AB85" s="86"/>
      <c r="AC85" s="86"/>
      <c r="AD85" s="86"/>
      <c r="AE85" s="86"/>
      <c r="AF85" s="86"/>
      <c r="AG85" s="86"/>
      <c r="AH85" s="86"/>
      <c r="AI85" s="86"/>
      <c r="AJ85" s="86"/>
      <c r="AK85" s="86"/>
      <c r="AL85" s="86"/>
      <c r="AM85" s="86"/>
      <c r="AN85" s="86"/>
      <c r="AO85" s="86"/>
      <c r="AP85" s="86"/>
      <c r="AQ85" s="86"/>
      <c r="AR85" s="86"/>
      <c r="AS85" s="86"/>
      <c r="AT85" s="86"/>
      <c r="AU85" s="86"/>
      <c r="AV85" s="86"/>
      <c r="AW85" s="86"/>
      <c r="AX85" s="86"/>
      <c r="AY85" s="86"/>
      <c r="AZ85" s="86"/>
      <c r="BA85" s="86"/>
      <c r="BB85" s="86"/>
      <c r="BC85" s="86"/>
      <c r="BD85" s="86"/>
      <c r="BE85" s="86"/>
      <c r="BF85" s="86"/>
      <c r="BG85" s="86"/>
      <c r="BH85" s="86"/>
      <c r="BI85" s="86"/>
      <c r="BJ85" s="86"/>
      <c r="BK85" s="86"/>
      <c r="BL85" s="86"/>
      <c r="BM85" s="86"/>
      <c r="BN85" s="86"/>
      <c r="BO85" s="86"/>
      <c r="BP85" s="86"/>
      <c r="BQ85" s="86"/>
      <c r="BR85" s="86"/>
      <c r="BS85" s="86"/>
      <c r="BT85" s="86"/>
      <c r="BU85" s="86"/>
      <c r="BV85" s="86"/>
      <c r="BW85" s="86"/>
      <c r="BX85" s="86"/>
      <c r="BY85" s="86"/>
      <c r="BZ85" s="86"/>
      <c r="CA85" s="86"/>
      <c r="CB85" s="86"/>
      <c r="CC85" s="86"/>
      <c r="CD85" s="86"/>
      <c r="CE85" s="86"/>
      <c r="CF85" s="86"/>
      <c r="CG85" s="86"/>
      <c r="CH85" s="86"/>
      <c r="CI85" s="86"/>
      <c r="CJ85" s="86"/>
      <c r="CK85" s="86"/>
      <c r="CL85" s="86"/>
      <c r="CM85" s="86"/>
      <c r="CN85" s="86"/>
      <c r="CO85" s="86"/>
      <c r="CP85" s="86"/>
      <c r="CQ85" s="86"/>
      <c r="CR85" s="86"/>
      <c r="CS85" s="86"/>
      <c r="CT85" s="86"/>
      <c r="CU85" s="86"/>
      <c r="CV85" s="86"/>
      <c r="CW85" s="86"/>
      <c r="CX85" s="86"/>
      <c r="CY85" s="86"/>
      <c r="CZ85" s="86"/>
      <c r="DA85" s="86"/>
      <c r="DB85" s="86"/>
      <c r="DC85" s="86"/>
      <c r="DD85" s="86"/>
      <c r="DE85" s="86"/>
      <c r="DF85" s="86"/>
      <c r="DG85" s="86"/>
      <c r="DH85" s="86"/>
      <c r="DI85" s="86"/>
      <c r="DJ85" s="86"/>
      <c r="DK85" s="86"/>
      <c r="DL85" s="86"/>
      <c r="DM85" s="86"/>
      <c r="DN85" s="86"/>
      <c r="DO85" s="86"/>
      <c r="DP85" s="86"/>
      <c r="DQ85" s="86"/>
      <c r="DR85" s="86"/>
      <c r="DS85" s="86"/>
      <c r="DT85" s="86"/>
      <c r="DU85" s="86"/>
      <c r="DV85" s="86"/>
      <c r="DW85" s="86"/>
      <c r="DX85" s="86"/>
      <c r="DY85" s="86"/>
      <c r="DZ85" s="86"/>
      <c r="EA85" s="86"/>
      <c r="EB85" s="86"/>
      <c r="EC85" s="86"/>
      <c r="ED85" s="86"/>
      <c r="EE85" s="86"/>
      <c r="EF85" s="86"/>
      <c r="EG85" s="86"/>
      <c r="EH85" s="86"/>
      <c r="EI85" s="86"/>
      <c r="EJ85" s="86"/>
      <c r="EK85" s="86"/>
      <c r="EL85" s="86"/>
      <c r="EM85" s="86"/>
      <c r="EN85" s="86"/>
      <c r="EO85" s="86"/>
      <c r="EP85" s="86"/>
      <c r="EQ85" s="86"/>
      <c r="ER85" s="86"/>
      <c r="ES85" s="86"/>
      <c r="ET85" s="86"/>
      <c r="EU85" s="86"/>
      <c r="EV85" s="86"/>
      <c r="EW85" s="86"/>
      <c r="EX85" s="86"/>
      <c r="EY85" s="86"/>
      <c r="EZ85" s="86"/>
      <c r="FA85" s="86"/>
    </row>
    <row r="86" spans="2:157" ht="10.050000000000001" customHeight="1">
      <c r="B86" s="31"/>
      <c r="C86" s="31"/>
      <c r="D86" s="31"/>
      <c r="E86" s="31"/>
      <c r="F86" s="31"/>
      <c r="G86" s="31"/>
      <c r="H86" s="31"/>
      <c r="J86" s="101"/>
      <c r="K86" s="101"/>
      <c r="L86" s="101"/>
      <c r="Z86" s="86"/>
      <c r="AA86" s="86"/>
      <c r="AB86" s="86"/>
      <c r="AC86" s="86"/>
      <c r="AD86" s="86"/>
      <c r="AE86" s="86"/>
      <c r="AF86" s="86"/>
      <c r="AG86" s="86"/>
      <c r="AH86" s="86"/>
      <c r="AI86" s="86"/>
      <c r="AJ86" s="86"/>
      <c r="AK86" s="86"/>
      <c r="AL86" s="86"/>
      <c r="AM86" s="86"/>
      <c r="AN86" s="86"/>
      <c r="AO86" s="86"/>
      <c r="AP86" s="86"/>
      <c r="AQ86" s="86"/>
      <c r="AR86" s="86"/>
      <c r="AS86" s="86"/>
      <c r="AT86" s="86"/>
      <c r="AU86" s="86"/>
      <c r="AV86" s="86"/>
      <c r="AW86" s="86"/>
      <c r="AX86" s="86"/>
      <c r="AY86" s="86"/>
      <c r="AZ86" s="86"/>
      <c r="BA86" s="86"/>
      <c r="BB86" s="86"/>
      <c r="BC86" s="86"/>
      <c r="BD86" s="86"/>
      <c r="BE86" s="86"/>
      <c r="BF86" s="86"/>
      <c r="BG86" s="86"/>
      <c r="BH86" s="86"/>
      <c r="BI86" s="86"/>
      <c r="BJ86" s="86"/>
      <c r="BK86" s="86"/>
      <c r="BL86" s="86"/>
      <c r="BM86" s="86"/>
      <c r="BN86" s="86"/>
      <c r="BO86" s="86"/>
      <c r="BP86" s="86"/>
      <c r="BQ86" s="86"/>
      <c r="BR86" s="86"/>
      <c r="BS86" s="86"/>
      <c r="BT86" s="86"/>
      <c r="BU86" s="86"/>
      <c r="BV86" s="86"/>
      <c r="BW86" s="86"/>
      <c r="BX86" s="86"/>
      <c r="BY86" s="86"/>
      <c r="BZ86" s="86"/>
      <c r="CA86" s="86"/>
      <c r="CB86" s="86"/>
      <c r="CC86" s="86"/>
      <c r="CD86" s="86"/>
      <c r="CE86" s="86"/>
      <c r="CF86" s="86"/>
      <c r="CG86" s="86"/>
      <c r="CH86" s="86"/>
      <c r="CI86" s="86"/>
      <c r="CJ86" s="86"/>
      <c r="CK86" s="86"/>
      <c r="CL86" s="86"/>
      <c r="CM86" s="86"/>
      <c r="CN86" s="86"/>
      <c r="CO86" s="86"/>
      <c r="CP86" s="86"/>
      <c r="CQ86" s="86"/>
      <c r="CR86" s="86"/>
      <c r="CS86" s="86"/>
      <c r="CT86" s="86"/>
      <c r="CU86" s="86"/>
      <c r="CV86" s="86"/>
      <c r="CW86" s="86"/>
      <c r="CX86" s="86"/>
      <c r="CY86" s="86"/>
      <c r="CZ86" s="86"/>
      <c r="DA86" s="86"/>
      <c r="DB86" s="86"/>
      <c r="DC86" s="86"/>
      <c r="DD86" s="86"/>
      <c r="DE86" s="86"/>
      <c r="DF86" s="86"/>
      <c r="DG86" s="86"/>
      <c r="DH86" s="86"/>
      <c r="DI86" s="86"/>
      <c r="DJ86" s="86"/>
      <c r="DK86" s="86"/>
      <c r="DL86" s="86"/>
      <c r="DM86" s="86"/>
      <c r="DN86" s="86"/>
      <c r="DO86" s="86"/>
      <c r="DP86" s="86"/>
      <c r="DQ86" s="86"/>
      <c r="DR86" s="86"/>
      <c r="DS86" s="86"/>
      <c r="DT86" s="86"/>
      <c r="DU86" s="86"/>
      <c r="DV86" s="86"/>
      <c r="DW86" s="86"/>
      <c r="DX86" s="86"/>
      <c r="DY86" s="86"/>
      <c r="DZ86" s="86"/>
      <c r="EA86" s="86"/>
      <c r="EB86" s="86"/>
      <c r="EC86" s="86"/>
      <c r="ED86" s="86"/>
      <c r="EE86" s="86"/>
      <c r="EF86" s="86"/>
      <c r="EG86" s="86"/>
      <c r="EH86" s="86"/>
      <c r="EI86" s="86"/>
      <c r="EJ86" s="86"/>
      <c r="EK86" s="86"/>
      <c r="EL86" s="86"/>
      <c r="EM86" s="86"/>
      <c r="EN86" s="86"/>
      <c r="EO86" s="86"/>
      <c r="EP86" s="86"/>
      <c r="EQ86" s="86"/>
      <c r="ER86" s="86"/>
      <c r="ES86" s="86"/>
      <c r="ET86" s="86"/>
      <c r="EU86" s="86"/>
      <c r="EV86" s="86"/>
      <c r="EW86" s="86"/>
      <c r="EX86" s="86"/>
      <c r="EY86" s="86"/>
      <c r="EZ86" s="86"/>
      <c r="FA86" s="86"/>
    </row>
    <row r="87" spans="2:157" ht="10.050000000000001" customHeight="1">
      <c r="B87" s="315"/>
      <c r="C87" s="141"/>
      <c r="D87" s="31"/>
      <c r="E87" s="142"/>
      <c r="F87" s="142"/>
      <c r="G87" s="1341">
        <f ca="1">NOW()</f>
        <v>42122.346852083334</v>
      </c>
      <c r="H87" s="1341"/>
      <c r="I87" s="187"/>
      <c r="J87" s="101"/>
      <c r="K87" s="101"/>
      <c r="L87" s="101"/>
      <c r="Z87" s="86"/>
      <c r="AA87" s="86"/>
      <c r="AB87" s="86"/>
      <c r="AC87" s="86"/>
      <c r="AD87" s="86"/>
      <c r="AE87" s="86"/>
      <c r="AF87" s="86"/>
      <c r="AG87" s="86"/>
      <c r="AH87" s="86"/>
      <c r="AI87" s="86"/>
      <c r="AJ87" s="86"/>
      <c r="AK87" s="86"/>
      <c r="AL87" s="86"/>
      <c r="AM87" s="86"/>
      <c r="AN87" s="86"/>
      <c r="AO87" s="86"/>
      <c r="AP87" s="86"/>
      <c r="AQ87" s="86"/>
      <c r="AR87" s="86"/>
      <c r="AS87" s="86"/>
      <c r="AT87" s="86"/>
      <c r="AU87" s="86"/>
      <c r="AV87" s="86"/>
      <c r="AW87" s="86"/>
      <c r="AX87" s="86"/>
      <c r="AY87" s="86"/>
      <c r="AZ87" s="86"/>
      <c r="BA87" s="86"/>
      <c r="BB87" s="86"/>
      <c r="BC87" s="86"/>
      <c r="BD87" s="86"/>
      <c r="BE87" s="86"/>
      <c r="BF87" s="86"/>
      <c r="BG87" s="86"/>
      <c r="BH87" s="86"/>
      <c r="BI87" s="86"/>
      <c r="BJ87" s="86"/>
      <c r="BK87" s="86"/>
      <c r="BL87" s="86"/>
      <c r="BM87" s="86"/>
      <c r="BN87" s="86"/>
      <c r="BO87" s="86"/>
      <c r="BP87" s="86"/>
      <c r="BQ87" s="86"/>
      <c r="BR87" s="86"/>
      <c r="BS87" s="86"/>
      <c r="BT87" s="86"/>
      <c r="BU87" s="86"/>
      <c r="BV87" s="86"/>
      <c r="BW87" s="86"/>
      <c r="BX87" s="86"/>
      <c r="BY87" s="86"/>
      <c r="BZ87" s="86"/>
      <c r="CA87" s="86"/>
      <c r="CB87" s="86"/>
      <c r="CC87" s="86"/>
      <c r="CD87" s="86"/>
      <c r="CE87" s="86"/>
      <c r="CF87" s="86"/>
      <c r="CG87" s="86"/>
      <c r="CH87" s="86"/>
      <c r="CI87" s="86"/>
      <c r="CJ87" s="86"/>
      <c r="CK87" s="86"/>
      <c r="CL87" s="86"/>
      <c r="CM87" s="86"/>
      <c r="CN87" s="86"/>
      <c r="CO87" s="86"/>
      <c r="CP87" s="86"/>
      <c r="CQ87" s="86"/>
      <c r="CR87" s="86"/>
      <c r="CS87" s="86"/>
      <c r="CT87" s="86"/>
      <c r="CU87" s="86"/>
      <c r="CV87" s="86"/>
      <c r="CW87" s="86"/>
      <c r="CX87" s="86"/>
      <c r="CY87" s="86"/>
      <c r="CZ87" s="86"/>
      <c r="DA87" s="86"/>
      <c r="DB87" s="86"/>
      <c r="DC87" s="86"/>
      <c r="DD87" s="86"/>
      <c r="DE87" s="86"/>
      <c r="DF87" s="86"/>
      <c r="DG87" s="86"/>
      <c r="DH87" s="86"/>
      <c r="DI87" s="86"/>
      <c r="DJ87" s="86"/>
      <c r="DK87" s="86"/>
      <c r="DL87" s="86"/>
      <c r="DM87" s="86"/>
      <c r="DN87" s="86"/>
      <c r="DO87" s="86"/>
      <c r="DP87" s="86"/>
      <c r="DQ87" s="86"/>
      <c r="DR87" s="86"/>
      <c r="DS87" s="86"/>
      <c r="DT87" s="86"/>
      <c r="DU87" s="86"/>
      <c r="DV87" s="86"/>
      <c r="DW87" s="86"/>
      <c r="DX87" s="86"/>
      <c r="DY87" s="86"/>
      <c r="DZ87" s="86"/>
      <c r="EA87" s="86"/>
      <c r="EB87" s="86"/>
      <c r="EC87" s="86"/>
      <c r="ED87" s="86"/>
      <c r="EE87" s="86"/>
      <c r="EF87" s="86"/>
      <c r="EG87" s="86"/>
      <c r="EH87" s="86"/>
      <c r="EI87" s="86"/>
      <c r="EJ87" s="86"/>
      <c r="EK87" s="86"/>
      <c r="EL87" s="86"/>
      <c r="EM87" s="86"/>
      <c r="EN87" s="86"/>
      <c r="EO87" s="86"/>
      <c r="EP87" s="86"/>
      <c r="EQ87" s="86"/>
      <c r="ER87" s="86"/>
      <c r="ES87" s="86"/>
      <c r="ET87" s="86"/>
      <c r="EU87" s="86"/>
      <c r="EV87" s="86"/>
      <c r="EW87" s="86"/>
      <c r="EX87" s="86"/>
      <c r="EY87" s="86"/>
      <c r="EZ87" s="86"/>
      <c r="FA87" s="86"/>
    </row>
    <row r="88" spans="2:157" ht="10.050000000000001" customHeight="1">
      <c r="B88" s="1343">
        <f>B1</f>
        <v>0</v>
      </c>
      <c r="C88" s="1343"/>
      <c r="D88" s="139" t="str">
        <f>IF(Nutzung!$E$8="","",Nutzung!$E$8)</f>
        <v/>
      </c>
      <c r="E88" s="31"/>
      <c r="F88" s="31"/>
      <c r="G88" s="31"/>
      <c r="H88" s="140" t="s">
        <v>62</v>
      </c>
      <c r="J88" s="101"/>
      <c r="K88" s="101"/>
      <c r="L88" s="101"/>
      <c r="Z88" s="86"/>
      <c r="AA88" s="86"/>
      <c r="AB88" s="86"/>
      <c r="AC88" s="86"/>
      <c r="AD88" s="86"/>
      <c r="AE88" s="86"/>
      <c r="AF88" s="86"/>
      <c r="AG88" s="86"/>
      <c r="AH88" s="86"/>
      <c r="AI88" s="86"/>
      <c r="AJ88" s="86"/>
      <c r="AK88" s="86"/>
      <c r="AL88" s="86"/>
      <c r="AM88" s="86"/>
      <c r="AN88" s="86"/>
      <c r="AO88" s="86"/>
      <c r="AP88" s="86"/>
      <c r="AQ88" s="86"/>
      <c r="AR88" s="86"/>
      <c r="AS88" s="86"/>
      <c r="AT88" s="86"/>
      <c r="AU88" s="86"/>
      <c r="AV88" s="86"/>
      <c r="AW88" s="86"/>
      <c r="AX88" s="86"/>
      <c r="AY88" s="86"/>
      <c r="AZ88" s="86"/>
      <c r="BA88" s="86"/>
      <c r="BB88" s="86"/>
      <c r="BC88" s="86"/>
      <c r="BD88" s="86"/>
      <c r="BE88" s="86"/>
      <c r="BF88" s="86"/>
      <c r="BG88" s="86"/>
      <c r="BH88" s="86"/>
      <c r="BI88" s="86"/>
      <c r="BJ88" s="86"/>
      <c r="BK88" s="86"/>
      <c r="BL88" s="86"/>
      <c r="BM88" s="86"/>
      <c r="BN88" s="86"/>
      <c r="BO88" s="86"/>
      <c r="BP88" s="86"/>
      <c r="BQ88" s="86"/>
      <c r="BR88" s="86"/>
      <c r="BS88" s="86"/>
      <c r="BT88" s="86"/>
      <c r="BU88" s="86"/>
      <c r="BV88" s="86"/>
      <c r="BW88" s="86"/>
      <c r="BX88" s="86"/>
      <c r="BY88" s="86"/>
      <c r="BZ88" s="86"/>
      <c r="CA88" s="86"/>
      <c r="CB88" s="86"/>
      <c r="CC88" s="86"/>
      <c r="CD88" s="86"/>
      <c r="CE88" s="86"/>
      <c r="CF88" s="86"/>
      <c r="CG88" s="86"/>
      <c r="CH88" s="86"/>
      <c r="CI88" s="86"/>
      <c r="CJ88" s="86"/>
      <c r="CK88" s="86"/>
      <c r="CL88" s="86"/>
      <c r="CM88" s="86"/>
      <c r="CN88" s="86"/>
      <c r="CO88" s="86"/>
      <c r="CP88" s="86"/>
      <c r="CQ88" s="86"/>
      <c r="CR88" s="86"/>
      <c r="CS88" s="86"/>
      <c r="CT88" s="86"/>
      <c r="CU88" s="86"/>
      <c r="CV88" s="86"/>
      <c r="CW88" s="86"/>
      <c r="CX88" s="86"/>
      <c r="CY88" s="86"/>
      <c r="CZ88" s="86"/>
      <c r="DA88" s="86"/>
      <c r="DB88" s="86"/>
      <c r="DC88" s="86"/>
      <c r="DD88" s="86"/>
      <c r="DE88" s="86"/>
      <c r="DF88" s="86"/>
      <c r="DG88" s="86"/>
      <c r="DH88" s="86"/>
      <c r="DI88" s="86"/>
      <c r="DJ88" s="86"/>
      <c r="DK88" s="86"/>
      <c r="DL88" s="86"/>
      <c r="DM88" s="86"/>
      <c r="DN88" s="86"/>
      <c r="DO88" s="86"/>
      <c r="DP88" s="86"/>
      <c r="DQ88" s="86"/>
      <c r="DR88" s="86"/>
      <c r="DS88" s="86"/>
      <c r="DT88" s="86"/>
      <c r="DU88" s="86"/>
      <c r="DV88" s="86"/>
      <c r="DW88" s="86"/>
      <c r="DX88" s="86"/>
      <c r="DY88" s="86"/>
      <c r="DZ88" s="86"/>
      <c r="EA88" s="86"/>
      <c r="EB88" s="86"/>
      <c r="EC88" s="86"/>
      <c r="ED88" s="86"/>
      <c r="EE88" s="86"/>
      <c r="EF88" s="86"/>
      <c r="EG88" s="86"/>
      <c r="EH88" s="86"/>
      <c r="EI88" s="86"/>
      <c r="EJ88" s="86"/>
      <c r="EK88" s="86"/>
      <c r="EL88" s="86"/>
      <c r="EM88" s="86"/>
      <c r="EN88" s="86"/>
      <c r="EO88" s="86"/>
      <c r="EP88" s="86"/>
      <c r="EQ88" s="86"/>
      <c r="ER88" s="86"/>
      <c r="ES88" s="86"/>
      <c r="ET88" s="86"/>
      <c r="EU88" s="86"/>
      <c r="EV88" s="86"/>
      <c r="EW88" s="86"/>
      <c r="EX88" s="86"/>
      <c r="EY88" s="86"/>
      <c r="EZ88" s="86"/>
      <c r="FA88" s="86"/>
    </row>
    <row r="89" spans="2:157" ht="10.050000000000001" customHeight="1">
      <c r="B89" s="141"/>
      <c r="C89" s="141"/>
      <c r="D89" s="139"/>
      <c r="E89" s="31"/>
      <c r="F89" s="31"/>
      <c r="G89" s="31"/>
      <c r="H89" s="142"/>
      <c r="J89" s="101"/>
      <c r="K89" s="101"/>
      <c r="L89" s="101"/>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86"/>
      <c r="AX89" s="86"/>
      <c r="AY89" s="86"/>
      <c r="AZ89" s="86"/>
      <c r="BA89" s="86"/>
      <c r="BB89" s="86"/>
      <c r="BC89" s="86"/>
      <c r="BD89" s="86"/>
      <c r="BE89" s="86"/>
      <c r="BF89" s="86"/>
      <c r="BG89" s="86"/>
      <c r="BH89" s="86"/>
      <c r="BI89" s="86"/>
      <c r="BJ89" s="86"/>
      <c r="BK89" s="86"/>
      <c r="BL89" s="86"/>
      <c r="BM89" s="86"/>
      <c r="BN89" s="86"/>
      <c r="BO89" s="86"/>
      <c r="BP89" s="86"/>
      <c r="BQ89" s="86"/>
      <c r="BR89" s="86"/>
      <c r="BS89" s="86"/>
      <c r="BT89" s="86"/>
      <c r="BU89" s="86"/>
      <c r="BV89" s="86"/>
      <c r="BW89" s="86"/>
      <c r="BX89" s="86"/>
      <c r="BY89" s="86"/>
      <c r="BZ89" s="86"/>
      <c r="CA89" s="86"/>
      <c r="CB89" s="86"/>
      <c r="CC89" s="86"/>
      <c r="CD89" s="86"/>
      <c r="CE89" s="86"/>
      <c r="CF89" s="86"/>
      <c r="CG89" s="86"/>
      <c r="CH89" s="86"/>
      <c r="CI89" s="86"/>
      <c r="CJ89" s="86"/>
      <c r="CK89" s="86"/>
      <c r="CL89" s="86"/>
      <c r="CM89" s="86"/>
      <c r="CN89" s="86"/>
      <c r="CO89" s="86"/>
      <c r="CP89" s="86"/>
      <c r="CQ89" s="86"/>
      <c r="CR89" s="86"/>
      <c r="CS89" s="86"/>
      <c r="CT89" s="86"/>
      <c r="CU89" s="86"/>
      <c r="CV89" s="86"/>
      <c r="CW89" s="86"/>
      <c r="CX89" s="86"/>
      <c r="CY89" s="86"/>
      <c r="CZ89" s="86"/>
      <c r="DA89" s="86"/>
      <c r="DB89" s="86"/>
      <c r="DC89" s="86"/>
      <c r="DD89" s="86"/>
      <c r="DE89" s="86"/>
      <c r="DF89" s="86"/>
      <c r="DG89" s="86"/>
      <c r="DH89" s="86"/>
      <c r="DI89" s="86"/>
      <c r="DJ89" s="86"/>
      <c r="DK89" s="86"/>
      <c r="DL89" s="86"/>
      <c r="DM89" s="86"/>
      <c r="DN89" s="86"/>
      <c r="DO89" s="86"/>
      <c r="DP89" s="86"/>
      <c r="DQ89" s="86"/>
      <c r="DR89" s="86"/>
      <c r="DS89" s="86"/>
      <c r="DT89" s="86"/>
      <c r="DU89" s="86"/>
      <c r="DV89" s="86"/>
      <c r="DW89" s="86"/>
      <c r="DX89" s="86"/>
      <c r="DY89" s="86"/>
      <c r="DZ89" s="86"/>
      <c r="EA89" s="86"/>
      <c r="EB89" s="86"/>
      <c r="EC89" s="86"/>
      <c r="ED89" s="86"/>
      <c r="EE89" s="86"/>
      <c r="EF89" s="86"/>
      <c r="EG89" s="86"/>
      <c r="EH89" s="86"/>
      <c r="EI89" s="86"/>
      <c r="EJ89" s="86"/>
      <c r="EK89" s="86"/>
      <c r="EL89" s="86"/>
      <c r="EM89" s="86"/>
      <c r="EN89" s="86"/>
      <c r="EO89" s="86"/>
      <c r="EP89" s="86"/>
      <c r="EQ89" s="86"/>
      <c r="ER89" s="86"/>
      <c r="ES89" s="86"/>
      <c r="ET89" s="86"/>
      <c r="EU89" s="86"/>
      <c r="EV89" s="86"/>
      <c r="EW89" s="86"/>
      <c r="EX89" s="86"/>
      <c r="EY89" s="86"/>
      <c r="EZ89" s="86"/>
      <c r="FA89" s="86"/>
    </row>
    <row r="90" spans="2:157" ht="10.050000000000001" customHeight="1">
      <c r="C90" s="31"/>
      <c r="D90" s="25"/>
      <c r="E90" s="31"/>
      <c r="F90" s="31"/>
      <c r="G90" s="31"/>
      <c r="H90" s="138"/>
      <c r="J90" s="101"/>
      <c r="K90" s="101"/>
      <c r="L90" s="101"/>
      <c r="Z90" s="86"/>
      <c r="AA90" s="86"/>
      <c r="AB90" s="86"/>
      <c r="AC90" s="86"/>
      <c r="AD90" s="86"/>
      <c r="AE90" s="86"/>
      <c r="AF90" s="86"/>
      <c r="AG90" s="86"/>
      <c r="AH90" s="86"/>
      <c r="AI90" s="86"/>
      <c r="AJ90" s="86"/>
      <c r="AK90" s="86"/>
      <c r="AL90" s="86"/>
      <c r="AM90" s="86"/>
      <c r="AN90" s="86"/>
      <c r="AO90" s="86"/>
      <c r="AP90" s="86"/>
      <c r="AQ90" s="86"/>
      <c r="AR90" s="86"/>
      <c r="AS90" s="86"/>
      <c r="AT90" s="86"/>
      <c r="AU90" s="86"/>
      <c r="AV90" s="86"/>
      <c r="AW90" s="86"/>
      <c r="AX90" s="86"/>
      <c r="AY90" s="86"/>
      <c r="AZ90" s="86"/>
      <c r="BA90" s="86"/>
      <c r="BB90" s="86"/>
      <c r="BC90" s="86"/>
      <c r="BD90" s="86"/>
      <c r="BE90" s="86"/>
      <c r="BF90" s="86"/>
      <c r="BG90" s="86"/>
      <c r="BH90" s="86"/>
      <c r="BI90" s="86"/>
      <c r="BJ90" s="86"/>
      <c r="BK90" s="86"/>
      <c r="BL90" s="86"/>
      <c r="BM90" s="86"/>
      <c r="BN90" s="86"/>
      <c r="BO90" s="86"/>
      <c r="BP90" s="86"/>
      <c r="BQ90" s="86"/>
      <c r="BR90" s="86"/>
      <c r="BS90" s="86"/>
      <c r="BT90" s="86"/>
      <c r="BU90" s="86"/>
      <c r="BV90" s="86"/>
      <c r="BW90" s="86"/>
      <c r="BX90" s="86"/>
      <c r="BY90" s="86"/>
      <c r="BZ90" s="86"/>
      <c r="CA90" s="86"/>
      <c r="CB90" s="86"/>
      <c r="CC90" s="86"/>
      <c r="CD90" s="86"/>
      <c r="CE90" s="86"/>
      <c r="CF90" s="86"/>
      <c r="CG90" s="86"/>
      <c r="CH90" s="86"/>
      <c r="CI90" s="86"/>
      <c r="CJ90" s="86"/>
      <c r="CK90" s="86"/>
      <c r="CL90" s="86"/>
      <c r="CM90" s="86"/>
      <c r="CN90" s="86"/>
      <c r="CO90" s="86"/>
      <c r="CP90" s="86"/>
      <c r="CQ90" s="86"/>
      <c r="CR90" s="86"/>
      <c r="CS90" s="86"/>
      <c r="CT90" s="86"/>
      <c r="CU90" s="86"/>
      <c r="CV90" s="86"/>
      <c r="CW90" s="86"/>
      <c r="CX90" s="86"/>
      <c r="CY90" s="86"/>
      <c r="CZ90" s="86"/>
      <c r="DA90" s="86"/>
      <c r="DB90" s="86"/>
      <c r="DC90" s="86"/>
      <c r="DD90" s="86"/>
      <c r="DE90" s="86"/>
      <c r="DF90" s="86"/>
      <c r="DG90" s="86"/>
      <c r="DH90" s="86"/>
      <c r="DI90" s="86"/>
      <c r="DJ90" s="86"/>
      <c r="DK90" s="86"/>
      <c r="DL90" s="86"/>
      <c r="DM90" s="86"/>
      <c r="DN90" s="86"/>
      <c r="DO90" s="86"/>
      <c r="DP90" s="86"/>
      <c r="DQ90" s="86"/>
      <c r="DR90" s="86"/>
      <c r="DS90" s="86"/>
      <c r="DT90" s="86"/>
      <c r="DU90" s="86"/>
      <c r="DV90" s="86"/>
      <c r="DW90" s="86"/>
      <c r="DX90" s="86"/>
      <c r="DY90" s="86"/>
      <c r="DZ90" s="86"/>
      <c r="EA90" s="86"/>
      <c r="EB90" s="86"/>
      <c r="EC90" s="86"/>
      <c r="ED90" s="86"/>
      <c r="EE90" s="86"/>
      <c r="EF90" s="86"/>
      <c r="EG90" s="86"/>
      <c r="EH90" s="86"/>
      <c r="EI90" s="86"/>
      <c r="EJ90" s="86"/>
      <c r="EK90" s="86"/>
      <c r="EL90" s="86"/>
      <c r="EM90" s="86"/>
      <c r="EN90" s="86"/>
      <c r="EO90" s="86"/>
      <c r="EP90" s="86"/>
      <c r="EQ90" s="86"/>
      <c r="ER90" s="86"/>
      <c r="ES90" s="86"/>
      <c r="ET90" s="86"/>
      <c r="EU90" s="86"/>
      <c r="EV90" s="86"/>
      <c r="EW90" s="86"/>
      <c r="EX90" s="86"/>
      <c r="EY90" s="86"/>
      <c r="EZ90" s="86"/>
      <c r="FA90" s="86"/>
    </row>
    <row r="91" spans="2:157" ht="18" customHeight="1">
      <c r="C91" s="31"/>
      <c r="D91" s="25"/>
      <c r="E91" s="31"/>
      <c r="F91" s="31"/>
      <c r="G91" s="31"/>
      <c r="H91" s="138"/>
      <c r="J91" s="101"/>
      <c r="K91" s="101"/>
      <c r="L91" s="101"/>
      <c r="Z91" s="86"/>
      <c r="AA91" s="86"/>
      <c r="AB91" s="86"/>
      <c r="AC91" s="86"/>
      <c r="AD91" s="86"/>
      <c r="AE91" s="86"/>
      <c r="AF91" s="86"/>
      <c r="AG91" s="86"/>
      <c r="AH91" s="86"/>
      <c r="AI91" s="86"/>
      <c r="AJ91" s="86"/>
      <c r="AK91" s="86"/>
      <c r="AL91" s="86"/>
      <c r="AM91" s="86"/>
      <c r="AN91" s="86"/>
      <c r="AO91" s="86"/>
      <c r="AP91" s="86"/>
      <c r="AQ91" s="86"/>
      <c r="AR91" s="86"/>
      <c r="AS91" s="86"/>
      <c r="AT91" s="86"/>
      <c r="AU91" s="86"/>
      <c r="AV91" s="86"/>
      <c r="AW91" s="86"/>
      <c r="AX91" s="86"/>
      <c r="AY91" s="86"/>
      <c r="AZ91" s="86"/>
      <c r="BA91" s="86"/>
      <c r="BB91" s="86"/>
      <c r="BC91" s="86"/>
      <c r="BD91" s="86"/>
      <c r="BE91" s="86"/>
      <c r="BF91" s="86"/>
      <c r="BG91" s="86"/>
      <c r="BH91" s="86"/>
      <c r="BI91" s="86"/>
      <c r="BJ91" s="86"/>
      <c r="BK91" s="86"/>
      <c r="BL91" s="86"/>
      <c r="BM91" s="86"/>
      <c r="BN91" s="86"/>
      <c r="BO91" s="86"/>
      <c r="BP91" s="86"/>
      <c r="BQ91" s="86"/>
      <c r="BR91" s="86"/>
      <c r="BS91" s="86"/>
      <c r="BT91" s="86"/>
      <c r="BU91" s="86"/>
      <c r="BV91" s="86"/>
      <c r="BW91" s="86"/>
      <c r="BX91" s="86"/>
      <c r="BY91" s="86"/>
      <c r="BZ91" s="86"/>
      <c r="CA91" s="86"/>
      <c r="CB91" s="86"/>
      <c r="CC91" s="86"/>
      <c r="CD91" s="86"/>
      <c r="CE91" s="86"/>
      <c r="CF91" s="86"/>
      <c r="CG91" s="86"/>
      <c r="CH91" s="86"/>
      <c r="CI91" s="86"/>
      <c r="CJ91" s="86"/>
      <c r="CK91" s="86"/>
      <c r="CL91" s="86"/>
      <c r="CM91" s="86"/>
      <c r="CN91" s="86"/>
      <c r="CO91" s="86"/>
      <c r="CP91" s="86"/>
      <c r="CQ91" s="86"/>
      <c r="CR91" s="86"/>
      <c r="CS91" s="86"/>
      <c r="CT91" s="86"/>
      <c r="CU91" s="86"/>
      <c r="CV91" s="86"/>
      <c r="CW91" s="86"/>
      <c r="CX91" s="86"/>
      <c r="CY91" s="86"/>
      <c r="CZ91" s="86"/>
      <c r="DA91" s="86"/>
      <c r="DB91" s="86"/>
      <c r="DC91" s="86"/>
      <c r="DD91" s="86"/>
      <c r="DE91" s="86"/>
      <c r="DF91" s="86"/>
      <c r="DG91" s="86"/>
      <c r="DH91" s="86"/>
      <c r="DI91" s="86"/>
      <c r="DJ91" s="86"/>
      <c r="DK91" s="86"/>
      <c r="DL91" s="86"/>
      <c r="DM91" s="86"/>
      <c r="DN91" s="86"/>
      <c r="DO91" s="86"/>
      <c r="DP91" s="86"/>
      <c r="DQ91" s="86"/>
      <c r="DR91" s="86"/>
      <c r="DS91" s="86"/>
      <c r="DT91" s="86"/>
      <c r="DU91" s="86"/>
      <c r="DV91" s="86"/>
      <c r="DW91" s="86"/>
      <c r="DX91" s="86"/>
      <c r="DY91" s="86"/>
      <c r="DZ91" s="86"/>
      <c r="EA91" s="86"/>
      <c r="EB91" s="86"/>
      <c r="EC91" s="86"/>
      <c r="ED91" s="86"/>
      <c r="EE91" s="86"/>
      <c r="EF91" s="86"/>
      <c r="EG91" s="86"/>
      <c r="EH91" s="86"/>
      <c r="EI91" s="86"/>
      <c r="EJ91" s="86"/>
      <c r="EK91" s="86"/>
      <c r="EL91" s="86"/>
      <c r="EM91" s="86"/>
      <c r="EN91" s="86"/>
      <c r="EO91" s="86"/>
      <c r="EP91" s="86"/>
      <c r="EQ91" s="86"/>
      <c r="ER91" s="86"/>
      <c r="ES91" s="86"/>
      <c r="ET91" s="86"/>
      <c r="EU91" s="86"/>
      <c r="EV91" s="86"/>
      <c r="EW91" s="86"/>
      <c r="EX91" s="86"/>
      <c r="EY91" s="86"/>
      <c r="EZ91" s="86"/>
      <c r="FA91" s="86"/>
    </row>
    <row r="92" spans="2:157" ht="10.050000000000001" customHeight="1">
      <c r="C92" s="31"/>
      <c r="D92" s="25"/>
      <c r="E92" s="31"/>
      <c r="F92" s="31"/>
      <c r="G92" s="31"/>
      <c r="H92" s="138"/>
      <c r="J92" s="101"/>
      <c r="K92" s="101"/>
      <c r="L92" s="101"/>
      <c r="Z92" s="86"/>
      <c r="AA92" s="86"/>
      <c r="AB92" s="86"/>
      <c r="AC92" s="86"/>
      <c r="AD92" s="86"/>
      <c r="AE92" s="86"/>
      <c r="AF92" s="86"/>
      <c r="AG92" s="86"/>
      <c r="AH92" s="86"/>
      <c r="AI92" s="86"/>
      <c r="AJ92" s="86"/>
      <c r="AK92" s="86"/>
      <c r="AL92" s="86"/>
      <c r="AM92" s="86"/>
      <c r="AN92" s="86"/>
      <c r="AO92" s="86"/>
      <c r="AP92" s="86"/>
      <c r="AQ92" s="86"/>
      <c r="AR92" s="86"/>
      <c r="AS92" s="86"/>
      <c r="AT92" s="86"/>
      <c r="AU92" s="86"/>
      <c r="AV92" s="86"/>
      <c r="AW92" s="86"/>
      <c r="AX92" s="86"/>
      <c r="AY92" s="86"/>
      <c r="AZ92" s="86"/>
      <c r="BA92" s="86"/>
      <c r="BB92" s="86"/>
      <c r="BC92" s="86"/>
      <c r="BD92" s="86"/>
      <c r="BE92" s="86"/>
      <c r="BF92" s="86"/>
      <c r="BG92" s="86"/>
      <c r="BH92" s="86"/>
      <c r="BI92" s="86"/>
      <c r="BJ92" s="86"/>
      <c r="BK92" s="86"/>
      <c r="BL92" s="86"/>
      <c r="BM92" s="86"/>
      <c r="BN92" s="86"/>
      <c r="BO92" s="86"/>
      <c r="BP92" s="86"/>
      <c r="BQ92" s="86"/>
      <c r="BR92" s="86"/>
      <c r="BS92" s="86"/>
      <c r="BT92" s="86"/>
      <c r="BU92" s="86"/>
      <c r="BV92" s="86"/>
      <c r="BW92" s="86"/>
      <c r="BX92" s="86"/>
      <c r="BY92" s="86"/>
      <c r="BZ92" s="86"/>
      <c r="CA92" s="86"/>
      <c r="CB92" s="86"/>
      <c r="CC92" s="86"/>
      <c r="CD92" s="86"/>
      <c r="CE92" s="86"/>
      <c r="CF92" s="86"/>
      <c r="CG92" s="86"/>
      <c r="CH92" s="86"/>
      <c r="CI92" s="86"/>
      <c r="CJ92" s="86"/>
      <c r="CK92" s="86"/>
      <c r="CL92" s="86"/>
      <c r="CM92" s="86"/>
      <c r="CN92" s="86"/>
      <c r="CO92" s="86"/>
      <c r="CP92" s="86"/>
      <c r="CQ92" s="86"/>
      <c r="CR92" s="86"/>
      <c r="CS92" s="86"/>
      <c r="CT92" s="86"/>
      <c r="CU92" s="86"/>
      <c r="CV92" s="86"/>
      <c r="CW92" s="86"/>
      <c r="CX92" s="86"/>
      <c r="CY92" s="86"/>
      <c r="CZ92" s="86"/>
      <c r="DA92" s="86"/>
      <c r="DB92" s="86"/>
      <c r="DC92" s="86"/>
      <c r="DD92" s="86"/>
      <c r="DE92" s="86"/>
      <c r="DF92" s="86"/>
      <c r="DG92" s="86"/>
      <c r="DH92" s="86"/>
      <c r="DI92" s="86"/>
      <c r="DJ92" s="86"/>
      <c r="DK92" s="86"/>
      <c r="DL92" s="86"/>
      <c r="DM92" s="86"/>
      <c r="DN92" s="86"/>
      <c r="DO92" s="86"/>
      <c r="DP92" s="86"/>
      <c r="DQ92" s="86"/>
      <c r="DR92" s="86"/>
      <c r="DS92" s="86"/>
      <c r="DT92" s="86"/>
      <c r="DU92" s="86"/>
      <c r="DV92" s="86"/>
      <c r="DW92" s="86"/>
      <c r="DX92" s="86"/>
      <c r="DY92" s="86"/>
      <c r="DZ92" s="86"/>
      <c r="EA92" s="86"/>
      <c r="EB92" s="86"/>
      <c r="EC92" s="86"/>
      <c r="ED92" s="86"/>
      <c r="EE92" s="86"/>
      <c r="EF92" s="86"/>
      <c r="EG92" s="86"/>
      <c r="EH92" s="86"/>
      <c r="EI92" s="86"/>
      <c r="EJ92" s="86"/>
      <c r="EK92" s="86"/>
      <c r="EL92" s="86"/>
      <c r="EM92" s="86"/>
      <c r="EN92" s="86"/>
      <c r="EO92" s="86"/>
      <c r="EP92" s="86"/>
      <c r="EQ92" s="86"/>
      <c r="ER92" s="86"/>
      <c r="ES92" s="86"/>
      <c r="ET92" s="86"/>
      <c r="EU92" s="86"/>
      <c r="EV92" s="86"/>
      <c r="EW92" s="86"/>
      <c r="EX92" s="86"/>
      <c r="EY92" s="86"/>
      <c r="EZ92" s="86"/>
      <c r="FA92" s="86"/>
    </row>
    <row r="93" spans="2:157" ht="10.050000000000001" customHeight="1">
      <c r="B93" s="31"/>
      <c r="C93" s="31"/>
      <c r="D93" s="31"/>
      <c r="E93" s="31"/>
      <c r="F93" s="31"/>
      <c r="G93" s="31"/>
      <c r="H93" s="31"/>
      <c r="J93" s="101"/>
      <c r="K93" s="101"/>
      <c r="L93" s="101"/>
      <c r="Z93" s="86"/>
      <c r="AA93" s="86"/>
      <c r="AB93" s="86"/>
      <c r="AC93" s="86"/>
      <c r="AD93" s="86"/>
      <c r="AE93" s="86"/>
      <c r="AF93" s="86"/>
      <c r="AG93" s="86"/>
      <c r="AH93" s="86"/>
      <c r="AI93" s="86"/>
      <c r="AJ93" s="86"/>
      <c r="AK93" s="86"/>
      <c r="AL93" s="86"/>
      <c r="AM93" s="86"/>
      <c r="AN93" s="86"/>
      <c r="AO93" s="86"/>
      <c r="AP93" s="86"/>
      <c r="AQ93" s="86"/>
      <c r="AR93" s="86"/>
      <c r="AS93" s="86"/>
      <c r="AT93" s="86"/>
      <c r="AU93" s="86"/>
      <c r="AV93" s="86"/>
      <c r="AW93" s="86"/>
      <c r="AX93" s="86"/>
      <c r="AY93" s="86"/>
      <c r="AZ93" s="86"/>
      <c r="BA93" s="86"/>
      <c r="BB93" s="86"/>
      <c r="BC93" s="86"/>
      <c r="BD93" s="86"/>
      <c r="BE93" s="86"/>
      <c r="BF93" s="86"/>
      <c r="BG93" s="86"/>
      <c r="BH93" s="86"/>
      <c r="BI93" s="86"/>
      <c r="BJ93" s="86"/>
      <c r="BK93" s="86"/>
      <c r="BL93" s="86"/>
      <c r="BM93" s="86"/>
      <c r="BN93" s="86"/>
      <c r="BO93" s="86"/>
      <c r="BP93" s="86"/>
      <c r="BQ93" s="86"/>
      <c r="BR93" s="86"/>
      <c r="BS93" s="86"/>
      <c r="BT93" s="86"/>
      <c r="BU93" s="86"/>
      <c r="BV93" s="86"/>
      <c r="BW93" s="86"/>
      <c r="BX93" s="86"/>
      <c r="BY93" s="86"/>
      <c r="BZ93" s="86"/>
      <c r="CA93" s="86"/>
      <c r="CB93" s="86"/>
      <c r="CC93" s="86"/>
      <c r="CD93" s="86"/>
      <c r="CE93" s="86"/>
      <c r="CF93" s="86"/>
      <c r="CG93" s="86"/>
      <c r="CH93" s="86"/>
      <c r="CI93" s="86"/>
      <c r="CJ93" s="86"/>
      <c r="CK93" s="86"/>
      <c r="CL93" s="86"/>
      <c r="CM93" s="86"/>
      <c r="CN93" s="86"/>
      <c r="CO93" s="86"/>
      <c r="CP93" s="86"/>
      <c r="CQ93" s="86"/>
      <c r="CR93" s="86"/>
      <c r="CS93" s="86"/>
      <c r="CT93" s="86"/>
      <c r="CU93" s="86"/>
      <c r="CV93" s="86"/>
      <c r="CW93" s="86"/>
      <c r="CX93" s="86"/>
      <c r="CY93" s="86"/>
      <c r="CZ93" s="86"/>
      <c r="DA93" s="86"/>
      <c r="DB93" s="86"/>
      <c r="DC93" s="86"/>
      <c r="DD93" s="86"/>
      <c r="DE93" s="86"/>
      <c r="DF93" s="86"/>
      <c r="DG93" s="86"/>
      <c r="DH93" s="86"/>
      <c r="DI93" s="86"/>
      <c r="DJ93" s="86"/>
      <c r="DK93" s="86"/>
      <c r="DL93" s="86"/>
      <c r="DM93" s="86"/>
      <c r="DN93" s="86"/>
      <c r="DO93" s="86"/>
      <c r="DP93" s="86"/>
      <c r="DQ93" s="86"/>
      <c r="DR93" s="86"/>
      <c r="DS93" s="86"/>
      <c r="DT93" s="86"/>
      <c r="DU93" s="86"/>
      <c r="DV93" s="86"/>
      <c r="DW93" s="86"/>
      <c r="DX93" s="86"/>
      <c r="DY93" s="86"/>
      <c r="DZ93" s="86"/>
      <c r="EA93" s="86"/>
      <c r="EB93" s="86"/>
      <c r="EC93" s="86"/>
      <c r="ED93" s="86"/>
      <c r="EE93" s="86"/>
      <c r="EF93" s="86"/>
      <c r="EG93" s="86"/>
      <c r="EH93" s="86"/>
      <c r="EI93" s="86"/>
      <c r="EJ93" s="86"/>
      <c r="EK93" s="86"/>
      <c r="EL93" s="86"/>
      <c r="EM93" s="86"/>
      <c r="EN93" s="86"/>
      <c r="EO93" s="86"/>
      <c r="EP93" s="86"/>
      <c r="EQ93" s="86"/>
      <c r="ER93" s="86"/>
      <c r="ES93" s="86"/>
      <c r="ET93" s="86"/>
      <c r="EU93" s="86"/>
      <c r="EV93" s="86"/>
      <c r="EW93" s="86"/>
      <c r="EX93" s="86"/>
      <c r="EY93" s="86"/>
      <c r="EZ93" s="86"/>
      <c r="FA93" s="86"/>
    </row>
    <row r="94" spans="2:157" ht="10.95" customHeight="1">
      <c r="B94" s="1347" t="s">
        <v>510</v>
      </c>
      <c r="C94" s="1348"/>
      <c r="D94" s="1345"/>
      <c r="E94" s="1346"/>
      <c r="F94" s="842"/>
      <c r="G94" s="837" t="s">
        <v>4</v>
      </c>
      <c r="H94" s="856"/>
      <c r="J94" s="101"/>
      <c r="K94" s="101"/>
      <c r="L94" s="101"/>
      <c r="Z94" s="86"/>
      <c r="AA94" s="86"/>
      <c r="AB94" s="86"/>
      <c r="AC94" s="86"/>
      <c r="AD94" s="86"/>
      <c r="AE94" s="86"/>
      <c r="AF94" s="86"/>
      <c r="AG94" s="86"/>
      <c r="AH94" s="86"/>
      <c r="AI94" s="86"/>
      <c r="AJ94" s="86"/>
      <c r="AK94" s="86"/>
      <c r="AL94" s="86"/>
      <c r="AM94" s="86"/>
      <c r="AN94" s="86"/>
      <c r="AO94" s="86"/>
      <c r="AP94" s="86"/>
      <c r="AQ94" s="86"/>
      <c r="AR94" s="86"/>
      <c r="AS94" s="86"/>
      <c r="AT94" s="86"/>
      <c r="AU94" s="86"/>
      <c r="AV94" s="86"/>
      <c r="AW94" s="86"/>
      <c r="AX94" s="86"/>
      <c r="AY94" s="86"/>
      <c r="AZ94" s="86"/>
      <c r="BA94" s="86"/>
      <c r="BB94" s="86"/>
      <c r="BC94" s="86"/>
      <c r="BD94" s="86"/>
      <c r="BE94" s="86"/>
      <c r="BF94" s="86"/>
      <c r="BG94" s="86"/>
      <c r="BH94" s="86"/>
      <c r="BI94" s="86"/>
      <c r="BJ94" s="86"/>
      <c r="BK94" s="86"/>
      <c r="BL94" s="86"/>
      <c r="BM94" s="86"/>
      <c r="BN94" s="86"/>
      <c r="BO94" s="86"/>
      <c r="BP94" s="86"/>
      <c r="BQ94" s="86"/>
      <c r="BR94" s="86"/>
      <c r="BS94" s="86"/>
      <c r="BT94" s="86"/>
      <c r="BU94" s="86"/>
      <c r="BV94" s="86"/>
      <c r="BW94" s="86"/>
      <c r="BX94" s="86"/>
      <c r="BY94" s="86"/>
      <c r="BZ94" s="86"/>
      <c r="CA94" s="86"/>
      <c r="CB94" s="86"/>
      <c r="CC94" s="86"/>
      <c r="CD94" s="86"/>
      <c r="CE94" s="86"/>
      <c r="CF94" s="86"/>
      <c r="CG94" s="86"/>
      <c r="CH94" s="86"/>
      <c r="CI94" s="86"/>
      <c r="CJ94" s="86"/>
      <c r="CK94" s="86"/>
      <c r="CL94" s="86"/>
      <c r="CM94" s="86"/>
      <c r="CN94" s="86"/>
      <c r="CO94" s="86"/>
      <c r="CP94" s="86"/>
      <c r="CQ94" s="86"/>
      <c r="CR94" s="86"/>
      <c r="CS94" s="86"/>
      <c r="CT94" s="86"/>
      <c r="CU94" s="86"/>
      <c r="CV94" s="86"/>
      <c r="CW94" s="86"/>
      <c r="CX94" s="86"/>
      <c r="CY94" s="86"/>
      <c r="CZ94" s="86"/>
      <c r="DA94" s="86"/>
      <c r="DB94" s="86"/>
      <c r="DC94" s="86"/>
      <c r="DD94" s="86"/>
      <c r="DE94" s="86"/>
      <c r="DF94" s="86"/>
      <c r="DG94" s="86"/>
      <c r="DH94" s="86"/>
      <c r="DI94" s="86"/>
      <c r="DJ94" s="86"/>
      <c r="DK94" s="86"/>
      <c r="DL94" s="86"/>
      <c r="DM94" s="86"/>
      <c r="DN94" s="86"/>
      <c r="DO94" s="86"/>
      <c r="DP94" s="86"/>
      <c r="DQ94" s="86"/>
      <c r="DR94" s="86"/>
      <c r="DS94" s="86"/>
      <c r="DT94" s="86"/>
      <c r="DU94" s="86"/>
      <c r="DV94" s="86"/>
      <c r="DW94" s="86"/>
      <c r="DX94" s="86"/>
      <c r="DY94" s="86"/>
      <c r="DZ94" s="86"/>
      <c r="EA94" s="86"/>
      <c r="EB94" s="86"/>
      <c r="EC94" s="86"/>
      <c r="ED94" s="86"/>
      <c r="EE94" s="86"/>
      <c r="EF94" s="86"/>
      <c r="EG94" s="86"/>
      <c r="EH94" s="86"/>
      <c r="EI94" s="86"/>
      <c r="EJ94" s="86"/>
      <c r="EK94" s="86"/>
      <c r="EL94" s="86"/>
      <c r="EM94" s="86"/>
      <c r="EN94" s="86"/>
      <c r="EO94" s="86"/>
      <c r="EP94" s="86"/>
      <c r="EQ94" s="86"/>
      <c r="ER94" s="86"/>
      <c r="ES94" s="86"/>
      <c r="ET94" s="86"/>
      <c r="EU94" s="86"/>
      <c r="EV94" s="86"/>
      <c r="EW94" s="86"/>
      <c r="EX94" s="86"/>
      <c r="EY94" s="86"/>
      <c r="EZ94" s="86"/>
      <c r="FA94" s="86"/>
    </row>
    <row r="95" spans="2:157" ht="10.95" customHeight="1">
      <c r="B95" s="1347" t="s">
        <v>582</v>
      </c>
      <c r="C95" s="1349"/>
      <c r="D95" s="1345"/>
      <c r="E95" s="1346"/>
      <c r="F95" s="839"/>
      <c r="G95" s="853" t="s">
        <v>345</v>
      </c>
      <c r="H95" s="854">
        <f>ROUND(1/(SUM(H98:H108)),2)</f>
        <v>5.88</v>
      </c>
      <c r="J95" s="101"/>
      <c r="K95" s="101"/>
      <c r="L95" s="101"/>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86"/>
      <c r="BU95" s="86"/>
      <c r="BV95" s="86"/>
      <c r="BW95" s="86"/>
      <c r="BX95" s="86"/>
      <c r="BY95" s="86"/>
      <c r="BZ95" s="86"/>
      <c r="CA95" s="86"/>
      <c r="CB95" s="86"/>
      <c r="CC95" s="86"/>
      <c r="CD95" s="86"/>
      <c r="CE95" s="86"/>
      <c r="CF95" s="86"/>
      <c r="CG95" s="86"/>
      <c r="CH95" s="86"/>
      <c r="CI95" s="86"/>
      <c r="CJ95" s="86"/>
      <c r="CK95" s="86"/>
      <c r="CL95" s="86"/>
      <c r="CM95" s="86"/>
      <c r="CN95" s="86"/>
      <c r="CO95" s="86"/>
      <c r="CP95" s="86"/>
      <c r="CQ95" s="86"/>
      <c r="CR95" s="86"/>
      <c r="CS95" s="86"/>
      <c r="CT95" s="86"/>
      <c r="CU95" s="86"/>
      <c r="CV95" s="86"/>
      <c r="CW95" s="86"/>
      <c r="CX95" s="86"/>
      <c r="CY95" s="86"/>
      <c r="CZ95" s="86"/>
      <c r="DA95" s="86"/>
      <c r="DB95" s="86"/>
      <c r="DC95" s="86"/>
      <c r="DD95" s="86"/>
      <c r="DE95" s="86"/>
      <c r="DF95" s="86"/>
      <c r="DG95" s="86"/>
      <c r="DH95" s="86"/>
      <c r="DI95" s="86"/>
      <c r="DJ95" s="86"/>
      <c r="DK95" s="86"/>
      <c r="DL95" s="86"/>
      <c r="DM95" s="86"/>
      <c r="DN95" s="86"/>
      <c r="DO95" s="86"/>
      <c r="DP95" s="86"/>
      <c r="DQ95" s="86"/>
      <c r="DR95" s="86"/>
      <c r="DS95" s="86"/>
      <c r="DT95" s="86"/>
      <c r="DU95" s="86"/>
      <c r="DV95" s="86"/>
      <c r="DW95" s="86"/>
      <c r="DX95" s="86"/>
      <c r="DY95" s="86"/>
      <c r="DZ95" s="86"/>
      <c r="EA95" s="86"/>
      <c r="EB95" s="86"/>
      <c r="EC95" s="86"/>
      <c r="ED95" s="86"/>
      <c r="EE95" s="86"/>
      <c r="EF95" s="86"/>
      <c r="EG95" s="86"/>
      <c r="EH95" s="86"/>
      <c r="EI95" s="86"/>
      <c r="EJ95" s="86"/>
      <c r="EK95" s="86"/>
      <c r="EL95" s="86"/>
      <c r="EM95" s="86"/>
      <c r="EN95" s="86"/>
      <c r="EO95" s="86"/>
      <c r="EP95" s="86"/>
      <c r="EQ95" s="86"/>
      <c r="ER95" s="86"/>
      <c r="ES95" s="86"/>
      <c r="ET95" s="86"/>
      <c r="EU95" s="86"/>
      <c r="EV95" s="86"/>
      <c r="EW95" s="86"/>
      <c r="EX95" s="86"/>
      <c r="EY95" s="86"/>
      <c r="EZ95" s="86"/>
      <c r="FA95" s="86"/>
    </row>
    <row r="96" spans="2:157" ht="9.75" customHeight="1">
      <c r="B96" s="839"/>
      <c r="C96" s="839"/>
      <c r="D96" s="844"/>
      <c r="E96" s="839"/>
      <c r="F96" s="839"/>
      <c r="G96" s="852"/>
      <c r="H96" s="850"/>
      <c r="J96" s="101"/>
      <c r="K96" s="101"/>
      <c r="L96" s="101"/>
      <c r="Z96" s="86"/>
      <c r="AA96" s="86"/>
      <c r="AB96" s="86"/>
      <c r="AC96" s="86"/>
      <c r="AD96" s="86"/>
      <c r="AE96" s="86"/>
      <c r="AF96" s="86"/>
      <c r="AG96" s="86"/>
      <c r="AH96" s="86"/>
      <c r="AI96" s="86"/>
      <c r="AJ96" s="86"/>
      <c r="AK96" s="86"/>
      <c r="AL96" s="86"/>
      <c r="AM96" s="86"/>
      <c r="AN96" s="86"/>
      <c r="AO96" s="86"/>
      <c r="AP96" s="86"/>
      <c r="AQ96" s="86"/>
      <c r="AR96" s="86"/>
      <c r="AS96" s="86"/>
      <c r="AT96" s="86"/>
      <c r="AU96" s="86"/>
      <c r="AV96" s="86"/>
      <c r="AW96" s="86"/>
      <c r="AX96" s="86"/>
      <c r="AY96" s="86"/>
      <c r="AZ96" s="86"/>
      <c r="BA96" s="86"/>
      <c r="BB96" s="86"/>
      <c r="BC96" s="86"/>
      <c r="BD96" s="86"/>
      <c r="BE96" s="86"/>
      <c r="BF96" s="86"/>
      <c r="BG96" s="86"/>
      <c r="BH96" s="86"/>
      <c r="BI96" s="86"/>
      <c r="BJ96" s="86"/>
      <c r="BK96" s="86"/>
      <c r="BL96" s="86"/>
      <c r="BM96" s="86"/>
      <c r="BN96" s="86"/>
      <c r="BO96" s="86"/>
      <c r="BP96" s="86"/>
      <c r="BQ96" s="86"/>
      <c r="BR96" s="86"/>
      <c r="BS96" s="86"/>
      <c r="BT96" s="86"/>
      <c r="BU96" s="86"/>
      <c r="BV96" s="86"/>
      <c r="BW96" s="86"/>
      <c r="BX96" s="86"/>
      <c r="BY96" s="86"/>
      <c r="BZ96" s="86"/>
      <c r="CA96" s="86"/>
      <c r="CB96" s="86"/>
      <c r="CC96" s="86"/>
      <c r="CD96" s="86"/>
      <c r="CE96" s="86"/>
      <c r="CF96" s="86"/>
      <c r="CG96" s="86"/>
      <c r="CH96" s="86"/>
      <c r="CI96" s="86"/>
      <c r="CJ96" s="86"/>
      <c r="CK96" s="86"/>
      <c r="CL96" s="86"/>
      <c r="CM96" s="86"/>
      <c r="CN96" s="86"/>
      <c r="CO96" s="86"/>
      <c r="CP96" s="86"/>
      <c r="CQ96" s="86"/>
      <c r="CR96" s="86"/>
      <c r="CS96" s="86"/>
      <c r="CT96" s="86"/>
      <c r="CU96" s="86"/>
      <c r="CV96" s="86"/>
      <c r="CW96" s="86"/>
      <c r="CX96" s="86"/>
      <c r="CY96" s="86"/>
      <c r="CZ96" s="86"/>
      <c r="DA96" s="86"/>
      <c r="DB96" s="86"/>
      <c r="DC96" s="86"/>
      <c r="DD96" s="86"/>
      <c r="DE96" s="86"/>
      <c r="DF96" s="86"/>
      <c r="DG96" s="86"/>
      <c r="DH96" s="86"/>
      <c r="DI96" s="86"/>
      <c r="DJ96" s="86"/>
      <c r="DK96" s="86"/>
      <c r="DL96" s="86"/>
      <c r="DM96" s="86"/>
      <c r="DN96" s="86"/>
      <c r="DO96" s="86"/>
      <c r="DP96" s="86"/>
      <c r="DQ96" s="86"/>
      <c r="DR96" s="86"/>
      <c r="DS96" s="86"/>
      <c r="DT96" s="86"/>
      <c r="DU96" s="86"/>
      <c r="DV96" s="86"/>
      <c r="DW96" s="86"/>
      <c r="DX96" s="86"/>
      <c r="DY96" s="86"/>
      <c r="DZ96" s="86"/>
      <c r="EA96" s="86"/>
      <c r="EB96" s="86"/>
      <c r="EC96" s="86"/>
      <c r="ED96" s="86"/>
      <c r="EE96" s="86"/>
      <c r="EF96" s="86"/>
      <c r="EG96" s="86"/>
      <c r="EH96" s="86"/>
      <c r="EI96" s="86"/>
      <c r="EJ96" s="86"/>
      <c r="EK96" s="86"/>
      <c r="EL96" s="86"/>
      <c r="EM96" s="86"/>
      <c r="EN96" s="86"/>
      <c r="EO96" s="86"/>
      <c r="EP96" s="86"/>
      <c r="EQ96" s="86"/>
      <c r="ER96" s="86"/>
      <c r="ES96" s="86"/>
      <c r="ET96" s="86"/>
      <c r="EU96" s="86"/>
      <c r="EV96" s="86"/>
      <c r="EW96" s="86"/>
      <c r="EX96" s="86"/>
      <c r="EY96" s="86"/>
      <c r="EZ96" s="86"/>
      <c r="FA96" s="86"/>
    </row>
    <row r="97" spans="2:157" ht="9.75" customHeight="1">
      <c r="B97" s="844" t="s">
        <v>349</v>
      </c>
      <c r="C97" s="1352" t="s">
        <v>344</v>
      </c>
      <c r="D97" s="1352"/>
      <c r="E97" s="87"/>
      <c r="F97" s="846" t="s">
        <v>170</v>
      </c>
      <c r="G97" s="847" t="s">
        <v>361</v>
      </c>
      <c r="H97" s="846" t="s">
        <v>281</v>
      </c>
      <c r="J97" s="101"/>
      <c r="K97" s="101"/>
      <c r="L97" s="101"/>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86"/>
      <c r="AX97" s="86"/>
      <c r="AY97" s="86"/>
      <c r="AZ97" s="86"/>
      <c r="BA97" s="86"/>
      <c r="BB97" s="86"/>
      <c r="BC97" s="86"/>
      <c r="BD97" s="86"/>
      <c r="BE97" s="86"/>
      <c r="BF97" s="86"/>
      <c r="BG97" s="86"/>
      <c r="BH97" s="86"/>
      <c r="BI97" s="86"/>
      <c r="BJ97" s="86"/>
      <c r="BK97" s="86"/>
      <c r="BL97" s="86"/>
      <c r="BM97" s="86"/>
      <c r="BN97" s="86"/>
      <c r="BO97" s="86"/>
      <c r="BP97" s="86"/>
      <c r="BQ97" s="86"/>
      <c r="BR97" s="86"/>
      <c r="BS97" s="86"/>
      <c r="BT97" s="86"/>
      <c r="BU97" s="86"/>
      <c r="BV97" s="86"/>
      <c r="BW97" s="86"/>
      <c r="BX97" s="86"/>
      <c r="BY97" s="86"/>
      <c r="BZ97" s="86"/>
      <c r="CA97" s="86"/>
      <c r="CB97" s="86"/>
      <c r="CC97" s="86"/>
      <c r="CD97" s="86"/>
      <c r="CE97" s="86"/>
      <c r="CF97" s="86"/>
      <c r="CG97" s="86"/>
      <c r="CH97" s="86"/>
      <c r="CI97" s="86"/>
      <c r="CJ97" s="86"/>
      <c r="CK97" s="86"/>
      <c r="CL97" s="86"/>
      <c r="CM97" s="86"/>
      <c r="CN97" s="86"/>
      <c r="CO97" s="86"/>
      <c r="CP97" s="86"/>
      <c r="CQ97" s="86"/>
      <c r="CR97" s="86"/>
      <c r="CS97" s="86"/>
      <c r="CT97" s="86"/>
      <c r="CU97" s="86"/>
      <c r="CV97" s="86"/>
      <c r="CW97" s="86"/>
      <c r="CX97" s="86"/>
      <c r="CY97" s="86"/>
      <c r="CZ97" s="86"/>
      <c r="DA97" s="86"/>
      <c r="DB97" s="86"/>
      <c r="DC97" s="86"/>
      <c r="DD97" s="86"/>
      <c r="DE97" s="86"/>
      <c r="DF97" s="86"/>
      <c r="DG97" s="86"/>
      <c r="DH97" s="86"/>
      <c r="DI97" s="86"/>
      <c r="DJ97" s="86"/>
      <c r="DK97" s="86"/>
      <c r="DL97" s="86"/>
      <c r="DM97" s="86"/>
      <c r="DN97" s="86"/>
      <c r="DO97" s="86"/>
      <c r="DP97" s="86"/>
      <c r="DQ97" s="86"/>
      <c r="DR97" s="86"/>
      <c r="DS97" s="86"/>
      <c r="DT97" s="86"/>
      <c r="DU97" s="86"/>
      <c r="DV97" s="86"/>
      <c r="DW97" s="86"/>
      <c r="DX97" s="86"/>
      <c r="DY97" s="86"/>
      <c r="DZ97" s="86"/>
      <c r="EA97" s="86"/>
      <c r="EB97" s="86"/>
      <c r="EC97" s="86"/>
      <c r="ED97" s="86"/>
      <c r="EE97" s="86"/>
      <c r="EF97" s="86"/>
      <c r="EG97" s="86"/>
      <c r="EH97" s="86"/>
      <c r="EI97" s="86"/>
      <c r="EJ97" s="86"/>
      <c r="EK97" s="86"/>
      <c r="EL97" s="86"/>
      <c r="EM97" s="86"/>
      <c r="EN97" s="86"/>
      <c r="EO97" s="86"/>
      <c r="EP97" s="86"/>
      <c r="EQ97" s="86"/>
      <c r="ER97" s="86"/>
      <c r="ES97" s="86"/>
      <c r="ET97" s="86"/>
      <c r="EU97" s="86"/>
      <c r="EV97" s="86"/>
      <c r="EW97" s="86"/>
      <c r="EX97" s="86"/>
      <c r="EY97" s="86"/>
      <c r="EZ97" s="86"/>
      <c r="FA97" s="86"/>
    </row>
    <row r="98" spans="2:157" ht="10.050000000000001" customHeight="1">
      <c r="B98" s="845" t="s">
        <v>546</v>
      </c>
      <c r="C98" s="1350" t="s">
        <v>106</v>
      </c>
      <c r="D98" s="1350"/>
      <c r="E98" s="87"/>
      <c r="F98" s="848" t="s">
        <v>546</v>
      </c>
      <c r="G98" s="848" t="s">
        <v>546</v>
      </c>
      <c r="H98" s="1016">
        <v>0.13</v>
      </c>
      <c r="J98" s="101"/>
      <c r="K98" s="101"/>
      <c r="L98" s="101"/>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86"/>
      <c r="BU98" s="86"/>
      <c r="BV98" s="86"/>
      <c r="BW98" s="86"/>
      <c r="BX98" s="86"/>
      <c r="BY98" s="86"/>
      <c r="BZ98" s="86"/>
      <c r="CA98" s="86"/>
      <c r="CB98" s="86"/>
      <c r="CC98" s="86"/>
      <c r="CD98" s="86"/>
      <c r="CE98" s="86"/>
      <c r="CF98" s="86"/>
      <c r="CG98" s="86"/>
      <c r="CH98" s="86"/>
      <c r="CI98" s="86"/>
      <c r="CJ98" s="86"/>
      <c r="CK98" s="86"/>
      <c r="CL98" s="86"/>
      <c r="CM98" s="86"/>
      <c r="CN98" s="86"/>
      <c r="CO98" s="86"/>
      <c r="CP98" s="86"/>
      <c r="CQ98" s="86"/>
      <c r="CR98" s="86"/>
      <c r="CS98" s="86"/>
      <c r="CT98" s="86"/>
      <c r="CU98" s="86"/>
      <c r="CV98" s="86"/>
      <c r="CW98" s="86"/>
      <c r="CX98" s="86"/>
      <c r="CY98" s="86"/>
      <c r="CZ98" s="86"/>
      <c r="DA98" s="86"/>
      <c r="DB98" s="86"/>
      <c r="DC98" s="86"/>
      <c r="DD98" s="86"/>
      <c r="DE98" s="86"/>
      <c r="DF98" s="86"/>
      <c r="DG98" s="86"/>
      <c r="DH98" s="86"/>
      <c r="DI98" s="86"/>
      <c r="DJ98" s="86"/>
      <c r="DK98" s="86"/>
      <c r="DL98" s="86"/>
      <c r="DM98" s="86"/>
      <c r="DN98" s="86"/>
      <c r="DO98" s="86"/>
      <c r="DP98" s="86"/>
      <c r="DQ98" s="86"/>
      <c r="DR98" s="86"/>
      <c r="DS98" s="86"/>
      <c r="DT98" s="86"/>
      <c r="DU98" s="86"/>
      <c r="DV98" s="86"/>
      <c r="DW98" s="86"/>
      <c r="DX98" s="86"/>
      <c r="DY98" s="86"/>
      <c r="DZ98" s="86"/>
      <c r="EA98" s="86"/>
      <c r="EB98" s="86"/>
      <c r="EC98" s="86"/>
      <c r="ED98" s="86"/>
      <c r="EE98" s="86"/>
      <c r="EF98" s="86"/>
      <c r="EG98" s="86"/>
      <c r="EH98" s="86"/>
      <c r="EI98" s="86"/>
      <c r="EJ98" s="86"/>
      <c r="EK98" s="86"/>
      <c r="EL98" s="86"/>
      <c r="EM98" s="86"/>
      <c r="EN98" s="86"/>
      <c r="EO98" s="86"/>
      <c r="EP98" s="86"/>
      <c r="EQ98" s="86"/>
      <c r="ER98" s="86"/>
      <c r="ES98" s="86"/>
      <c r="ET98" s="86"/>
      <c r="EU98" s="86"/>
      <c r="EV98" s="86"/>
      <c r="EW98" s="86"/>
      <c r="EX98" s="86"/>
      <c r="EY98" s="86"/>
      <c r="EZ98" s="86"/>
      <c r="FA98" s="86"/>
    </row>
    <row r="99" spans="2:157" ht="9.75" customHeight="1">
      <c r="B99" s="845">
        <v>1</v>
      </c>
      <c r="C99" s="1344"/>
      <c r="D99" s="1344"/>
      <c r="E99" s="1344"/>
      <c r="F99" s="857"/>
      <c r="G99" s="857"/>
      <c r="H99" s="875" t="str">
        <f t="shared" ref="H99:H107" si="4">IF(G99=0,"",(F99/(G99+0.00000000001)))</f>
        <v/>
      </c>
      <c r="J99" s="101"/>
      <c r="K99" s="101"/>
      <c r="L99" s="101"/>
      <c r="Z99" s="86"/>
      <c r="AA99" s="86"/>
      <c r="AB99" s="86"/>
      <c r="AC99" s="86"/>
      <c r="AD99" s="86"/>
      <c r="AE99" s="86"/>
      <c r="AF99" s="86"/>
      <c r="AG99" s="86"/>
      <c r="AH99" s="86"/>
      <c r="AI99" s="86"/>
      <c r="AJ99" s="86"/>
      <c r="AK99" s="86"/>
      <c r="AL99" s="86"/>
      <c r="AM99" s="86"/>
      <c r="AN99" s="86"/>
      <c r="AO99" s="86"/>
      <c r="AP99" s="86"/>
      <c r="AQ99" s="86"/>
      <c r="AR99" s="86"/>
      <c r="AS99" s="86"/>
      <c r="AT99" s="86"/>
      <c r="AU99" s="86"/>
      <c r="AV99" s="86"/>
      <c r="AW99" s="86"/>
      <c r="AX99" s="86"/>
      <c r="AY99" s="86"/>
      <c r="AZ99" s="86"/>
      <c r="BA99" s="86"/>
      <c r="BB99" s="86"/>
      <c r="BC99" s="86"/>
      <c r="BD99" s="86"/>
      <c r="BE99" s="86"/>
      <c r="BF99" s="86"/>
      <c r="BG99" s="86"/>
      <c r="BH99" s="86"/>
      <c r="BI99" s="86"/>
      <c r="BJ99" s="86"/>
      <c r="BK99" s="86"/>
      <c r="BL99" s="86"/>
      <c r="BM99" s="86"/>
      <c r="BN99" s="86"/>
      <c r="BO99" s="86"/>
      <c r="BP99" s="86"/>
      <c r="BQ99" s="86"/>
      <c r="BR99" s="86"/>
      <c r="BS99" s="86"/>
      <c r="BT99" s="86"/>
      <c r="BU99" s="86"/>
      <c r="BV99" s="86"/>
      <c r="BW99" s="86"/>
      <c r="BX99" s="86"/>
      <c r="BY99" s="86"/>
      <c r="BZ99" s="86"/>
      <c r="CA99" s="86"/>
      <c r="CB99" s="86"/>
      <c r="CC99" s="86"/>
      <c r="CD99" s="86"/>
      <c r="CE99" s="86"/>
      <c r="CF99" s="86"/>
      <c r="CG99" s="86"/>
      <c r="CH99" s="86"/>
      <c r="CI99" s="86"/>
      <c r="CJ99" s="86"/>
      <c r="CK99" s="86"/>
      <c r="CL99" s="86"/>
      <c r="CM99" s="86"/>
      <c r="CN99" s="86"/>
      <c r="CO99" s="86"/>
      <c r="CP99" s="86"/>
      <c r="CQ99" s="86"/>
      <c r="CR99" s="86"/>
      <c r="CS99" s="86"/>
      <c r="CT99" s="86"/>
      <c r="CU99" s="86"/>
      <c r="CV99" s="86"/>
      <c r="CW99" s="86"/>
      <c r="CX99" s="86"/>
      <c r="CY99" s="86"/>
      <c r="CZ99" s="86"/>
      <c r="DA99" s="86"/>
      <c r="DB99" s="86"/>
      <c r="DC99" s="86"/>
      <c r="DD99" s="86"/>
      <c r="DE99" s="86"/>
      <c r="DF99" s="86"/>
      <c r="DG99" s="86"/>
      <c r="DH99" s="86"/>
      <c r="DI99" s="86"/>
      <c r="DJ99" s="86"/>
      <c r="DK99" s="86"/>
      <c r="DL99" s="86"/>
      <c r="DM99" s="86"/>
      <c r="DN99" s="86"/>
      <c r="DO99" s="86"/>
      <c r="DP99" s="86"/>
      <c r="DQ99" s="86"/>
      <c r="DR99" s="86"/>
      <c r="DS99" s="86"/>
      <c r="DT99" s="86"/>
      <c r="DU99" s="86"/>
      <c r="DV99" s="86"/>
      <c r="DW99" s="86"/>
      <c r="DX99" s="86"/>
      <c r="DY99" s="86"/>
      <c r="DZ99" s="86"/>
      <c r="EA99" s="86"/>
      <c r="EB99" s="86"/>
      <c r="EC99" s="86"/>
      <c r="ED99" s="86"/>
      <c r="EE99" s="86"/>
      <c r="EF99" s="86"/>
      <c r="EG99" s="86"/>
      <c r="EH99" s="86"/>
      <c r="EI99" s="86"/>
      <c r="EJ99" s="86"/>
      <c r="EK99" s="86"/>
      <c r="EL99" s="86"/>
      <c r="EM99" s="86"/>
      <c r="EN99" s="86"/>
      <c r="EO99" s="86"/>
      <c r="EP99" s="86"/>
      <c r="EQ99" s="86"/>
      <c r="ER99" s="86"/>
      <c r="ES99" s="86"/>
      <c r="ET99" s="86"/>
      <c r="EU99" s="86"/>
      <c r="EV99" s="86"/>
      <c r="EW99" s="86"/>
      <c r="EX99" s="86"/>
      <c r="EY99" s="86"/>
      <c r="EZ99" s="86"/>
      <c r="FA99" s="86"/>
    </row>
    <row r="100" spans="2:157" ht="9.75" customHeight="1">
      <c r="B100" s="845">
        <v>2</v>
      </c>
      <c r="C100" s="1344"/>
      <c r="D100" s="1344"/>
      <c r="E100" s="1344"/>
      <c r="F100" s="857"/>
      <c r="G100" s="857"/>
      <c r="H100" s="875" t="str">
        <f t="shared" si="4"/>
        <v/>
      </c>
      <c r="J100" s="101"/>
      <c r="K100" s="101"/>
      <c r="L100" s="101"/>
      <c r="Z100" s="86"/>
      <c r="AA100" s="86"/>
      <c r="AB100" s="86"/>
      <c r="AC100" s="86"/>
      <c r="AD100" s="86"/>
      <c r="AE100" s="86"/>
      <c r="AF100" s="86"/>
      <c r="AG100" s="86"/>
      <c r="AH100" s="86"/>
      <c r="AI100" s="86"/>
      <c r="AJ100" s="86"/>
      <c r="AK100" s="86"/>
      <c r="AL100" s="86"/>
      <c r="AM100" s="86"/>
      <c r="AN100" s="86"/>
      <c r="AO100" s="86"/>
      <c r="AP100" s="86"/>
      <c r="AQ100" s="86"/>
      <c r="AR100" s="86"/>
      <c r="AS100" s="86"/>
      <c r="AT100" s="86"/>
      <c r="AU100" s="86"/>
      <c r="AV100" s="86"/>
      <c r="AW100" s="86"/>
      <c r="AX100" s="86"/>
      <c r="AY100" s="86"/>
      <c r="AZ100" s="86"/>
      <c r="BA100" s="86"/>
      <c r="BB100" s="86"/>
      <c r="BC100" s="86"/>
      <c r="BD100" s="86"/>
      <c r="BE100" s="86"/>
      <c r="BF100" s="86"/>
      <c r="BG100" s="86"/>
      <c r="BH100" s="86"/>
      <c r="BI100" s="86"/>
      <c r="BJ100" s="86"/>
      <c r="BK100" s="86"/>
      <c r="BL100" s="86"/>
      <c r="BM100" s="86"/>
      <c r="BN100" s="86"/>
      <c r="BO100" s="86"/>
      <c r="BP100" s="86"/>
      <c r="BQ100" s="86"/>
      <c r="BR100" s="86"/>
      <c r="BS100" s="86"/>
      <c r="BT100" s="86"/>
      <c r="BU100" s="86"/>
      <c r="BV100" s="86"/>
      <c r="BW100" s="86"/>
      <c r="BX100" s="86"/>
      <c r="BY100" s="86"/>
      <c r="BZ100" s="86"/>
      <c r="CA100" s="86"/>
      <c r="CB100" s="86"/>
      <c r="CC100" s="86"/>
      <c r="CD100" s="86"/>
      <c r="CE100" s="86"/>
      <c r="CF100" s="86"/>
      <c r="CG100" s="86"/>
      <c r="CH100" s="86"/>
      <c r="CI100" s="86"/>
      <c r="CJ100" s="86"/>
      <c r="CK100" s="86"/>
      <c r="CL100" s="86"/>
      <c r="CM100" s="86"/>
      <c r="CN100" s="86"/>
      <c r="CO100" s="86"/>
      <c r="CP100" s="86"/>
      <c r="CQ100" s="86"/>
      <c r="CR100" s="86"/>
      <c r="CS100" s="86"/>
      <c r="CT100" s="86"/>
      <c r="CU100" s="86"/>
      <c r="CV100" s="86"/>
      <c r="CW100" s="86"/>
      <c r="CX100" s="86"/>
      <c r="CY100" s="86"/>
      <c r="CZ100" s="86"/>
      <c r="DA100" s="86"/>
      <c r="DB100" s="86"/>
      <c r="DC100" s="86"/>
      <c r="DD100" s="86"/>
      <c r="DE100" s="86"/>
      <c r="DF100" s="86"/>
      <c r="DG100" s="86"/>
      <c r="DH100" s="86"/>
      <c r="DI100" s="86"/>
      <c r="DJ100" s="86"/>
      <c r="DK100" s="86"/>
      <c r="DL100" s="86"/>
      <c r="DM100" s="86"/>
      <c r="DN100" s="86"/>
      <c r="DO100" s="86"/>
      <c r="DP100" s="86"/>
      <c r="DQ100" s="86"/>
      <c r="DR100" s="86"/>
      <c r="DS100" s="86"/>
      <c r="DT100" s="86"/>
      <c r="DU100" s="86"/>
      <c r="DV100" s="86"/>
      <c r="DW100" s="86"/>
      <c r="DX100" s="86"/>
      <c r="DY100" s="86"/>
      <c r="DZ100" s="86"/>
      <c r="EA100" s="86"/>
      <c r="EB100" s="86"/>
      <c r="EC100" s="86"/>
      <c r="ED100" s="86"/>
      <c r="EE100" s="86"/>
      <c r="EF100" s="86"/>
      <c r="EG100" s="86"/>
      <c r="EH100" s="86"/>
      <c r="EI100" s="86"/>
      <c r="EJ100" s="86"/>
      <c r="EK100" s="86"/>
      <c r="EL100" s="86"/>
      <c r="EM100" s="86"/>
      <c r="EN100" s="86"/>
      <c r="EO100" s="86"/>
      <c r="EP100" s="86"/>
      <c r="EQ100" s="86"/>
      <c r="ER100" s="86"/>
      <c r="ES100" s="86"/>
      <c r="ET100" s="86"/>
      <c r="EU100" s="86"/>
      <c r="EV100" s="86"/>
      <c r="EW100" s="86"/>
      <c r="EX100" s="86"/>
      <c r="EY100" s="86"/>
      <c r="EZ100" s="86"/>
      <c r="FA100" s="86"/>
    </row>
    <row r="101" spans="2:157" ht="9.75" customHeight="1">
      <c r="B101" s="845">
        <v>3</v>
      </c>
      <c r="C101" s="1344"/>
      <c r="D101" s="1344"/>
      <c r="E101" s="1344"/>
      <c r="F101" s="857"/>
      <c r="G101" s="857"/>
      <c r="H101" s="875" t="str">
        <f t="shared" si="4"/>
        <v/>
      </c>
      <c r="J101" s="101"/>
      <c r="K101" s="101"/>
      <c r="L101" s="101"/>
      <c r="Z101" s="86"/>
      <c r="AA101" s="86"/>
      <c r="AB101" s="86"/>
      <c r="AC101" s="86"/>
      <c r="AD101" s="86"/>
      <c r="AE101" s="86"/>
      <c r="AF101" s="86"/>
      <c r="AG101" s="86"/>
      <c r="AH101" s="86"/>
      <c r="AI101" s="86"/>
      <c r="AJ101" s="86"/>
      <c r="AK101" s="86"/>
      <c r="AL101" s="86"/>
      <c r="AM101" s="86"/>
      <c r="AN101" s="86"/>
      <c r="AO101" s="86"/>
      <c r="AP101" s="86"/>
      <c r="AQ101" s="86"/>
      <c r="AR101" s="86"/>
      <c r="AS101" s="86"/>
      <c r="AT101" s="86"/>
      <c r="AU101" s="86"/>
      <c r="AV101" s="86"/>
      <c r="AW101" s="86"/>
      <c r="AX101" s="86"/>
      <c r="AY101" s="86"/>
      <c r="AZ101" s="86"/>
      <c r="BA101" s="86"/>
      <c r="BB101" s="86"/>
      <c r="BC101" s="86"/>
      <c r="BD101" s="86"/>
      <c r="BE101" s="86"/>
      <c r="BF101" s="86"/>
      <c r="BG101" s="86"/>
      <c r="BH101" s="86"/>
      <c r="BI101" s="86"/>
      <c r="BJ101" s="86"/>
      <c r="BK101" s="86"/>
      <c r="BL101" s="86"/>
      <c r="BM101" s="86"/>
      <c r="BN101" s="86"/>
      <c r="BO101" s="86"/>
      <c r="BP101" s="86"/>
      <c r="BQ101" s="86"/>
      <c r="BR101" s="86"/>
      <c r="BS101" s="86"/>
      <c r="BT101" s="86"/>
      <c r="BU101" s="86"/>
      <c r="BV101" s="86"/>
      <c r="BW101" s="86"/>
      <c r="BX101" s="86"/>
      <c r="BY101" s="86"/>
      <c r="BZ101" s="86"/>
      <c r="CA101" s="86"/>
      <c r="CB101" s="86"/>
      <c r="CC101" s="86"/>
      <c r="CD101" s="86"/>
      <c r="CE101" s="86"/>
      <c r="CF101" s="86"/>
      <c r="CG101" s="86"/>
      <c r="CH101" s="86"/>
      <c r="CI101" s="86"/>
      <c r="CJ101" s="86"/>
      <c r="CK101" s="86"/>
      <c r="CL101" s="86"/>
      <c r="CM101" s="86"/>
      <c r="CN101" s="86"/>
      <c r="CO101" s="86"/>
      <c r="CP101" s="86"/>
      <c r="CQ101" s="86"/>
      <c r="CR101" s="86"/>
      <c r="CS101" s="86"/>
      <c r="CT101" s="86"/>
      <c r="CU101" s="86"/>
      <c r="CV101" s="86"/>
      <c r="CW101" s="86"/>
      <c r="CX101" s="86"/>
      <c r="CY101" s="86"/>
      <c r="CZ101" s="86"/>
      <c r="DA101" s="86"/>
      <c r="DB101" s="86"/>
      <c r="DC101" s="86"/>
      <c r="DD101" s="86"/>
      <c r="DE101" s="86"/>
      <c r="DF101" s="86"/>
      <c r="DG101" s="86"/>
      <c r="DH101" s="86"/>
      <c r="DI101" s="86"/>
      <c r="DJ101" s="86"/>
      <c r="DK101" s="86"/>
      <c r="DL101" s="86"/>
      <c r="DM101" s="86"/>
      <c r="DN101" s="86"/>
      <c r="DO101" s="86"/>
      <c r="DP101" s="86"/>
      <c r="DQ101" s="86"/>
      <c r="DR101" s="86"/>
      <c r="DS101" s="86"/>
      <c r="DT101" s="86"/>
      <c r="DU101" s="86"/>
      <c r="DV101" s="86"/>
      <c r="DW101" s="86"/>
      <c r="DX101" s="86"/>
      <c r="DY101" s="86"/>
      <c r="DZ101" s="86"/>
      <c r="EA101" s="86"/>
      <c r="EB101" s="86"/>
      <c r="EC101" s="86"/>
      <c r="ED101" s="86"/>
      <c r="EE101" s="86"/>
      <c r="EF101" s="86"/>
      <c r="EG101" s="86"/>
      <c r="EH101" s="86"/>
      <c r="EI101" s="86"/>
      <c r="EJ101" s="86"/>
      <c r="EK101" s="86"/>
      <c r="EL101" s="86"/>
      <c r="EM101" s="86"/>
      <c r="EN101" s="86"/>
      <c r="EO101" s="86"/>
      <c r="EP101" s="86"/>
      <c r="EQ101" s="86"/>
      <c r="ER101" s="86"/>
      <c r="ES101" s="86"/>
      <c r="ET101" s="86"/>
      <c r="EU101" s="86"/>
      <c r="EV101" s="86"/>
      <c r="EW101" s="86"/>
      <c r="EX101" s="86"/>
      <c r="EY101" s="86"/>
      <c r="EZ101" s="86"/>
      <c r="FA101" s="86"/>
    </row>
    <row r="102" spans="2:157" ht="9.75" customHeight="1">
      <c r="B102" s="845">
        <v>4</v>
      </c>
      <c r="C102" s="1344"/>
      <c r="D102" s="1344"/>
      <c r="E102" s="1344"/>
      <c r="F102" s="857"/>
      <c r="G102" s="857"/>
      <c r="H102" s="875" t="str">
        <f t="shared" si="4"/>
        <v/>
      </c>
      <c r="J102" s="101"/>
      <c r="K102" s="101"/>
      <c r="L102" s="101"/>
      <c r="Z102" s="86"/>
      <c r="AA102" s="86"/>
      <c r="AB102" s="86"/>
      <c r="AC102" s="86"/>
      <c r="AD102" s="86"/>
      <c r="AE102" s="86"/>
      <c r="AF102" s="86"/>
      <c r="AG102" s="86"/>
      <c r="AH102" s="86"/>
      <c r="AI102" s="86"/>
      <c r="AJ102" s="86"/>
      <c r="AK102" s="86"/>
      <c r="AL102" s="86"/>
      <c r="AM102" s="86"/>
      <c r="AN102" s="86"/>
      <c r="AO102" s="86"/>
      <c r="AP102" s="86"/>
      <c r="AQ102" s="86"/>
      <c r="AR102" s="86"/>
      <c r="AS102" s="86"/>
      <c r="AT102" s="86"/>
      <c r="AU102" s="86"/>
      <c r="AV102" s="86"/>
      <c r="AW102" s="86"/>
      <c r="AX102" s="86"/>
      <c r="AY102" s="86"/>
      <c r="AZ102" s="86"/>
      <c r="BA102" s="86"/>
      <c r="BB102" s="86"/>
      <c r="BC102" s="86"/>
      <c r="BD102" s="86"/>
      <c r="BE102" s="86"/>
      <c r="BF102" s="86"/>
      <c r="BG102" s="86"/>
      <c r="BH102" s="86"/>
      <c r="BI102" s="86"/>
      <c r="BJ102" s="86"/>
      <c r="BK102" s="86"/>
      <c r="BL102" s="86"/>
      <c r="BM102" s="86"/>
      <c r="BN102" s="86"/>
      <c r="BO102" s="86"/>
      <c r="BP102" s="86"/>
      <c r="BQ102" s="86"/>
      <c r="BR102" s="86"/>
      <c r="BS102" s="86"/>
      <c r="BT102" s="86"/>
      <c r="BU102" s="86"/>
      <c r="BV102" s="86"/>
      <c r="BW102" s="86"/>
      <c r="BX102" s="86"/>
      <c r="BY102" s="86"/>
      <c r="BZ102" s="86"/>
      <c r="CA102" s="86"/>
      <c r="CB102" s="86"/>
      <c r="CC102" s="86"/>
      <c r="CD102" s="86"/>
      <c r="CE102" s="86"/>
      <c r="CF102" s="86"/>
      <c r="CG102" s="86"/>
      <c r="CH102" s="86"/>
      <c r="CI102" s="86"/>
      <c r="CJ102" s="86"/>
      <c r="CK102" s="86"/>
      <c r="CL102" s="86"/>
      <c r="CM102" s="86"/>
      <c r="CN102" s="86"/>
      <c r="CO102" s="86"/>
      <c r="CP102" s="86"/>
      <c r="CQ102" s="86"/>
      <c r="CR102" s="86"/>
      <c r="CS102" s="86"/>
      <c r="CT102" s="86"/>
      <c r="CU102" s="86"/>
      <c r="CV102" s="86"/>
      <c r="CW102" s="86"/>
      <c r="CX102" s="86"/>
      <c r="CY102" s="86"/>
      <c r="CZ102" s="86"/>
      <c r="DA102" s="86"/>
      <c r="DB102" s="86"/>
      <c r="DC102" s="86"/>
      <c r="DD102" s="86"/>
      <c r="DE102" s="86"/>
      <c r="DF102" s="86"/>
      <c r="DG102" s="86"/>
      <c r="DH102" s="86"/>
      <c r="DI102" s="86"/>
      <c r="DJ102" s="86"/>
      <c r="DK102" s="86"/>
      <c r="DL102" s="86"/>
      <c r="DM102" s="86"/>
      <c r="DN102" s="86"/>
      <c r="DO102" s="86"/>
      <c r="DP102" s="86"/>
      <c r="DQ102" s="86"/>
      <c r="DR102" s="86"/>
      <c r="DS102" s="86"/>
      <c r="DT102" s="86"/>
      <c r="DU102" s="86"/>
      <c r="DV102" s="86"/>
      <c r="DW102" s="86"/>
      <c r="DX102" s="86"/>
      <c r="DY102" s="86"/>
      <c r="DZ102" s="86"/>
      <c r="EA102" s="86"/>
      <c r="EB102" s="86"/>
      <c r="EC102" s="86"/>
      <c r="ED102" s="86"/>
      <c r="EE102" s="86"/>
      <c r="EF102" s="86"/>
      <c r="EG102" s="86"/>
      <c r="EH102" s="86"/>
      <c r="EI102" s="86"/>
      <c r="EJ102" s="86"/>
      <c r="EK102" s="86"/>
      <c r="EL102" s="86"/>
      <c r="EM102" s="86"/>
      <c r="EN102" s="86"/>
      <c r="EO102" s="86"/>
      <c r="EP102" s="86"/>
      <c r="EQ102" s="86"/>
      <c r="ER102" s="86"/>
      <c r="ES102" s="86"/>
      <c r="ET102" s="86"/>
      <c r="EU102" s="86"/>
      <c r="EV102" s="86"/>
      <c r="EW102" s="86"/>
      <c r="EX102" s="86"/>
      <c r="EY102" s="86"/>
      <c r="EZ102" s="86"/>
      <c r="FA102" s="86"/>
    </row>
    <row r="103" spans="2:157" ht="9.75" customHeight="1">
      <c r="B103" s="845">
        <v>5</v>
      </c>
      <c r="C103" s="1344"/>
      <c r="D103" s="1344"/>
      <c r="E103" s="1344"/>
      <c r="F103" s="857"/>
      <c r="G103" s="857"/>
      <c r="H103" s="875" t="str">
        <f t="shared" si="4"/>
        <v/>
      </c>
      <c r="J103" s="101"/>
      <c r="K103" s="101"/>
      <c r="L103" s="101"/>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86"/>
      <c r="AX103" s="86"/>
      <c r="AY103" s="86"/>
      <c r="AZ103" s="86"/>
      <c r="BA103" s="86"/>
      <c r="BB103" s="86"/>
      <c r="BC103" s="86"/>
      <c r="BD103" s="86"/>
      <c r="BE103" s="86"/>
      <c r="BF103" s="86"/>
      <c r="BG103" s="86"/>
      <c r="BH103" s="86"/>
      <c r="BI103" s="86"/>
      <c r="BJ103" s="86"/>
      <c r="BK103" s="86"/>
      <c r="BL103" s="86"/>
      <c r="BM103" s="86"/>
      <c r="BN103" s="86"/>
      <c r="BO103" s="86"/>
      <c r="BP103" s="86"/>
      <c r="BQ103" s="86"/>
      <c r="BR103" s="86"/>
      <c r="BS103" s="86"/>
      <c r="BT103" s="86"/>
      <c r="BU103" s="86"/>
      <c r="BV103" s="86"/>
      <c r="BW103" s="86"/>
      <c r="BX103" s="86"/>
      <c r="BY103" s="86"/>
      <c r="BZ103" s="86"/>
      <c r="CA103" s="86"/>
      <c r="CB103" s="86"/>
      <c r="CC103" s="86"/>
      <c r="CD103" s="86"/>
      <c r="CE103" s="86"/>
      <c r="CF103" s="86"/>
      <c r="CG103" s="86"/>
      <c r="CH103" s="86"/>
      <c r="CI103" s="86"/>
      <c r="CJ103" s="86"/>
      <c r="CK103" s="86"/>
      <c r="CL103" s="86"/>
      <c r="CM103" s="86"/>
      <c r="CN103" s="86"/>
      <c r="CO103" s="86"/>
      <c r="CP103" s="86"/>
      <c r="CQ103" s="86"/>
      <c r="CR103" s="86"/>
      <c r="CS103" s="86"/>
      <c r="CT103" s="86"/>
      <c r="CU103" s="86"/>
      <c r="CV103" s="86"/>
      <c r="CW103" s="86"/>
      <c r="CX103" s="86"/>
      <c r="CY103" s="86"/>
      <c r="CZ103" s="86"/>
      <c r="DA103" s="86"/>
      <c r="DB103" s="86"/>
      <c r="DC103" s="86"/>
      <c r="DD103" s="86"/>
      <c r="DE103" s="86"/>
      <c r="DF103" s="86"/>
      <c r="DG103" s="86"/>
      <c r="DH103" s="86"/>
      <c r="DI103" s="86"/>
      <c r="DJ103" s="86"/>
      <c r="DK103" s="86"/>
      <c r="DL103" s="86"/>
      <c r="DM103" s="86"/>
      <c r="DN103" s="86"/>
      <c r="DO103" s="86"/>
      <c r="DP103" s="86"/>
      <c r="DQ103" s="86"/>
      <c r="DR103" s="86"/>
      <c r="DS103" s="86"/>
      <c r="DT103" s="86"/>
      <c r="DU103" s="86"/>
      <c r="DV103" s="86"/>
      <c r="DW103" s="86"/>
      <c r="DX103" s="86"/>
      <c r="DY103" s="86"/>
      <c r="DZ103" s="86"/>
      <c r="EA103" s="86"/>
      <c r="EB103" s="86"/>
      <c r="EC103" s="86"/>
      <c r="ED103" s="86"/>
      <c r="EE103" s="86"/>
      <c r="EF103" s="86"/>
      <c r="EG103" s="86"/>
      <c r="EH103" s="86"/>
      <c r="EI103" s="86"/>
      <c r="EJ103" s="86"/>
      <c r="EK103" s="86"/>
      <c r="EL103" s="86"/>
      <c r="EM103" s="86"/>
      <c r="EN103" s="86"/>
      <c r="EO103" s="86"/>
      <c r="EP103" s="86"/>
      <c r="EQ103" s="86"/>
      <c r="ER103" s="86"/>
      <c r="ES103" s="86"/>
      <c r="ET103" s="86"/>
      <c r="EU103" s="86"/>
      <c r="EV103" s="86"/>
      <c r="EW103" s="86"/>
      <c r="EX103" s="86"/>
      <c r="EY103" s="86"/>
      <c r="EZ103" s="86"/>
      <c r="FA103" s="86"/>
    </row>
    <row r="104" spans="2:157" ht="9.75" customHeight="1">
      <c r="B104" s="845">
        <v>6</v>
      </c>
      <c r="C104" s="1344"/>
      <c r="D104" s="1344"/>
      <c r="E104" s="1344"/>
      <c r="F104" s="857"/>
      <c r="G104" s="857"/>
      <c r="H104" s="875" t="str">
        <f t="shared" si="4"/>
        <v/>
      </c>
      <c r="J104" s="101"/>
      <c r="K104" s="101"/>
      <c r="L104" s="101"/>
      <c r="Z104" s="86"/>
      <c r="AA104" s="86"/>
      <c r="AB104" s="86"/>
      <c r="AC104" s="86"/>
      <c r="AD104" s="86"/>
      <c r="AE104" s="86"/>
      <c r="AF104" s="86"/>
      <c r="AG104" s="86"/>
      <c r="AH104" s="86"/>
      <c r="AI104" s="86"/>
      <c r="AJ104" s="86"/>
      <c r="AK104" s="86"/>
      <c r="AL104" s="86"/>
      <c r="AM104" s="86"/>
      <c r="AN104" s="86"/>
      <c r="AO104" s="86"/>
      <c r="AP104" s="86"/>
      <c r="AQ104" s="86"/>
      <c r="AR104" s="86"/>
      <c r="AS104" s="86"/>
      <c r="AT104" s="86"/>
      <c r="AU104" s="86"/>
      <c r="AV104" s="86"/>
      <c r="AW104" s="86"/>
      <c r="AX104" s="86"/>
      <c r="AY104" s="86"/>
      <c r="AZ104" s="86"/>
      <c r="BA104" s="86"/>
      <c r="BB104" s="86"/>
      <c r="BC104" s="86"/>
      <c r="BD104" s="86"/>
      <c r="BE104" s="86"/>
      <c r="BF104" s="86"/>
      <c r="BG104" s="86"/>
      <c r="BH104" s="86"/>
      <c r="BI104" s="86"/>
      <c r="BJ104" s="86"/>
      <c r="BK104" s="86"/>
      <c r="BL104" s="86"/>
      <c r="BM104" s="86"/>
      <c r="BN104" s="86"/>
      <c r="BO104" s="86"/>
      <c r="BP104" s="86"/>
      <c r="BQ104" s="86"/>
      <c r="BR104" s="86"/>
      <c r="BS104" s="86"/>
      <c r="BT104" s="86"/>
      <c r="BU104" s="86"/>
      <c r="BV104" s="86"/>
      <c r="BW104" s="86"/>
      <c r="BX104" s="86"/>
      <c r="BY104" s="86"/>
      <c r="BZ104" s="86"/>
      <c r="CA104" s="86"/>
      <c r="CB104" s="86"/>
      <c r="CC104" s="86"/>
      <c r="CD104" s="86"/>
      <c r="CE104" s="86"/>
      <c r="CF104" s="86"/>
      <c r="CG104" s="86"/>
      <c r="CH104" s="86"/>
      <c r="CI104" s="86"/>
      <c r="CJ104" s="86"/>
      <c r="CK104" s="86"/>
      <c r="CL104" s="86"/>
      <c r="CM104" s="86"/>
      <c r="CN104" s="86"/>
      <c r="CO104" s="86"/>
      <c r="CP104" s="86"/>
      <c r="CQ104" s="86"/>
      <c r="CR104" s="86"/>
      <c r="CS104" s="86"/>
      <c r="CT104" s="86"/>
      <c r="CU104" s="86"/>
      <c r="CV104" s="86"/>
      <c r="CW104" s="86"/>
      <c r="CX104" s="86"/>
      <c r="CY104" s="86"/>
      <c r="CZ104" s="86"/>
      <c r="DA104" s="86"/>
      <c r="DB104" s="86"/>
      <c r="DC104" s="86"/>
      <c r="DD104" s="86"/>
      <c r="DE104" s="86"/>
      <c r="DF104" s="86"/>
      <c r="DG104" s="86"/>
      <c r="DH104" s="86"/>
      <c r="DI104" s="86"/>
      <c r="DJ104" s="86"/>
      <c r="DK104" s="86"/>
      <c r="DL104" s="86"/>
      <c r="DM104" s="86"/>
      <c r="DN104" s="86"/>
      <c r="DO104" s="86"/>
      <c r="DP104" s="86"/>
      <c r="DQ104" s="86"/>
      <c r="DR104" s="86"/>
      <c r="DS104" s="86"/>
      <c r="DT104" s="86"/>
      <c r="DU104" s="86"/>
      <c r="DV104" s="86"/>
      <c r="DW104" s="86"/>
      <c r="DX104" s="86"/>
      <c r="DY104" s="86"/>
      <c r="DZ104" s="86"/>
      <c r="EA104" s="86"/>
      <c r="EB104" s="86"/>
      <c r="EC104" s="86"/>
      <c r="ED104" s="86"/>
      <c r="EE104" s="86"/>
      <c r="EF104" s="86"/>
      <c r="EG104" s="86"/>
      <c r="EH104" s="86"/>
      <c r="EI104" s="86"/>
      <c r="EJ104" s="86"/>
      <c r="EK104" s="86"/>
      <c r="EL104" s="86"/>
      <c r="EM104" s="86"/>
      <c r="EN104" s="86"/>
      <c r="EO104" s="86"/>
      <c r="EP104" s="86"/>
      <c r="EQ104" s="86"/>
      <c r="ER104" s="86"/>
      <c r="ES104" s="86"/>
      <c r="ET104" s="86"/>
      <c r="EU104" s="86"/>
      <c r="EV104" s="86"/>
      <c r="EW104" s="86"/>
      <c r="EX104" s="86"/>
      <c r="EY104" s="86"/>
      <c r="EZ104" s="86"/>
      <c r="FA104" s="86"/>
    </row>
    <row r="105" spans="2:157" ht="9.75" customHeight="1">
      <c r="B105" s="845">
        <v>7</v>
      </c>
      <c r="C105" s="1344"/>
      <c r="D105" s="1344"/>
      <c r="E105" s="1344"/>
      <c r="F105" s="857"/>
      <c r="G105" s="857"/>
      <c r="H105" s="875" t="str">
        <f t="shared" si="4"/>
        <v/>
      </c>
      <c r="J105" s="101"/>
      <c r="K105" s="101"/>
      <c r="L105" s="101"/>
      <c r="Z105" s="86"/>
      <c r="AA105" s="86"/>
      <c r="AB105" s="86"/>
      <c r="AC105" s="86"/>
      <c r="AD105" s="86"/>
      <c r="AE105" s="86"/>
      <c r="AF105" s="86"/>
      <c r="AG105" s="86"/>
      <c r="AH105" s="86"/>
      <c r="AI105" s="86"/>
      <c r="AJ105" s="86"/>
      <c r="AK105" s="86"/>
      <c r="AL105" s="86"/>
      <c r="AM105" s="86"/>
      <c r="AN105" s="86"/>
      <c r="AO105" s="86"/>
      <c r="AP105" s="86"/>
      <c r="AQ105" s="86"/>
      <c r="AR105" s="86"/>
      <c r="AS105" s="86"/>
      <c r="AT105" s="86"/>
      <c r="AU105" s="86"/>
      <c r="AV105" s="86"/>
      <c r="AW105" s="86"/>
      <c r="AX105" s="86"/>
      <c r="AY105" s="86"/>
      <c r="AZ105" s="86"/>
      <c r="BA105" s="86"/>
      <c r="BB105" s="86"/>
      <c r="BC105" s="86"/>
      <c r="BD105" s="86"/>
      <c r="BE105" s="86"/>
      <c r="BF105" s="86"/>
      <c r="BG105" s="86"/>
      <c r="BH105" s="86"/>
      <c r="BI105" s="86"/>
      <c r="BJ105" s="86"/>
      <c r="BK105" s="86"/>
      <c r="BL105" s="86"/>
      <c r="BM105" s="86"/>
      <c r="BN105" s="86"/>
      <c r="BO105" s="86"/>
      <c r="BP105" s="86"/>
      <c r="BQ105" s="86"/>
      <c r="BR105" s="86"/>
      <c r="BS105" s="86"/>
      <c r="BT105" s="86"/>
      <c r="BU105" s="86"/>
      <c r="BV105" s="86"/>
      <c r="BW105" s="86"/>
      <c r="BX105" s="86"/>
      <c r="BY105" s="86"/>
      <c r="BZ105" s="86"/>
      <c r="CA105" s="86"/>
      <c r="CB105" s="86"/>
      <c r="CC105" s="86"/>
      <c r="CD105" s="86"/>
      <c r="CE105" s="86"/>
      <c r="CF105" s="86"/>
      <c r="CG105" s="86"/>
      <c r="CH105" s="86"/>
      <c r="CI105" s="86"/>
      <c r="CJ105" s="86"/>
      <c r="CK105" s="86"/>
      <c r="CL105" s="86"/>
      <c r="CM105" s="86"/>
      <c r="CN105" s="86"/>
      <c r="CO105" s="86"/>
      <c r="CP105" s="86"/>
      <c r="CQ105" s="86"/>
      <c r="CR105" s="86"/>
      <c r="CS105" s="86"/>
      <c r="CT105" s="86"/>
      <c r="CU105" s="86"/>
      <c r="CV105" s="86"/>
      <c r="CW105" s="86"/>
      <c r="CX105" s="86"/>
      <c r="CY105" s="86"/>
      <c r="CZ105" s="86"/>
      <c r="DA105" s="86"/>
      <c r="DB105" s="86"/>
      <c r="DC105" s="86"/>
      <c r="DD105" s="86"/>
      <c r="DE105" s="86"/>
      <c r="DF105" s="86"/>
      <c r="DG105" s="86"/>
      <c r="DH105" s="86"/>
      <c r="DI105" s="86"/>
      <c r="DJ105" s="86"/>
      <c r="DK105" s="86"/>
      <c r="DL105" s="86"/>
      <c r="DM105" s="86"/>
      <c r="DN105" s="86"/>
      <c r="DO105" s="86"/>
      <c r="DP105" s="86"/>
      <c r="DQ105" s="86"/>
      <c r="DR105" s="86"/>
      <c r="DS105" s="86"/>
      <c r="DT105" s="86"/>
      <c r="DU105" s="86"/>
      <c r="DV105" s="86"/>
      <c r="DW105" s="86"/>
      <c r="DX105" s="86"/>
      <c r="DY105" s="86"/>
      <c r="DZ105" s="86"/>
      <c r="EA105" s="86"/>
      <c r="EB105" s="86"/>
      <c r="EC105" s="86"/>
      <c r="ED105" s="86"/>
      <c r="EE105" s="86"/>
      <c r="EF105" s="86"/>
      <c r="EG105" s="86"/>
      <c r="EH105" s="86"/>
      <c r="EI105" s="86"/>
      <c r="EJ105" s="86"/>
      <c r="EK105" s="86"/>
      <c r="EL105" s="86"/>
      <c r="EM105" s="86"/>
      <c r="EN105" s="86"/>
      <c r="EO105" s="86"/>
      <c r="EP105" s="86"/>
      <c r="EQ105" s="86"/>
      <c r="ER105" s="86"/>
      <c r="ES105" s="86"/>
      <c r="ET105" s="86"/>
      <c r="EU105" s="86"/>
      <c r="EV105" s="86"/>
      <c r="EW105" s="86"/>
      <c r="EX105" s="86"/>
      <c r="EY105" s="86"/>
      <c r="EZ105" s="86"/>
      <c r="FA105" s="86"/>
    </row>
    <row r="106" spans="2:157" ht="9.75" customHeight="1">
      <c r="B106" s="845">
        <v>8</v>
      </c>
      <c r="C106" s="1344"/>
      <c r="D106" s="1344"/>
      <c r="E106" s="1344"/>
      <c r="F106" s="857"/>
      <c r="G106" s="857"/>
      <c r="H106" s="875" t="str">
        <f t="shared" si="4"/>
        <v/>
      </c>
      <c r="J106" s="101"/>
      <c r="K106" s="101"/>
      <c r="L106" s="101"/>
      <c r="Z106" s="86"/>
      <c r="AA106" s="86"/>
      <c r="AB106" s="86"/>
      <c r="AC106" s="86"/>
      <c r="AD106" s="86"/>
      <c r="AE106" s="86"/>
      <c r="AF106" s="86"/>
      <c r="AG106" s="86"/>
      <c r="AH106" s="86"/>
      <c r="AI106" s="86"/>
      <c r="AJ106" s="86"/>
      <c r="AK106" s="86"/>
      <c r="AL106" s="86"/>
      <c r="AM106" s="86"/>
      <c r="AN106" s="86"/>
      <c r="AO106" s="86"/>
      <c r="AP106" s="86"/>
      <c r="AQ106" s="86"/>
      <c r="AR106" s="86"/>
      <c r="AS106" s="86"/>
      <c r="AT106" s="86"/>
      <c r="AU106" s="86"/>
      <c r="AV106" s="86"/>
      <c r="AW106" s="86"/>
      <c r="AX106" s="86"/>
      <c r="AY106" s="86"/>
      <c r="AZ106" s="86"/>
      <c r="BA106" s="86"/>
      <c r="BB106" s="86"/>
      <c r="BC106" s="86"/>
      <c r="BD106" s="86"/>
      <c r="BE106" s="86"/>
      <c r="BF106" s="86"/>
      <c r="BG106" s="86"/>
      <c r="BH106" s="86"/>
      <c r="BI106" s="86"/>
      <c r="BJ106" s="86"/>
      <c r="BK106" s="86"/>
      <c r="BL106" s="86"/>
      <c r="BM106" s="86"/>
      <c r="BN106" s="86"/>
      <c r="BO106" s="86"/>
      <c r="BP106" s="86"/>
      <c r="BQ106" s="86"/>
      <c r="BR106" s="86"/>
      <c r="BS106" s="86"/>
      <c r="BT106" s="86"/>
      <c r="BU106" s="86"/>
      <c r="BV106" s="86"/>
      <c r="BW106" s="86"/>
      <c r="BX106" s="86"/>
      <c r="BY106" s="86"/>
      <c r="BZ106" s="86"/>
      <c r="CA106" s="86"/>
      <c r="CB106" s="86"/>
      <c r="CC106" s="86"/>
      <c r="CD106" s="86"/>
      <c r="CE106" s="86"/>
      <c r="CF106" s="86"/>
      <c r="CG106" s="86"/>
      <c r="CH106" s="86"/>
      <c r="CI106" s="86"/>
      <c r="CJ106" s="86"/>
      <c r="CK106" s="86"/>
      <c r="CL106" s="86"/>
      <c r="CM106" s="86"/>
      <c r="CN106" s="86"/>
      <c r="CO106" s="86"/>
      <c r="CP106" s="86"/>
      <c r="CQ106" s="86"/>
      <c r="CR106" s="86"/>
      <c r="CS106" s="86"/>
      <c r="CT106" s="86"/>
      <c r="CU106" s="86"/>
      <c r="CV106" s="86"/>
      <c r="CW106" s="86"/>
      <c r="CX106" s="86"/>
      <c r="CY106" s="86"/>
      <c r="CZ106" s="86"/>
      <c r="DA106" s="86"/>
      <c r="DB106" s="86"/>
      <c r="DC106" s="86"/>
      <c r="DD106" s="86"/>
      <c r="DE106" s="86"/>
      <c r="DF106" s="86"/>
      <c r="DG106" s="86"/>
      <c r="DH106" s="86"/>
      <c r="DI106" s="86"/>
      <c r="DJ106" s="86"/>
      <c r="DK106" s="86"/>
      <c r="DL106" s="86"/>
      <c r="DM106" s="86"/>
      <c r="DN106" s="86"/>
      <c r="DO106" s="86"/>
      <c r="DP106" s="86"/>
      <c r="DQ106" s="86"/>
      <c r="DR106" s="86"/>
      <c r="DS106" s="86"/>
      <c r="DT106" s="86"/>
      <c r="DU106" s="86"/>
      <c r="DV106" s="86"/>
      <c r="DW106" s="86"/>
      <c r="DX106" s="86"/>
      <c r="DY106" s="86"/>
      <c r="DZ106" s="86"/>
      <c r="EA106" s="86"/>
      <c r="EB106" s="86"/>
      <c r="EC106" s="86"/>
      <c r="ED106" s="86"/>
      <c r="EE106" s="86"/>
      <c r="EF106" s="86"/>
      <c r="EG106" s="86"/>
      <c r="EH106" s="86"/>
      <c r="EI106" s="86"/>
      <c r="EJ106" s="86"/>
      <c r="EK106" s="86"/>
      <c r="EL106" s="86"/>
      <c r="EM106" s="86"/>
      <c r="EN106" s="86"/>
      <c r="EO106" s="86"/>
      <c r="EP106" s="86"/>
      <c r="EQ106" s="86"/>
      <c r="ER106" s="86"/>
      <c r="ES106" s="86"/>
      <c r="ET106" s="86"/>
      <c r="EU106" s="86"/>
      <c r="EV106" s="86"/>
      <c r="EW106" s="86"/>
      <c r="EX106" s="86"/>
      <c r="EY106" s="86"/>
      <c r="EZ106" s="86"/>
      <c r="FA106" s="86"/>
    </row>
    <row r="107" spans="2:157" ht="9.75" customHeight="1">
      <c r="B107" s="845">
        <v>9</v>
      </c>
      <c r="C107" s="1344"/>
      <c r="D107" s="1344"/>
      <c r="E107" s="1344"/>
      <c r="F107" s="857"/>
      <c r="G107" s="857"/>
      <c r="H107" s="875" t="str">
        <f t="shared" si="4"/>
        <v/>
      </c>
      <c r="J107" s="101"/>
      <c r="K107" s="101"/>
      <c r="L107" s="101"/>
      <c r="Z107" s="86"/>
      <c r="AA107" s="86"/>
      <c r="AB107" s="86"/>
      <c r="AC107" s="86"/>
      <c r="AD107" s="86"/>
      <c r="AE107" s="86"/>
      <c r="AF107" s="86"/>
      <c r="AG107" s="86"/>
      <c r="AH107" s="86"/>
      <c r="AI107" s="86"/>
      <c r="AJ107" s="86"/>
      <c r="AK107" s="86"/>
      <c r="AL107" s="86"/>
      <c r="AM107" s="86"/>
      <c r="AN107" s="86"/>
      <c r="AO107" s="86"/>
      <c r="AP107" s="86"/>
      <c r="AQ107" s="86"/>
      <c r="AR107" s="86"/>
      <c r="AS107" s="86"/>
      <c r="AT107" s="86"/>
      <c r="AU107" s="86"/>
      <c r="AV107" s="86"/>
      <c r="AW107" s="86"/>
      <c r="AX107" s="86"/>
      <c r="AY107" s="86"/>
      <c r="AZ107" s="86"/>
      <c r="BA107" s="86"/>
      <c r="BB107" s="86"/>
      <c r="BC107" s="86"/>
      <c r="BD107" s="86"/>
      <c r="BE107" s="86"/>
      <c r="BF107" s="86"/>
      <c r="BG107" s="86"/>
      <c r="BH107" s="86"/>
      <c r="BI107" s="86"/>
      <c r="BJ107" s="86"/>
      <c r="BK107" s="86"/>
      <c r="BL107" s="86"/>
      <c r="BM107" s="86"/>
      <c r="BN107" s="86"/>
      <c r="BO107" s="86"/>
      <c r="BP107" s="86"/>
      <c r="BQ107" s="86"/>
      <c r="BR107" s="86"/>
      <c r="BS107" s="86"/>
      <c r="BT107" s="86"/>
      <c r="BU107" s="86"/>
      <c r="BV107" s="86"/>
      <c r="BW107" s="86"/>
      <c r="BX107" s="86"/>
      <c r="BY107" s="86"/>
      <c r="BZ107" s="86"/>
      <c r="CA107" s="86"/>
      <c r="CB107" s="86"/>
      <c r="CC107" s="86"/>
      <c r="CD107" s="86"/>
      <c r="CE107" s="86"/>
      <c r="CF107" s="86"/>
      <c r="CG107" s="86"/>
      <c r="CH107" s="86"/>
      <c r="CI107" s="86"/>
      <c r="CJ107" s="86"/>
      <c r="CK107" s="86"/>
      <c r="CL107" s="86"/>
      <c r="CM107" s="86"/>
      <c r="CN107" s="86"/>
      <c r="CO107" s="86"/>
      <c r="CP107" s="86"/>
      <c r="CQ107" s="86"/>
      <c r="CR107" s="86"/>
      <c r="CS107" s="86"/>
      <c r="CT107" s="86"/>
      <c r="CU107" s="86"/>
      <c r="CV107" s="86"/>
      <c r="CW107" s="86"/>
      <c r="CX107" s="86"/>
      <c r="CY107" s="86"/>
      <c r="CZ107" s="86"/>
      <c r="DA107" s="86"/>
      <c r="DB107" s="86"/>
      <c r="DC107" s="86"/>
      <c r="DD107" s="86"/>
      <c r="DE107" s="86"/>
      <c r="DF107" s="86"/>
      <c r="DG107" s="86"/>
      <c r="DH107" s="86"/>
      <c r="DI107" s="86"/>
      <c r="DJ107" s="86"/>
      <c r="DK107" s="86"/>
      <c r="DL107" s="86"/>
      <c r="DM107" s="86"/>
      <c r="DN107" s="86"/>
      <c r="DO107" s="86"/>
      <c r="DP107" s="86"/>
      <c r="DQ107" s="86"/>
      <c r="DR107" s="86"/>
      <c r="DS107" s="86"/>
      <c r="DT107" s="86"/>
      <c r="DU107" s="86"/>
      <c r="DV107" s="86"/>
      <c r="DW107" s="86"/>
      <c r="DX107" s="86"/>
      <c r="DY107" s="86"/>
      <c r="DZ107" s="86"/>
      <c r="EA107" s="86"/>
      <c r="EB107" s="86"/>
      <c r="EC107" s="86"/>
      <c r="ED107" s="86"/>
      <c r="EE107" s="86"/>
      <c r="EF107" s="86"/>
      <c r="EG107" s="86"/>
      <c r="EH107" s="86"/>
      <c r="EI107" s="86"/>
      <c r="EJ107" s="86"/>
      <c r="EK107" s="86"/>
      <c r="EL107" s="86"/>
      <c r="EM107" s="86"/>
      <c r="EN107" s="86"/>
      <c r="EO107" s="86"/>
      <c r="EP107" s="86"/>
      <c r="EQ107" s="86"/>
      <c r="ER107" s="86"/>
      <c r="ES107" s="86"/>
      <c r="ET107" s="86"/>
      <c r="EU107" s="86"/>
      <c r="EV107" s="86"/>
      <c r="EW107" s="86"/>
      <c r="EX107" s="86"/>
      <c r="EY107" s="86"/>
      <c r="EZ107" s="86"/>
      <c r="FA107" s="86"/>
    </row>
    <row r="108" spans="2:157" ht="10.050000000000001" customHeight="1">
      <c r="B108" s="845" t="s">
        <v>546</v>
      </c>
      <c r="C108" s="836" t="s">
        <v>73</v>
      </c>
      <c r="D108" s="839"/>
      <c r="E108" s="86"/>
      <c r="F108" s="848" t="s">
        <v>546</v>
      </c>
      <c r="G108" s="848" t="s">
        <v>546</v>
      </c>
      <c r="H108" s="858">
        <v>0.04</v>
      </c>
      <c r="J108" s="101"/>
      <c r="K108" s="101"/>
      <c r="L108" s="101"/>
      <c r="Z108" s="86"/>
      <c r="AA108" s="86"/>
      <c r="AB108" s="86"/>
      <c r="AC108" s="86"/>
      <c r="AD108" s="86"/>
      <c r="AE108" s="86"/>
      <c r="AF108" s="86"/>
      <c r="AG108" s="86"/>
      <c r="AH108" s="86"/>
      <c r="AI108" s="86"/>
      <c r="AJ108" s="86"/>
      <c r="AK108" s="86"/>
      <c r="AL108" s="86"/>
      <c r="AM108" s="86"/>
      <c r="AN108" s="86"/>
      <c r="AO108" s="86"/>
      <c r="AP108" s="86"/>
      <c r="AQ108" s="86"/>
      <c r="AR108" s="86"/>
      <c r="AS108" s="86"/>
      <c r="AT108" s="86"/>
      <c r="AU108" s="86"/>
      <c r="AV108" s="86"/>
      <c r="AW108" s="86"/>
      <c r="AX108" s="86"/>
      <c r="AY108" s="86"/>
      <c r="AZ108" s="86"/>
      <c r="BA108" s="86"/>
      <c r="BB108" s="86"/>
      <c r="BC108" s="86"/>
      <c r="BD108" s="86"/>
      <c r="BE108" s="86"/>
      <c r="BF108" s="86"/>
      <c r="BG108" s="86"/>
      <c r="BH108" s="86"/>
      <c r="BI108" s="86"/>
      <c r="BJ108" s="86"/>
      <c r="BK108" s="86"/>
      <c r="BL108" s="86"/>
      <c r="BM108" s="86"/>
      <c r="BN108" s="86"/>
      <c r="BO108" s="86"/>
      <c r="BP108" s="86"/>
      <c r="BQ108" s="86"/>
      <c r="BR108" s="86"/>
      <c r="BS108" s="86"/>
      <c r="BT108" s="86"/>
      <c r="BU108" s="86"/>
      <c r="BV108" s="86"/>
      <c r="BW108" s="86"/>
      <c r="BX108" s="86"/>
      <c r="BY108" s="86"/>
      <c r="BZ108" s="86"/>
      <c r="CA108" s="86"/>
      <c r="CB108" s="86"/>
      <c r="CC108" s="86"/>
      <c r="CD108" s="86"/>
      <c r="CE108" s="86"/>
      <c r="CF108" s="86"/>
      <c r="CG108" s="86"/>
      <c r="CH108" s="86"/>
      <c r="CI108" s="86"/>
      <c r="CJ108" s="86"/>
      <c r="CK108" s="86"/>
      <c r="CL108" s="86"/>
      <c r="CM108" s="86"/>
      <c r="CN108" s="86"/>
      <c r="CO108" s="86"/>
      <c r="CP108" s="86"/>
      <c r="CQ108" s="86"/>
      <c r="CR108" s="86"/>
      <c r="CS108" s="86"/>
      <c r="CT108" s="86"/>
      <c r="CU108" s="86"/>
      <c r="CV108" s="86"/>
      <c r="CW108" s="86"/>
      <c r="CX108" s="86"/>
      <c r="CY108" s="86"/>
      <c r="CZ108" s="86"/>
      <c r="DA108" s="86"/>
      <c r="DB108" s="86"/>
      <c r="DC108" s="86"/>
      <c r="DD108" s="86"/>
      <c r="DE108" s="86"/>
      <c r="DF108" s="86"/>
      <c r="DG108" s="86"/>
      <c r="DH108" s="86"/>
      <c r="DI108" s="86"/>
      <c r="DJ108" s="86"/>
      <c r="DK108" s="86"/>
      <c r="DL108" s="86"/>
      <c r="DM108" s="86"/>
      <c r="DN108" s="86"/>
      <c r="DO108" s="86"/>
      <c r="DP108" s="86"/>
      <c r="DQ108" s="86"/>
      <c r="DR108" s="86"/>
      <c r="DS108" s="86"/>
      <c r="DT108" s="86"/>
      <c r="DU108" s="86"/>
      <c r="DV108" s="86"/>
      <c r="DW108" s="86"/>
      <c r="DX108" s="86"/>
      <c r="DY108" s="86"/>
      <c r="DZ108" s="86"/>
      <c r="EA108" s="86"/>
      <c r="EB108" s="86"/>
      <c r="EC108" s="86"/>
      <c r="ED108" s="86"/>
      <c r="EE108" s="86"/>
      <c r="EF108" s="86"/>
      <c r="EG108" s="86"/>
      <c r="EH108" s="86"/>
      <c r="EI108" s="86"/>
      <c r="EJ108" s="86"/>
      <c r="EK108" s="86"/>
      <c r="EL108" s="86"/>
      <c r="EM108" s="86"/>
      <c r="EN108" s="86"/>
      <c r="EO108" s="86"/>
      <c r="EP108" s="86"/>
      <c r="EQ108" s="86"/>
      <c r="ER108" s="86"/>
      <c r="ES108" s="86"/>
      <c r="ET108" s="86"/>
      <c r="EU108" s="86"/>
      <c r="EV108" s="86"/>
      <c r="EW108" s="86"/>
      <c r="EX108" s="86"/>
      <c r="EY108" s="86"/>
      <c r="EZ108" s="86"/>
      <c r="FA108" s="86"/>
    </row>
    <row r="109" spans="2:157" ht="9.75" customHeight="1">
      <c r="B109" s="849"/>
      <c r="C109" s="849"/>
      <c r="D109" s="849"/>
      <c r="E109" s="849"/>
      <c r="F109" s="849"/>
      <c r="G109" s="849"/>
      <c r="H109" s="855"/>
      <c r="J109" s="101"/>
      <c r="K109" s="101"/>
      <c r="L109" s="101"/>
      <c r="Z109" s="86"/>
      <c r="AA109" s="86"/>
      <c r="AB109" s="86"/>
      <c r="AC109" s="86"/>
      <c r="AD109" s="86"/>
      <c r="AE109" s="86"/>
      <c r="AF109" s="86"/>
      <c r="AG109" s="86"/>
      <c r="AH109" s="86"/>
      <c r="AI109" s="86"/>
      <c r="AJ109" s="86"/>
      <c r="AK109" s="86"/>
      <c r="AL109" s="86"/>
      <c r="AM109" s="86"/>
      <c r="AN109" s="86"/>
      <c r="AO109" s="86"/>
      <c r="AP109" s="86"/>
      <c r="AQ109" s="86"/>
      <c r="AR109" s="86"/>
      <c r="AS109" s="86"/>
      <c r="AT109" s="86"/>
      <c r="AU109" s="86"/>
      <c r="AV109" s="86"/>
      <c r="AW109" s="86"/>
      <c r="AX109" s="86"/>
      <c r="AY109" s="86"/>
      <c r="AZ109" s="86"/>
      <c r="BA109" s="86"/>
      <c r="BB109" s="86"/>
      <c r="BC109" s="86"/>
      <c r="BD109" s="86"/>
      <c r="BE109" s="86"/>
      <c r="BF109" s="86"/>
      <c r="BG109" s="86"/>
      <c r="BH109" s="86"/>
      <c r="BI109" s="86"/>
      <c r="BJ109" s="86"/>
      <c r="BK109" s="86"/>
      <c r="BL109" s="86"/>
      <c r="BM109" s="86"/>
      <c r="BN109" s="86"/>
      <c r="BO109" s="86"/>
      <c r="BP109" s="86"/>
      <c r="BQ109" s="86"/>
      <c r="BR109" s="86"/>
      <c r="BS109" s="86"/>
      <c r="BT109" s="86"/>
      <c r="BU109" s="86"/>
      <c r="BV109" s="86"/>
      <c r="BW109" s="86"/>
      <c r="BX109" s="86"/>
      <c r="BY109" s="86"/>
      <c r="BZ109" s="86"/>
      <c r="CA109" s="86"/>
      <c r="CB109" s="86"/>
      <c r="CC109" s="86"/>
      <c r="CD109" s="86"/>
      <c r="CE109" s="86"/>
      <c r="CF109" s="86"/>
      <c r="CG109" s="86"/>
      <c r="CH109" s="86"/>
      <c r="CI109" s="86"/>
      <c r="CJ109" s="86"/>
      <c r="CK109" s="86"/>
      <c r="CL109" s="86"/>
      <c r="CM109" s="86"/>
      <c r="CN109" s="86"/>
      <c r="CO109" s="86"/>
      <c r="CP109" s="86"/>
      <c r="CQ109" s="86"/>
      <c r="CR109" s="86"/>
      <c r="CS109" s="86"/>
      <c r="CT109" s="86"/>
      <c r="CU109" s="86"/>
      <c r="CV109" s="86"/>
      <c r="CW109" s="86"/>
      <c r="CX109" s="86"/>
      <c r="CY109" s="86"/>
      <c r="CZ109" s="86"/>
      <c r="DA109" s="86"/>
      <c r="DB109" s="86"/>
      <c r="DC109" s="86"/>
      <c r="DD109" s="86"/>
      <c r="DE109" s="86"/>
      <c r="DF109" s="86"/>
      <c r="DG109" s="86"/>
      <c r="DH109" s="86"/>
      <c r="DI109" s="86"/>
      <c r="DJ109" s="86"/>
      <c r="DK109" s="86"/>
      <c r="DL109" s="86"/>
      <c r="DM109" s="86"/>
      <c r="DN109" s="86"/>
      <c r="DO109" s="86"/>
      <c r="DP109" s="86"/>
      <c r="DQ109" s="86"/>
      <c r="DR109" s="86"/>
      <c r="DS109" s="86"/>
      <c r="DT109" s="86"/>
      <c r="DU109" s="86"/>
      <c r="DV109" s="86"/>
      <c r="DW109" s="86"/>
      <c r="DX109" s="86"/>
      <c r="DY109" s="86"/>
      <c r="DZ109" s="86"/>
      <c r="EA109" s="86"/>
      <c r="EB109" s="86"/>
      <c r="EC109" s="86"/>
      <c r="ED109" s="86"/>
      <c r="EE109" s="86"/>
      <c r="EF109" s="86"/>
      <c r="EG109" s="86"/>
      <c r="EH109" s="86"/>
      <c r="EI109" s="86"/>
      <c r="EJ109" s="86"/>
      <c r="EK109" s="86"/>
      <c r="EL109" s="86"/>
      <c r="EM109" s="86"/>
      <c r="EN109" s="86"/>
      <c r="EO109" s="86"/>
      <c r="EP109" s="86"/>
      <c r="EQ109" s="86"/>
      <c r="ER109" s="86"/>
      <c r="ES109" s="86"/>
      <c r="ET109" s="86"/>
      <c r="EU109" s="86"/>
      <c r="EV109" s="86"/>
      <c r="EW109" s="86"/>
      <c r="EX109" s="86"/>
      <c r="EY109" s="86"/>
      <c r="EZ109" s="86"/>
      <c r="FA109" s="86"/>
    </row>
    <row r="110" spans="2:157" ht="9.75" customHeight="1">
      <c r="B110" s="27"/>
      <c r="C110" s="27"/>
      <c r="D110" s="27"/>
      <c r="E110" s="91"/>
      <c r="F110" s="171"/>
      <c r="G110" s="29"/>
      <c r="H110" s="27"/>
      <c r="J110" s="101"/>
      <c r="K110" s="101"/>
      <c r="L110" s="101"/>
      <c r="Z110" s="86"/>
      <c r="AA110" s="86"/>
      <c r="AB110" s="86"/>
      <c r="AC110" s="86"/>
      <c r="AD110" s="86"/>
      <c r="AE110" s="86"/>
      <c r="AF110" s="86"/>
      <c r="AG110" s="86"/>
      <c r="AH110" s="86"/>
      <c r="AI110" s="86"/>
      <c r="AJ110" s="86"/>
      <c r="AK110" s="86"/>
      <c r="AL110" s="86"/>
      <c r="AM110" s="86"/>
      <c r="AN110" s="86"/>
      <c r="AO110" s="86"/>
      <c r="AP110" s="86"/>
      <c r="AQ110" s="86"/>
      <c r="AR110" s="86"/>
      <c r="AS110" s="86"/>
      <c r="AT110" s="86"/>
      <c r="AU110" s="86"/>
      <c r="AV110" s="86"/>
      <c r="AW110" s="86"/>
      <c r="AX110" s="86"/>
      <c r="AY110" s="86"/>
      <c r="AZ110" s="86"/>
      <c r="BA110" s="86"/>
      <c r="BB110" s="86"/>
      <c r="BC110" s="86"/>
      <c r="BD110" s="86"/>
      <c r="BE110" s="86"/>
      <c r="BF110" s="86"/>
      <c r="BG110" s="86"/>
      <c r="BH110" s="86"/>
      <c r="BI110" s="86"/>
      <c r="BJ110" s="86"/>
      <c r="BK110" s="86"/>
      <c r="BL110" s="86"/>
      <c r="BM110" s="86"/>
      <c r="BN110" s="86"/>
      <c r="BO110" s="86"/>
      <c r="BP110" s="86"/>
      <c r="BQ110" s="86"/>
      <c r="BR110" s="86"/>
      <c r="BS110" s="86"/>
      <c r="BT110" s="86"/>
      <c r="BU110" s="86"/>
      <c r="BV110" s="86"/>
      <c r="BW110" s="86"/>
      <c r="BX110" s="86"/>
      <c r="BY110" s="86"/>
      <c r="BZ110" s="86"/>
      <c r="CA110" s="86"/>
      <c r="CB110" s="86"/>
      <c r="CC110" s="86"/>
      <c r="CD110" s="86"/>
      <c r="CE110" s="86"/>
      <c r="CF110" s="86"/>
      <c r="CG110" s="86"/>
      <c r="CH110" s="86"/>
      <c r="CI110" s="86"/>
      <c r="CJ110" s="86"/>
      <c r="CK110" s="86"/>
      <c r="CL110" s="86"/>
      <c r="CM110" s="86"/>
      <c r="CN110" s="86"/>
      <c r="CO110" s="86"/>
      <c r="CP110" s="86"/>
      <c r="CQ110" s="86"/>
      <c r="CR110" s="86"/>
      <c r="CS110" s="86"/>
      <c r="CT110" s="86"/>
      <c r="CU110" s="86"/>
      <c r="CV110" s="86"/>
      <c r="CW110" s="86"/>
      <c r="CX110" s="86"/>
      <c r="CY110" s="86"/>
      <c r="CZ110" s="86"/>
      <c r="DA110" s="86"/>
      <c r="DB110" s="86"/>
      <c r="DC110" s="86"/>
      <c r="DD110" s="86"/>
      <c r="DE110" s="86"/>
      <c r="DF110" s="86"/>
      <c r="DG110" s="86"/>
      <c r="DH110" s="86"/>
      <c r="DI110" s="86"/>
      <c r="DJ110" s="86"/>
      <c r="DK110" s="86"/>
      <c r="DL110" s="86"/>
      <c r="DM110" s="86"/>
      <c r="DN110" s="86"/>
      <c r="DO110" s="86"/>
      <c r="DP110" s="86"/>
      <c r="DQ110" s="86"/>
      <c r="DR110" s="86"/>
      <c r="DS110" s="86"/>
      <c r="DT110" s="86"/>
      <c r="DU110" s="86"/>
      <c r="DV110" s="86"/>
      <c r="DW110" s="86"/>
      <c r="DX110" s="86"/>
      <c r="DY110" s="86"/>
      <c r="DZ110" s="86"/>
      <c r="EA110" s="86"/>
      <c r="EB110" s="86"/>
      <c r="EC110" s="86"/>
      <c r="ED110" s="86"/>
      <c r="EE110" s="86"/>
      <c r="EF110" s="86"/>
      <c r="EG110" s="86"/>
      <c r="EH110" s="86"/>
      <c r="EI110" s="86"/>
      <c r="EJ110" s="86"/>
      <c r="EK110" s="86"/>
      <c r="EL110" s="86"/>
      <c r="EM110" s="86"/>
      <c r="EN110" s="86"/>
      <c r="EO110" s="86"/>
      <c r="EP110" s="86"/>
      <c r="EQ110" s="86"/>
      <c r="ER110" s="86"/>
      <c r="ES110" s="86"/>
      <c r="ET110" s="86"/>
      <c r="EU110" s="86"/>
      <c r="EV110" s="86"/>
      <c r="EW110" s="86"/>
      <c r="EX110" s="86"/>
      <c r="EY110" s="86"/>
      <c r="EZ110" s="86"/>
      <c r="FA110" s="86"/>
    </row>
    <row r="111" spans="2:157" ht="9.75" customHeight="1">
      <c r="B111" s="27"/>
      <c r="C111" s="27"/>
      <c r="D111" s="27"/>
      <c r="E111" s="27"/>
      <c r="F111" s="27"/>
      <c r="G111" s="27"/>
      <c r="H111" s="27"/>
      <c r="J111" s="101"/>
      <c r="K111" s="101"/>
      <c r="L111" s="101"/>
      <c r="Z111" s="86"/>
      <c r="AA111" s="86"/>
      <c r="AB111" s="86"/>
      <c r="AC111" s="86"/>
      <c r="AD111" s="86"/>
      <c r="AE111" s="86"/>
      <c r="AF111" s="86"/>
      <c r="AG111" s="86"/>
      <c r="AH111" s="86"/>
      <c r="AI111" s="86"/>
      <c r="AJ111" s="86"/>
      <c r="AK111" s="86"/>
      <c r="AL111" s="86"/>
      <c r="AM111" s="86"/>
      <c r="AN111" s="86"/>
      <c r="AO111" s="86"/>
      <c r="AP111" s="86"/>
      <c r="AQ111" s="86"/>
      <c r="AR111" s="86"/>
      <c r="AS111" s="86"/>
      <c r="AT111" s="86"/>
      <c r="AU111" s="86"/>
      <c r="AV111" s="86"/>
      <c r="AW111" s="86"/>
      <c r="AX111" s="86"/>
      <c r="AY111" s="86"/>
      <c r="AZ111" s="86"/>
      <c r="BA111" s="86"/>
      <c r="BB111" s="86"/>
      <c r="BC111" s="86"/>
      <c r="BD111" s="86"/>
      <c r="BE111" s="86"/>
      <c r="BF111" s="86"/>
      <c r="BG111" s="86"/>
      <c r="BH111" s="86"/>
      <c r="BI111" s="86"/>
      <c r="BJ111" s="86"/>
      <c r="BK111" s="86"/>
      <c r="BL111" s="86"/>
      <c r="BM111" s="86"/>
      <c r="BN111" s="86"/>
      <c r="BO111" s="86"/>
      <c r="BP111" s="86"/>
      <c r="BQ111" s="86"/>
      <c r="BR111" s="86"/>
      <c r="BS111" s="86"/>
      <c r="BT111" s="86"/>
      <c r="BU111" s="86"/>
      <c r="BV111" s="86"/>
      <c r="BW111" s="86"/>
      <c r="BX111" s="86"/>
      <c r="BY111" s="86"/>
      <c r="BZ111" s="86"/>
      <c r="CA111" s="86"/>
      <c r="CB111" s="86"/>
      <c r="CC111" s="86"/>
      <c r="CD111" s="86"/>
      <c r="CE111" s="86"/>
      <c r="CF111" s="86"/>
      <c r="CG111" s="86"/>
      <c r="CH111" s="86"/>
      <c r="CI111" s="86"/>
      <c r="CJ111" s="86"/>
      <c r="CK111" s="86"/>
      <c r="CL111" s="86"/>
      <c r="CM111" s="86"/>
      <c r="CN111" s="86"/>
      <c r="CO111" s="86"/>
      <c r="CP111" s="86"/>
      <c r="CQ111" s="86"/>
      <c r="CR111" s="86"/>
      <c r="CS111" s="86"/>
      <c r="CT111" s="86"/>
      <c r="CU111" s="86"/>
      <c r="CV111" s="86"/>
      <c r="CW111" s="86"/>
      <c r="CX111" s="86"/>
      <c r="CY111" s="86"/>
      <c r="CZ111" s="86"/>
      <c r="DA111" s="86"/>
      <c r="DB111" s="86"/>
      <c r="DC111" s="86"/>
      <c r="DD111" s="86"/>
      <c r="DE111" s="86"/>
      <c r="DF111" s="86"/>
      <c r="DG111" s="86"/>
      <c r="DH111" s="86"/>
      <c r="DI111" s="86"/>
      <c r="DJ111" s="86"/>
      <c r="DK111" s="86"/>
      <c r="DL111" s="86"/>
      <c r="DM111" s="86"/>
      <c r="DN111" s="86"/>
      <c r="DO111" s="86"/>
      <c r="DP111" s="86"/>
      <c r="DQ111" s="86"/>
      <c r="DR111" s="86"/>
      <c r="DS111" s="86"/>
      <c r="DT111" s="86"/>
      <c r="DU111" s="86"/>
      <c r="DV111" s="86"/>
      <c r="DW111" s="86"/>
      <c r="DX111" s="86"/>
      <c r="DY111" s="86"/>
      <c r="DZ111" s="86"/>
      <c r="EA111" s="86"/>
      <c r="EB111" s="86"/>
      <c r="EC111" s="86"/>
      <c r="ED111" s="86"/>
      <c r="EE111" s="86"/>
      <c r="EF111" s="86"/>
      <c r="EG111" s="86"/>
      <c r="EH111" s="86"/>
      <c r="EI111" s="86"/>
      <c r="EJ111" s="86"/>
      <c r="EK111" s="86"/>
      <c r="EL111" s="86"/>
      <c r="EM111" s="86"/>
      <c r="EN111" s="86"/>
      <c r="EO111" s="86"/>
      <c r="EP111" s="86"/>
      <c r="EQ111" s="86"/>
      <c r="ER111" s="86"/>
      <c r="ES111" s="86"/>
      <c r="ET111" s="86"/>
      <c r="EU111" s="86"/>
      <c r="EV111" s="86"/>
      <c r="EW111" s="86"/>
      <c r="EX111" s="86"/>
      <c r="EY111" s="86"/>
      <c r="EZ111" s="86"/>
      <c r="FA111" s="86"/>
    </row>
    <row r="112" spans="2:157" ht="9.75" customHeight="1">
      <c r="B112" s="27"/>
      <c r="C112" s="27"/>
      <c r="D112" s="27"/>
      <c r="E112" s="27"/>
      <c r="F112" s="27"/>
      <c r="G112" s="27"/>
      <c r="H112" s="27"/>
      <c r="J112" s="101"/>
      <c r="K112" s="101"/>
      <c r="L112" s="101"/>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86"/>
      <c r="AX112" s="86"/>
      <c r="AY112" s="86"/>
      <c r="AZ112" s="86"/>
      <c r="BA112" s="86"/>
      <c r="BB112" s="86"/>
      <c r="BC112" s="86"/>
      <c r="BD112" s="86"/>
      <c r="BE112" s="86"/>
      <c r="BF112" s="86"/>
      <c r="BG112" s="86"/>
      <c r="BH112" s="86"/>
      <c r="BI112" s="86"/>
      <c r="BJ112" s="86"/>
      <c r="BK112" s="86"/>
      <c r="BL112" s="86"/>
      <c r="BM112" s="86"/>
      <c r="BN112" s="86"/>
      <c r="BO112" s="86"/>
      <c r="BP112" s="86"/>
      <c r="BQ112" s="86"/>
      <c r="BR112" s="86"/>
      <c r="BS112" s="86"/>
      <c r="BT112" s="86"/>
      <c r="BU112" s="86"/>
      <c r="BV112" s="86"/>
      <c r="BW112" s="86"/>
      <c r="BX112" s="86"/>
      <c r="BY112" s="86"/>
      <c r="BZ112" s="86"/>
      <c r="CA112" s="86"/>
      <c r="CB112" s="86"/>
      <c r="CC112" s="86"/>
      <c r="CD112" s="86"/>
      <c r="CE112" s="86"/>
      <c r="CF112" s="86"/>
      <c r="CG112" s="86"/>
      <c r="CH112" s="86"/>
      <c r="CI112" s="86"/>
      <c r="CJ112" s="86"/>
      <c r="CK112" s="86"/>
      <c r="CL112" s="86"/>
      <c r="CM112" s="86"/>
      <c r="CN112" s="86"/>
      <c r="CO112" s="86"/>
      <c r="CP112" s="86"/>
      <c r="CQ112" s="86"/>
      <c r="CR112" s="86"/>
      <c r="CS112" s="86"/>
      <c r="CT112" s="86"/>
      <c r="CU112" s="86"/>
      <c r="CV112" s="86"/>
      <c r="CW112" s="86"/>
      <c r="CX112" s="86"/>
      <c r="CY112" s="86"/>
      <c r="CZ112" s="86"/>
      <c r="DA112" s="86"/>
      <c r="DB112" s="86"/>
      <c r="DC112" s="86"/>
      <c r="DD112" s="86"/>
      <c r="DE112" s="86"/>
      <c r="DF112" s="86"/>
      <c r="DG112" s="86"/>
      <c r="DH112" s="86"/>
      <c r="DI112" s="86"/>
      <c r="DJ112" s="86"/>
      <c r="DK112" s="86"/>
      <c r="DL112" s="86"/>
      <c r="DM112" s="86"/>
      <c r="DN112" s="86"/>
      <c r="DO112" s="86"/>
      <c r="DP112" s="86"/>
      <c r="DQ112" s="86"/>
      <c r="DR112" s="86"/>
      <c r="DS112" s="86"/>
      <c r="DT112" s="86"/>
      <c r="DU112" s="86"/>
      <c r="DV112" s="86"/>
      <c r="DW112" s="86"/>
      <c r="DX112" s="86"/>
      <c r="DY112" s="86"/>
      <c r="DZ112" s="86"/>
      <c r="EA112" s="86"/>
      <c r="EB112" s="86"/>
      <c r="EC112" s="86"/>
      <c r="ED112" s="86"/>
      <c r="EE112" s="86"/>
      <c r="EF112" s="86"/>
      <c r="EG112" s="86"/>
      <c r="EH112" s="86"/>
      <c r="EI112" s="86"/>
      <c r="EJ112" s="86"/>
      <c r="EK112" s="86"/>
      <c r="EL112" s="86"/>
      <c r="EM112" s="86"/>
      <c r="EN112" s="86"/>
      <c r="EO112" s="86"/>
      <c r="EP112" s="86"/>
      <c r="EQ112" s="86"/>
      <c r="ER112" s="86"/>
      <c r="ES112" s="86"/>
      <c r="ET112" s="86"/>
      <c r="EU112" s="86"/>
      <c r="EV112" s="86"/>
      <c r="EW112" s="86"/>
      <c r="EX112" s="86"/>
      <c r="EY112" s="86"/>
      <c r="EZ112" s="86"/>
      <c r="FA112" s="86"/>
    </row>
    <row r="113" spans="2:157" ht="9.75" customHeight="1">
      <c r="B113" s="31"/>
      <c r="C113" s="31"/>
      <c r="D113" s="31"/>
      <c r="E113" s="31"/>
      <c r="F113" s="31"/>
      <c r="G113" s="31"/>
      <c r="H113" s="31"/>
      <c r="J113" s="101"/>
      <c r="K113" s="101"/>
      <c r="L113" s="101"/>
      <c r="Z113" s="86"/>
      <c r="AA113" s="86"/>
      <c r="AB113" s="86"/>
      <c r="AC113" s="86"/>
      <c r="AD113" s="86"/>
      <c r="AE113" s="86"/>
      <c r="AF113" s="86"/>
      <c r="AG113" s="86"/>
      <c r="AH113" s="86"/>
      <c r="AI113" s="86"/>
      <c r="AJ113" s="86"/>
      <c r="AK113" s="86"/>
      <c r="AL113" s="86"/>
      <c r="AM113" s="86"/>
      <c r="AN113" s="86"/>
      <c r="AO113" s="86"/>
      <c r="AP113" s="86"/>
      <c r="AQ113" s="86"/>
      <c r="AR113" s="86"/>
      <c r="AS113" s="86"/>
      <c r="AT113" s="86"/>
      <c r="AU113" s="86"/>
      <c r="AV113" s="86"/>
      <c r="AW113" s="86"/>
      <c r="AX113" s="86"/>
      <c r="AY113" s="86"/>
      <c r="AZ113" s="86"/>
      <c r="BA113" s="86"/>
      <c r="BB113" s="86"/>
      <c r="BC113" s="86"/>
      <c r="BD113" s="86"/>
      <c r="BE113" s="86"/>
      <c r="BF113" s="86"/>
      <c r="BG113" s="86"/>
      <c r="BH113" s="86"/>
      <c r="BI113" s="86"/>
      <c r="BJ113" s="86"/>
      <c r="BK113" s="86"/>
      <c r="BL113" s="86"/>
      <c r="BM113" s="86"/>
      <c r="BN113" s="86"/>
      <c r="BO113" s="86"/>
      <c r="BP113" s="86"/>
      <c r="BQ113" s="86"/>
      <c r="BR113" s="86"/>
      <c r="BS113" s="86"/>
      <c r="BT113" s="86"/>
      <c r="BU113" s="86"/>
      <c r="BV113" s="86"/>
      <c r="BW113" s="86"/>
      <c r="BX113" s="86"/>
      <c r="BY113" s="86"/>
      <c r="BZ113" s="86"/>
      <c r="CA113" s="86"/>
      <c r="CB113" s="86"/>
      <c r="CC113" s="86"/>
      <c r="CD113" s="86"/>
      <c r="CE113" s="86"/>
      <c r="CF113" s="86"/>
      <c r="CG113" s="86"/>
      <c r="CH113" s="86"/>
      <c r="CI113" s="86"/>
      <c r="CJ113" s="86"/>
      <c r="CK113" s="86"/>
      <c r="CL113" s="86"/>
      <c r="CM113" s="86"/>
      <c r="CN113" s="86"/>
      <c r="CO113" s="86"/>
      <c r="CP113" s="86"/>
      <c r="CQ113" s="86"/>
      <c r="CR113" s="86"/>
      <c r="CS113" s="86"/>
      <c r="CT113" s="86"/>
      <c r="CU113" s="86"/>
      <c r="CV113" s="86"/>
      <c r="CW113" s="86"/>
      <c r="CX113" s="86"/>
      <c r="CY113" s="86"/>
      <c r="CZ113" s="86"/>
      <c r="DA113" s="86"/>
      <c r="DB113" s="86"/>
      <c r="DC113" s="86"/>
      <c r="DD113" s="86"/>
      <c r="DE113" s="86"/>
      <c r="DF113" s="86"/>
      <c r="DG113" s="86"/>
      <c r="DH113" s="86"/>
      <c r="DI113" s="86"/>
      <c r="DJ113" s="86"/>
      <c r="DK113" s="86"/>
      <c r="DL113" s="86"/>
      <c r="DM113" s="86"/>
      <c r="DN113" s="86"/>
      <c r="DO113" s="86"/>
      <c r="DP113" s="86"/>
      <c r="DQ113" s="86"/>
      <c r="DR113" s="86"/>
      <c r="DS113" s="86"/>
      <c r="DT113" s="86"/>
      <c r="DU113" s="86"/>
      <c r="DV113" s="86"/>
      <c r="DW113" s="86"/>
      <c r="DX113" s="86"/>
      <c r="DY113" s="86"/>
      <c r="DZ113" s="86"/>
      <c r="EA113" s="86"/>
      <c r="EB113" s="86"/>
      <c r="EC113" s="86"/>
      <c r="ED113" s="86"/>
      <c r="EE113" s="86"/>
      <c r="EF113" s="86"/>
      <c r="EG113" s="86"/>
      <c r="EH113" s="86"/>
      <c r="EI113" s="86"/>
      <c r="EJ113" s="86"/>
      <c r="EK113" s="86"/>
      <c r="EL113" s="86"/>
      <c r="EM113" s="86"/>
      <c r="EN113" s="86"/>
      <c r="EO113" s="86"/>
      <c r="EP113" s="86"/>
      <c r="EQ113" s="86"/>
      <c r="ER113" s="86"/>
      <c r="ES113" s="86"/>
      <c r="ET113" s="86"/>
      <c r="EU113" s="86"/>
      <c r="EV113" s="86"/>
      <c r="EW113" s="86"/>
      <c r="EX113" s="86"/>
      <c r="EY113" s="86"/>
      <c r="EZ113" s="86"/>
      <c r="FA113" s="86"/>
    </row>
    <row r="114" spans="2:157" ht="10.95" customHeight="1">
      <c r="B114" s="1347" t="s">
        <v>510</v>
      </c>
      <c r="C114" s="1348"/>
      <c r="D114" s="1345"/>
      <c r="E114" s="1346"/>
      <c r="F114" s="842"/>
      <c r="G114" s="837" t="s">
        <v>4</v>
      </c>
      <c r="H114" s="856"/>
      <c r="J114" s="101"/>
      <c r="K114" s="101"/>
      <c r="L114" s="101"/>
      <c r="Z114" s="86"/>
      <c r="AA114" s="86"/>
      <c r="AB114" s="86"/>
      <c r="AC114" s="86"/>
      <c r="AD114" s="86"/>
      <c r="AE114" s="86"/>
      <c r="AF114" s="86"/>
      <c r="AG114" s="86"/>
      <c r="AH114" s="86"/>
      <c r="AI114" s="86"/>
      <c r="AJ114" s="86"/>
      <c r="AK114" s="86"/>
      <c r="AL114" s="86"/>
      <c r="AM114" s="86"/>
      <c r="AN114" s="86"/>
      <c r="AO114" s="86"/>
      <c r="AP114" s="86"/>
      <c r="AQ114" s="86"/>
      <c r="AR114" s="86"/>
      <c r="AS114" s="86"/>
      <c r="AT114" s="86"/>
      <c r="AU114" s="86"/>
      <c r="AV114" s="86"/>
      <c r="AW114" s="86"/>
      <c r="AX114" s="86"/>
      <c r="AY114" s="86"/>
      <c r="AZ114" s="86"/>
      <c r="BA114" s="86"/>
      <c r="BB114" s="86"/>
      <c r="BC114" s="86"/>
      <c r="BD114" s="86"/>
      <c r="BE114" s="86"/>
      <c r="BF114" s="86"/>
      <c r="BG114" s="86"/>
      <c r="BH114" s="86"/>
      <c r="BI114" s="86"/>
      <c r="BJ114" s="86"/>
      <c r="BK114" s="86"/>
      <c r="BL114" s="86"/>
      <c r="BM114" s="86"/>
      <c r="BN114" s="86"/>
      <c r="BO114" s="86"/>
      <c r="BP114" s="86"/>
      <c r="BQ114" s="86"/>
      <c r="BR114" s="86"/>
      <c r="BS114" s="86"/>
      <c r="BT114" s="86"/>
      <c r="BU114" s="86"/>
      <c r="BV114" s="86"/>
      <c r="BW114" s="86"/>
      <c r="BX114" s="86"/>
      <c r="BY114" s="86"/>
      <c r="BZ114" s="86"/>
      <c r="CA114" s="86"/>
      <c r="CB114" s="86"/>
      <c r="CC114" s="86"/>
      <c r="CD114" s="86"/>
      <c r="CE114" s="86"/>
      <c r="CF114" s="86"/>
      <c r="CG114" s="86"/>
      <c r="CH114" s="86"/>
      <c r="CI114" s="86"/>
      <c r="CJ114" s="86"/>
      <c r="CK114" s="86"/>
      <c r="CL114" s="86"/>
      <c r="CM114" s="86"/>
      <c r="CN114" s="86"/>
      <c r="CO114" s="86"/>
      <c r="CP114" s="86"/>
      <c r="CQ114" s="86"/>
      <c r="CR114" s="86"/>
      <c r="CS114" s="86"/>
      <c r="CT114" s="86"/>
      <c r="CU114" s="86"/>
      <c r="CV114" s="86"/>
      <c r="CW114" s="86"/>
      <c r="CX114" s="86"/>
      <c r="CY114" s="86"/>
      <c r="CZ114" s="86"/>
      <c r="DA114" s="86"/>
      <c r="DB114" s="86"/>
      <c r="DC114" s="86"/>
      <c r="DD114" s="86"/>
      <c r="DE114" s="86"/>
      <c r="DF114" s="86"/>
      <c r="DG114" s="86"/>
      <c r="DH114" s="86"/>
      <c r="DI114" s="86"/>
      <c r="DJ114" s="86"/>
      <c r="DK114" s="86"/>
      <c r="DL114" s="86"/>
      <c r="DM114" s="86"/>
      <c r="DN114" s="86"/>
      <c r="DO114" s="86"/>
      <c r="DP114" s="86"/>
      <c r="DQ114" s="86"/>
      <c r="DR114" s="86"/>
      <c r="DS114" s="86"/>
      <c r="DT114" s="86"/>
      <c r="DU114" s="86"/>
      <c r="DV114" s="86"/>
      <c r="DW114" s="86"/>
      <c r="DX114" s="86"/>
      <c r="DY114" s="86"/>
      <c r="DZ114" s="86"/>
      <c r="EA114" s="86"/>
      <c r="EB114" s="86"/>
      <c r="EC114" s="86"/>
      <c r="ED114" s="86"/>
      <c r="EE114" s="86"/>
      <c r="EF114" s="86"/>
      <c r="EG114" s="86"/>
      <c r="EH114" s="86"/>
      <c r="EI114" s="86"/>
      <c r="EJ114" s="86"/>
      <c r="EK114" s="86"/>
      <c r="EL114" s="86"/>
      <c r="EM114" s="86"/>
      <c r="EN114" s="86"/>
      <c r="EO114" s="86"/>
      <c r="EP114" s="86"/>
      <c r="EQ114" s="86"/>
      <c r="ER114" s="86"/>
      <c r="ES114" s="86"/>
      <c r="ET114" s="86"/>
      <c r="EU114" s="86"/>
      <c r="EV114" s="86"/>
      <c r="EW114" s="86"/>
      <c r="EX114" s="86"/>
      <c r="EY114" s="86"/>
      <c r="EZ114" s="86"/>
      <c r="FA114" s="86"/>
    </row>
    <row r="115" spans="2:157" ht="10.95" customHeight="1">
      <c r="B115" s="1347" t="s">
        <v>582</v>
      </c>
      <c r="C115" s="1349"/>
      <c r="D115" s="1345"/>
      <c r="E115" s="1346"/>
      <c r="F115" s="839"/>
      <c r="G115" s="853" t="s">
        <v>345</v>
      </c>
      <c r="H115" s="854">
        <f>ROUND(1/(SUM(H118:H128)),2)</f>
        <v>5.88</v>
      </c>
      <c r="J115" s="101"/>
      <c r="K115" s="101"/>
      <c r="L115" s="101"/>
      <c r="Z115" s="86"/>
      <c r="AA115" s="86"/>
      <c r="AB115" s="86"/>
      <c r="AC115" s="86"/>
      <c r="AD115" s="86"/>
      <c r="AE115" s="86"/>
      <c r="AF115" s="86"/>
      <c r="AG115" s="86"/>
      <c r="AH115" s="86"/>
      <c r="AI115" s="86"/>
      <c r="AJ115" s="86"/>
      <c r="AK115" s="86"/>
      <c r="AL115" s="86"/>
      <c r="AM115" s="86"/>
      <c r="AN115" s="86"/>
      <c r="AO115" s="86"/>
      <c r="AP115" s="86"/>
      <c r="AQ115" s="86"/>
      <c r="AR115" s="86"/>
      <c r="AS115" s="86"/>
      <c r="AT115" s="86"/>
      <c r="AU115" s="86"/>
      <c r="AV115" s="86"/>
      <c r="AW115" s="86"/>
      <c r="AX115" s="86"/>
      <c r="AY115" s="86"/>
      <c r="AZ115" s="86"/>
      <c r="BA115" s="86"/>
      <c r="BB115" s="86"/>
      <c r="BC115" s="86"/>
      <c r="BD115" s="86"/>
      <c r="BE115" s="86"/>
      <c r="BF115" s="86"/>
      <c r="BG115" s="86"/>
      <c r="BH115" s="86"/>
      <c r="BI115" s="86"/>
      <c r="BJ115" s="86"/>
      <c r="BK115" s="86"/>
      <c r="BL115" s="86"/>
      <c r="BM115" s="86"/>
      <c r="BN115" s="86"/>
      <c r="BO115" s="86"/>
      <c r="BP115" s="86"/>
      <c r="BQ115" s="86"/>
      <c r="BR115" s="86"/>
      <c r="BS115" s="86"/>
      <c r="BT115" s="86"/>
      <c r="BU115" s="86"/>
      <c r="BV115" s="86"/>
      <c r="BW115" s="86"/>
      <c r="BX115" s="86"/>
      <c r="BY115" s="86"/>
      <c r="BZ115" s="86"/>
      <c r="CA115" s="86"/>
      <c r="CB115" s="86"/>
      <c r="CC115" s="86"/>
      <c r="CD115" s="86"/>
      <c r="CE115" s="86"/>
      <c r="CF115" s="86"/>
      <c r="CG115" s="86"/>
      <c r="CH115" s="86"/>
      <c r="CI115" s="86"/>
      <c r="CJ115" s="86"/>
      <c r="CK115" s="86"/>
      <c r="CL115" s="86"/>
      <c r="CM115" s="86"/>
      <c r="CN115" s="86"/>
      <c r="CO115" s="86"/>
      <c r="CP115" s="86"/>
      <c r="CQ115" s="86"/>
      <c r="CR115" s="86"/>
      <c r="CS115" s="86"/>
      <c r="CT115" s="86"/>
      <c r="CU115" s="86"/>
      <c r="CV115" s="86"/>
      <c r="CW115" s="86"/>
      <c r="CX115" s="86"/>
      <c r="CY115" s="86"/>
      <c r="CZ115" s="86"/>
      <c r="DA115" s="86"/>
      <c r="DB115" s="86"/>
      <c r="DC115" s="86"/>
      <c r="DD115" s="86"/>
      <c r="DE115" s="86"/>
      <c r="DF115" s="86"/>
      <c r="DG115" s="86"/>
      <c r="DH115" s="86"/>
      <c r="DI115" s="86"/>
      <c r="DJ115" s="86"/>
      <c r="DK115" s="86"/>
      <c r="DL115" s="86"/>
      <c r="DM115" s="86"/>
      <c r="DN115" s="86"/>
      <c r="DO115" s="86"/>
      <c r="DP115" s="86"/>
      <c r="DQ115" s="86"/>
      <c r="DR115" s="86"/>
      <c r="DS115" s="86"/>
      <c r="DT115" s="86"/>
      <c r="DU115" s="86"/>
      <c r="DV115" s="86"/>
      <c r="DW115" s="86"/>
      <c r="DX115" s="86"/>
      <c r="DY115" s="86"/>
      <c r="DZ115" s="86"/>
      <c r="EA115" s="86"/>
      <c r="EB115" s="86"/>
      <c r="EC115" s="86"/>
      <c r="ED115" s="86"/>
      <c r="EE115" s="86"/>
      <c r="EF115" s="86"/>
      <c r="EG115" s="86"/>
      <c r="EH115" s="86"/>
      <c r="EI115" s="86"/>
      <c r="EJ115" s="86"/>
      <c r="EK115" s="86"/>
      <c r="EL115" s="86"/>
      <c r="EM115" s="86"/>
      <c r="EN115" s="86"/>
      <c r="EO115" s="86"/>
      <c r="EP115" s="86"/>
      <c r="EQ115" s="86"/>
      <c r="ER115" s="86"/>
      <c r="ES115" s="86"/>
      <c r="ET115" s="86"/>
      <c r="EU115" s="86"/>
      <c r="EV115" s="86"/>
      <c r="EW115" s="86"/>
      <c r="EX115" s="86"/>
      <c r="EY115" s="86"/>
      <c r="EZ115" s="86"/>
      <c r="FA115" s="86"/>
    </row>
    <row r="116" spans="2:157" ht="9.75" customHeight="1">
      <c r="B116" s="839"/>
      <c r="C116" s="839"/>
      <c r="D116" s="844"/>
      <c r="E116" s="839"/>
      <c r="F116" s="839"/>
      <c r="G116" s="852"/>
      <c r="H116" s="850"/>
      <c r="J116" s="101"/>
      <c r="K116" s="101"/>
      <c r="L116" s="101"/>
      <c r="Z116" s="86"/>
      <c r="AA116" s="86"/>
      <c r="AB116" s="86"/>
      <c r="AC116" s="86"/>
      <c r="AD116" s="86"/>
      <c r="AE116" s="86"/>
      <c r="AF116" s="86"/>
      <c r="AG116" s="86"/>
      <c r="AH116" s="86"/>
      <c r="AI116" s="86"/>
      <c r="AJ116" s="86"/>
      <c r="AK116" s="86"/>
      <c r="AL116" s="86"/>
      <c r="AM116" s="86"/>
      <c r="AN116" s="86"/>
      <c r="AO116" s="86"/>
      <c r="AP116" s="86"/>
      <c r="AQ116" s="86"/>
      <c r="AR116" s="86"/>
      <c r="AS116" s="86"/>
      <c r="AT116" s="86"/>
      <c r="AU116" s="86"/>
      <c r="AV116" s="86"/>
      <c r="AW116" s="86"/>
      <c r="AX116" s="86"/>
      <c r="AY116" s="86"/>
      <c r="AZ116" s="86"/>
      <c r="BA116" s="86"/>
      <c r="BB116" s="86"/>
      <c r="BC116" s="86"/>
      <c r="BD116" s="86"/>
      <c r="BE116" s="86"/>
      <c r="BF116" s="86"/>
      <c r="BG116" s="86"/>
      <c r="BH116" s="86"/>
      <c r="BI116" s="86"/>
      <c r="BJ116" s="86"/>
      <c r="BK116" s="86"/>
      <c r="BL116" s="86"/>
      <c r="BM116" s="86"/>
      <c r="BN116" s="86"/>
      <c r="BO116" s="86"/>
      <c r="BP116" s="86"/>
      <c r="BQ116" s="86"/>
      <c r="BR116" s="86"/>
      <c r="BS116" s="86"/>
      <c r="BT116" s="86"/>
      <c r="BU116" s="86"/>
      <c r="BV116" s="86"/>
      <c r="BW116" s="86"/>
      <c r="BX116" s="86"/>
      <c r="BY116" s="86"/>
      <c r="BZ116" s="86"/>
      <c r="CA116" s="86"/>
      <c r="CB116" s="86"/>
      <c r="CC116" s="86"/>
      <c r="CD116" s="86"/>
      <c r="CE116" s="86"/>
      <c r="CF116" s="86"/>
      <c r="CG116" s="86"/>
      <c r="CH116" s="86"/>
      <c r="CI116" s="86"/>
      <c r="CJ116" s="86"/>
      <c r="CK116" s="86"/>
      <c r="CL116" s="86"/>
      <c r="CM116" s="86"/>
      <c r="CN116" s="86"/>
      <c r="CO116" s="86"/>
      <c r="CP116" s="86"/>
      <c r="CQ116" s="86"/>
      <c r="CR116" s="86"/>
      <c r="CS116" s="86"/>
      <c r="CT116" s="86"/>
      <c r="CU116" s="86"/>
      <c r="CV116" s="86"/>
      <c r="CW116" s="86"/>
      <c r="CX116" s="86"/>
      <c r="CY116" s="86"/>
      <c r="CZ116" s="86"/>
      <c r="DA116" s="86"/>
      <c r="DB116" s="86"/>
      <c r="DC116" s="86"/>
      <c r="DD116" s="86"/>
      <c r="DE116" s="86"/>
      <c r="DF116" s="86"/>
      <c r="DG116" s="86"/>
      <c r="DH116" s="86"/>
      <c r="DI116" s="86"/>
      <c r="DJ116" s="86"/>
      <c r="DK116" s="86"/>
      <c r="DL116" s="86"/>
      <c r="DM116" s="86"/>
      <c r="DN116" s="86"/>
      <c r="DO116" s="86"/>
      <c r="DP116" s="86"/>
      <c r="DQ116" s="86"/>
      <c r="DR116" s="86"/>
      <c r="DS116" s="86"/>
      <c r="DT116" s="86"/>
      <c r="DU116" s="86"/>
      <c r="DV116" s="86"/>
      <c r="DW116" s="86"/>
      <c r="DX116" s="86"/>
      <c r="DY116" s="86"/>
      <c r="DZ116" s="86"/>
      <c r="EA116" s="86"/>
      <c r="EB116" s="86"/>
      <c r="EC116" s="86"/>
      <c r="ED116" s="86"/>
      <c r="EE116" s="86"/>
      <c r="EF116" s="86"/>
      <c r="EG116" s="86"/>
      <c r="EH116" s="86"/>
      <c r="EI116" s="86"/>
      <c r="EJ116" s="86"/>
      <c r="EK116" s="86"/>
      <c r="EL116" s="86"/>
      <c r="EM116" s="86"/>
      <c r="EN116" s="86"/>
      <c r="EO116" s="86"/>
      <c r="EP116" s="86"/>
      <c r="EQ116" s="86"/>
      <c r="ER116" s="86"/>
      <c r="ES116" s="86"/>
      <c r="ET116" s="86"/>
      <c r="EU116" s="86"/>
      <c r="EV116" s="86"/>
      <c r="EW116" s="86"/>
      <c r="EX116" s="86"/>
      <c r="EY116" s="86"/>
      <c r="EZ116" s="86"/>
      <c r="FA116" s="86"/>
    </row>
    <row r="117" spans="2:157" ht="9.75" customHeight="1">
      <c r="B117" s="844" t="s">
        <v>349</v>
      </c>
      <c r="C117" s="1352" t="s">
        <v>344</v>
      </c>
      <c r="D117" s="1352"/>
      <c r="E117" s="87"/>
      <c r="F117" s="846" t="s">
        <v>170</v>
      </c>
      <c r="G117" s="847" t="s">
        <v>361</v>
      </c>
      <c r="H117" s="846" t="s">
        <v>281</v>
      </c>
      <c r="J117" s="101"/>
      <c r="K117" s="101"/>
      <c r="L117" s="101"/>
      <c r="Z117" s="86"/>
      <c r="AA117" s="86"/>
      <c r="AB117" s="86"/>
      <c r="AC117" s="86"/>
      <c r="AD117" s="86"/>
      <c r="AE117" s="86"/>
      <c r="AF117" s="86"/>
      <c r="AG117" s="86"/>
      <c r="AH117" s="86"/>
      <c r="AI117" s="86"/>
      <c r="AJ117" s="86"/>
      <c r="AK117" s="86"/>
      <c r="AL117" s="86"/>
      <c r="AM117" s="86"/>
      <c r="AN117" s="86"/>
      <c r="AO117" s="86"/>
      <c r="AP117" s="86"/>
      <c r="AQ117" s="86"/>
      <c r="AR117" s="86"/>
      <c r="AS117" s="86"/>
      <c r="AT117" s="86"/>
      <c r="AU117" s="86"/>
      <c r="AV117" s="86"/>
      <c r="AW117" s="86"/>
      <c r="AX117" s="86"/>
      <c r="AY117" s="86"/>
      <c r="AZ117" s="86"/>
      <c r="BA117" s="86"/>
      <c r="BB117" s="86"/>
      <c r="BC117" s="86"/>
      <c r="BD117" s="86"/>
      <c r="BE117" s="86"/>
      <c r="BF117" s="86"/>
      <c r="BG117" s="86"/>
      <c r="BH117" s="86"/>
      <c r="BI117" s="86"/>
      <c r="BJ117" s="86"/>
      <c r="BK117" s="86"/>
      <c r="BL117" s="86"/>
      <c r="BM117" s="86"/>
      <c r="BN117" s="86"/>
      <c r="BO117" s="86"/>
      <c r="BP117" s="86"/>
      <c r="BQ117" s="86"/>
      <c r="BR117" s="86"/>
      <c r="BS117" s="86"/>
      <c r="BT117" s="86"/>
      <c r="BU117" s="86"/>
      <c r="BV117" s="86"/>
      <c r="BW117" s="86"/>
      <c r="BX117" s="86"/>
      <c r="BY117" s="86"/>
      <c r="BZ117" s="86"/>
      <c r="CA117" s="86"/>
      <c r="CB117" s="86"/>
      <c r="CC117" s="86"/>
      <c r="CD117" s="86"/>
      <c r="CE117" s="86"/>
      <c r="CF117" s="86"/>
      <c r="CG117" s="86"/>
      <c r="CH117" s="86"/>
      <c r="CI117" s="86"/>
      <c r="CJ117" s="86"/>
      <c r="CK117" s="86"/>
      <c r="CL117" s="86"/>
      <c r="CM117" s="86"/>
      <c r="CN117" s="86"/>
      <c r="CO117" s="86"/>
      <c r="CP117" s="86"/>
      <c r="CQ117" s="86"/>
      <c r="CR117" s="86"/>
      <c r="CS117" s="86"/>
      <c r="CT117" s="86"/>
      <c r="CU117" s="86"/>
      <c r="CV117" s="86"/>
      <c r="CW117" s="86"/>
      <c r="CX117" s="86"/>
      <c r="CY117" s="86"/>
      <c r="CZ117" s="86"/>
      <c r="DA117" s="86"/>
      <c r="DB117" s="86"/>
      <c r="DC117" s="86"/>
      <c r="DD117" s="86"/>
      <c r="DE117" s="86"/>
      <c r="DF117" s="86"/>
      <c r="DG117" s="86"/>
      <c r="DH117" s="86"/>
      <c r="DI117" s="86"/>
      <c r="DJ117" s="86"/>
      <c r="DK117" s="86"/>
      <c r="DL117" s="86"/>
      <c r="DM117" s="86"/>
      <c r="DN117" s="86"/>
      <c r="DO117" s="86"/>
      <c r="DP117" s="86"/>
      <c r="DQ117" s="86"/>
      <c r="DR117" s="86"/>
      <c r="DS117" s="86"/>
      <c r="DT117" s="86"/>
      <c r="DU117" s="86"/>
      <c r="DV117" s="86"/>
      <c r="DW117" s="86"/>
      <c r="DX117" s="86"/>
      <c r="DY117" s="86"/>
      <c r="DZ117" s="86"/>
      <c r="EA117" s="86"/>
      <c r="EB117" s="86"/>
      <c r="EC117" s="86"/>
      <c r="ED117" s="86"/>
      <c r="EE117" s="86"/>
      <c r="EF117" s="86"/>
      <c r="EG117" s="86"/>
      <c r="EH117" s="86"/>
      <c r="EI117" s="86"/>
      <c r="EJ117" s="86"/>
      <c r="EK117" s="86"/>
      <c r="EL117" s="86"/>
      <c r="EM117" s="86"/>
      <c r="EN117" s="86"/>
      <c r="EO117" s="86"/>
      <c r="EP117" s="86"/>
      <c r="EQ117" s="86"/>
      <c r="ER117" s="86"/>
      <c r="ES117" s="86"/>
      <c r="ET117" s="86"/>
      <c r="EU117" s="86"/>
      <c r="EV117" s="86"/>
      <c r="EW117" s="86"/>
      <c r="EX117" s="86"/>
      <c r="EY117" s="86"/>
      <c r="EZ117" s="86"/>
      <c r="FA117" s="86"/>
    </row>
    <row r="118" spans="2:157" ht="10.050000000000001" customHeight="1">
      <c r="B118" s="845" t="s">
        <v>546</v>
      </c>
      <c r="C118" s="1350" t="s">
        <v>106</v>
      </c>
      <c r="D118" s="1350"/>
      <c r="E118" s="87"/>
      <c r="F118" s="848" t="s">
        <v>546</v>
      </c>
      <c r="G118" s="848" t="s">
        <v>546</v>
      </c>
      <c r="H118" s="1016">
        <v>0.13</v>
      </c>
      <c r="J118" s="101"/>
      <c r="K118" s="101"/>
      <c r="L118" s="101"/>
      <c r="Z118" s="86"/>
      <c r="AA118" s="86"/>
      <c r="AB118" s="86"/>
      <c r="AC118" s="86"/>
      <c r="AD118" s="86"/>
      <c r="AE118" s="86"/>
      <c r="AF118" s="86"/>
      <c r="AG118" s="86"/>
      <c r="AH118" s="86"/>
      <c r="AI118" s="86"/>
      <c r="AJ118" s="86"/>
      <c r="AK118" s="86"/>
      <c r="AL118" s="86"/>
      <c r="AM118" s="86"/>
      <c r="AN118" s="86"/>
      <c r="AO118" s="86"/>
      <c r="AP118" s="86"/>
      <c r="AQ118" s="86"/>
      <c r="AR118" s="86"/>
      <c r="AS118" s="86"/>
      <c r="AT118" s="86"/>
      <c r="AU118" s="86"/>
      <c r="AV118" s="86"/>
      <c r="AW118" s="86"/>
      <c r="AX118" s="86"/>
      <c r="AY118" s="86"/>
      <c r="AZ118" s="86"/>
      <c r="BA118" s="86"/>
      <c r="BB118" s="86"/>
      <c r="BC118" s="86"/>
      <c r="BD118" s="86"/>
      <c r="BE118" s="86"/>
      <c r="BF118" s="86"/>
      <c r="BG118" s="86"/>
      <c r="BH118" s="86"/>
      <c r="BI118" s="86"/>
      <c r="BJ118" s="86"/>
      <c r="BK118" s="86"/>
      <c r="BL118" s="86"/>
      <c r="BM118" s="86"/>
      <c r="BN118" s="86"/>
      <c r="BO118" s="86"/>
      <c r="BP118" s="86"/>
      <c r="BQ118" s="86"/>
      <c r="BR118" s="86"/>
      <c r="BS118" s="86"/>
      <c r="BT118" s="86"/>
      <c r="BU118" s="86"/>
      <c r="BV118" s="86"/>
      <c r="BW118" s="86"/>
      <c r="BX118" s="86"/>
      <c r="BY118" s="86"/>
      <c r="BZ118" s="86"/>
      <c r="CA118" s="86"/>
      <c r="CB118" s="86"/>
      <c r="CC118" s="86"/>
      <c r="CD118" s="86"/>
      <c r="CE118" s="86"/>
      <c r="CF118" s="86"/>
      <c r="CG118" s="86"/>
      <c r="CH118" s="86"/>
      <c r="CI118" s="86"/>
      <c r="CJ118" s="86"/>
      <c r="CK118" s="86"/>
      <c r="CL118" s="86"/>
      <c r="CM118" s="86"/>
      <c r="CN118" s="86"/>
      <c r="CO118" s="86"/>
      <c r="CP118" s="86"/>
      <c r="CQ118" s="86"/>
      <c r="CR118" s="86"/>
      <c r="CS118" s="86"/>
      <c r="CT118" s="86"/>
      <c r="CU118" s="86"/>
      <c r="CV118" s="86"/>
      <c r="CW118" s="86"/>
      <c r="CX118" s="86"/>
      <c r="CY118" s="86"/>
      <c r="CZ118" s="86"/>
      <c r="DA118" s="86"/>
      <c r="DB118" s="86"/>
      <c r="DC118" s="86"/>
      <c r="DD118" s="86"/>
      <c r="DE118" s="86"/>
      <c r="DF118" s="86"/>
      <c r="DG118" s="86"/>
      <c r="DH118" s="86"/>
      <c r="DI118" s="86"/>
      <c r="DJ118" s="86"/>
      <c r="DK118" s="86"/>
      <c r="DL118" s="86"/>
      <c r="DM118" s="86"/>
      <c r="DN118" s="86"/>
      <c r="DO118" s="86"/>
      <c r="DP118" s="86"/>
      <c r="DQ118" s="86"/>
      <c r="DR118" s="86"/>
      <c r="DS118" s="86"/>
      <c r="DT118" s="86"/>
      <c r="DU118" s="86"/>
      <c r="DV118" s="86"/>
      <c r="DW118" s="86"/>
      <c r="DX118" s="86"/>
      <c r="DY118" s="86"/>
      <c r="DZ118" s="86"/>
      <c r="EA118" s="86"/>
      <c r="EB118" s="86"/>
      <c r="EC118" s="86"/>
      <c r="ED118" s="86"/>
      <c r="EE118" s="86"/>
      <c r="EF118" s="86"/>
      <c r="EG118" s="86"/>
      <c r="EH118" s="86"/>
      <c r="EI118" s="86"/>
      <c r="EJ118" s="86"/>
      <c r="EK118" s="86"/>
      <c r="EL118" s="86"/>
      <c r="EM118" s="86"/>
      <c r="EN118" s="86"/>
      <c r="EO118" s="86"/>
      <c r="EP118" s="86"/>
      <c r="EQ118" s="86"/>
      <c r="ER118" s="86"/>
      <c r="ES118" s="86"/>
      <c r="ET118" s="86"/>
      <c r="EU118" s="86"/>
      <c r="EV118" s="86"/>
      <c r="EW118" s="86"/>
      <c r="EX118" s="86"/>
      <c r="EY118" s="86"/>
      <c r="EZ118" s="86"/>
      <c r="FA118" s="86"/>
    </row>
    <row r="119" spans="2:157" ht="9.75" customHeight="1">
      <c r="B119" s="845">
        <v>1</v>
      </c>
      <c r="C119" s="1344"/>
      <c r="D119" s="1344"/>
      <c r="E119" s="1344"/>
      <c r="F119" s="857"/>
      <c r="G119" s="857"/>
      <c r="H119" s="875" t="str">
        <f t="shared" ref="H119:H127" si="5">IF(G119=0,"",(F119/(G119+0.00000000001)))</f>
        <v/>
      </c>
      <c r="J119" s="101"/>
      <c r="K119" s="101"/>
      <c r="L119" s="101"/>
      <c r="Z119" s="86"/>
      <c r="AA119" s="86"/>
      <c r="AB119" s="86"/>
      <c r="AC119" s="86"/>
      <c r="AD119" s="86"/>
      <c r="AE119" s="86"/>
      <c r="AF119" s="86"/>
      <c r="AG119" s="86"/>
      <c r="AH119" s="86"/>
      <c r="AI119" s="86"/>
      <c r="AJ119" s="86"/>
      <c r="AK119" s="86"/>
      <c r="AL119" s="86"/>
      <c r="AM119" s="86"/>
      <c r="AN119" s="86"/>
      <c r="AO119" s="86"/>
      <c r="AP119" s="86"/>
      <c r="AQ119" s="86"/>
      <c r="AR119" s="86"/>
      <c r="AS119" s="86"/>
      <c r="AT119" s="86"/>
      <c r="AU119" s="86"/>
      <c r="AV119" s="86"/>
      <c r="AW119" s="86"/>
      <c r="AX119" s="86"/>
      <c r="AY119" s="86"/>
      <c r="AZ119" s="86"/>
      <c r="BA119" s="86"/>
      <c r="BB119" s="86"/>
      <c r="BC119" s="86"/>
      <c r="BD119" s="86"/>
      <c r="BE119" s="86"/>
      <c r="BF119" s="86"/>
      <c r="BG119" s="86"/>
      <c r="BH119" s="86"/>
      <c r="BI119" s="86"/>
      <c r="BJ119" s="86"/>
      <c r="BK119" s="86"/>
      <c r="BL119" s="86"/>
      <c r="BM119" s="86"/>
      <c r="BN119" s="86"/>
      <c r="BO119" s="86"/>
      <c r="BP119" s="86"/>
      <c r="BQ119" s="86"/>
      <c r="BR119" s="86"/>
      <c r="BS119" s="86"/>
      <c r="BT119" s="86"/>
      <c r="BU119" s="86"/>
      <c r="BV119" s="86"/>
      <c r="BW119" s="86"/>
      <c r="BX119" s="86"/>
      <c r="BY119" s="86"/>
      <c r="BZ119" s="86"/>
      <c r="CA119" s="86"/>
      <c r="CB119" s="86"/>
      <c r="CC119" s="86"/>
      <c r="CD119" s="86"/>
      <c r="CE119" s="86"/>
      <c r="CF119" s="86"/>
      <c r="CG119" s="86"/>
      <c r="CH119" s="86"/>
      <c r="CI119" s="86"/>
      <c r="CJ119" s="86"/>
      <c r="CK119" s="86"/>
      <c r="CL119" s="86"/>
      <c r="CM119" s="86"/>
      <c r="CN119" s="86"/>
      <c r="CO119" s="86"/>
      <c r="CP119" s="86"/>
      <c r="CQ119" s="86"/>
      <c r="CR119" s="86"/>
      <c r="CS119" s="86"/>
      <c r="CT119" s="86"/>
      <c r="CU119" s="86"/>
      <c r="CV119" s="86"/>
      <c r="CW119" s="86"/>
      <c r="CX119" s="86"/>
      <c r="CY119" s="86"/>
      <c r="CZ119" s="86"/>
      <c r="DA119" s="86"/>
      <c r="DB119" s="86"/>
      <c r="DC119" s="86"/>
      <c r="DD119" s="86"/>
      <c r="DE119" s="86"/>
      <c r="DF119" s="86"/>
      <c r="DG119" s="86"/>
      <c r="DH119" s="86"/>
      <c r="DI119" s="86"/>
      <c r="DJ119" s="86"/>
      <c r="DK119" s="86"/>
      <c r="DL119" s="86"/>
      <c r="DM119" s="86"/>
      <c r="DN119" s="86"/>
      <c r="DO119" s="86"/>
      <c r="DP119" s="86"/>
      <c r="DQ119" s="86"/>
      <c r="DR119" s="86"/>
      <c r="DS119" s="86"/>
      <c r="DT119" s="86"/>
      <c r="DU119" s="86"/>
      <c r="DV119" s="86"/>
      <c r="DW119" s="86"/>
      <c r="DX119" s="86"/>
      <c r="DY119" s="86"/>
      <c r="DZ119" s="86"/>
      <c r="EA119" s="86"/>
      <c r="EB119" s="86"/>
      <c r="EC119" s="86"/>
      <c r="ED119" s="86"/>
      <c r="EE119" s="86"/>
      <c r="EF119" s="86"/>
      <c r="EG119" s="86"/>
      <c r="EH119" s="86"/>
      <c r="EI119" s="86"/>
      <c r="EJ119" s="86"/>
      <c r="EK119" s="86"/>
      <c r="EL119" s="86"/>
      <c r="EM119" s="86"/>
      <c r="EN119" s="86"/>
      <c r="EO119" s="86"/>
      <c r="EP119" s="86"/>
      <c r="EQ119" s="86"/>
      <c r="ER119" s="86"/>
      <c r="ES119" s="86"/>
      <c r="ET119" s="86"/>
      <c r="EU119" s="86"/>
      <c r="EV119" s="86"/>
      <c r="EW119" s="86"/>
      <c r="EX119" s="86"/>
      <c r="EY119" s="86"/>
      <c r="EZ119" s="86"/>
      <c r="FA119" s="86"/>
    </row>
    <row r="120" spans="2:157" ht="9.75" customHeight="1">
      <c r="B120" s="845">
        <v>2</v>
      </c>
      <c r="C120" s="1344"/>
      <c r="D120" s="1344"/>
      <c r="E120" s="1344"/>
      <c r="F120" s="857"/>
      <c r="G120" s="857"/>
      <c r="H120" s="875" t="str">
        <f t="shared" si="5"/>
        <v/>
      </c>
      <c r="J120" s="101"/>
      <c r="K120" s="101"/>
      <c r="L120" s="101"/>
      <c r="Z120" s="86"/>
      <c r="AA120" s="86"/>
      <c r="AB120" s="86"/>
      <c r="AC120" s="86"/>
      <c r="AD120" s="86"/>
      <c r="AE120" s="86"/>
      <c r="AF120" s="86"/>
      <c r="AG120" s="86"/>
      <c r="AH120" s="86"/>
      <c r="AI120" s="86"/>
      <c r="AJ120" s="86"/>
      <c r="AK120" s="86"/>
      <c r="AL120" s="86"/>
      <c r="AM120" s="86"/>
      <c r="AN120" s="86"/>
      <c r="AO120" s="86"/>
      <c r="AP120" s="86"/>
      <c r="AQ120" s="86"/>
      <c r="AR120" s="86"/>
      <c r="AS120" s="86"/>
      <c r="AT120" s="86"/>
      <c r="AU120" s="86"/>
      <c r="AV120" s="86"/>
      <c r="AW120" s="86"/>
      <c r="AX120" s="86"/>
      <c r="AY120" s="86"/>
      <c r="AZ120" s="86"/>
      <c r="BA120" s="86"/>
      <c r="BB120" s="86"/>
      <c r="BC120" s="86"/>
      <c r="BD120" s="86"/>
      <c r="BE120" s="86"/>
      <c r="BF120" s="86"/>
      <c r="BG120" s="86"/>
      <c r="BH120" s="86"/>
      <c r="BI120" s="86"/>
      <c r="BJ120" s="86"/>
      <c r="BK120" s="86"/>
      <c r="BL120" s="86"/>
      <c r="BM120" s="86"/>
      <c r="BN120" s="86"/>
      <c r="BO120" s="86"/>
      <c r="BP120" s="86"/>
      <c r="BQ120" s="86"/>
      <c r="BR120" s="86"/>
      <c r="BS120" s="86"/>
      <c r="BT120" s="86"/>
      <c r="BU120" s="86"/>
      <c r="BV120" s="86"/>
      <c r="BW120" s="86"/>
      <c r="BX120" s="86"/>
      <c r="BY120" s="86"/>
      <c r="BZ120" s="86"/>
      <c r="CA120" s="86"/>
      <c r="CB120" s="86"/>
      <c r="CC120" s="86"/>
      <c r="CD120" s="86"/>
      <c r="CE120" s="86"/>
      <c r="CF120" s="86"/>
      <c r="CG120" s="86"/>
      <c r="CH120" s="86"/>
      <c r="CI120" s="86"/>
      <c r="CJ120" s="86"/>
      <c r="CK120" s="86"/>
      <c r="CL120" s="86"/>
      <c r="CM120" s="86"/>
      <c r="CN120" s="86"/>
      <c r="CO120" s="86"/>
      <c r="CP120" s="86"/>
      <c r="CQ120" s="86"/>
      <c r="CR120" s="86"/>
      <c r="CS120" s="86"/>
      <c r="CT120" s="86"/>
      <c r="CU120" s="86"/>
      <c r="CV120" s="86"/>
      <c r="CW120" s="86"/>
      <c r="CX120" s="86"/>
      <c r="CY120" s="86"/>
      <c r="CZ120" s="86"/>
      <c r="DA120" s="86"/>
      <c r="DB120" s="86"/>
      <c r="DC120" s="86"/>
      <c r="DD120" s="86"/>
      <c r="DE120" s="86"/>
      <c r="DF120" s="86"/>
      <c r="DG120" s="86"/>
      <c r="DH120" s="86"/>
      <c r="DI120" s="86"/>
      <c r="DJ120" s="86"/>
      <c r="DK120" s="86"/>
      <c r="DL120" s="86"/>
      <c r="DM120" s="86"/>
      <c r="DN120" s="86"/>
      <c r="DO120" s="86"/>
      <c r="DP120" s="86"/>
      <c r="DQ120" s="86"/>
      <c r="DR120" s="86"/>
      <c r="DS120" s="86"/>
      <c r="DT120" s="86"/>
      <c r="DU120" s="86"/>
      <c r="DV120" s="86"/>
      <c r="DW120" s="86"/>
      <c r="DX120" s="86"/>
      <c r="DY120" s="86"/>
      <c r="DZ120" s="86"/>
      <c r="EA120" s="86"/>
      <c r="EB120" s="86"/>
      <c r="EC120" s="86"/>
      <c r="ED120" s="86"/>
      <c r="EE120" s="86"/>
      <c r="EF120" s="86"/>
      <c r="EG120" s="86"/>
      <c r="EH120" s="86"/>
      <c r="EI120" s="86"/>
      <c r="EJ120" s="86"/>
      <c r="EK120" s="86"/>
      <c r="EL120" s="86"/>
      <c r="EM120" s="86"/>
      <c r="EN120" s="86"/>
      <c r="EO120" s="86"/>
      <c r="EP120" s="86"/>
      <c r="EQ120" s="86"/>
      <c r="ER120" s="86"/>
      <c r="ES120" s="86"/>
      <c r="ET120" s="86"/>
      <c r="EU120" s="86"/>
      <c r="EV120" s="86"/>
      <c r="EW120" s="86"/>
      <c r="EX120" s="86"/>
      <c r="EY120" s="86"/>
      <c r="EZ120" s="86"/>
      <c r="FA120" s="86"/>
    </row>
    <row r="121" spans="2:157" ht="9.75" customHeight="1">
      <c r="B121" s="845">
        <v>3</v>
      </c>
      <c r="C121" s="1344"/>
      <c r="D121" s="1344"/>
      <c r="E121" s="1344"/>
      <c r="F121" s="857"/>
      <c r="G121" s="857"/>
      <c r="H121" s="875" t="str">
        <f t="shared" si="5"/>
        <v/>
      </c>
      <c r="J121" s="101"/>
      <c r="K121" s="101"/>
      <c r="L121" s="101"/>
      <c r="Z121" s="86"/>
      <c r="AA121" s="86"/>
      <c r="AB121" s="86"/>
      <c r="AC121" s="86"/>
      <c r="AD121" s="86"/>
      <c r="AE121" s="86"/>
      <c r="AF121" s="86"/>
      <c r="AG121" s="86"/>
      <c r="AH121" s="86"/>
      <c r="AI121" s="86"/>
      <c r="AJ121" s="86"/>
      <c r="AK121" s="86"/>
      <c r="AL121" s="86"/>
      <c r="AM121" s="86"/>
      <c r="AN121" s="86"/>
      <c r="AO121" s="86"/>
      <c r="AP121" s="86"/>
      <c r="AQ121" s="86"/>
      <c r="AR121" s="86"/>
      <c r="AS121" s="86"/>
      <c r="AT121" s="86"/>
      <c r="AU121" s="86"/>
      <c r="AV121" s="86"/>
      <c r="AW121" s="86"/>
      <c r="AX121" s="86"/>
      <c r="AY121" s="86"/>
      <c r="AZ121" s="86"/>
      <c r="BA121" s="86"/>
      <c r="BB121" s="86"/>
      <c r="BC121" s="86"/>
      <c r="BD121" s="86"/>
      <c r="BE121" s="86"/>
      <c r="BF121" s="86"/>
      <c r="BG121" s="86"/>
      <c r="BH121" s="86"/>
      <c r="BI121" s="86"/>
      <c r="BJ121" s="86"/>
      <c r="BK121" s="86"/>
      <c r="BL121" s="86"/>
      <c r="BM121" s="86"/>
      <c r="BN121" s="86"/>
      <c r="BO121" s="86"/>
      <c r="BP121" s="86"/>
      <c r="BQ121" s="86"/>
      <c r="BR121" s="86"/>
      <c r="BS121" s="86"/>
      <c r="BT121" s="86"/>
      <c r="BU121" s="86"/>
      <c r="BV121" s="86"/>
      <c r="BW121" s="86"/>
      <c r="BX121" s="86"/>
      <c r="BY121" s="86"/>
      <c r="BZ121" s="86"/>
      <c r="CA121" s="86"/>
      <c r="CB121" s="86"/>
      <c r="CC121" s="86"/>
      <c r="CD121" s="86"/>
      <c r="CE121" s="86"/>
      <c r="CF121" s="86"/>
      <c r="CG121" s="86"/>
      <c r="CH121" s="86"/>
      <c r="CI121" s="86"/>
      <c r="CJ121" s="86"/>
      <c r="CK121" s="86"/>
      <c r="CL121" s="86"/>
      <c r="CM121" s="86"/>
      <c r="CN121" s="86"/>
      <c r="CO121" s="86"/>
      <c r="CP121" s="86"/>
      <c r="CQ121" s="86"/>
      <c r="CR121" s="86"/>
      <c r="CS121" s="86"/>
      <c r="CT121" s="86"/>
      <c r="CU121" s="86"/>
      <c r="CV121" s="86"/>
      <c r="CW121" s="86"/>
      <c r="CX121" s="86"/>
      <c r="CY121" s="86"/>
      <c r="CZ121" s="86"/>
      <c r="DA121" s="86"/>
      <c r="DB121" s="86"/>
      <c r="DC121" s="86"/>
      <c r="DD121" s="86"/>
      <c r="DE121" s="86"/>
      <c r="DF121" s="86"/>
      <c r="DG121" s="86"/>
      <c r="DH121" s="86"/>
      <c r="DI121" s="86"/>
      <c r="DJ121" s="86"/>
      <c r="DK121" s="86"/>
      <c r="DL121" s="86"/>
      <c r="DM121" s="86"/>
      <c r="DN121" s="86"/>
      <c r="DO121" s="86"/>
      <c r="DP121" s="86"/>
      <c r="DQ121" s="86"/>
      <c r="DR121" s="86"/>
      <c r="DS121" s="86"/>
      <c r="DT121" s="86"/>
      <c r="DU121" s="86"/>
      <c r="DV121" s="86"/>
      <c r="DW121" s="86"/>
      <c r="DX121" s="86"/>
      <c r="DY121" s="86"/>
      <c r="DZ121" s="86"/>
      <c r="EA121" s="86"/>
      <c r="EB121" s="86"/>
      <c r="EC121" s="86"/>
      <c r="ED121" s="86"/>
      <c r="EE121" s="86"/>
      <c r="EF121" s="86"/>
      <c r="EG121" s="86"/>
      <c r="EH121" s="86"/>
      <c r="EI121" s="86"/>
      <c r="EJ121" s="86"/>
      <c r="EK121" s="86"/>
      <c r="EL121" s="86"/>
      <c r="EM121" s="86"/>
      <c r="EN121" s="86"/>
      <c r="EO121" s="86"/>
      <c r="EP121" s="86"/>
      <c r="EQ121" s="86"/>
      <c r="ER121" s="86"/>
      <c r="ES121" s="86"/>
      <c r="ET121" s="86"/>
      <c r="EU121" s="86"/>
      <c r="EV121" s="86"/>
      <c r="EW121" s="86"/>
      <c r="EX121" s="86"/>
      <c r="EY121" s="86"/>
      <c r="EZ121" s="86"/>
      <c r="FA121" s="86"/>
    </row>
    <row r="122" spans="2:157" ht="9.75" customHeight="1">
      <c r="B122" s="845">
        <v>4</v>
      </c>
      <c r="C122" s="1344"/>
      <c r="D122" s="1344"/>
      <c r="E122" s="1344"/>
      <c r="F122" s="857"/>
      <c r="G122" s="857"/>
      <c r="H122" s="875" t="str">
        <f t="shared" si="5"/>
        <v/>
      </c>
      <c r="J122" s="101"/>
      <c r="K122" s="101"/>
      <c r="L122" s="101"/>
      <c r="Z122" s="86"/>
      <c r="AA122" s="86"/>
      <c r="AB122" s="86"/>
      <c r="AC122" s="86"/>
      <c r="AD122" s="86"/>
      <c r="AE122" s="86"/>
      <c r="AF122" s="86"/>
      <c r="AG122" s="86"/>
      <c r="AH122" s="86"/>
      <c r="AI122" s="86"/>
      <c r="AJ122" s="86"/>
      <c r="AK122" s="86"/>
      <c r="AL122" s="86"/>
      <c r="AM122" s="86"/>
      <c r="AN122" s="86"/>
      <c r="AO122" s="86"/>
      <c r="AP122" s="86"/>
      <c r="AQ122" s="86"/>
      <c r="AR122" s="86"/>
      <c r="AS122" s="86"/>
      <c r="AT122" s="86"/>
      <c r="AU122" s="86"/>
      <c r="AV122" s="86"/>
      <c r="AW122" s="86"/>
      <c r="AX122" s="86"/>
      <c r="AY122" s="86"/>
      <c r="AZ122" s="86"/>
      <c r="BA122" s="86"/>
      <c r="BB122" s="86"/>
      <c r="BC122" s="86"/>
      <c r="BD122" s="86"/>
      <c r="BE122" s="86"/>
      <c r="BF122" s="86"/>
      <c r="BG122" s="86"/>
      <c r="BH122" s="86"/>
      <c r="BI122" s="86"/>
      <c r="BJ122" s="86"/>
      <c r="BK122" s="86"/>
      <c r="BL122" s="86"/>
      <c r="BM122" s="86"/>
      <c r="BN122" s="86"/>
      <c r="BO122" s="86"/>
      <c r="BP122" s="86"/>
      <c r="BQ122" s="86"/>
      <c r="BR122" s="86"/>
      <c r="BS122" s="86"/>
      <c r="BT122" s="86"/>
      <c r="BU122" s="86"/>
      <c r="BV122" s="86"/>
      <c r="BW122" s="86"/>
      <c r="BX122" s="86"/>
      <c r="BY122" s="86"/>
      <c r="BZ122" s="86"/>
      <c r="CA122" s="86"/>
      <c r="CB122" s="86"/>
      <c r="CC122" s="86"/>
      <c r="CD122" s="86"/>
      <c r="CE122" s="86"/>
      <c r="CF122" s="86"/>
      <c r="CG122" s="86"/>
      <c r="CH122" s="86"/>
      <c r="CI122" s="86"/>
      <c r="CJ122" s="86"/>
      <c r="CK122" s="86"/>
      <c r="CL122" s="86"/>
      <c r="CM122" s="86"/>
      <c r="CN122" s="86"/>
      <c r="CO122" s="86"/>
      <c r="CP122" s="86"/>
      <c r="CQ122" s="86"/>
      <c r="CR122" s="86"/>
      <c r="CS122" s="86"/>
      <c r="CT122" s="86"/>
      <c r="CU122" s="86"/>
      <c r="CV122" s="86"/>
      <c r="CW122" s="86"/>
      <c r="CX122" s="86"/>
      <c r="CY122" s="86"/>
      <c r="CZ122" s="86"/>
      <c r="DA122" s="86"/>
      <c r="DB122" s="86"/>
      <c r="DC122" s="86"/>
      <c r="DD122" s="86"/>
      <c r="DE122" s="86"/>
      <c r="DF122" s="86"/>
      <c r="DG122" s="86"/>
      <c r="DH122" s="86"/>
      <c r="DI122" s="86"/>
      <c r="DJ122" s="86"/>
      <c r="DK122" s="86"/>
      <c r="DL122" s="86"/>
      <c r="DM122" s="86"/>
      <c r="DN122" s="86"/>
      <c r="DO122" s="86"/>
      <c r="DP122" s="86"/>
      <c r="DQ122" s="86"/>
      <c r="DR122" s="86"/>
      <c r="DS122" s="86"/>
      <c r="DT122" s="86"/>
      <c r="DU122" s="86"/>
      <c r="DV122" s="86"/>
      <c r="DW122" s="86"/>
      <c r="DX122" s="86"/>
      <c r="DY122" s="86"/>
      <c r="DZ122" s="86"/>
      <c r="EA122" s="86"/>
      <c r="EB122" s="86"/>
      <c r="EC122" s="86"/>
      <c r="ED122" s="86"/>
      <c r="EE122" s="86"/>
      <c r="EF122" s="86"/>
      <c r="EG122" s="86"/>
      <c r="EH122" s="86"/>
      <c r="EI122" s="86"/>
      <c r="EJ122" s="86"/>
      <c r="EK122" s="86"/>
      <c r="EL122" s="86"/>
      <c r="EM122" s="86"/>
      <c r="EN122" s="86"/>
      <c r="EO122" s="86"/>
      <c r="EP122" s="86"/>
      <c r="EQ122" s="86"/>
      <c r="ER122" s="86"/>
      <c r="ES122" s="86"/>
      <c r="ET122" s="86"/>
      <c r="EU122" s="86"/>
      <c r="EV122" s="86"/>
      <c r="EW122" s="86"/>
      <c r="EX122" s="86"/>
      <c r="EY122" s="86"/>
      <c r="EZ122" s="86"/>
      <c r="FA122" s="86"/>
    </row>
    <row r="123" spans="2:157" ht="9.75" customHeight="1">
      <c r="B123" s="845">
        <v>5</v>
      </c>
      <c r="C123" s="1344"/>
      <c r="D123" s="1344"/>
      <c r="E123" s="1344"/>
      <c r="F123" s="857"/>
      <c r="G123" s="857"/>
      <c r="H123" s="875" t="str">
        <f t="shared" si="5"/>
        <v/>
      </c>
      <c r="J123" s="101"/>
      <c r="K123" s="101"/>
      <c r="L123" s="101"/>
      <c r="Z123" s="86"/>
      <c r="AA123" s="86"/>
      <c r="AB123" s="86"/>
      <c r="AC123" s="86"/>
      <c r="AD123" s="86"/>
      <c r="AE123" s="86"/>
      <c r="AF123" s="86"/>
      <c r="AG123" s="86"/>
      <c r="AH123" s="86"/>
      <c r="AI123" s="86"/>
      <c r="AJ123" s="86"/>
      <c r="AK123" s="86"/>
      <c r="AL123" s="86"/>
      <c r="AM123" s="86"/>
      <c r="AN123" s="86"/>
      <c r="AO123" s="86"/>
      <c r="AP123" s="86"/>
      <c r="AQ123" s="86"/>
      <c r="AR123" s="86"/>
      <c r="AS123" s="86"/>
      <c r="AT123" s="86"/>
      <c r="AU123" s="86"/>
      <c r="AV123" s="86"/>
      <c r="AW123" s="86"/>
      <c r="AX123" s="86"/>
      <c r="AY123" s="86"/>
      <c r="AZ123" s="86"/>
      <c r="BA123" s="86"/>
      <c r="BB123" s="86"/>
      <c r="BC123" s="86"/>
      <c r="BD123" s="86"/>
      <c r="BE123" s="86"/>
      <c r="BF123" s="86"/>
      <c r="BG123" s="86"/>
      <c r="BH123" s="86"/>
      <c r="BI123" s="86"/>
      <c r="BJ123" s="86"/>
      <c r="BK123" s="86"/>
      <c r="BL123" s="86"/>
      <c r="BM123" s="86"/>
      <c r="BN123" s="86"/>
      <c r="BO123" s="86"/>
      <c r="BP123" s="86"/>
      <c r="BQ123" s="86"/>
      <c r="BR123" s="86"/>
      <c r="BS123" s="86"/>
      <c r="BT123" s="86"/>
      <c r="BU123" s="86"/>
      <c r="BV123" s="86"/>
      <c r="BW123" s="86"/>
      <c r="BX123" s="86"/>
      <c r="BY123" s="86"/>
      <c r="BZ123" s="86"/>
      <c r="CA123" s="86"/>
      <c r="CB123" s="86"/>
      <c r="CC123" s="86"/>
      <c r="CD123" s="86"/>
      <c r="CE123" s="86"/>
      <c r="CF123" s="86"/>
      <c r="CG123" s="86"/>
      <c r="CH123" s="86"/>
      <c r="CI123" s="86"/>
      <c r="CJ123" s="86"/>
      <c r="CK123" s="86"/>
      <c r="CL123" s="86"/>
      <c r="CM123" s="86"/>
      <c r="CN123" s="86"/>
      <c r="CO123" s="86"/>
      <c r="CP123" s="86"/>
      <c r="CQ123" s="86"/>
      <c r="CR123" s="86"/>
      <c r="CS123" s="86"/>
      <c r="CT123" s="86"/>
      <c r="CU123" s="86"/>
      <c r="CV123" s="86"/>
      <c r="CW123" s="86"/>
      <c r="CX123" s="86"/>
      <c r="CY123" s="86"/>
      <c r="CZ123" s="86"/>
      <c r="DA123" s="86"/>
      <c r="DB123" s="86"/>
      <c r="DC123" s="86"/>
      <c r="DD123" s="86"/>
      <c r="DE123" s="86"/>
      <c r="DF123" s="86"/>
      <c r="DG123" s="86"/>
      <c r="DH123" s="86"/>
      <c r="DI123" s="86"/>
      <c r="DJ123" s="86"/>
      <c r="DK123" s="86"/>
      <c r="DL123" s="86"/>
      <c r="DM123" s="86"/>
      <c r="DN123" s="86"/>
      <c r="DO123" s="86"/>
      <c r="DP123" s="86"/>
      <c r="DQ123" s="86"/>
      <c r="DR123" s="86"/>
      <c r="DS123" s="86"/>
      <c r="DT123" s="86"/>
      <c r="DU123" s="86"/>
      <c r="DV123" s="86"/>
      <c r="DW123" s="86"/>
      <c r="DX123" s="86"/>
      <c r="DY123" s="86"/>
      <c r="DZ123" s="86"/>
      <c r="EA123" s="86"/>
      <c r="EB123" s="86"/>
      <c r="EC123" s="86"/>
      <c r="ED123" s="86"/>
      <c r="EE123" s="86"/>
      <c r="EF123" s="86"/>
      <c r="EG123" s="86"/>
      <c r="EH123" s="86"/>
      <c r="EI123" s="86"/>
      <c r="EJ123" s="86"/>
      <c r="EK123" s="86"/>
      <c r="EL123" s="86"/>
      <c r="EM123" s="86"/>
      <c r="EN123" s="86"/>
      <c r="EO123" s="86"/>
      <c r="EP123" s="86"/>
      <c r="EQ123" s="86"/>
      <c r="ER123" s="86"/>
      <c r="ES123" s="86"/>
      <c r="ET123" s="86"/>
      <c r="EU123" s="86"/>
      <c r="EV123" s="86"/>
      <c r="EW123" s="86"/>
      <c r="EX123" s="86"/>
      <c r="EY123" s="86"/>
      <c r="EZ123" s="86"/>
      <c r="FA123" s="86"/>
    </row>
    <row r="124" spans="2:157" ht="9.75" customHeight="1">
      <c r="B124" s="845">
        <v>6</v>
      </c>
      <c r="C124" s="1344"/>
      <c r="D124" s="1344"/>
      <c r="E124" s="1344"/>
      <c r="F124" s="857"/>
      <c r="G124" s="857"/>
      <c r="H124" s="875" t="str">
        <f t="shared" si="5"/>
        <v/>
      </c>
      <c r="J124" s="101"/>
      <c r="K124" s="101"/>
      <c r="L124" s="101"/>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86"/>
      <c r="AX124" s="86"/>
      <c r="AY124" s="86"/>
      <c r="AZ124" s="86"/>
      <c r="BA124" s="86"/>
      <c r="BB124" s="86"/>
      <c r="BC124" s="86"/>
      <c r="BD124" s="86"/>
      <c r="BE124" s="86"/>
      <c r="BF124" s="86"/>
      <c r="BG124" s="86"/>
      <c r="BH124" s="86"/>
      <c r="BI124" s="86"/>
      <c r="BJ124" s="86"/>
      <c r="BK124" s="86"/>
      <c r="BL124" s="86"/>
      <c r="BM124" s="86"/>
      <c r="BN124" s="86"/>
      <c r="BO124" s="86"/>
      <c r="BP124" s="86"/>
      <c r="BQ124" s="86"/>
      <c r="BR124" s="86"/>
      <c r="BS124" s="86"/>
      <c r="BT124" s="86"/>
      <c r="BU124" s="86"/>
      <c r="BV124" s="86"/>
      <c r="BW124" s="86"/>
      <c r="BX124" s="86"/>
      <c r="BY124" s="86"/>
      <c r="BZ124" s="86"/>
      <c r="CA124" s="86"/>
      <c r="CB124" s="86"/>
      <c r="CC124" s="86"/>
      <c r="CD124" s="86"/>
      <c r="CE124" s="86"/>
      <c r="CF124" s="86"/>
      <c r="CG124" s="86"/>
      <c r="CH124" s="86"/>
      <c r="CI124" s="86"/>
      <c r="CJ124" s="86"/>
      <c r="CK124" s="86"/>
      <c r="CL124" s="86"/>
      <c r="CM124" s="86"/>
      <c r="CN124" s="86"/>
      <c r="CO124" s="86"/>
      <c r="CP124" s="86"/>
      <c r="CQ124" s="86"/>
      <c r="CR124" s="86"/>
      <c r="CS124" s="86"/>
      <c r="CT124" s="86"/>
      <c r="CU124" s="86"/>
      <c r="CV124" s="86"/>
      <c r="CW124" s="86"/>
      <c r="CX124" s="86"/>
      <c r="CY124" s="86"/>
      <c r="CZ124" s="86"/>
      <c r="DA124" s="86"/>
      <c r="DB124" s="86"/>
      <c r="DC124" s="86"/>
      <c r="DD124" s="86"/>
      <c r="DE124" s="86"/>
      <c r="DF124" s="86"/>
      <c r="DG124" s="86"/>
      <c r="DH124" s="86"/>
      <c r="DI124" s="86"/>
      <c r="DJ124" s="86"/>
      <c r="DK124" s="86"/>
      <c r="DL124" s="86"/>
      <c r="DM124" s="86"/>
      <c r="DN124" s="86"/>
      <c r="DO124" s="86"/>
      <c r="DP124" s="86"/>
      <c r="DQ124" s="86"/>
      <c r="DR124" s="86"/>
      <c r="DS124" s="86"/>
      <c r="DT124" s="86"/>
      <c r="DU124" s="86"/>
      <c r="DV124" s="86"/>
      <c r="DW124" s="86"/>
      <c r="DX124" s="86"/>
      <c r="DY124" s="86"/>
      <c r="DZ124" s="86"/>
      <c r="EA124" s="86"/>
      <c r="EB124" s="86"/>
      <c r="EC124" s="86"/>
      <c r="ED124" s="86"/>
      <c r="EE124" s="86"/>
      <c r="EF124" s="86"/>
      <c r="EG124" s="86"/>
      <c r="EH124" s="86"/>
      <c r="EI124" s="86"/>
      <c r="EJ124" s="86"/>
      <c r="EK124" s="86"/>
      <c r="EL124" s="86"/>
      <c r="EM124" s="86"/>
      <c r="EN124" s="86"/>
      <c r="EO124" s="86"/>
      <c r="EP124" s="86"/>
      <c r="EQ124" s="86"/>
      <c r="ER124" s="86"/>
      <c r="ES124" s="86"/>
      <c r="ET124" s="86"/>
      <c r="EU124" s="86"/>
      <c r="EV124" s="86"/>
      <c r="EW124" s="86"/>
      <c r="EX124" s="86"/>
      <c r="EY124" s="86"/>
      <c r="EZ124" s="86"/>
      <c r="FA124" s="86"/>
    </row>
    <row r="125" spans="2:157" ht="9.75" customHeight="1">
      <c r="B125" s="845">
        <v>7</v>
      </c>
      <c r="C125" s="1344"/>
      <c r="D125" s="1344"/>
      <c r="E125" s="1344"/>
      <c r="F125" s="857"/>
      <c r="G125" s="857"/>
      <c r="H125" s="875" t="str">
        <f t="shared" si="5"/>
        <v/>
      </c>
      <c r="J125" s="101"/>
      <c r="K125" s="101"/>
      <c r="L125" s="101"/>
      <c r="Z125" s="86"/>
      <c r="AA125" s="86"/>
      <c r="AB125" s="86"/>
      <c r="AC125" s="86"/>
      <c r="AD125" s="86"/>
      <c r="AE125" s="86"/>
      <c r="AF125" s="86"/>
      <c r="AG125" s="86"/>
      <c r="AH125" s="86"/>
      <c r="AI125" s="86"/>
      <c r="AJ125" s="86"/>
      <c r="AK125" s="86"/>
      <c r="AL125" s="86"/>
      <c r="AM125" s="86"/>
      <c r="AN125" s="86"/>
      <c r="AO125" s="86"/>
      <c r="AP125" s="86"/>
      <c r="AQ125" s="86"/>
      <c r="AR125" s="86"/>
      <c r="AS125" s="86"/>
      <c r="AT125" s="86"/>
      <c r="AU125" s="86"/>
      <c r="AV125" s="86"/>
      <c r="AW125" s="86"/>
      <c r="AX125" s="86"/>
      <c r="AY125" s="86"/>
      <c r="AZ125" s="86"/>
      <c r="BA125" s="86"/>
      <c r="BB125" s="86"/>
      <c r="BC125" s="86"/>
      <c r="BD125" s="86"/>
      <c r="BE125" s="86"/>
      <c r="BF125" s="86"/>
      <c r="BG125" s="86"/>
      <c r="BH125" s="86"/>
      <c r="BI125" s="86"/>
      <c r="BJ125" s="86"/>
      <c r="BK125" s="86"/>
      <c r="BL125" s="86"/>
      <c r="BM125" s="86"/>
      <c r="BN125" s="86"/>
      <c r="BO125" s="86"/>
      <c r="BP125" s="86"/>
      <c r="BQ125" s="86"/>
      <c r="BR125" s="86"/>
      <c r="BS125" s="86"/>
      <c r="BT125" s="86"/>
      <c r="BU125" s="86"/>
      <c r="BV125" s="86"/>
      <c r="BW125" s="86"/>
      <c r="BX125" s="86"/>
      <c r="BY125" s="86"/>
      <c r="BZ125" s="86"/>
      <c r="CA125" s="86"/>
      <c r="CB125" s="86"/>
      <c r="CC125" s="86"/>
      <c r="CD125" s="86"/>
      <c r="CE125" s="86"/>
      <c r="CF125" s="86"/>
      <c r="CG125" s="86"/>
      <c r="CH125" s="86"/>
      <c r="CI125" s="86"/>
      <c r="CJ125" s="86"/>
      <c r="CK125" s="86"/>
      <c r="CL125" s="86"/>
      <c r="CM125" s="86"/>
      <c r="CN125" s="86"/>
      <c r="CO125" s="86"/>
      <c r="CP125" s="86"/>
      <c r="CQ125" s="86"/>
      <c r="CR125" s="86"/>
      <c r="CS125" s="86"/>
      <c r="CT125" s="86"/>
      <c r="CU125" s="86"/>
      <c r="CV125" s="86"/>
      <c r="CW125" s="86"/>
      <c r="CX125" s="86"/>
      <c r="CY125" s="86"/>
      <c r="CZ125" s="86"/>
      <c r="DA125" s="86"/>
      <c r="DB125" s="86"/>
      <c r="DC125" s="86"/>
      <c r="DD125" s="86"/>
      <c r="DE125" s="86"/>
      <c r="DF125" s="86"/>
      <c r="DG125" s="86"/>
      <c r="DH125" s="86"/>
      <c r="DI125" s="86"/>
      <c r="DJ125" s="86"/>
      <c r="DK125" s="86"/>
      <c r="DL125" s="86"/>
      <c r="DM125" s="86"/>
      <c r="DN125" s="86"/>
      <c r="DO125" s="86"/>
      <c r="DP125" s="86"/>
      <c r="DQ125" s="86"/>
      <c r="DR125" s="86"/>
      <c r="DS125" s="86"/>
      <c r="DT125" s="86"/>
      <c r="DU125" s="86"/>
      <c r="DV125" s="86"/>
      <c r="DW125" s="86"/>
      <c r="DX125" s="86"/>
      <c r="DY125" s="86"/>
      <c r="DZ125" s="86"/>
      <c r="EA125" s="86"/>
      <c r="EB125" s="86"/>
      <c r="EC125" s="86"/>
      <c r="ED125" s="86"/>
      <c r="EE125" s="86"/>
      <c r="EF125" s="86"/>
      <c r="EG125" s="86"/>
      <c r="EH125" s="86"/>
      <c r="EI125" s="86"/>
      <c r="EJ125" s="86"/>
      <c r="EK125" s="86"/>
      <c r="EL125" s="86"/>
      <c r="EM125" s="86"/>
      <c r="EN125" s="86"/>
      <c r="EO125" s="86"/>
      <c r="EP125" s="86"/>
      <c r="EQ125" s="86"/>
      <c r="ER125" s="86"/>
      <c r="ES125" s="86"/>
      <c r="ET125" s="86"/>
      <c r="EU125" s="86"/>
      <c r="EV125" s="86"/>
      <c r="EW125" s="86"/>
      <c r="EX125" s="86"/>
      <c r="EY125" s="86"/>
      <c r="EZ125" s="86"/>
      <c r="FA125" s="86"/>
    </row>
    <row r="126" spans="2:157" ht="9.75" customHeight="1">
      <c r="B126" s="845">
        <v>8</v>
      </c>
      <c r="C126" s="1344"/>
      <c r="D126" s="1344"/>
      <c r="E126" s="1344"/>
      <c r="F126" s="857"/>
      <c r="G126" s="857"/>
      <c r="H126" s="875" t="str">
        <f t="shared" si="5"/>
        <v/>
      </c>
      <c r="J126" s="101"/>
      <c r="K126" s="101"/>
      <c r="L126" s="101"/>
      <c r="Z126" s="86"/>
      <c r="AA126" s="86"/>
      <c r="AB126" s="86"/>
      <c r="AC126" s="86"/>
      <c r="AD126" s="86"/>
      <c r="AE126" s="86"/>
      <c r="AF126" s="86"/>
      <c r="AG126" s="86"/>
      <c r="AH126" s="86"/>
      <c r="AI126" s="86"/>
      <c r="AJ126" s="86"/>
      <c r="AK126" s="86"/>
      <c r="AL126" s="86"/>
      <c r="AM126" s="86"/>
      <c r="AN126" s="86"/>
      <c r="AO126" s="86"/>
      <c r="AP126" s="86"/>
      <c r="AQ126" s="86"/>
      <c r="AR126" s="86"/>
      <c r="AS126" s="86"/>
      <c r="AT126" s="86"/>
      <c r="AU126" s="86"/>
      <c r="AV126" s="86"/>
      <c r="AW126" s="86"/>
      <c r="AX126" s="86"/>
      <c r="AY126" s="86"/>
      <c r="AZ126" s="86"/>
      <c r="BA126" s="86"/>
      <c r="BB126" s="86"/>
      <c r="BC126" s="86"/>
      <c r="BD126" s="86"/>
      <c r="BE126" s="86"/>
      <c r="BF126" s="86"/>
      <c r="BG126" s="86"/>
      <c r="BH126" s="86"/>
      <c r="BI126" s="86"/>
      <c r="BJ126" s="86"/>
      <c r="BK126" s="86"/>
      <c r="BL126" s="86"/>
      <c r="BM126" s="86"/>
      <c r="BN126" s="86"/>
      <c r="BO126" s="86"/>
      <c r="BP126" s="86"/>
      <c r="BQ126" s="86"/>
      <c r="BR126" s="86"/>
      <c r="BS126" s="86"/>
      <c r="BT126" s="86"/>
      <c r="BU126" s="86"/>
      <c r="BV126" s="86"/>
      <c r="BW126" s="86"/>
      <c r="BX126" s="86"/>
      <c r="BY126" s="86"/>
      <c r="BZ126" s="86"/>
      <c r="CA126" s="86"/>
      <c r="CB126" s="86"/>
      <c r="CC126" s="86"/>
      <c r="CD126" s="86"/>
      <c r="CE126" s="86"/>
      <c r="CF126" s="86"/>
      <c r="CG126" s="86"/>
      <c r="CH126" s="86"/>
      <c r="CI126" s="86"/>
      <c r="CJ126" s="86"/>
      <c r="CK126" s="86"/>
      <c r="CL126" s="86"/>
      <c r="CM126" s="86"/>
      <c r="CN126" s="86"/>
      <c r="CO126" s="86"/>
      <c r="CP126" s="86"/>
      <c r="CQ126" s="86"/>
      <c r="CR126" s="86"/>
      <c r="CS126" s="86"/>
      <c r="CT126" s="86"/>
      <c r="CU126" s="86"/>
      <c r="CV126" s="86"/>
      <c r="CW126" s="86"/>
      <c r="CX126" s="86"/>
      <c r="CY126" s="86"/>
      <c r="CZ126" s="86"/>
      <c r="DA126" s="86"/>
      <c r="DB126" s="86"/>
      <c r="DC126" s="86"/>
      <c r="DD126" s="86"/>
      <c r="DE126" s="86"/>
      <c r="DF126" s="86"/>
      <c r="DG126" s="86"/>
      <c r="DH126" s="86"/>
      <c r="DI126" s="86"/>
      <c r="DJ126" s="86"/>
      <c r="DK126" s="86"/>
      <c r="DL126" s="86"/>
      <c r="DM126" s="86"/>
      <c r="DN126" s="86"/>
      <c r="DO126" s="86"/>
      <c r="DP126" s="86"/>
      <c r="DQ126" s="86"/>
      <c r="DR126" s="86"/>
      <c r="DS126" s="86"/>
      <c r="DT126" s="86"/>
      <c r="DU126" s="86"/>
      <c r="DV126" s="86"/>
      <c r="DW126" s="86"/>
      <c r="DX126" s="86"/>
      <c r="DY126" s="86"/>
      <c r="DZ126" s="86"/>
      <c r="EA126" s="86"/>
      <c r="EB126" s="86"/>
      <c r="EC126" s="86"/>
      <c r="ED126" s="86"/>
      <c r="EE126" s="86"/>
      <c r="EF126" s="86"/>
      <c r="EG126" s="86"/>
      <c r="EH126" s="86"/>
      <c r="EI126" s="86"/>
      <c r="EJ126" s="86"/>
      <c r="EK126" s="86"/>
      <c r="EL126" s="86"/>
      <c r="EM126" s="86"/>
      <c r="EN126" s="86"/>
      <c r="EO126" s="86"/>
      <c r="EP126" s="86"/>
      <c r="EQ126" s="86"/>
      <c r="ER126" s="86"/>
      <c r="ES126" s="86"/>
      <c r="ET126" s="86"/>
      <c r="EU126" s="86"/>
      <c r="EV126" s="86"/>
      <c r="EW126" s="86"/>
      <c r="EX126" s="86"/>
      <c r="EY126" s="86"/>
      <c r="EZ126" s="86"/>
      <c r="FA126" s="86"/>
    </row>
    <row r="127" spans="2:157" ht="9.75" customHeight="1">
      <c r="B127" s="845">
        <v>9</v>
      </c>
      <c r="C127" s="1344"/>
      <c r="D127" s="1344"/>
      <c r="E127" s="1344"/>
      <c r="F127" s="857"/>
      <c r="G127" s="857"/>
      <c r="H127" s="875" t="str">
        <f t="shared" si="5"/>
        <v/>
      </c>
      <c r="J127" s="101"/>
      <c r="K127" s="101"/>
      <c r="L127" s="101"/>
      <c r="Z127" s="86"/>
      <c r="AA127" s="86"/>
      <c r="AB127" s="86"/>
      <c r="AC127" s="86"/>
      <c r="AD127" s="86"/>
      <c r="AE127" s="86"/>
      <c r="AF127" s="86"/>
      <c r="AG127" s="86"/>
      <c r="AH127" s="86"/>
      <c r="AI127" s="86"/>
      <c r="AJ127" s="86"/>
      <c r="AK127" s="86"/>
      <c r="AL127" s="86"/>
      <c r="AM127" s="86"/>
      <c r="AN127" s="86"/>
      <c r="AO127" s="86"/>
      <c r="AP127" s="86"/>
      <c r="AQ127" s="86"/>
      <c r="AR127" s="86"/>
      <c r="AS127" s="86"/>
      <c r="AT127" s="86"/>
      <c r="AU127" s="86"/>
      <c r="AV127" s="86"/>
      <c r="AW127" s="86"/>
      <c r="AX127" s="86"/>
      <c r="AY127" s="86"/>
      <c r="AZ127" s="86"/>
      <c r="BA127" s="86"/>
      <c r="BB127" s="86"/>
      <c r="BC127" s="86"/>
      <c r="BD127" s="86"/>
      <c r="BE127" s="86"/>
      <c r="BF127" s="86"/>
      <c r="BG127" s="86"/>
      <c r="BH127" s="86"/>
      <c r="BI127" s="86"/>
      <c r="BJ127" s="86"/>
      <c r="BK127" s="86"/>
      <c r="BL127" s="86"/>
      <c r="BM127" s="86"/>
      <c r="BN127" s="86"/>
      <c r="BO127" s="86"/>
      <c r="BP127" s="86"/>
      <c r="BQ127" s="86"/>
      <c r="BR127" s="86"/>
      <c r="BS127" s="86"/>
      <c r="BT127" s="86"/>
      <c r="BU127" s="86"/>
      <c r="BV127" s="86"/>
      <c r="BW127" s="86"/>
      <c r="BX127" s="86"/>
      <c r="BY127" s="86"/>
      <c r="BZ127" s="86"/>
      <c r="CA127" s="86"/>
      <c r="CB127" s="86"/>
      <c r="CC127" s="86"/>
      <c r="CD127" s="86"/>
      <c r="CE127" s="86"/>
      <c r="CF127" s="86"/>
      <c r="CG127" s="86"/>
      <c r="CH127" s="86"/>
      <c r="CI127" s="86"/>
      <c r="CJ127" s="86"/>
      <c r="CK127" s="86"/>
      <c r="CL127" s="86"/>
      <c r="CM127" s="86"/>
      <c r="CN127" s="86"/>
      <c r="CO127" s="86"/>
      <c r="CP127" s="86"/>
      <c r="CQ127" s="86"/>
      <c r="CR127" s="86"/>
      <c r="CS127" s="86"/>
      <c r="CT127" s="86"/>
      <c r="CU127" s="86"/>
      <c r="CV127" s="86"/>
      <c r="CW127" s="86"/>
      <c r="CX127" s="86"/>
      <c r="CY127" s="86"/>
      <c r="CZ127" s="86"/>
      <c r="DA127" s="86"/>
      <c r="DB127" s="86"/>
      <c r="DC127" s="86"/>
      <c r="DD127" s="86"/>
      <c r="DE127" s="86"/>
      <c r="DF127" s="86"/>
      <c r="DG127" s="86"/>
      <c r="DH127" s="86"/>
      <c r="DI127" s="86"/>
      <c r="DJ127" s="86"/>
      <c r="DK127" s="86"/>
      <c r="DL127" s="86"/>
      <c r="DM127" s="86"/>
      <c r="DN127" s="86"/>
      <c r="DO127" s="86"/>
      <c r="DP127" s="86"/>
      <c r="DQ127" s="86"/>
      <c r="DR127" s="86"/>
      <c r="DS127" s="86"/>
      <c r="DT127" s="86"/>
      <c r="DU127" s="86"/>
      <c r="DV127" s="86"/>
      <c r="DW127" s="86"/>
      <c r="DX127" s="86"/>
      <c r="DY127" s="86"/>
      <c r="DZ127" s="86"/>
      <c r="EA127" s="86"/>
      <c r="EB127" s="86"/>
      <c r="EC127" s="86"/>
      <c r="ED127" s="86"/>
      <c r="EE127" s="86"/>
      <c r="EF127" s="86"/>
      <c r="EG127" s="86"/>
      <c r="EH127" s="86"/>
      <c r="EI127" s="86"/>
      <c r="EJ127" s="86"/>
      <c r="EK127" s="86"/>
      <c r="EL127" s="86"/>
      <c r="EM127" s="86"/>
      <c r="EN127" s="86"/>
      <c r="EO127" s="86"/>
      <c r="EP127" s="86"/>
      <c r="EQ127" s="86"/>
      <c r="ER127" s="86"/>
      <c r="ES127" s="86"/>
      <c r="ET127" s="86"/>
      <c r="EU127" s="86"/>
      <c r="EV127" s="86"/>
      <c r="EW127" s="86"/>
      <c r="EX127" s="86"/>
      <c r="EY127" s="86"/>
      <c r="EZ127" s="86"/>
      <c r="FA127" s="86"/>
    </row>
    <row r="128" spans="2:157" ht="10.050000000000001" customHeight="1">
      <c r="B128" s="845" t="s">
        <v>546</v>
      </c>
      <c r="C128" s="836" t="s">
        <v>73</v>
      </c>
      <c r="D128" s="839"/>
      <c r="E128" s="86"/>
      <c r="F128" s="848" t="s">
        <v>546</v>
      </c>
      <c r="G128" s="848" t="s">
        <v>546</v>
      </c>
      <c r="H128" s="858">
        <v>0.04</v>
      </c>
      <c r="J128" s="101"/>
      <c r="K128" s="101"/>
      <c r="L128" s="101"/>
      <c r="Z128" s="86"/>
      <c r="AA128" s="86"/>
      <c r="AB128" s="86"/>
      <c r="AC128" s="86"/>
      <c r="AD128" s="86"/>
      <c r="AE128" s="86"/>
      <c r="AF128" s="86"/>
      <c r="AG128" s="86"/>
      <c r="AH128" s="86"/>
      <c r="AI128" s="86"/>
      <c r="AJ128" s="86"/>
      <c r="AK128" s="86"/>
      <c r="AL128" s="86"/>
      <c r="AM128" s="86"/>
      <c r="AN128" s="86"/>
      <c r="AO128" s="86"/>
      <c r="AP128" s="86"/>
      <c r="AQ128" s="86"/>
      <c r="AR128" s="86"/>
      <c r="AS128" s="86"/>
      <c r="AT128" s="86"/>
      <c r="AU128" s="86"/>
      <c r="AV128" s="86"/>
      <c r="AW128" s="86"/>
      <c r="AX128" s="86"/>
      <c r="AY128" s="86"/>
      <c r="AZ128" s="86"/>
      <c r="BA128" s="86"/>
      <c r="BB128" s="86"/>
      <c r="BC128" s="86"/>
      <c r="BD128" s="86"/>
      <c r="BE128" s="86"/>
      <c r="BF128" s="86"/>
      <c r="BG128" s="86"/>
      <c r="BH128" s="86"/>
      <c r="BI128" s="86"/>
      <c r="BJ128" s="86"/>
      <c r="BK128" s="86"/>
      <c r="BL128" s="86"/>
      <c r="BM128" s="86"/>
      <c r="BN128" s="86"/>
      <c r="BO128" s="86"/>
      <c r="BP128" s="86"/>
      <c r="BQ128" s="86"/>
      <c r="BR128" s="86"/>
      <c r="BS128" s="86"/>
      <c r="BT128" s="86"/>
      <c r="BU128" s="86"/>
      <c r="BV128" s="86"/>
      <c r="BW128" s="86"/>
      <c r="BX128" s="86"/>
      <c r="BY128" s="86"/>
      <c r="BZ128" s="86"/>
      <c r="CA128" s="86"/>
      <c r="CB128" s="86"/>
      <c r="CC128" s="86"/>
      <c r="CD128" s="86"/>
      <c r="CE128" s="86"/>
      <c r="CF128" s="86"/>
      <c r="CG128" s="86"/>
      <c r="CH128" s="86"/>
      <c r="CI128" s="86"/>
      <c r="CJ128" s="86"/>
      <c r="CK128" s="86"/>
      <c r="CL128" s="86"/>
      <c r="CM128" s="86"/>
      <c r="CN128" s="86"/>
      <c r="CO128" s="86"/>
      <c r="CP128" s="86"/>
      <c r="CQ128" s="86"/>
      <c r="CR128" s="86"/>
      <c r="CS128" s="86"/>
      <c r="CT128" s="86"/>
      <c r="CU128" s="86"/>
      <c r="CV128" s="86"/>
      <c r="CW128" s="86"/>
      <c r="CX128" s="86"/>
      <c r="CY128" s="86"/>
      <c r="CZ128" s="86"/>
      <c r="DA128" s="86"/>
      <c r="DB128" s="86"/>
      <c r="DC128" s="86"/>
      <c r="DD128" s="86"/>
      <c r="DE128" s="86"/>
      <c r="DF128" s="86"/>
      <c r="DG128" s="86"/>
      <c r="DH128" s="86"/>
      <c r="DI128" s="86"/>
      <c r="DJ128" s="86"/>
      <c r="DK128" s="86"/>
      <c r="DL128" s="86"/>
      <c r="DM128" s="86"/>
      <c r="DN128" s="86"/>
      <c r="DO128" s="86"/>
      <c r="DP128" s="86"/>
      <c r="DQ128" s="86"/>
      <c r="DR128" s="86"/>
      <c r="DS128" s="86"/>
      <c r="DT128" s="86"/>
      <c r="DU128" s="86"/>
      <c r="DV128" s="86"/>
      <c r="DW128" s="86"/>
      <c r="DX128" s="86"/>
      <c r="DY128" s="86"/>
      <c r="DZ128" s="86"/>
      <c r="EA128" s="86"/>
      <c r="EB128" s="86"/>
      <c r="EC128" s="86"/>
      <c r="ED128" s="86"/>
      <c r="EE128" s="86"/>
      <c r="EF128" s="86"/>
      <c r="EG128" s="86"/>
      <c r="EH128" s="86"/>
      <c r="EI128" s="86"/>
      <c r="EJ128" s="86"/>
      <c r="EK128" s="86"/>
      <c r="EL128" s="86"/>
      <c r="EM128" s="86"/>
      <c r="EN128" s="86"/>
      <c r="EO128" s="86"/>
      <c r="EP128" s="86"/>
      <c r="EQ128" s="86"/>
      <c r="ER128" s="86"/>
      <c r="ES128" s="86"/>
      <c r="ET128" s="86"/>
      <c r="EU128" s="86"/>
      <c r="EV128" s="86"/>
      <c r="EW128" s="86"/>
      <c r="EX128" s="86"/>
      <c r="EY128" s="86"/>
      <c r="EZ128" s="86"/>
      <c r="FA128" s="86"/>
    </row>
    <row r="129" spans="2:157" ht="9.75" customHeight="1">
      <c r="B129" s="849"/>
      <c r="C129" s="849"/>
      <c r="D129" s="849"/>
      <c r="E129" s="849"/>
      <c r="F129" s="849"/>
      <c r="G129" s="849"/>
      <c r="H129" s="855"/>
      <c r="J129" s="101"/>
      <c r="K129" s="101"/>
      <c r="L129" s="101"/>
      <c r="Z129" s="86"/>
      <c r="AA129" s="86"/>
      <c r="AB129" s="86"/>
      <c r="AC129" s="86"/>
      <c r="AD129" s="86"/>
      <c r="AE129" s="86"/>
      <c r="AF129" s="86"/>
      <c r="AG129" s="86"/>
      <c r="AH129" s="86"/>
      <c r="AI129" s="86"/>
      <c r="AJ129" s="86"/>
      <c r="AK129" s="86"/>
      <c r="AL129" s="86"/>
      <c r="AM129" s="86"/>
      <c r="AN129" s="86"/>
      <c r="AO129" s="86"/>
      <c r="AP129" s="86"/>
      <c r="AQ129" s="86"/>
      <c r="AR129" s="86"/>
      <c r="AS129" s="86"/>
      <c r="AT129" s="86"/>
      <c r="AU129" s="86"/>
      <c r="AV129" s="86"/>
      <c r="AW129" s="86"/>
      <c r="AX129" s="86"/>
      <c r="AY129" s="86"/>
      <c r="AZ129" s="86"/>
      <c r="BA129" s="86"/>
      <c r="BB129" s="86"/>
      <c r="BC129" s="86"/>
      <c r="BD129" s="86"/>
      <c r="BE129" s="86"/>
      <c r="BF129" s="86"/>
      <c r="BG129" s="86"/>
      <c r="BH129" s="86"/>
      <c r="BI129" s="86"/>
      <c r="BJ129" s="86"/>
      <c r="BK129" s="86"/>
      <c r="BL129" s="86"/>
      <c r="BM129" s="86"/>
      <c r="BN129" s="86"/>
      <c r="BO129" s="86"/>
      <c r="BP129" s="86"/>
      <c r="BQ129" s="86"/>
      <c r="BR129" s="86"/>
      <c r="BS129" s="86"/>
      <c r="BT129" s="86"/>
      <c r="BU129" s="86"/>
      <c r="BV129" s="86"/>
      <c r="BW129" s="86"/>
      <c r="BX129" s="86"/>
      <c r="BY129" s="86"/>
      <c r="BZ129" s="86"/>
      <c r="CA129" s="86"/>
      <c r="CB129" s="86"/>
      <c r="CC129" s="86"/>
      <c r="CD129" s="86"/>
      <c r="CE129" s="86"/>
      <c r="CF129" s="86"/>
      <c r="CG129" s="86"/>
      <c r="CH129" s="86"/>
      <c r="CI129" s="86"/>
      <c r="CJ129" s="86"/>
      <c r="CK129" s="86"/>
      <c r="CL129" s="86"/>
      <c r="CM129" s="86"/>
      <c r="CN129" s="86"/>
      <c r="CO129" s="86"/>
      <c r="CP129" s="86"/>
      <c r="CQ129" s="86"/>
      <c r="CR129" s="86"/>
      <c r="CS129" s="86"/>
      <c r="CT129" s="86"/>
      <c r="CU129" s="86"/>
      <c r="CV129" s="86"/>
      <c r="CW129" s="86"/>
      <c r="CX129" s="86"/>
      <c r="CY129" s="86"/>
      <c r="CZ129" s="86"/>
      <c r="DA129" s="86"/>
      <c r="DB129" s="86"/>
      <c r="DC129" s="86"/>
      <c r="DD129" s="86"/>
      <c r="DE129" s="86"/>
      <c r="DF129" s="86"/>
      <c r="DG129" s="86"/>
      <c r="DH129" s="86"/>
      <c r="DI129" s="86"/>
      <c r="DJ129" s="86"/>
      <c r="DK129" s="86"/>
      <c r="DL129" s="86"/>
      <c r="DM129" s="86"/>
      <c r="DN129" s="86"/>
      <c r="DO129" s="86"/>
      <c r="DP129" s="86"/>
      <c r="DQ129" s="86"/>
      <c r="DR129" s="86"/>
      <c r="DS129" s="86"/>
      <c r="DT129" s="86"/>
      <c r="DU129" s="86"/>
      <c r="DV129" s="86"/>
      <c r="DW129" s="86"/>
      <c r="DX129" s="86"/>
      <c r="DY129" s="86"/>
      <c r="DZ129" s="86"/>
      <c r="EA129" s="86"/>
      <c r="EB129" s="86"/>
      <c r="EC129" s="86"/>
      <c r="ED129" s="86"/>
      <c r="EE129" s="86"/>
      <c r="EF129" s="86"/>
      <c r="EG129" s="86"/>
      <c r="EH129" s="86"/>
      <c r="EI129" s="86"/>
      <c r="EJ129" s="86"/>
      <c r="EK129" s="86"/>
      <c r="EL129" s="86"/>
      <c r="EM129" s="86"/>
      <c r="EN129" s="86"/>
      <c r="EO129" s="86"/>
      <c r="EP129" s="86"/>
      <c r="EQ129" s="86"/>
      <c r="ER129" s="86"/>
      <c r="ES129" s="86"/>
      <c r="ET129" s="86"/>
      <c r="EU129" s="86"/>
      <c r="EV129" s="86"/>
      <c r="EW129" s="86"/>
      <c r="EX129" s="86"/>
      <c r="EY129" s="86"/>
      <c r="EZ129" s="86"/>
      <c r="FA129" s="86"/>
    </row>
    <row r="130" spans="2:157" ht="9.75" customHeight="1">
      <c r="B130" s="27"/>
      <c r="C130" s="27"/>
      <c r="D130" s="27"/>
      <c r="E130" s="91"/>
      <c r="F130" s="171"/>
      <c r="G130" s="29"/>
      <c r="H130" s="27"/>
      <c r="J130" s="101"/>
      <c r="K130" s="101"/>
      <c r="L130" s="101"/>
      <c r="Z130" s="86"/>
      <c r="AA130" s="86"/>
      <c r="AB130" s="86"/>
      <c r="AC130" s="86"/>
      <c r="AD130" s="86"/>
      <c r="AE130" s="86"/>
      <c r="AF130" s="86"/>
      <c r="AG130" s="86"/>
      <c r="AH130" s="86"/>
      <c r="AI130" s="86"/>
      <c r="AJ130" s="86"/>
      <c r="AK130" s="86"/>
      <c r="AL130" s="86"/>
      <c r="AM130" s="86"/>
      <c r="AN130" s="86"/>
      <c r="AO130" s="86"/>
      <c r="AP130" s="86"/>
      <c r="AQ130" s="86"/>
      <c r="AR130" s="86"/>
      <c r="AS130" s="86"/>
      <c r="AT130" s="86"/>
      <c r="AU130" s="86"/>
      <c r="AV130" s="86"/>
      <c r="AW130" s="86"/>
      <c r="AX130" s="86"/>
      <c r="AY130" s="86"/>
      <c r="AZ130" s="86"/>
      <c r="BA130" s="86"/>
      <c r="BB130" s="86"/>
      <c r="BC130" s="86"/>
      <c r="BD130" s="86"/>
      <c r="BE130" s="86"/>
      <c r="BF130" s="86"/>
      <c r="BG130" s="86"/>
      <c r="BH130" s="86"/>
      <c r="BI130" s="86"/>
      <c r="BJ130" s="86"/>
      <c r="BK130" s="86"/>
      <c r="BL130" s="86"/>
      <c r="BM130" s="86"/>
      <c r="BN130" s="86"/>
      <c r="BO130" s="86"/>
      <c r="BP130" s="86"/>
      <c r="BQ130" s="86"/>
      <c r="BR130" s="86"/>
      <c r="BS130" s="86"/>
      <c r="BT130" s="86"/>
      <c r="BU130" s="86"/>
      <c r="BV130" s="86"/>
      <c r="BW130" s="86"/>
      <c r="BX130" s="86"/>
      <c r="BY130" s="86"/>
      <c r="BZ130" s="86"/>
      <c r="CA130" s="86"/>
      <c r="CB130" s="86"/>
      <c r="CC130" s="86"/>
      <c r="CD130" s="86"/>
      <c r="CE130" s="86"/>
      <c r="CF130" s="86"/>
      <c r="CG130" s="86"/>
      <c r="CH130" s="86"/>
      <c r="CI130" s="86"/>
      <c r="CJ130" s="86"/>
      <c r="CK130" s="86"/>
      <c r="CL130" s="86"/>
      <c r="CM130" s="86"/>
      <c r="CN130" s="86"/>
      <c r="CO130" s="86"/>
      <c r="CP130" s="86"/>
      <c r="CQ130" s="86"/>
      <c r="CR130" s="86"/>
      <c r="CS130" s="86"/>
      <c r="CT130" s="86"/>
      <c r="CU130" s="86"/>
      <c r="CV130" s="86"/>
      <c r="CW130" s="86"/>
      <c r="CX130" s="86"/>
      <c r="CY130" s="86"/>
      <c r="CZ130" s="86"/>
      <c r="DA130" s="86"/>
      <c r="DB130" s="86"/>
      <c r="DC130" s="86"/>
      <c r="DD130" s="86"/>
      <c r="DE130" s="86"/>
      <c r="DF130" s="86"/>
      <c r="DG130" s="86"/>
      <c r="DH130" s="86"/>
      <c r="DI130" s="86"/>
      <c r="DJ130" s="86"/>
      <c r="DK130" s="86"/>
      <c r="DL130" s="86"/>
      <c r="DM130" s="86"/>
      <c r="DN130" s="86"/>
      <c r="DO130" s="86"/>
      <c r="DP130" s="86"/>
      <c r="DQ130" s="86"/>
      <c r="DR130" s="86"/>
      <c r="DS130" s="86"/>
      <c r="DT130" s="86"/>
      <c r="DU130" s="86"/>
      <c r="DV130" s="86"/>
      <c r="DW130" s="86"/>
      <c r="DX130" s="86"/>
      <c r="DY130" s="86"/>
      <c r="DZ130" s="86"/>
      <c r="EA130" s="86"/>
      <c r="EB130" s="86"/>
      <c r="EC130" s="86"/>
      <c r="ED130" s="86"/>
      <c r="EE130" s="86"/>
      <c r="EF130" s="86"/>
      <c r="EG130" s="86"/>
      <c r="EH130" s="86"/>
      <c r="EI130" s="86"/>
      <c r="EJ130" s="86"/>
      <c r="EK130" s="86"/>
      <c r="EL130" s="86"/>
      <c r="EM130" s="86"/>
      <c r="EN130" s="86"/>
      <c r="EO130" s="86"/>
      <c r="EP130" s="86"/>
      <c r="EQ130" s="86"/>
      <c r="ER130" s="86"/>
      <c r="ES130" s="86"/>
      <c r="ET130" s="86"/>
      <c r="EU130" s="86"/>
      <c r="EV130" s="86"/>
      <c r="EW130" s="86"/>
      <c r="EX130" s="86"/>
      <c r="EY130" s="86"/>
      <c r="EZ130" s="86"/>
      <c r="FA130" s="86"/>
    </row>
    <row r="131" spans="2:157" ht="9.75" customHeight="1">
      <c r="B131" s="27"/>
      <c r="C131" s="27"/>
      <c r="D131" s="27"/>
      <c r="E131" s="27"/>
      <c r="F131" s="27"/>
      <c r="G131" s="27"/>
      <c r="H131" s="27"/>
      <c r="J131" s="101"/>
      <c r="K131" s="101"/>
      <c r="L131" s="101"/>
      <c r="Z131" s="86"/>
      <c r="AA131" s="86"/>
      <c r="AB131" s="86"/>
      <c r="AC131" s="86"/>
      <c r="AD131" s="86"/>
      <c r="AE131" s="86"/>
      <c r="AF131" s="86"/>
      <c r="AG131" s="86"/>
      <c r="AH131" s="86"/>
      <c r="AI131" s="86"/>
      <c r="AJ131" s="86"/>
      <c r="AK131" s="86"/>
      <c r="AL131" s="86"/>
      <c r="AM131" s="86"/>
      <c r="AN131" s="86"/>
      <c r="AO131" s="86"/>
      <c r="AP131" s="86"/>
      <c r="AQ131" s="86"/>
      <c r="AR131" s="86"/>
      <c r="AS131" s="86"/>
      <c r="AT131" s="86"/>
      <c r="AU131" s="86"/>
      <c r="AV131" s="86"/>
      <c r="AW131" s="86"/>
      <c r="AX131" s="86"/>
      <c r="AY131" s="86"/>
      <c r="AZ131" s="86"/>
      <c r="BA131" s="86"/>
      <c r="BB131" s="86"/>
      <c r="BC131" s="86"/>
      <c r="BD131" s="86"/>
      <c r="BE131" s="86"/>
      <c r="BF131" s="86"/>
      <c r="BG131" s="86"/>
      <c r="BH131" s="86"/>
      <c r="BI131" s="86"/>
      <c r="BJ131" s="86"/>
      <c r="BK131" s="86"/>
      <c r="BL131" s="86"/>
      <c r="BM131" s="86"/>
      <c r="BN131" s="86"/>
      <c r="BO131" s="86"/>
      <c r="BP131" s="86"/>
      <c r="BQ131" s="86"/>
      <c r="BR131" s="86"/>
      <c r="BS131" s="86"/>
      <c r="BT131" s="86"/>
      <c r="BU131" s="86"/>
      <c r="BV131" s="86"/>
      <c r="BW131" s="86"/>
      <c r="BX131" s="86"/>
      <c r="BY131" s="86"/>
      <c r="BZ131" s="86"/>
      <c r="CA131" s="86"/>
      <c r="CB131" s="86"/>
      <c r="CC131" s="86"/>
      <c r="CD131" s="86"/>
      <c r="CE131" s="86"/>
      <c r="CF131" s="86"/>
      <c r="CG131" s="86"/>
      <c r="CH131" s="86"/>
      <c r="CI131" s="86"/>
      <c r="CJ131" s="86"/>
      <c r="CK131" s="86"/>
      <c r="CL131" s="86"/>
      <c r="CM131" s="86"/>
      <c r="CN131" s="86"/>
      <c r="CO131" s="86"/>
      <c r="CP131" s="86"/>
      <c r="CQ131" s="86"/>
      <c r="CR131" s="86"/>
      <c r="CS131" s="86"/>
      <c r="CT131" s="86"/>
      <c r="CU131" s="86"/>
      <c r="CV131" s="86"/>
      <c r="CW131" s="86"/>
      <c r="CX131" s="86"/>
      <c r="CY131" s="86"/>
      <c r="CZ131" s="86"/>
      <c r="DA131" s="86"/>
      <c r="DB131" s="86"/>
      <c r="DC131" s="86"/>
      <c r="DD131" s="86"/>
      <c r="DE131" s="86"/>
      <c r="DF131" s="86"/>
      <c r="DG131" s="86"/>
      <c r="DH131" s="86"/>
      <c r="DI131" s="86"/>
      <c r="DJ131" s="86"/>
      <c r="DK131" s="86"/>
      <c r="DL131" s="86"/>
      <c r="DM131" s="86"/>
      <c r="DN131" s="86"/>
      <c r="DO131" s="86"/>
      <c r="DP131" s="86"/>
      <c r="DQ131" s="86"/>
      <c r="DR131" s="86"/>
      <c r="DS131" s="86"/>
      <c r="DT131" s="86"/>
      <c r="DU131" s="86"/>
      <c r="DV131" s="86"/>
      <c r="DW131" s="86"/>
      <c r="DX131" s="86"/>
      <c r="DY131" s="86"/>
      <c r="DZ131" s="86"/>
      <c r="EA131" s="86"/>
      <c r="EB131" s="86"/>
      <c r="EC131" s="86"/>
      <c r="ED131" s="86"/>
      <c r="EE131" s="86"/>
      <c r="EF131" s="86"/>
      <c r="EG131" s="86"/>
      <c r="EH131" s="86"/>
      <c r="EI131" s="86"/>
      <c r="EJ131" s="86"/>
      <c r="EK131" s="86"/>
      <c r="EL131" s="86"/>
      <c r="EM131" s="86"/>
      <c r="EN131" s="86"/>
      <c r="EO131" s="86"/>
      <c r="EP131" s="86"/>
      <c r="EQ131" s="86"/>
      <c r="ER131" s="86"/>
      <c r="ES131" s="86"/>
      <c r="ET131" s="86"/>
      <c r="EU131" s="86"/>
      <c r="EV131" s="86"/>
      <c r="EW131" s="86"/>
      <c r="EX131" s="86"/>
      <c r="EY131" s="86"/>
      <c r="EZ131" s="86"/>
      <c r="FA131" s="86"/>
    </row>
    <row r="132" spans="2:157" ht="9.75" customHeight="1">
      <c r="B132" s="27"/>
      <c r="C132" s="27"/>
      <c r="D132" s="27"/>
      <c r="E132" s="27"/>
      <c r="F132" s="27"/>
      <c r="G132" s="27"/>
      <c r="H132" s="27"/>
      <c r="J132" s="101"/>
      <c r="K132" s="101"/>
      <c r="L132" s="101"/>
      <c r="Z132" s="86"/>
      <c r="AA132" s="86"/>
      <c r="AB132" s="86"/>
      <c r="AC132" s="86"/>
      <c r="AD132" s="86"/>
      <c r="AE132" s="86"/>
      <c r="AF132" s="86"/>
      <c r="AG132" s="86"/>
      <c r="AH132" s="86"/>
      <c r="AI132" s="86"/>
      <c r="AJ132" s="86"/>
      <c r="AK132" s="86"/>
      <c r="AL132" s="86"/>
      <c r="AM132" s="86"/>
      <c r="AN132" s="86"/>
      <c r="AO132" s="86"/>
      <c r="AP132" s="86"/>
      <c r="AQ132" s="86"/>
      <c r="AR132" s="86"/>
      <c r="AS132" s="86"/>
      <c r="AT132" s="86"/>
      <c r="AU132" s="86"/>
      <c r="AV132" s="86"/>
      <c r="AW132" s="86"/>
      <c r="AX132" s="86"/>
      <c r="AY132" s="86"/>
      <c r="AZ132" s="86"/>
      <c r="BA132" s="86"/>
      <c r="BB132" s="86"/>
      <c r="BC132" s="86"/>
      <c r="BD132" s="86"/>
      <c r="BE132" s="86"/>
      <c r="BF132" s="86"/>
      <c r="BG132" s="86"/>
      <c r="BH132" s="86"/>
      <c r="BI132" s="86"/>
      <c r="BJ132" s="86"/>
      <c r="BK132" s="86"/>
      <c r="BL132" s="86"/>
      <c r="BM132" s="86"/>
      <c r="BN132" s="86"/>
      <c r="BO132" s="86"/>
      <c r="BP132" s="86"/>
      <c r="BQ132" s="86"/>
      <c r="BR132" s="86"/>
      <c r="BS132" s="86"/>
      <c r="BT132" s="86"/>
      <c r="BU132" s="86"/>
      <c r="BV132" s="86"/>
      <c r="BW132" s="86"/>
      <c r="BX132" s="86"/>
      <c r="BY132" s="86"/>
      <c r="BZ132" s="86"/>
      <c r="CA132" s="86"/>
      <c r="CB132" s="86"/>
      <c r="CC132" s="86"/>
      <c r="CD132" s="86"/>
      <c r="CE132" s="86"/>
      <c r="CF132" s="86"/>
      <c r="CG132" s="86"/>
      <c r="CH132" s="86"/>
      <c r="CI132" s="86"/>
      <c r="CJ132" s="86"/>
      <c r="CK132" s="86"/>
      <c r="CL132" s="86"/>
      <c r="CM132" s="86"/>
      <c r="CN132" s="86"/>
      <c r="CO132" s="86"/>
      <c r="CP132" s="86"/>
      <c r="CQ132" s="86"/>
      <c r="CR132" s="86"/>
      <c r="CS132" s="86"/>
      <c r="CT132" s="86"/>
      <c r="CU132" s="86"/>
      <c r="CV132" s="86"/>
      <c r="CW132" s="86"/>
      <c r="CX132" s="86"/>
      <c r="CY132" s="86"/>
      <c r="CZ132" s="86"/>
      <c r="DA132" s="86"/>
      <c r="DB132" s="86"/>
      <c r="DC132" s="86"/>
      <c r="DD132" s="86"/>
      <c r="DE132" s="86"/>
      <c r="DF132" s="86"/>
      <c r="DG132" s="86"/>
      <c r="DH132" s="86"/>
      <c r="DI132" s="86"/>
      <c r="DJ132" s="86"/>
      <c r="DK132" s="86"/>
      <c r="DL132" s="86"/>
      <c r="DM132" s="86"/>
      <c r="DN132" s="86"/>
      <c r="DO132" s="86"/>
      <c r="DP132" s="86"/>
      <c r="DQ132" s="86"/>
      <c r="DR132" s="86"/>
      <c r="DS132" s="86"/>
      <c r="DT132" s="86"/>
      <c r="DU132" s="86"/>
      <c r="DV132" s="86"/>
      <c r="DW132" s="86"/>
      <c r="DX132" s="86"/>
      <c r="DY132" s="86"/>
      <c r="DZ132" s="86"/>
      <c r="EA132" s="86"/>
      <c r="EB132" s="86"/>
      <c r="EC132" s="86"/>
      <c r="ED132" s="86"/>
      <c r="EE132" s="86"/>
      <c r="EF132" s="86"/>
      <c r="EG132" s="86"/>
      <c r="EH132" s="86"/>
      <c r="EI132" s="86"/>
      <c r="EJ132" s="86"/>
      <c r="EK132" s="86"/>
      <c r="EL132" s="86"/>
      <c r="EM132" s="86"/>
      <c r="EN132" s="86"/>
      <c r="EO132" s="86"/>
      <c r="EP132" s="86"/>
      <c r="EQ132" s="86"/>
      <c r="ER132" s="86"/>
      <c r="ES132" s="86"/>
      <c r="ET132" s="86"/>
      <c r="EU132" s="86"/>
      <c r="EV132" s="86"/>
      <c r="EW132" s="86"/>
      <c r="EX132" s="86"/>
      <c r="EY132" s="86"/>
      <c r="EZ132" s="86"/>
      <c r="FA132" s="86"/>
    </row>
    <row r="133" spans="2:157" ht="9.75" customHeight="1">
      <c r="B133" s="31"/>
      <c r="C133" s="31"/>
      <c r="D133" s="31"/>
      <c r="E133" s="31"/>
      <c r="F133" s="31"/>
      <c r="G133" s="31"/>
      <c r="H133" s="31"/>
      <c r="J133" s="101"/>
      <c r="K133" s="101"/>
      <c r="L133" s="101"/>
      <c r="Z133" s="86"/>
      <c r="AA133" s="86"/>
      <c r="AB133" s="86"/>
      <c r="AC133" s="86"/>
      <c r="AD133" s="86"/>
      <c r="AE133" s="86"/>
      <c r="AF133" s="86"/>
      <c r="AG133" s="86"/>
      <c r="AH133" s="86"/>
      <c r="AI133" s="86"/>
      <c r="AJ133" s="86"/>
      <c r="AK133" s="86"/>
      <c r="AL133" s="86"/>
      <c r="AM133" s="86"/>
      <c r="AN133" s="86"/>
      <c r="AO133" s="86"/>
      <c r="AP133" s="86"/>
      <c r="AQ133" s="86"/>
      <c r="AR133" s="86"/>
      <c r="AS133" s="86"/>
      <c r="AT133" s="86"/>
      <c r="AU133" s="86"/>
      <c r="AV133" s="86"/>
      <c r="AW133" s="86"/>
      <c r="AX133" s="86"/>
      <c r="AY133" s="86"/>
      <c r="AZ133" s="86"/>
      <c r="BA133" s="86"/>
      <c r="BB133" s="86"/>
      <c r="BC133" s="86"/>
      <c r="BD133" s="86"/>
      <c r="BE133" s="86"/>
      <c r="BF133" s="86"/>
      <c r="BG133" s="86"/>
      <c r="BH133" s="86"/>
      <c r="BI133" s="86"/>
      <c r="BJ133" s="86"/>
      <c r="BK133" s="86"/>
      <c r="BL133" s="86"/>
      <c r="BM133" s="86"/>
      <c r="BN133" s="86"/>
      <c r="BO133" s="86"/>
      <c r="BP133" s="86"/>
      <c r="BQ133" s="86"/>
      <c r="BR133" s="86"/>
      <c r="BS133" s="86"/>
      <c r="BT133" s="86"/>
      <c r="BU133" s="86"/>
      <c r="BV133" s="86"/>
      <c r="BW133" s="86"/>
      <c r="BX133" s="86"/>
      <c r="BY133" s="86"/>
      <c r="BZ133" s="86"/>
      <c r="CA133" s="86"/>
      <c r="CB133" s="86"/>
      <c r="CC133" s="86"/>
      <c r="CD133" s="86"/>
      <c r="CE133" s="86"/>
      <c r="CF133" s="86"/>
      <c r="CG133" s="86"/>
      <c r="CH133" s="86"/>
      <c r="CI133" s="86"/>
      <c r="CJ133" s="86"/>
      <c r="CK133" s="86"/>
      <c r="CL133" s="86"/>
      <c r="CM133" s="86"/>
      <c r="CN133" s="86"/>
      <c r="CO133" s="86"/>
      <c r="CP133" s="86"/>
      <c r="CQ133" s="86"/>
      <c r="CR133" s="86"/>
      <c r="CS133" s="86"/>
      <c r="CT133" s="86"/>
      <c r="CU133" s="86"/>
      <c r="CV133" s="86"/>
      <c r="CW133" s="86"/>
      <c r="CX133" s="86"/>
      <c r="CY133" s="86"/>
      <c r="CZ133" s="86"/>
      <c r="DA133" s="86"/>
      <c r="DB133" s="86"/>
      <c r="DC133" s="86"/>
      <c r="DD133" s="86"/>
      <c r="DE133" s="86"/>
      <c r="DF133" s="86"/>
      <c r="DG133" s="86"/>
      <c r="DH133" s="86"/>
      <c r="DI133" s="86"/>
      <c r="DJ133" s="86"/>
      <c r="DK133" s="86"/>
      <c r="DL133" s="86"/>
      <c r="DM133" s="86"/>
      <c r="DN133" s="86"/>
      <c r="DO133" s="86"/>
      <c r="DP133" s="86"/>
      <c r="DQ133" s="86"/>
      <c r="DR133" s="86"/>
      <c r="DS133" s="86"/>
      <c r="DT133" s="86"/>
      <c r="DU133" s="86"/>
      <c r="DV133" s="86"/>
      <c r="DW133" s="86"/>
      <c r="DX133" s="86"/>
      <c r="DY133" s="86"/>
      <c r="DZ133" s="86"/>
      <c r="EA133" s="86"/>
      <c r="EB133" s="86"/>
      <c r="EC133" s="86"/>
      <c r="ED133" s="86"/>
      <c r="EE133" s="86"/>
      <c r="EF133" s="86"/>
      <c r="EG133" s="86"/>
      <c r="EH133" s="86"/>
      <c r="EI133" s="86"/>
      <c r="EJ133" s="86"/>
      <c r="EK133" s="86"/>
      <c r="EL133" s="86"/>
      <c r="EM133" s="86"/>
      <c r="EN133" s="86"/>
      <c r="EO133" s="86"/>
      <c r="EP133" s="86"/>
      <c r="EQ133" s="86"/>
      <c r="ER133" s="86"/>
      <c r="ES133" s="86"/>
      <c r="ET133" s="86"/>
      <c r="EU133" s="86"/>
      <c r="EV133" s="86"/>
      <c r="EW133" s="86"/>
      <c r="EX133" s="86"/>
      <c r="EY133" s="86"/>
      <c r="EZ133" s="86"/>
      <c r="FA133" s="86"/>
    </row>
    <row r="134" spans="2:157" ht="10.95" customHeight="1">
      <c r="B134" s="1347" t="s">
        <v>510</v>
      </c>
      <c r="C134" s="1348"/>
      <c r="D134" s="1345"/>
      <c r="E134" s="1346"/>
      <c r="F134" s="842"/>
      <c r="G134" s="837" t="s">
        <v>4</v>
      </c>
      <c r="H134" s="856"/>
      <c r="J134" s="101"/>
      <c r="K134" s="101"/>
      <c r="L134" s="101"/>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86"/>
      <c r="AX134" s="86"/>
      <c r="AY134" s="86"/>
      <c r="AZ134" s="86"/>
      <c r="BA134" s="86"/>
      <c r="BB134" s="86"/>
      <c r="BC134" s="86"/>
      <c r="BD134" s="86"/>
      <c r="BE134" s="86"/>
      <c r="BF134" s="86"/>
      <c r="BG134" s="86"/>
      <c r="BH134" s="86"/>
      <c r="BI134" s="86"/>
      <c r="BJ134" s="86"/>
      <c r="BK134" s="86"/>
      <c r="BL134" s="86"/>
      <c r="BM134" s="86"/>
      <c r="BN134" s="86"/>
      <c r="BO134" s="86"/>
      <c r="BP134" s="86"/>
      <c r="BQ134" s="86"/>
      <c r="BR134" s="86"/>
      <c r="BS134" s="86"/>
      <c r="BT134" s="86"/>
      <c r="BU134" s="86"/>
      <c r="BV134" s="86"/>
      <c r="BW134" s="86"/>
      <c r="BX134" s="86"/>
      <c r="BY134" s="86"/>
      <c r="BZ134" s="86"/>
      <c r="CA134" s="86"/>
      <c r="CB134" s="86"/>
      <c r="CC134" s="86"/>
      <c r="CD134" s="86"/>
      <c r="CE134" s="86"/>
      <c r="CF134" s="86"/>
      <c r="CG134" s="86"/>
      <c r="CH134" s="86"/>
      <c r="CI134" s="86"/>
      <c r="CJ134" s="86"/>
      <c r="CK134" s="86"/>
      <c r="CL134" s="86"/>
      <c r="CM134" s="86"/>
      <c r="CN134" s="86"/>
      <c r="CO134" s="86"/>
      <c r="CP134" s="86"/>
      <c r="CQ134" s="86"/>
      <c r="CR134" s="86"/>
      <c r="CS134" s="86"/>
      <c r="CT134" s="86"/>
      <c r="CU134" s="86"/>
      <c r="CV134" s="86"/>
      <c r="CW134" s="86"/>
      <c r="CX134" s="86"/>
      <c r="CY134" s="86"/>
      <c r="CZ134" s="86"/>
      <c r="DA134" s="86"/>
      <c r="DB134" s="86"/>
      <c r="DC134" s="86"/>
      <c r="DD134" s="86"/>
      <c r="DE134" s="86"/>
      <c r="DF134" s="86"/>
      <c r="DG134" s="86"/>
      <c r="DH134" s="86"/>
      <c r="DI134" s="86"/>
      <c r="DJ134" s="86"/>
      <c r="DK134" s="86"/>
      <c r="DL134" s="86"/>
      <c r="DM134" s="86"/>
      <c r="DN134" s="86"/>
      <c r="DO134" s="86"/>
      <c r="DP134" s="86"/>
      <c r="DQ134" s="86"/>
      <c r="DR134" s="86"/>
      <c r="DS134" s="86"/>
      <c r="DT134" s="86"/>
      <c r="DU134" s="86"/>
      <c r="DV134" s="86"/>
      <c r="DW134" s="86"/>
      <c r="DX134" s="86"/>
      <c r="DY134" s="86"/>
      <c r="DZ134" s="86"/>
      <c r="EA134" s="86"/>
      <c r="EB134" s="86"/>
      <c r="EC134" s="86"/>
      <c r="ED134" s="86"/>
      <c r="EE134" s="86"/>
      <c r="EF134" s="86"/>
      <c r="EG134" s="86"/>
      <c r="EH134" s="86"/>
      <c r="EI134" s="86"/>
      <c r="EJ134" s="86"/>
      <c r="EK134" s="86"/>
      <c r="EL134" s="86"/>
      <c r="EM134" s="86"/>
      <c r="EN134" s="86"/>
      <c r="EO134" s="86"/>
      <c r="EP134" s="86"/>
      <c r="EQ134" s="86"/>
      <c r="ER134" s="86"/>
      <c r="ES134" s="86"/>
      <c r="ET134" s="86"/>
      <c r="EU134" s="86"/>
      <c r="EV134" s="86"/>
      <c r="EW134" s="86"/>
      <c r="EX134" s="86"/>
      <c r="EY134" s="86"/>
      <c r="EZ134" s="86"/>
      <c r="FA134" s="86"/>
    </row>
    <row r="135" spans="2:157" ht="10.95" customHeight="1">
      <c r="B135" s="1347" t="s">
        <v>582</v>
      </c>
      <c r="C135" s="1349"/>
      <c r="D135" s="1345"/>
      <c r="E135" s="1346"/>
      <c r="F135" s="839"/>
      <c r="G135" s="853" t="s">
        <v>345</v>
      </c>
      <c r="H135" s="854">
        <f>ROUND(1/(SUM(H138:H148)),2)</f>
        <v>5.88</v>
      </c>
      <c r="J135" s="101"/>
      <c r="K135" s="101"/>
      <c r="L135" s="101"/>
      <c r="Z135" s="86"/>
      <c r="AA135" s="86"/>
      <c r="AB135" s="86"/>
      <c r="AC135" s="86"/>
      <c r="AD135" s="86"/>
      <c r="AE135" s="86"/>
      <c r="AF135" s="86"/>
      <c r="AG135" s="86"/>
      <c r="AH135" s="86"/>
      <c r="AI135" s="86"/>
      <c r="AJ135" s="86"/>
      <c r="AK135" s="86"/>
      <c r="AL135" s="86"/>
      <c r="AM135" s="86"/>
      <c r="AN135" s="86"/>
      <c r="AO135" s="86"/>
      <c r="AP135" s="86"/>
      <c r="AQ135" s="86"/>
      <c r="AR135" s="86"/>
      <c r="AS135" s="86"/>
      <c r="AT135" s="86"/>
      <c r="AU135" s="86"/>
      <c r="AV135" s="86"/>
      <c r="AW135" s="86"/>
      <c r="AX135" s="86"/>
      <c r="AY135" s="86"/>
      <c r="AZ135" s="86"/>
      <c r="BA135" s="86"/>
      <c r="BB135" s="86"/>
      <c r="BC135" s="86"/>
      <c r="BD135" s="86"/>
      <c r="BE135" s="86"/>
      <c r="BF135" s="86"/>
      <c r="BG135" s="86"/>
      <c r="BH135" s="86"/>
      <c r="BI135" s="86"/>
      <c r="BJ135" s="86"/>
      <c r="BK135" s="86"/>
      <c r="BL135" s="86"/>
      <c r="BM135" s="86"/>
      <c r="BN135" s="86"/>
      <c r="BO135" s="86"/>
      <c r="BP135" s="86"/>
      <c r="BQ135" s="86"/>
      <c r="BR135" s="86"/>
      <c r="BS135" s="86"/>
      <c r="BT135" s="86"/>
      <c r="BU135" s="86"/>
      <c r="BV135" s="86"/>
      <c r="BW135" s="86"/>
      <c r="BX135" s="86"/>
      <c r="BY135" s="86"/>
      <c r="BZ135" s="86"/>
      <c r="CA135" s="86"/>
      <c r="CB135" s="86"/>
      <c r="CC135" s="86"/>
      <c r="CD135" s="86"/>
      <c r="CE135" s="86"/>
      <c r="CF135" s="86"/>
      <c r="CG135" s="86"/>
      <c r="CH135" s="86"/>
      <c r="CI135" s="86"/>
      <c r="CJ135" s="86"/>
      <c r="CK135" s="86"/>
      <c r="CL135" s="86"/>
      <c r="CM135" s="86"/>
      <c r="CN135" s="86"/>
      <c r="CO135" s="86"/>
      <c r="CP135" s="86"/>
      <c r="CQ135" s="86"/>
      <c r="CR135" s="86"/>
      <c r="CS135" s="86"/>
      <c r="CT135" s="86"/>
      <c r="CU135" s="86"/>
      <c r="CV135" s="86"/>
      <c r="CW135" s="86"/>
      <c r="CX135" s="86"/>
      <c r="CY135" s="86"/>
      <c r="CZ135" s="86"/>
      <c r="DA135" s="86"/>
      <c r="DB135" s="86"/>
      <c r="DC135" s="86"/>
      <c r="DD135" s="86"/>
      <c r="DE135" s="86"/>
      <c r="DF135" s="86"/>
      <c r="DG135" s="86"/>
      <c r="DH135" s="86"/>
      <c r="DI135" s="86"/>
      <c r="DJ135" s="86"/>
      <c r="DK135" s="86"/>
      <c r="DL135" s="86"/>
      <c r="DM135" s="86"/>
      <c r="DN135" s="86"/>
      <c r="DO135" s="86"/>
      <c r="DP135" s="86"/>
      <c r="DQ135" s="86"/>
      <c r="DR135" s="86"/>
      <c r="DS135" s="86"/>
      <c r="DT135" s="86"/>
      <c r="DU135" s="86"/>
      <c r="DV135" s="86"/>
      <c r="DW135" s="86"/>
      <c r="DX135" s="86"/>
      <c r="DY135" s="86"/>
      <c r="DZ135" s="86"/>
      <c r="EA135" s="86"/>
      <c r="EB135" s="86"/>
      <c r="EC135" s="86"/>
      <c r="ED135" s="86"/>
      <c r="EE135" s="86"/>
      <c r="EF135" s="86"/>
      <c r="EG135" s="86"/>
      <c r="EH135" s="86"/>
      <c r="EI135" s="86"/>
      <c r="EJ135" s="86"/>
      <c r="EK135" s="86"/>
      <c r="EL135" s="86"/>
      <c r="EM135" s="86"/>
      <c r="EN135" s="86"/>
      <c r="EO135" s="86"/>
      <c r="EP135" s="86"/>
      <c r="EQ135" s="86"/>
      <c r="ER135" s="86"/>
      <c r="ES135" s="86"/>
      <c r="ET135" s="86"/>
      <c r="EU135" s="86"/>
      <c r="EV135" s="86"/>
      <c r="EW135" s="86"/>
      <c r="EX135" s="86"/>
      <c r="EY135" s="86"/>
      <c r="EZ135" s="86"/>
      <c r="FA135" s="86"/>
    </row>
    <row r="136" spans="2:157" ht="9.75" customHeight="1">
      <c r="B136" s="839"/>
      <c r="C136" s="839"/>
      <c r="D136" s="844"/>
      <c r="E136" s="839"/>
      <c r="F136" s="839"/>
      <c r="G136" s="852"/>
      <c r="H136" s="850"/>
      <c r="J136" s="101"/>
      <c r="K136" s="101"/>
      <c r="L136" s="101"/>
      <c r="Z136" s="86"/>
      <c r="AA136" s="86"/>
      <c r="AB136" s="86"/>
      <c r="AC136" s="86"/>
      <c r="AD136" s="86"/>
      <c r="AE136" s="86"/>
      <c r="AF136" s="86"/>
      <c r="AG136" s="86"/>
      <c r="AH136" s="86"/>
      <c r="AI136" s="86"/>
      <c r="AJ136" s="86"/>
      <c r="AK136" s="86"/>
      <c r="AL136" s="86"/>
      <c r="AM136" s="86"/>
      <c r="AN136" s="86"/>
      <c r="AO136" s="86"/>
      <c r="AP136" s="86"/>
      <c r="AQ136" s="86"/>
      <c r="AR136" s="86"/>
      <c r="AS136" s="86"/>
      <c r="AT136" s="86"/>
      <c r="AU136" s="86"/>
      <c r="AV136" s="86"/>
      <c r="AW136" s="86"/>
      <c r="AX136" s="86"/>
      <c r="AY136" s="86"/>
      <c r="AZ136" s="86"/>
      <c r="BA136" s="86"/>
      <c r="BB136" s="86"/>
      <c r="BC136" s="86"/>
      <c r="BD136" s="86"/>
      <c r="BE136" s="86"/>
      <c r="BF136" s="86"/>
      <c r="BG136" s="86"/>
      <c r="BH136" s="86"/>
      <c r="BI136" s="86"/>
      <c r="BJ136" s="86"/>
      <c r="BK136" s="86"/>
      <c r="BL136" s="86"/>
      <c r="BM136" s="86"/>
      <c r="BN136" s="86"/>
      <c r="BO136" s="86"/>
      <c r="BP136" s="86"/>
      <c r="BQ136" s="86"/>
      <c r="BR136" s="86"/>
      <c r="BS136" s="86"/>
      <c r="BT136" s="86"/>
      <c r="BU136" s="86"/>
      <c r="BV136" s="86"/>
      <c r="BW136" s="86"/>
      <c r="BX136" s="86"/>
      <c r="BY136" s="86"/>
      <c r="BZ136" s="86"/>
      <c r="CA136" s="86"/>
      <c r="CB136" s="86"/>
      <c r="CC136" s="86"/>
      <c r="CD136" s="86"/>
      <c r="CE136" s="86"/>
      <c r="CF136" s="86"/>
      <c r="CG136" s="86"/>
      <c r="CH136" s="86"/>
      <c r="CI136" s="86"/>
      <c r="CJ136" s="86"/>
      <c r="CK136" s="86"/>
      <c r="CL136" s="86"/>
      <c r="CM136" s="86"/>
      <c r="CN136" s="86"/>
      <c r="CO136" s="86"/>
      <c r="CP136" s="86"/>
      <c r="CQ136" s="86"/>
      <c r="CR136" s="86"/>
      <c r="CS136" s="86"/>
      <c r="CT136" s="86"/>
      <c r="CU136" s="86"/>
      <c r="CV136" s="86"/>
      <c r="CW136" s="86"/>
      <c r="CX136" s="86"/>
      <c r="CY136" s="86"/>
      <c r="CZ136" s="86"/>
      <c r="DA136" s="86"/>
      <c r="DB136" s="86"/>
      <c r="DC136" s="86"/>
      <c r="DD136" s="86"/>
      <c r="DE136" s="86"/>
      <c r="DF136" s="86"/>
      <c r="DG136" s="86"/>
      <c r="DH136" s="86"/>
      <c r="DI136" s="86"/>
      <c r="DJ136" s="86"/>
      <c r="DK136" s="86"/>
      <c r="DL136" s="86"/>
      <c r="DM136" s="86"/>
      <c r="DN136" s="86"/>
      <c r="DO136" s="86"/>
      <c r="DP136" s="86"/>
      <c r="DQ136" s="86"/>
      <c r="DR136" s="86"/>
      <c r="DS136" s="86"/>
      <c r="DT136" s="86"/>
      <c r="DU136" s="86"/>
      <c r="DV136" s="86"/>
      <c r="DW136" s="86"/>
      <c r="DX136" s="86"/>
      <c r="DY136" s="86"/>
      <c r="DZ136" s="86"/>
      <c r="EA136" s="86"/>
      <c r="EB136" s="86"/>
      <c r="EC136" s="86"/>
      <c r="ED136" s="86"/>
      <c r="EE136" s="86"/>
      <c r="EF136" s="86"/>
      <c r="EG136" s="86"/>
      <c r="EH136" s="86"/>
      <c r="EI136" s="86"/>
      <c r="EJ136" s="86"/>
      <c r="EK136" s="86"/>
      <c r="EL136" s="86"/>
      <c r="EM136" s="86"/>
      <c r="EN136" s="86"/>
      <c r="EO136" s="86"/>
      <c r="EP136" s="86"/>
      <c r="EQ136" s="86"/>
      <c r="ER136" s="86"/>
      <c r="ES136" s="86"/>
      <c r="ET136" s="86"/>
      <c r="EU136" s="86"/>
      <c r="EV136" s="86"/>
      <c r="EW136" s="86"/>
      <c r="EX136" s="86"/>
      <c r="EY136" s="86"/>
      <c r="EZ136" s="86"/>
      <c r="FA136" s="86"/>
    </row>
    <row r="137" spans="2:157" ht="9.75" customHeight="1">
      <c r="B137" s="844" t="s">
        <v>349</v>
      </c>
      <c r="C137" s="1352" t="s">
        <v>344</v>
      </c>
      <c r="D137" s="1352"/>
      <c r="E137" s="87"/>
      <c r="F137" s="846" t="s">
        <v>170</v>
      </c>
      <c r="G137" s="847" t="s">
        <v>361</v>
      </c>
      <c r="H137" s="846" t="s">
        <v>281</v>
      </c>
      <c r="J137" s="101"/>
      <c r="K137" s="101"/>
      <c r="L137" s="101"/>
      <c r="Z137" s="86"/>
      <c r="AA137" s="86"/>
      <c r="AB137" s="86"/>
      <c r="AC137" s="86"/>
      <c r="AD137" s="86"/>
      <c r="AE137" s="86"/>
      <c r="AF137" s="86"/>
      <c r="AG137" s="86"/>
      <c r="AH137" s="86"/>
      <c r="AI137" s="86"/>
      <c r="AJ137" s="86"/>
      <c r="AK137" s="86"/>
      <c r="AL137" s="86"/>
      <c r="AM137" s="86"/>
      <c r="AN137" s="86"/>
      <c r="AO137" s="86"/>
      <c r="AP137" s="86"/>
      <c r="AQ137" s="86"/>
      <c r="AR137" s="86"/>
      <c r="AS137" s="86"/>
      <c r="AT137" s="86"/>
      <c r="AU137" s="86"/>
      <c r="AV137" s="86"/>
      <c r="AW137" s="86"/>
      <c r="AX137" s="86"/>
      <c r="AY137" s="86"/>
      <c r="AZ137" s="86"/>
      <c r="BA137" s="86"/>
      <c r="BB137" s="86"/>
      <c r="BC137" s="86"/>
      <c r="BD137" s="86"/>
      <c r="BE137" s="86"/>
      <c r="BF137" s="86"/>
      <c r="BG137" s="86"/>
      <c r="BH137" s="86"/>
      <c r="BI137" s="86"/>
      <c r="BJ137" s="86"/>
      <c r="BK137" s="86"/>
      <c r="BL137" s="86"/>
      <c r="BM137" s="86"/>
      <c r="BN137" s="86"/>
      <c r="BO137" s="86"/>
      <c r="BP137" s="86"/>
      <c r="BQ137" s="86"/>
      <c r="BR137" s="86"/>
      <c r="BS137" s="86"/>
      <c r="BT137" s="86"/>
      <c r="BU137" s="86"/>
      <c r="BV137" s="86"/>
      <c r="BW137" s="86"/>
      <c r="BX137" s="86"/>
      <c r="BY137" s="86"/>
      <c r="BZ137" s="86"/>
      <c r="CA137" s="86"/>
      <c r="CB137" s="86"/>
      <c r="CC137" s="86"/>
      <c r="CD137" s="86"/>
      <c r="CE137" s="86"/>
      <c r="CF137" s="86"/>
      <c r="CG137" s="86"/>
      <c r="CH137" s="86"/>
      <c r="CI137" s="86"/>
      <c r="CJ137" s="86"/>
      <c r="CK137" s="86"/>
      <c r="CL137" s="86"/>
      <c r="CM137" s="86"/>
      <c r="CN137" s="86"/>
      <c r="CO137" s="86"/>
      <c r="CP137" s="86"/>
      <c r="CQ137" s="86"/>
      <c r="CR137" s="86"/>
      <c r="CS137" s="86"/>
      <c r="CT137" s="86"/>
      <c r="CU137" s="86"/>
      <c r="CV137" s="86"/>
      <c r="CW137" s="86"/>
      <c r="CX137" s="86"/>
      <c r="CY137" s="86"/>
      <c r="CZ137" s="86"/>
      <c r="DA137" s="86"/>
      <c r="DB137" s="86"/>
      <c r="DC137" s="86"/>
      <c r="DD137" s="86"/>
      <c r="DE137" s="86"/>
      <c r="DF137" s="86"/>
      <c r="DG137" s="86"/>
      <c r="DH137" s="86"/>
      <c r="DI137" s="86"/>
      <c r="DJ137" s="86"/>
      <c r="DK137" s="86"/>
      <c r="DL137" s="86"/>
      <c r="DM137" s="86"/>
      <c r="DN137" s="86"/>
      <c r="DO137" s="86"/>
      <c r="DP137" s="86"/>
      <c r="DQ137" s="86"/>
      <c r="DR137" s="86"/>
      <c r="DS137" s="86"/>
      <c r="DT137" s="86"/>
      <c r="DU137" s="86"/>
      <c r="DV137" s="86"/>
      <c r="DW137" s="86"/>
      <c r="DX137" s="86"/>
      <c r="DY137" s="86"/>
      <c r="DZ137" s="86"/>
      <c r="EA137" s="86"/>
      <c r="EB137" s="86"/>
      <c r="EC137" s="86"/>
      <c r="ED137" s="86"/>
      <c r="EE137" s="86"/>
      <c r="EF137" s="86"/>
      <c r="EG137" s="86"/>
      <c r="EH137" s="86"/>
      <c r="EI137" s="86"/>
      <c r="EJ137" s="86"/>
      <c r="EK137" s="86"/>
      <c r="EL137" s="86"/>
      <c r="EM137" s="86"/>
      <c r="EN137" s="86"/>
      <c r="EO137" s="86"/>
      <c r="EP137" s="86"/>
      <c r="EQ137" s="86"/>
      <c r="ER137" s="86"/>
      <c r="ES137" s="86"/>
      <c r="ET137" s="86"/>
      <c r="EU137" s="86"/>
      <c r="EV137" s="86"/>
      <c r="EW137" s="86"/>
      <c r="EX137" s="86"/>
      <c r="EY137" s="86"/>
      <c r="EZ137" s="86"/>
      <c r="FA137" s="86"/>
    </row>
    <row r="138" spans="2:157" ht="10.050000000000001" customHeight="1">
      <c r="B138" s="845" t="s">
        <v>546</v>
      </c>
      <c r="C138" s="1350" t="s">
        <v>106</v>
      </c>
      <c r="D138" s="1350"/>
      <c r="E138" s="87"/>
      <c r="F138" s="848" t="s">
        <v>546</v>
      </c>
      <c r="G138" s="848" t="s">
        <v>546</v>
      </c>
      <c r="H138" s="1016">
        <v>0.13</v>
      </c>
      <c r="J138" s="101"/>
      <c r="K138" s="101"/>
      <c r="L138" s="101"/>
      <c r="Z138" s="86"/>
      <c r="AA138" s="86"/>
      <c r="AB138" s="86"/>
      <c r="AC138" s="86"/>
      <c r="AD138" s="86"/>
      <c r="AE138" s="86"/>
      <c r="AF138" s="86"/>
      <c r="AG138" s="86"/>
      <c r="AH138" s="86"/>
      <c r="AI138" s="86"/>
      <c r="AJ138" s="86"/>
      <c r="AK138" s="86"/>
      <c r="AL138" s="86"/>
      <c r="AM138" s="86"/>
      <c r="AN138" s="86"/>
      <c r="AO138" s="86"/>
      <c r="AP138" s="86"/>
      <c r="AQ138" s="86"/>
      <c r="AR138" s="86"/>
      <c r="AS138" s="86"/>
      <c r="AT138" s="86"/>
      <c r="AU138" s="86"/>
      <c r="AV138" s="86"/>
      <c r="AW138" s="86"/>
      <c r="AX138" s="86"/>
      <c r="AY138" s="86"/>
      <c r="AZ138" s="86"/>
      <c r="BA138" s="86"/>
      <c r="BB138" s="86"/>
      <c r="BC138" s="86"/>
      <c r="BD138" s="86"/>
      <c r="BE138" s="86"/>
      <c r="BF138" s="86"/>
      <c r="BG138" s="86"/>
      <c r="BH138" s="86"/>
      <c r="BI138" s="86"/>
      <c r="BJ138" s="86"/>
      <c r="BK138" s="86"/>
      <c r="BL138" s="86"/>
      <c r="BM138" s="86"/>
      <c r="BN138" s="86"/>
      <c r="BO138" s="86"/>
      <c r="BP138" s="86"/>
      <c r="BQ138" s="86"/>
      <c r="BR138" s="86"/>
      <c r="BS138" s="86"/>
      <c r="BT138" s="86"/>
      <c r="BU138" s="86"/>
      <c r="BV138" s="86"/>
      <c r="BW138" s="86"/>
      <c r="BX138" s="86"/>
      <c r="BY138" s="86"/>
      <c r="BZ138" s="86"/>
      <c r="CA138" s="86"/>
      <c r="CB138" s="86"/>
      <c r="CC138" s="86"/>
      <c r="CD138" s="86"/>
      <c r="CE138" s="86"/>
      <c r="CF138" s="86"/>
      <c r="CG138" s="86"/>
      <c r="CH138" s="86"/>
      <c r="CI138" s="86"/>
      <c r="CJ138" s="86"/>
      <c r="CK138" s="86"/>
      <c r="CL138" s="86"/>
      <c r="CM138" s="86"/>
      <c r="CN138" s="86"/>
      <c r="CO138" s="86"/>
      <c r="CP138" s="86"/>
      <c r="CQ138" s="86"/>
      <c r="CR138" s="86"/>
      <c r="CS138" s="86"/>
      <c r="CT138" s="86"/>
      <c r="CU138" s="86"/>
      <c r="CV138" s="86"/>
      <c r="CW138" s="86"/>
      <c r="CX138" s="86"/>
      <c r="CY138" s="86"/>
      <c r="CZ138" s="86"/>
      <c r="DA138" s="86"/>
      <c r="DB138" s="86"/>
      <c r="DC138" s="86"/>
      <c r="DD138" s="86"/>
      <c r="DE138" s="86"/>
      <c r="DF138" s="86"/>
      <c r="DG138" s="86"/>
      <c r="DH138" s="86"/>
      <c r="DI138" s="86"/>
      <c r="DJ138" s="86"/>
      <c r="DK138" s="86"/>
      <c r="DL138" s="86"/>
      <c r="DM138" s="86"/>
      <c r="DN138" s="86"/>
      <c r="DO138" s="86"/>
      <c r="DP138" s="86"/>
      <c r="DQ138" s="86"/>
      <c r="DR138" s="86"/>
      <c r="DS138" s="86"/>
      <c r="DT138" s="86"/>
      <c r="DU138" s="86"/>
      <c r="DV138" s="86"/>
      <c r="DW138" s="86"/>
      <c r="DX138" s="86"/>
      <c r="DY138" s="86"/>
      <c r="DZ138" s="86"/>
      <c r="EA138" s="86"/>
      <c r="EB138" s="86"/>
      <c r="EC138" s="86"/>
      <c r="ED138" s="86"/>
      <c r="EE138" s="86"/>
      <c r="EF138" s="86"/>
      <c r="EG138" s="86"/>
      <c r="EH138" s="86"/>
      <c r="EI138" s="86"/>
      <c r="EJ138" s="86"/>
      <c r="EK138" s="86"/>
      <c r="EL138" s="86"/>
      <c r="EM138" s="86"/>
      <c r="EN138" s="86"/>
      <c r="EO138" s="86"/>
      <c r="EP138" s="86"/>
      <c r="EQ138" s="86"/>
      <c r="ER138" s="86"/>
      <c r="ES138" s="86"/>
      <c r="ET138" s="86"/>
      <c r="EU138" s="86"/>
      <c r="EV138" s="86"/>
      <c r="EW138" s="86"/>
      <c r="EX138" s="86"/>
      <c r="EY138" s="86"/>
      <c r="EZ138" s="86"/>
      <c r="FA138" s="86"/>
    </row>
    <row r="139" spans="2:157" ht="9.75" customHeight="1">
      <c r="B139" s="845">
        <v>1</v>
      </c>
      <c r="C139" s="1344"/>
      <c r="D139" s="1344"/>
      <c r="E139" s="1344"/>
      <c r="F139" s="857"/>
      <c r="G139" s="857"/>
      <c r="H139" s="875" t="str">
        <f t="shared" ref="H139:H147" si="6">IF(G139=0,"",(F139/(G139+0.00000000001)))</f>
        <v/>
      </c>
      <c r="J139" s="101"/>
      <c r="K139" s="101"/>
      <c r="L139" s="101"/>
      <c r="Z139" s="86"/>
      <c r="AA139" s="86"/>
      <c r="AB139" s="86"/>
      <c r="AC139" s="86"/>
      <c r="AD139" s="86"/>
      <c r="AE139" s="86"/>
      <c r="AF139" s="86"/>
      <c r="AG139" s="86"/>
      <c r="AH139" s="86"/>
      <c r="AI139" s="86"/>
      <c r="AJ139" s="86"/>
      <c r="AK139" s="86"/>
      <c r="AL139" s="86"/>
      <c r="AM139" s="86"/>
      <c r="AN139" s="86"/>
      <c r="AO139" s="86"/>
      <c r="AP139" s="86"/>
      <c r="AQ139" s="86"/>
      <c r="AR139" s="86"/>
      <c r="AS139" s="86"/>
      <c r="AT139" s="86"/>
      <c r="AU139" s="86"/>
      <c r="AV139" s="86"/>
      <c r="AW139" s="86"/>
      <c r="AX139" s="86"/>
      <c r="AY139" s="86"/>
      <c r="AZ139" s="86"/>
      <c r="BA139" s="86"/>
      <c r="BB139" s="86"/>
      <c r="BC139" s="86"/>
      <c r="BD139" s="86"/>
      <c r="BE139" s="86"/>
      <c r="BF139" s="86"/>
      <c r="BG139" s="86"/>
      <c r="BH139" s="86"/>
      <c r="BI139" s="86"/>
      <c r="BJ139" s="86"/>
      <c r="BK139" s="86"/>
      <c r="BL139" s="86"/>
      <c r="BM139" s="86"/>
      <c r="BN139" s="86"/>
      <c r="BO139" s="86"/>
      <c r="BP139" s="86"/>
      <c r="BQ139" s="86"/>
      <c r="BR139" s="86"/>
      <c r="BS139" s="86"/>
      <c r="BT139" s="86"/>
      <c r="BU139" s="86"/>
      <c r="BV139" s="86"/>
      <c r="BW139" s="86"/>
      <c r="BX139" s="86"/>
      <c r="BY139" s="86"/>
      <c r="BZ139" s="86"/>
      <c r="CA139" s="86"/>
      <c r="CB139" s="86"/>
      <c r="CC139" s="86"/>
      <c r="CD139" s="86"/>
      <c r="CE139" s="86"/>
      <c r="CF139" s="86"/>
      <c r="CG139" s="86"/>
      <c r="CH139" s="86"/>
      <c r="CI139" s="86"/>
      <c r="CJ139" s="86"/>
      <c r="CK139" s="86"/>
      <c r="CL139" s="86"/>
      <c r="CM139" s="86"/>
      <c r="CN139" s="86"/>
      <c r="CO139" s="86"/>
      <c r="CP139" s="86"/>
      <c r="CQ139" s="86"/>
      <c r="CR139" s="86"/>
      <c r="CS139" s="86"/>
      <c r="CT139" s="86"/>
      <c r="CU139" s="86"/>
      <c r="CV139" s="86"/>
      <c r="CW139" s="86"/>
      <c r="CX139" s="86"/>
      <c r="CY139" s="86"/>
      <c r="CZ139" s="86"/>
      <c r="DA139" s="86"/>
      <c r="DB139" s="86"/>
      <c r="DC139" s="86"/>
      <c r="DD139" s="86"/>
      <c r="DE139" s="86"/>
      <c r="DF139" s="86"/>
      <c r="DG139" s="86"/>
      <c r="DH139" s="86"/>
      <c r="DI139" s="86"/>
      <c r="DJ139" s="86"/>
      <c r="DK139" s="86"/>
      <c r="DL139" s="86"/>
      <c r="DM139" s="86"/>
      <c r="DN139" s="86"/>
      <c r="DO139" s="86"/>
      <c r="DP139" s="86"/>
      <c r="DQ139" s="86"/>
      <c r="DR139" s="86"/>
      <c r="DS139" s="86"/>
      <c r="DT139" s="86"/>
      <c r="DU139" s="86"/>
      <c r="DV139" s="86"/>
      <c r="DW139" s="86"/>
      <c r="DX139" s="86"/>
      <c r="DY139" s="86"/>
      <c r="DZ139" s="86"/>
      <c r="EA139" s="86"/>
      <c r="EB139" s="86"/>
      <c r="EC139" s="86"/>
      <c r="ED139" s="86"/>
      <c r="EE139" s="86"/>
      <c r="EF139" s="86"/>
      <c r="EG139" s="86"/>
      <c r="EH139" s="86"/>
      <c r="EI139" s="86"/>
      <c r="EJ139" s="86"/>
      <c r="EK139" s="86"/>
      <c r="EL139" s="86"/>
      <c r="EM139" s="86"/>
      <c r="EN139" s="86"/>
      <c r="EO139" s="86"/>
      <c r="EP139" s="86"/>
      <c r="EQ139" s="86"/>
      <c r="ER139" s="86"/>
      <c r="ES139" s="86"/>
      <c r="ET139" s="86"/>
      <c r="EU139" s="86"/>
      <c r="EV139" s="86"/>
      <c r="EW139" s="86"/>
      <c r="EX139" s="86"/>
      <c r="EY139" s="86"/>
      <c r="EZ139" s="86"/>
      <c r="FA139" s="86"/>
    </row>
    <row r="140" spans="2:157" ht="9.75" customHeight="1">
      <c r="B140" s="845">
        <v>2</v>
      </c>
      <c r="C140" s="1344"/>
      <c r="D140" s="1344"/>
      <c r="E140" s="1344"/>
      <c r="F140" s="857"/>
      <c r="G140" s="857"/>
      <c r="H140" s="875" t="str">
        <f t="shared" si="6"/>
        <v/>
      </c>
      <c r="J140" s="101"/>
      <c r="K140" s="101"/>
      <c r="L140" s="101"/>
      <c r="Z140" s="86"/>
      <c r="AA140" s="86"/>
      <c r="AB140" s="86"/>
      <c r="AC140" s="86"/>
      <c r="AD140" s="86"/>
      <c r="AE140" s="86"/>
      <c r="AF140" s="86"/>
      <c r="AG140" s="86"/>
      <c r="AH140" s="86"/>
      <c r="AI140" s="86"/>
      <c r="AJ140" s="86"/>
      <c r="AK140" s="86"/>
      <c r="AL140" s="86"/>
      <c r="AM140" s="86"/>
      <c r="AN140" s="86"/>
      <c r="AO140" s="86"/>
      <c r="AP140" s="86"/>
      <c r="AQ140" s="86"/>
      <c r="AR140" s="86"/>
      <c r="AS140" s="86"/>
      <c r="AT140" s="86"/>
      <c r="AU140" s="86"/>
      <c r="AV140" s="86"/>
      <c r="AW140" s="86"/>
      <c r="AX140" s="86"/>
      <c r="AY140" s="86"/>
      <c r="AZ140" s="86"/>
      <c r="BA140" s="86"/>
      <c r="BB140" s="86"/>
      <c r="BC140" s="86"/>
      <c r="BD140" s="86"/>
      <c r="BE140" s="86"/>
      <c r="BF140" s="86"/>
      <c r="BG140" s="86"/>
      <c r="BH140" s="86"/>
      <c r="BI140" s="86"/>
      <c r="BJ140" s="86"/>
      <c r="BK140" s="86"/>
      <c r="BL140" s="86"/>
      <c r="BM140" s="86"/>
      <c r="BN140" s="86"/>
      <c r="BO140" s="86"/>
      <c r="BP140" s="86"/>
      <c r="BQ140" s="86"/>
      <c r="BR140" s="86"/>
      <c r="BS140" s="86"/>
      <c r="BT140" s="86"/>
      <c r="BU140" s="86"/>
      <c r="BV140" s="86"/>
      <c r="BW140" s="86"/>
      <c r="BX140" s="86"/>
      <c r="BY140" s="86"/>
      <c r="BZ140" s="86"/>
      <c r="CA140" s="86"/>
      <c r="CB140" s="86"/>
      <c r="CC140" s="86"/>
      <c r="CD140" s="86"/>
      <c r="CE140" s="86"/>
      <c r="CF140" s="86"/>
      <c r="CG140" s="86"/>
      <c r="CH140" s="86"/>
      <c r="CI140" s="86"/>
      <c r="CJ140" s="86"/>
      <c r="CK140" s="86"/>
      <c r="CL140" s="86"/>
      <c r="CM140" s="86"/>
      <c r="CN140" s="86"/>
      <c r="CO140" s="86"/>
      <c r="CP140" s="86"/>
      <c r="CQ140" s="86"/>
      <c r="CR140" s="86"/>
      <c r="CS140" s="86"/>
      <c r="CT140" s="86"/>
      <c r="CU140" s="86"/>
      <c r="CV140" s="86"/>
      <c r="CW140" s="86"/>
      <c r="CX140" s="86"/>
      <c r="CY140" s="86"/>
      <c r="CZ140" s="86"/>
      <c r="DA140" s="86"/>
      <c r="DB140" s="86"/>
      <c r="DC140" s="86"/>
      <c r="DD140" s="86"/>
      <c r="DE140" s="86"/>
      <c r="DF140" s="86"/>
      <c r="DG140" s="86"/>
      <c r="DH140" s="86"/>
      <c r="DI140" s="86"/>
      <c r="DJ140" s="86"/>
      <c r="DK140" s="86"/>
      <c r="DL140" s="86"/>
      <c r="DM140" s="86"/>
      <c r="DN140" s="86"/>
      <c r="DO140" s="86"/>
      <c r="DP140" s="86"/>
      <c r="DQ140" s="86"/>
      <c r="DR140" s="86"/>
      <c r="DS140" s="86"/>
      <c r="DT140" s="86"/>
      <c r="DU140" s="86"/>
      <c r="DV140" s="86"/>
      <c r="DW140" s="86"/>
      <c r="DX140" s="86"/>
      <c r="DY140" s="86"/>
      <c r="DZ140" s="86"/>
      <c r="EA140" s="86"/>
      <c r="EB140" s="86"/>
      <c r="EC140" s="86"/>
      <c r="ED140" s="86"/>
      <c r="EE140" s="86"/>
      <c r="EF140" s="86"/>
      <c r="EG140" s="86"/>
      <c r="EH140" s="86"/>
      <c r="EI140" s="86"/>
      <c r="EJ140" s="86"/>
      <c r="EK140" s="86"/>
      <c r="EL140" s="86"/>
      <c r="EM140" s="86"/>
      <c r="EN140" s="86"/>
      <c r="EO140" s="86"/>
      <c r="EP140" s="86"/>
      <c r="EQ140" s="86"/>
      <c r="ER140" s="86"/>
      <c r="ES140" s="86"/>
      <c r="ET140" s="86"/>
      <c r="EU140" s="86"/>
      <c r="EV140" s="86"/>
      <c r="EW140" s="86"/>
      <c r="EX140" s="86"/>
      <c r="EY140" s="86"/>
      <c r="EZ140" s="86"/>
      <c r="FA140" s="86"/>
    </row>
    <row r="141" spans="2:157" ht="9.75" customHeight="1">
      <c r="B141" s="845">
        <v>3</v>
      </c>
      <c r="C141" s="1344"/>
      <c r="D141" s="1344"/>
      <c r="E141" s="1344"/>
      <c r="F141" s="857"/>
      <c r="G141" s="857"/>
      <c r="H141" s="875" t="str">
        <f t="shared" si="6"/>
        <v/>
      </c>
      <c r="J141" s="101"/>
      <c r="K141" s="101"/>
      <c r="L141" s="101"/>
      <c r="Z141" s="86"/>
      <c r="AA141" s="86"/>
      <c r="AB141" s="86"/>
      <c r="AC141" s="86"/>
      <c r="AD141" s="86"/>
      <c r="AE141" s="86"/>
      <c r="AF141" s="86"/>
      <c r="AG141" s="86"/>
      <c r="AH141" s="86"/>
      <c r="AI141" s="86"/>
      <c r="AJ141" s="86"/>
      <c r="AK141" s="86"/>
      <c r="AL141" s="86"/>
      <c r="AM141" s="86"/>
      <c r="AN141" s="86"/>
      <c r="AO141" s="86"/>
      <c r="AP141" s="86"/>
      <c r="AQ141" s="86"/>
      <c r="AR141" s="86"/>
      <c r="AS141" s="86"/>
      <c r="AT141" s="86"/>
      <c r="AU141" s="86"/>
      <c r="AV141" s="86"/>
      <c r="AW141" s="86"/>
      <c r="AX141" s="86"/>
      <c r="AY141" s="86"/>
      <c r="AZ141" s="86"/>
      <c r="BA141" s="86"/>
      <c r="BB141" s="86"/>
      <c r="BC141" s="86"/>
      <c r="BD141" s="86"/>
      <c r="BE141" s="86"/>
      <c r="BF141" s="86"/>
      <c r="BG141" s="86"/>
      <c r="BH141" s="86"/>
      <c r="BI141" s="86"/>
      <c r="BJ141" s="86"/>
      <c r="BK141" s="86"/>
      <c r="BL141" s="86"/>
      <c r="BM141" s="86"/>
      <c r="BN141" s="86"/>
      <c r="BO141" s="86"/>
      <c r="BP141" s="86"/>
      <c r="BQ141" s="86"/>
      <c r="BR141" s="86"/>
      <c r="BS141" s="86"/>
      <c r="BT141" s="86"/>
      <c r="BU141" s="86"/>
      <c r="BV141" s="86"/>
      <c r="BW141" s="86"/>
      <c r="BX141" s="86"/>
      <c r="BY141" s="86"/>
      <c r="BZ141" s="86"/>
      <c r="CA141" s="86"/>
      <c r="CB141" s="86"/>
      <c r="CC141" s="86"/>
      <c r="CD141" s="86"/>
      <c r="CE141" s="86"/>
      <c r="CF141" s="86"/>
      <c r="CG141" s="86"/>
      <c r="CH141" s="86"/>
      <c r="CI141" s="86"/>
      <c r="CJ141" s="86"/>
      <c r="CK141" s="86"/>
      <c r="CL141" s="86"/>
      <c r="CM141" s="86"/>
      <c r="CN141" s="86"/>
      <c r="CO141" s="86"/>
      <c r="CP141" s="86"/>
      <c r="CQ141" s="86"/>
      <c r="CR141" s="86"/>
      <c r="CS141" s="86"/>
      <c r="CT141" s="86"/>
      <c r="CU141" s="86"/>
      <c r="CV141" s="86"/>
      <c r="CW141" s="86"/>
      <c r="CX141" s="86"/>
      <c r="CY141" s="86"/>
      <c r="CZ141" s="86"/>
      <c r="DA141" s="86"/>
      <c r="DB141" s="86"/>
      <c r="DC141" s="86"/>
      <c r="DD141" s="86"/>
      <c r="DE141" s="86"/>
      <c r="DF141" s="86"/>
      <c r="DG141" s="86"/>
      <c r="DH141" s="86"/>
      <c r="DI141" s="86"/>
      <c r="DJ141" s="86"/>
      <c r="DK141" s="86"/>
      <c r="DL141" s="86"/>
      <c r="DM141" s="86"/>
      <c r="DN141" s="86"/>
      <c r="DO141" s="86"/>
      <c r="DP141" s="86"/>
      <c r="DQ141" s="86"/>
      <c r="DR141" s="86"/>
      <c r="DS141" s="86"/>
      <c r="DT141" s="86"/>
      <c r="DU141" s="86"/>
      <c r="DV141" s="86"/>
      <c r="DW141" s="86"/>
      <c r="DX141" s="86"/>
      <c r="DY141" s="86"/>
      <c r="DZ141" s="86"/>
      <c r="EA141" s="86"/>
      <c r="EB141" s="86"/>
      <c r="EC141" s="86"/>
      <c r="ED141" s="86"/>
      <c r="EE141" s="86"/>
      <c r="EF141" s="86"/>
      <c r="EG141" s="86"/>
      <c r="EH141" s="86"/>
      <c r="EI141" s="86"/>
      <c r="EJ141" s="86"/>
      <c r="EK141" s="86"/>
      <c r="EL141" s="86"/>
      <c r="EM141" s="86"/>
      <c r="EN141" s="86"/>
      <c r="EO141" s="86"/>
      <c r="EP141" s="86"/>
      <c r="EQ141" s="86"/>
      <c r="ER141" s="86"/>
      <c r="ES141" s="86"/>
      <c r="ET141" s="86"/>
      <c r="EU141" s="86"/>
      <c r="EV141" s="86"/>
      <c r="EW141" s="86"/>
      <c r="EX141" s="86"/>
      <c r="EY141" s="86"/>
      <c r="EZ141" s="86"/>
      <c r="FA141" s="86"/>
    </row>
    <row r="142" spans="2:157" ht="9.75" customHeight="1">
      <c r="B142" s="845">
        <v>4</v>
      </c>
      <c r="C142" s="1344"/>
      <c r="D142" s="1344"/>
      <c r="E142" s="1344"/>
      <c r="F142" s="857"/>
      <c r="G142" s="857"/>
      <c r="H142" s="875" t="str">
        <f t="shared" si="6"/>
        <v/>
      </c>
      <c r="J142" s="101"/>
      <c r="K142" s="101"/>
      <c r="L142" s="101"/>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86"/>
      <c r="AX142" s="86"/>
      <c r="AY142" s="86"/>
      <c r="AZ142" s="86"/>
      <c r="BA142" s="86"/>
      <c r="BB142" s="86"/>
      <c r="BC142" s="86"/>
      <c r="BD142" s="86"/>
      <c r="BE142" s="86"/>
      <c r="BF142" s="86"/>
      <c r="BG142" s="86"/>
      <c r="BH142" s="86"/>
      <c r="BI142" s="86"/>
      <c r="BJ142" s="86"/>
      <c r="BK142" s="86"/>
      <c r="BL142" s="86"/>
      <c r="BM142" s="86"/>
      <c r="BN142" s="86"/>
      <c r="BO142" s="86"/>
      <c r="BP142" s="86"/>
      <c r="BQ142" s="86"/>
      <c r="BR142" s="86"/>
      <c r="BS142" s="86"/>
      <c r="BT142" s="86"/>
      <c r="BU142" s="86"/>
      <c r="BV142" s="86"/>
      <c r="BW142" s="86"/>
      <c r="BX142" s="86"/>
      <c r="BY142" s="86"/>
      <c r="BZ142" s="86"/>
      <c r="CA142" s="86"/>
      <c r="CB142" s="86"/>
      <c r="CC142" s="86"/>
      <c r="CD142" s="86"/>
      <c r="CE142" s="86"/>
      <c r="CF142" s="86"/>
      <c r="CG142" s="86"/>
      <c r="CH142" s="86"/>
      <c r="CI142" s="86"/>
      <c r="CJ142" s="86"/>
      <c r="CK142" s="86"/>
      <c r="CL142" s="86"/>
      <c r="CM142" s="86"/>
      <c r="CN142" s="86"/>
      <c r="CO142" s="86"/>
      <c r="CP142" s="86"/>
      <c r="CQ142" s="86"/>
      <c r="CR142" s="86"/>
      <c r="CS142" s="86"/>
      <c r="CT142" s="86"/>
      <c r="CU142" s="86"/>
      <c r="CV142" s="86"/>
      <c r="CW142" s="86"/>
      <c r="CX142" s="86"/>
      <c r="CY142" s="86"/>
      <c r="CZ142" s="86"/>
      <c r="DA142" s="86"/>
      <c r="DB142" s="86"/>
      <c r="DC142" s="86"/>
      <c r="DD142" s="86"/>
      <c r="DE142" s="86"/>
      <c r="DF142" s="86"/>
      <c r="DG142" s="86"/>
      <c r="DH142" s="86"/>
      <c r="DI142" s="86"/>
      <c r="DJ142" s="86"/>
      <c r="DK142" s="86"/>
      <c r="DL142" s="86"/>
      <c r="DM142" s="86"/>
      <c r="DN142" s="86"/>
      <c r="DO142" s="86"/>
      <c r="DP142" s="86"/>
      <c r="DQ142" s="86"/>
      <c r="DR142" s="86"/>
      <c r="DS142" s="86"/>
      <c r="DT142" s="86"/>
      <c r="DU142" s="86"/>
      <c r="DV142" s="86"/>
      <c r="DW142" s="86"/>
      <c r="DX142" s="86"/>
      <c r="DY142" s="86"/>
      <c r="DZ142" s="86"/>
      <c r="EA142" s="86"/>
      <c r="EB142" s="86"/>
      <c r="EC142" s="86"/>
      <c r="ED142" s="86"/>
      <c r="EE142" s="86"/>
      <c r="EF142" s="86"/>
      <c r="EG142" s="86"/>
      <c r="EH142" s="86"/>
      <c r="EI142" s="86"/>
      <c r="EJ142" s="86"/>
      <c r="EK142" s="86"/>
      <c r="EL142" s="86"/>
      <c r="EM142" s="86"/>
      <c r="EN142" s="86"/>
      <c r="EO142" s="86"/>
      <c r="EP142" s="86"/>
      <c r="EQ142" s="86"/>
      <c r="ER142" s="86"/>
      <c r="ES142" s="86"/>
      <c r="ET142" s="86"/>
      <c r="EU142" s="86"/>
      <c r="EV142" s="86"/>
      <c r="EW142" s="86"/>
      <c r="EX142" s="86"/>
      <c r="EY142" s="86"/>
      <c r="EZ142" s="86"/>
      <c r="FA142" s="86"/>
    </row>
    <row r="143" spans="2:157" ht="9.75" customHeight="1">
      <c r="B143" s="845">
        <v>5</v>
      </c>
      <c r="C143" s="1344"/>
      <c r="D143" s="1344"/>
      <c r="E143" s="1344"/>
      <c r="F143" s="857"/>
      <c r="G143" s="857"/>
      <c r="H143" s="875" t="str">
        <f t="shared" si="6"/>
        <v/>
      </c>
      <c r="J143" s="101"/>
      <c r="K143" s="101"/>
      <c r="L143" s="101"/>
      <c r="Z143" s="86"/>
      <c r="AA143" s="86"/>
      <c r="AB143" s="86"/>
      <c r="AC143" s="86"/>
      <c r="AD143" s="86"/>
      <c r="AE143" s="86"/>
      <c r="AF143" s="86"/>
      <c r="AG143" s="86"/>
      <c r="AH143" s="86"/>
      <c r="AI143" s="86"/>
      <c r="AJ143" s="86"/>
      <c r="AK143" s="86"/>
      <c r="AL143" s="86"/>
      <c r="AM143" s="86"/>
      <c r="AN143" s="86"/>
      <c r="AO143" s="86"/>
      <c r="AP143" s="86"/>
      <c r="AQ143" s="86"/>
      <c r="AR143" s="86"/>
      <c r="AS143" s="86"/>
      <c r="AT143" s="86"/>
      <c r="AU143" s="86"/>
      <c r="AV143" s="86"/>
      <c r="AW143" s="86"/>
      <c r="AX143" s="86"/>
      <c r="AY143" s="86"/>
      <c r="AZ143" s="86"/>
      <c r="BA143" s="86"/>
      <c r="BB143" s="86"/>
      <c r="BC143" s="86"/>
      <c r="BD143" s="86"/>
      <c r="BE143" s="86"/>
      <c r="BF143" s="86"/>
      <c r="BG143" s="86"/>
      <c r="BH143" s="86"/>
      <c r="BI143" s="86"/>
      <c r="BJ143" s="86"/>
      <c r="BK143" s="86"/>
      <c r="BL143" s="86"/>
      <c r="BM143" s="86"/>
      <c r="BN143" s="86"/>
      <c r="BO143" s="86"/>
      <c r="BP143" s="86"/>
      <c r="BQ143" s="86"/>
      <c r="BR143" s="86"/>
      <c r="BS143" s="86"/>
      <c r="BT143" s="86"/>
      <c r="BU143" s="86"/>
      <c r="BV143" s="86"/>
      <c r="BW143" s="86"/>
      <c r="BX143" s="86"/>
      <c r="BY143" s="86"/>
      <c r="BZ143" s="86"/>
      <c r="CA143" s="86"/>
      <c r="CB143" s="86"/>
      <c r="CC143" s="86"/>
      <c r="CD143" s="86"/>
      <c r="CE143" s="86"/>
      <c r="CF143" s="86"/>
      <c r="CG143" s="86"/>
      <c r="CH143" s="86"/>
      <c r="CI143" s="86"/>
      <c r="CJ143" s="86"/>
      <c r="CK143" s="86"/>
      <c r="CL143" s="86"/>
      <c r="CM143" s="86"/>
      <c r="CN143" s="86"/>
      <c r="CO143" s="86"/>
      <c r="CP143" s="86"/>
      <c r="CQ143" s="86"/>
      <c r="CR143" s="86"/>
      <c r="CS143" s="86"/>
      <c r="CT143" s="86"/>
      <c r="CU143" s="86"/>
      <c r="CV143" s="86"/>
      <c r="CW143" s="86"/>
      <c r="CX143" s="86"/>
      <c r="CY143" s="86"/>
      <c r="CZ143" s="86"/>
      <c r="DA143" s="86"/>
      <c r="DB143" s="86"/>
      <c r="DC143" s="86"/>
      <c r="DD143" s="86"/>
      <c r="DE143" s="86"/>
      <c r="DF143" s="86"/>
      <c r="DG143" s="86"/>
      <c r="DH143" s="86"/>
      <c r="DI143" s="86"/>
      <c r="DJ143" s="86"/>
      <c r="DK143" s="86"/>
      <c r="DL143" s="86"/>
      <c r="DM143" s="86"/>
      <c r="DN143" s="86"/>
      <c r="DO143" s="86"/>
      <c r="DP143" s="86"/>
      <c r="DQ143" s="86"/>
      <c r="DR143" s="86"/>
      <c r="DS143" s="86"/>
      <c r="DT143" s="86"/>
      <c r="DU143" s="86"/>
      <c r="DV143" s="86"/>
      <c r="DW143" s="86"/>
      <c r="DX143" s="86"/>
      <c r="DY143" s="86"/>
      <c r="DZ143" s="86"/>
      <c r="EA143" s="86"/>
      <c r="EB143" s="86"/>
      <c r="EC143" s="86"/>
      <c r="ED143" s="86"/>
      <c r="EE143" s="86"/>
      <c r="EF143" s="86"/>
      <c r="EG143" s="86"/>
      <c r="EH143" s="86"/>
      <c r="EI143" s="86"/>
      <c r="EJ143" s="86"/>
      <c r="EK143" s="86"/>
      <c r="EL143" s="86"/>
      <c r="EM143" s="86"/>
      <c r="EN143" s="86"/>
      <c r="EO143" s="86"/>
      <c r="EP143" s="86"/>
      <c r="EQ143" s="86"/>
      <c r="ER143" s="86"/>
      <c r="ES143" s="86"/>
      <c r="ET143" s="86"/>
      <c r="EU143" s="86"/>
      <c r="EV143" s="86"/>
      <c r="EW143" s="86"/>
      <c r="EX143" s="86"/>
      <c r="EY143" s="86"/>
      <c r="EZ143" s="86"/>
      <c r="FA143" s="86"/>
    </row>
    <row r="144" spans="2:157" ht="9.75" customHeight="1">
      <c r="B144" s="845">
        <v>6</v>
      </c>
      <c r="C144" s="1344"/>
      <c r="D144" s="1344"/>
      <c r="E144" s="1344"/>
      <c r="F144" s="857"/>
      <c r="G144" s="857"/>
      <c r="H144" s="875" t="str">
        <f t="shared" si="6"/>
        <v/>
      </c>
      <c r="J144" s="101"/>
      <c r="K144" s="101"/>
      <c r="L144" s="101"/>
      <c r="Z144" s="86"/>
      <c r="AA144" s="86"/>
      <c r="AB144" s="86"/>
      <c r="AC144" s="86"/>
      <c r="AD144" s="86"/>
      <c r="AE144" s="86"/>
      <c r="AF144" s="86"/>
      <c r="AG144" s="86"/>
      <c r="AH144" s="86"/>
      <c r="AI144" s="86"/>
      <c r="AJ144" s="86"/>
      <c r="AK144" s="86"/>
      <c r="AL144" s="86"/>
      <c r="AM144" s="86"/>
      <c r="AN144" s="86"/>
      <c r="AO144" s="86"/>
      <c r="AP144" s="86"/>
      <c r="AQ144" s="86"/>
      <c r="AR144" s="86"/>
      <c r="AS144" s="86"/>
      <c r="AT144" s="86"/>
      <c r="AU144" s="86"/>
      <c r="AV144" s="86"/>
      <c r="AW144" s="86"/>
      <c r="AX144" s="86"/>
      <c r="AY144" s="86"/>
      <c r="AZ144" s="86"/>
      <c r="BA144" s="86"/>
      <c r="BB144" s="86"/>
      <c r="BC144" s="86"/>
      <c r="BD144" s="86"/>
      <c r="BE144" s="86"/>
      <c r="BF144" s="86"/>
      <c r="BG144" s="86"/>
      <c r="BH144" s="86"/>
      <c r="BI144" s="86"/>
      <c r="BJ144" s="86"/>
      <c r="BK144" s="86"/>
      <c r="BL144" s="86"/>
      <c r="BM144" s="86"/>
      <c r="BN144" s="86"/>
      <c r="BO144" s="86"/>
      <c r="BP144" s="86"/>
      <c r="BQ144" s="86"/>
      <c r="BR144" s="86"/>
      <c r="BS144" s="86"/>
      <c r="BT144" s="86"/>
      <c r="BU144" s="86"/>
      <c r="BV144" s="86"/>
      <c r="BW144" s="86"/>
      <c r="BX144" s="86"/>
      <c r="BY144" s="86"/>
      <c r="BZ144" s="86"/>
      <c r="CA144" s="86"/>
      <c r="CB144" s="86"/>
      <c r="CC144" s="86"/>
      <c r="CD144" s="86"/>
      <c r="CE144" s="86"/>
      <c r="CF144" s="86"/>
      <c r="CG144" s="86"/>
      <c r="CH144" s="86"/>
      <c r="CI144" s="86"/>
      <c r="CJ144" s="86"/>
      <c r="CK144" s="86"/>
      <c r="CL144" s="86"/>
      <c r="CM144" s="86"/>
      <c r="CN144" s="86"/>
      <c r="CO144" s="86"/>
      <c r="CP144" s="86"/>
      <c r="CQ144" s="86"/>
      <c r="CR144" s="86"/>
      <c r="CS144" s="86"/>
      <c r="CT144" s="86"/>
      <c r="CU144" s="86"/>
      <c r="CV144" s="86"/>
      <c r="CW144" s="86"/>
      <c r="CX144" s="86"/>
      <c r="CY144" s="86"/>
      <c r="CZ144" s="86"/>
      <c r="DA144" s="86"/>
      <c r="DB144" s="86"/>
      <c r="DC144" s="86"/>
      <c r="DD144" s="86"/>
      <c r="DE144" s="86"/>
      <c r="DF144" s="86"/>
      <c r="DG144" s="86"/>
      <c r="DH144" s="86"/>
      <c r="DI144" s="86"/>
      <c r="DJ144" s="86"/>
      <c r="DK144" s="86"/>
      <c r="DL144" s="86"/>
      <c r="DM144" s="86"/>
      <c r="DN144" s="86"/>
      <c r="DO144" s="86"/>
      <c r="DP144" s="86"/>
      <c r="DQ144" s="86"/>
      <c r="DR144" s="86"/>
      <c r="DS144" s="86"/>
      <c r="DT144" s="86"/>
      <c r="DU144" s="86"/>
      <c r="DV144" s="86"/>
      <c r="DW144" s="86"/>
      <c r="DX144" s="86"/>
      <c r="DY144" s="86"/>
      <c r="DZ144" s="86"/>
      <c r="EA144" s="86"/>
      <c r="EB144" s="86"/>
      <c r="EC144" s="86"/>
      <c r="ED144" s="86"/>
      <c r="EE144" s="86"/>
      <c r="EF144" s="86"/>
      <c r="EG144" s="86"/>
      <c r="EH144" s="86"/>
      <c r="EI144" s="86"/>
      <c r="EJ144" s="86"/>
      <c r="EK144" s="86"/>
      <c r="EL144" s="86"/>
      <c r="EM144" s="86"/>
      <c r="EN144" s="86"/>
      <c r="EO144" s="86"/>
      <c r="EP144" s="86"/>
      <c r="EQ144" s="86"/>
      <c r="ER144" s="86"/>
      <c r="ES144" s="86"/>
      <c r="ET144" s="86"/>
      <c r="EU144" s="86"/>
      <c r="EV144" s="86"/>
      <c r="EW144" s="86"/>
      <c r="EX144" s="86"/>
      <c r="EY144" s="86"/>
      <c r="EZ144" s="86"/>
      <c r="FA144" s="86"/>
    </row>
    <row r="145" spans="2:157" ht="9.75" customHeight="1">
      <c r="B145" s="845">
        <v>7</v>
      </c>
      <c r="C145" s="1344"/>
      <c r="D145" s="1344"/>
      <c r="E145" s="1344"/>
      <c r="F145" s="857"/>
      <c r="G145" s="857"/>
      <c r="H145" s="875" t="str">
        <f t="shared" si="6"/>
        <v/>
      </c>
      <c r="J145" s="101"/>
      <c r="K145" s="101"/>
      <c r="L145" s="101"/>
      <c r="Z145" s="86"/>
      <c r="AA145" s="86"/>
      <c r="AB145" s="86"/>
      <c r="AC145" s="86"/>
      <c r="AD145" s="86"/>
      <c r="AE145" s="86"/>
      <c r="AF145" s="86"/>
      <c r="AG145" s="86"/>
      <c r="AH145" s="86"/>
      <c r="AI145" s="86"/>
      <c r="AJ145" s="86"/>
      <c r="AK145" s="86"/>
      <c r="AL145" s="86"/>
      <c r="AM145" s="86"/>
      <c r="AN145" s="86"/>
      <c r="AO145" s="86"/>
      <c r="AP145" s="86"/>
      <c r="AQ145" s="86"/>
      <c r="AR145" s="86"/>
      <c r="AS145" s="86"/>
      <c r="AT145" s="86"/>
      <c r="AU145" s="86"/>
      <c r="AV145" s="86"/>
      <c r="AW145" s="86"/>
      <c r="AX145" s="86"/>
      <c r="AY145" s="86"/>
      <c r="AZ145" s="86"/>
      <c r="BA145" s="86"/>
      <c r="BB145" s="86"/>
      <c r="BC145" s="86"/>
      <c r="BD145" s="86"/>
      <c r="BE145" s="86"/>
      <c r="BF145" s="86"/>
      <c r="BG145" s="86"/>
      <c r="BH145" s="86"/>
      <c r="BI145" s="86"/>
      <c r="BJ145" s="86"/>
      <c r="BK145" s="86"/>
      <c r="BL145" s="86"/>
      <c r="BM145" s="86"/>
      <c r="BN145" s="86"/>
      <c r="BO145" s="86"/>
      <c r="BP145" s="86"/>
      <c r="BQ145" s="86"/>
      <c r="BR145" s="86"/>
      <c r="BS145" s="86"/>
      <c r="BT145" s="86"/>
      <c r="BU145" s="86"/>
      <c r="BV145" s="86"/>
      <c r="BW145" s="86"/>
      <c r="BX145" s="86"/>
      <c r="BY145" s="86"/>
      <c r="BZ145" s="86"/>
      <c r="CA145" s="86"/>
      <c r="CB145" s="86"/>
      <c r="CC145" s="86"/>
      <c r="CD145" s="86"/>
      <c r="CE145" s="86"/>
      <c r="CF145" s="86"/>
      <c r="CG145" s="86"/>
      <c r="CH145" s="86"/>
      <c r="CI145" s="86"/>
      <c r="CJ145" s="86"/>
      <c r="CK145" s="86"/>
      <c r="CL145" s="86"/>
      <c r="CM145" s="86"/>
      <c r="CN145" s="86"/>
      <c r="CO145" s="86"/>
      <c r="CP145" s="86"/>
      <c r="CQ145" s="86"/>
      <c r="CR145" s="86"/>
      <c r="CS145" s="86"/>
      <c r="CT145" s="86"/>
      <c r="CU145" s="86"/>
      <c r="CV145" s="86"/>
      <c r="CW145" s="86"/>
      <c r="CX145" s="86"/>
      <c r="CY145" s="86"/>
      <c r="CZ145" s="86"/>
      <c r="DA145" s="86"/>
      <c r="DB145" s="86"/>
      <c r="DC145" s="86"/>
      <c r="DD145" s="86"/>
      <c r="DE145" s="86"/>
      <c r="DF145" s="86"/>
      <c r="DG145" s="86"/>
      <c r="DH145" s="86"/>
      <c r="DI145" s="86"/>
      <c r="DJ145" s="86"/>
      <c r="DK145" s="86"/>
      <c r="DL145" s="86"/>
      <c r="DM145" s="86"/>
      <c r="DN145" s="86"/>
      <c r="DO145" s="86"/>
      <c r="DP145" s="86"/>
      <c r="DQ145" s="86"/>
      <c r="DR145" s="86"/>
      <c r="DS145" s="86"/>
      <c r="DT145" s="86"/>
      <c r="DU145" s="86"/>
      <c r="DV145" s="86"/>
      <c r="DW145" s="86"/>
      <c r="DX145" s="86"/>
      <c r="DY145" s="86"/>
      <c r="DZ145" s="86"/>
      <c r="EA145" s="86"/>
      <c r="EB145" s="86"/>
      <c r="EC145" s="86"/>
      <c r="ED145" s="86"/>
      <c r="EE145" s="86"/>
      <c r="EF145" s="86"/>
      <c r="EG145" s="86"/>
      <c r="EH145" s="86"/>
      <c r="EI145" s="86"/>
      <c r="EJ145" s="86"/>
      <c r="EK145" s="86"/>
      <c r="EL145" s="86"/>
      <c r="EM145" s="86"/>
      <c r="EN145" s="86"/>
      <c r="EO145" s="86"/>
      <c r="EP145" s="86"/>
      <c r="EQ145" s="86"/>
      <c r="ER145" s="86"/>
      <c r="ES145" s="86"/>
      <c r="ET145" s="86"/>
      <c r="EU145" s="86"/>
      <c r="EV145" s="86"/>
      <c r="EW145" s="86"/>
      <c r="EX145" s="86"/>
      <c r="EY145" s="86"/>
      <c r="EZ145" s="86"/>
      <c r="FA145" s="86"/>
    </row>
    <row r="146" spans="2:157" ht="9.75" customHeight="1">
      <c r="B146" s="845">
        <v>8</v>
      </c>
      <c r="C146" s="1344"/>
      <c r="D146" s="1344"/>
      <c r="E146" s="1344"/>
      <c r="F146" s="857"/>
      <c r="G146" s="857"/>
      <c r="H146" s="875" t="str">
        <f t="shared" si="6"/>
        <v/>
      </c>
      <c r="J146" s="101"/>
      <c r="K146" s="101"/>
      <c r="L146" s="101"/>
      <c r="Z146" s="86"/>
      <c r="AA146" s="86"/>
      <c r="AB146" s="86"/>
      <c r="AC146" s="86"/>
      <c r="AD146" s="86"/>
      <c r="AE146" s="86"/>
      <c r="AF146" s="86"/>
      <c r="AG146" s="86"/>
      <c r="AH146" s="86"/>
      <c r="AI146" s="86"/>
      <c r="AJ146" s="86"/>
      <c r="AK146" s="86"/>
      <c r="AL146" s="86"/>
      <c r="AM146" s="86"/>
      <c r="AN146" s="86"/>
      <c r="AO146" s="86"/>
      <c r="AP146" s="86"/>
      <c r="AQ146" s="86"/>
      <c r="AR146" s="86"/>
      <c r="AS146" s="86"/>
      <c r="AT146" s="86"/>
      <c r="AU146" s="86"/>
      <c r="AV146" s="86"/>
      <c r="AW146" s="86"/>
      <c r="AX146" s="86"/>
      <c r="AY146" s="86"/>
      <c r="AZ146" s="86"/>
      <c r="BA146" s="86"/>
      <c r="BB146" s="86"/>
      <c r="BC146" s="86"/>
      <c r="BD146" s="86"/>
      <c r="BE146" s="86"/>
      <c r="BF146" s="86"/>
      <c r="BG146" s="86"/>
      <c r="BH146" s="86"/>
      <c r="BI146" s="86"/>
      <c r="BJ146" s="86"/>
      <c r="BK146" s="86"/>
      <c r="BL146" s="86"/>
      <c r="BM146" s="86"/>
      <c r="BN146" s="86"/>
      <c r="BO146" s="86"/>
      <c r="BP146" s="86"/>
      <c r="BQ146" s="86"/>
      <c r="BR146" s="86"/>
      <c r="BS146" s="86"/>
      <c r="BT146" s="86"/>
      <c r="BU146" s="86"/>
      <c r="BV146" s="86"/>
      <c r="BW146" s="86"/>
      <c r="BX146" s="86"/>
      <c r="BY146" s="86"/>
      <c r="BZ146" s="86"/>
      <c r="CA146" s="86"/>
      <c r="CB146" s="86"/>
      <c r="CC146" s="86"/>
      <c r="CD146" s="86"/>
      <c r="CE146" s="86"/>
      <c r="CF146" s="86"/>
      <c r="CG146" s="86"/>
      <c r="CH146" s="86"/>
      <c r="CI146" s="86"/>
      <c r="CJ146" s="86"/>
      <c r="CK146" s="86"/>
      <c r="CL146" s="86"/>
      <c r="CM146" s="86"/>
      <c r="CN146" s="86"/>
      <c r="CO146" s="86"/>
      <c r="CP146" s="86"/>
      <c r="CQ146" s="86"/>
      <c r="CR146" s="86"/>
      <c r="CS146" s="86"/>
      <c r="CT146" s="86"/>
      <c r="CU146" s="86"/>
      <c r="CV146" s="86"/>
      <c r="CW146" s="86"/>
      <c r="CX146" s="86"/>
      <c r="CY146" s="86"/>
      <c r="CZ146" s="86"/>
      <c r="DA146" s="86"/>
      <c r="DB146" s="86"/>
      <c r="DC146" s="86"/>
      <c r="DD146" s="86"/>
      <c r="DE146" s="86"/>
      <c r="DF146" s="86"/>
      <c r="DG146" s="86"/>
      <c r="DH146" s="86"/>
      <c r="DI146" s="86"/>
      <c r="DJ146" s="86"/>
      <c r="DK146" s="86"/>
      <c r="DL146" s="86"/>
      <c r="DM146" s="86"/>
      <c r="DN146" s="86"/>
      <c r="DO146" s="86"/>
      <c r="DP146" s="86"/>
      <c r="DQ146" s="86"/>
      <c r="DR146" s="86"/>
      <c r="DS146" s="86"/>
      <c r="DT146" s="86"/>
      <c r="DU146" s="86"/>
      <c r="DV146" s="86"/>
      <c r="DW146" s="86"/>
      <c r="DX146" s="86"/>
      <c r="DY146" s="86"/>
      <c r="DZ146" s="86"/>
      <c r="EA146" s="86"/>
      <c r="EB146" s="86"/>
      <c r="EC146" s="86"/>
      <c r="ED146" s="86"/>
      <c r="EE146" s="86"/>
      <c r="EF146" s="86"/>
      <c r="EG146" s="86"/>
      <c r="EH146" s="86"/>
      <c r="EI146" s="86"/>
      <c r="EJ146" s="86"/>
      <c r="EK146" s="86"/>
      <c r="EL146" s="86"/>
      <c r="EM146" s="86"/>
      <c r="EN146" s="86"/>
      <c r="EO146" s="86"/>
      <c r="EP146" s="86"/>
      <c r="EQ146" s="86"/>
      <c r="ER146" s="86"/>
      <c r="ES146" s="86"/>
      <c r="ET146" s="86"/>
      <c r="EU146" s="86"/>
      <c r="EV146" s="86"/>
      <c r="EW146" s="86"/>
      <c r="EX146" s="86"/>
      <c r="EY146" s="86"/>
      <c r="EZ146" s="86"/>
      <c r="FA146" s="86"/>
    </row>
    <row r="147" spans="2:157" ht="9.75" customHeight="1">
      <c r="B147" s="845">
        <v>9</v>
      </c>
      <c r="C147" s="1344"/>
      <c r="D147" s="1344"/>
      <c r="E147" s="1344"/>
      <c r="F147" s="857"/>
      <c r="G147" s="857"/>
      <c r="H147" s="875" t="str">
        <f t="shared" si="6"/>
        <v/>
      </c>
      <c r="J147" s="101"/>
      <c r="K147" s="101"/>
      <c r="L147" s="101"/>
      <c r="Z147" s="86"/>
      <c r="AA147" s="86"/>
      <c r="AB147" s="86"/>
      <c r="AC147" s="86"/>
      <c r="AD147" s="86"/>
      <c r="AE147" s="86"/>
      <c r="AF147" s="86"/>
      <c r="AG147" s="86"/>
      <c r="AH147" s="86"/>
      <c r="AI147" s="86"/>
      <c r="AJ147" s="86"/>
      <c r="AK147" s="86"/>
      <c r="AL147" s="86"/>
      <c r="AM147" s="86"/>
      <c r="AN147" s="86"/>
      <c r="AO147" s="86"/>
      <c r="AP147" s="86"/>
      <c r="AQ147" s="86"/>
      <c r="AR147" s="86"/>
      <c r="AS147" s="86"/>
      <c r="AT147" s="86"/>
      <c r="AU147" s="86"/>
      <c r="AV147" s="86"/>
      <c r="AW147" s="86"/>
      <c r="AX147" s="86"/>
      <c r="AY147" s="86"/>
      <c r="AZ147" s="86"/>
      <c r="BA147" s="86"/>
      <c r="BB147" s="86"/>
      <c r="BC147" s="86"/>
      <c r="BD147" s="86"/>
      <c r="BE147" s="86"/>
      <c r="BF147" s="86"/>
      <c r="BG147" s="86"/>
      <c r="BH147" s="86"/>
      <c r="BI147" s="86"/>
      <c r="BJ147" s="86"/>
      <c r="BK147" s="86"/>
      <c r="BL147" s="86"/>
      <c r="BM147" s="86"/>
      <c r="BN147" s="86"/>
      <c r="BO147" s="86"/>
      <c r="BP147" s="86"/>
      <c r="BQ147" s="86"/>
      <c r="BR147" s="86"/>
      <c r="BS147" s="86"/>
      <c r="BT147" s="86"/>
      <c r="BU147" s="86"/>
      <c r="BV147" s="86"/>
      <c r="BW147" s="86"/>
      <c r="BX147" s="86"/>
      <c r="BY147" s="86"/>
      <c r="BZ147" s="86"/>
      <c r="CA147" s="86"/>
      <c r="CB147" s="86"/>
      <c r="CC147" s="86"/>
      <c r="CD147" s="86"/>
      <c r="CE147" s="86"/>
      <c r="CF147" s="86"/>
      <c r="CG147" s="86"/>
      <c r="CH147" s="86"/>
      <c r="CI147" s="86"/>
      <c r="CJ147" s="86"/>
      <c r="CK147" s="86"/>
      <c r="CL147" s="86"/>
      <c r="CM147" s="86"/>
      <c r="CN147" s="86"/>
      <c r="CO147" s="86"/>
      <c r="CP147" s="86"/>
      <c r="CQ147" s="86"/>
      <c r="CR147" s="86"/>
      <c r="CS147" s="86"/>
      <c r="CT147" s="86"/>
      <c r="CU147" s="86"/>
      <c r="CV147" s="86"/>
      <c r="CW147" s="86"/>
      <c r="CX147" s="86"/>
      <c r="CY147" s="86"/>
      <c r="CZ147" s="86"/>
      <c r="DA147" s="86"/>
      <c r="DB147" s="86"/>
      <c r="DC147" s="86"/>
      <c r="DD147" s="86"/>
      <c r="DE147" s="86"/>
      <c r="DF147" s="86"/>
      <c r="DG147" s="86"/>
      <c r="DH147" s="86"/>
      <c r="DI147" s="86"/>
      <c r="DJ147" s="86"/>
      <c r="DK147" s="86"/>
      <c r="DL147" s="86"/>
      <c r="DM147" s="86"/>
      <c r="DN147" s="86"/>
      <c r="DO147" s="86"/>
      <c r="DP147" s="86"/>
      <c r="DQ147" s="86"/>
      <c r="DR147" s="86"/>
      <c r="DS147" s="86"/>
      <c r="DT147" s="86"/>
      <c r="DU147" s="86"/>
      <c r="DV147" s="86"/>
      <c r="DW147" s="86"/>
      <c r="DX147" s="86"/>
      <c r="DY147" s="86"/>
      <c r="DZ147" s="86"/>
      <c r="EA147" s="86"/>
      <c r="EB147" s="86"/>
      <c r="EC147" s="86"/>
      <c r="ED147" s="86"/>
      <c r="EE147" s="86"/>
      <c r="EF147" s="86"/>
      <c r="EG147" s="86"/>
      <c r="EH147" s="86"/>
      <c r="EI147" s="86"/>
      <c r="EJ147" s="86"/>
      <c r="EK147" s="86"/>
      <c r="EL147" s="86"/>
      <c r="EM147" s="86"/>
      <c r="EN147" s="86"/>
      <c r="EO147" s="86"/>
      <c r="EP147" s="86"/>
      <c r="EQ147" s="86"/>
      <c r="ER147" s="86"/>
      <c r="ES147" s="86"/>
      <c r="ET147" s="86"/>
      <c r="EU147" s="86"/>
      <c r="EV147" s="86"/>
      <c r="EW147" s="86"/>
      <c r="EX147" s="86"/>
      <c r="EY147" s="86"/>
      <c r="EZ147" s="86"/>
      <c r="FA147" s="86"/>
    </row>
    <row r="148" spans="2:157" ht="10.050000000000001" customHeight="1">
      <c r="B148" s="845" t="s">
        <v>546</v>
      </c>
      <c r="C148" s="836" t="s">
        <v>73</v>
      </c>
      <c r="D148" s="839"/>
      <c r="E148" s="86"/>
      <c r="F148" s="848" t="s">
        <v>546</v>
      </c>
      <c r="G148" s="848" t="s">
        <v>546</v>
      </c>
      <c r="H148" s="858">
        <v>0.04</v>
      </c>
      <c r="J148" s="101"/>
      <c r="K148" s="101"/>
      <c r="L148" s="101"/>
      <c r="Z148" s="86"/>
      <c r="AA148" s="86"/>
      <c r="AB148" s="86"/>
      <c r="AC148" s="86"/>
      <c r="AD148" s="86"/>
      <c r="AE148" s="86"/>
      <c r="AF148" s="86"/>
      <c r="AG148" s="86"/>
      <c r="AH148" s="86"/>
      <c r="AI148" s="86"/>
      <c r="AJ148" s="86"/>
      <c r="AK148" s="86"/>
      <c r="AL148" s="86"/>
      <c r="AM148" s="86"/>
      <c r="AN148" s="86"/>
      <c r="AO148" s="86"/>
      <c r="AP148" s="86"/>
      <c r="AQ148" s="86"/>
      <c r="AR148" s="86"/>
      <c r="AS148" s="86"/>
      <c r="AT148" s="86"/>
      <c r="AU148" s="86"/>
      <c r="AV148" s="86"/>
      <c r="AW148" s="86"/>
      <c r="AX148" s="86"/>
      <c r="AY148" s="86"/>
      <c r="AZ148" s="86"/>
      <c r="BA148" s="86"/>
      <c r="BB148" s="86"/>
      <c r="BC148" s="86"/>
      <c r="BD148" s="86"/>
      <c r="BE148" s="86"/>
      <c r="BF148" s="86"/>
      <c r="BG148" s="86"/>
      <c r="BH148" s="86"/>
      <c r="BI148" s="86"/>
      <c r="BJ148" s="86"/>
      <c r="BK148" s="86"/>
      <c r="BL148" s="86"/>
      <c r="BM148" s="86"/>
      <c r="BN148" s="86"/>
      <c r="BO148" s="86"/>
      <c r="BP148" s="86"/>
      <c r="BQ148" s="86"/>
      <c r="BR148" s="86"/>
      <c r="BS148" s="86"/>
      <c r="BT148" s="86"/>
      <c r="BU148" s="86"/>
      <c r="BV148" s="86"/>
      <c r="BW148" s="86"/>
      <c r="BX148" s="86"/>
      <c r="BY148" s="86"/>
      <c r="BZ148" s="86"/>
      <c r="CA148" s="86"/>
      <c r="CB148" s="86"/>
      <c r="CC148" s="86"/>
      <c r="CD148" s="86"/>
      <c r="CE148" s="86"/>
      <c r="CF148" s="86"/>
      <c r="CG148" s="86"/>
      <c r="CH148" s="86"/>
      <c r="CI148" s="86"/>
      <c r="CJ148" s="86"/>
      <c r="CK148" s="86"/>
      <c r="CL148" s="86"/>
      <c r="CM148" s="86"/>
      <c r="CN148" s="86"/>
      <c r="CO148" s="86"/>
      <c r="CP148" s="86"/>
      <c r="CQ148" s="86"/>
      <c r="CR148" s="86"/>
      <c r="CS148" s="86"/>
      <c r="CT148" s="86"/>
      <c r="CU148" s="86"/>
      <c r="CV148" s="86"/>
      <c r="CW148" s="86"/>
      <c r="CX148" s="86"/>
      <c r="CY148" s="86"/>
      <c r="CZ148" s="86"/>
      <c r="DA148" s="86"/>
      <c r="DB148" s="86"/>
      <c r="DC148" s="86"/>
      <c r="DD148" s="86"/>
      <c r="DE148" s="86"/>
      <c r="DF148" s="86"/>
      <c r="DG148" s="86"/>
      <c r="DH148" s="86"/>
      <c r="DI148" s="86"/>
      <c r="DJ148" s="86"/>
      <c r="DK148" s="86"/>
      <c r="DL148" s="86"/>
      <c r="DM148" s="86"/>
      <c r="DN148" s="86"/>
      <c r="DO148" s="86"/>
      <c r="DP148" s="86"/>
      <c r="DQ148" s="86"/>
      <c r="DR148" s="86"/>
      <c r="DS148" s="86"/>
      <c r="DT148" s="86"/>
      <c r="DU148" s="86"/>
      <c r="DV148" s="86"/>
      <c r="DW148" s="86"/>
      <c r="DX148" s="86"/>
      <c r="DY148" s="86"/>
      <c r="DZ148" s="86"/>
      <c r="EA148" s="86"/>
      <c r="EB148" s="86"/>
      <c r="EC148" s="86"/>
      <c r="ED148" s="86"/>
      <c r="EE148" s="86"/>
      <c r="EF148" s="86"/>
      <c r="EG148" s="86"/>
      <c r="EH148" s="86"/>
      <c r="EI148" s="86"/>
      <c r="EJ148" s="86"/>
      <c r="EK148" s="86"/>
      <c r="EL148" s="86"/>
      <c r="EM148" s="86"/>
      <c r="EN148" s="86"/>
      <c r="EO148" s="86"/>
      <c r="EP148" s="86"/>
      <c r="EQ148" s="86"/>
      <c r="ER148" s="86"/>
      <c r="ES148" s="86"/>
      <c r="ET148" s="86"/>
      <c r="EU148" s="86"/>
      <c r="EV148" s="86"/>
      <c r="EW148" s="86"/>
      <c r="EX148" s="86"/>
      <c r="EY148" s="86"/>
      <c r="EZ148" s="86"/>
      <c r="FA148" s="86"/>
    </row>
    <row r="149" spans="2:157" ht="9.75" customHeight="1">
      <c r="B149" s="849"/>
      <c r="C149" s="849"/>
      <c r="D149" s="849"/>
      <c r="E149" s="849"/>
      <c r="F149" s="849"/>
      <c r="G149" s="849"/>
      <c r="H149" s="855"/>
      <c r="J149" s="101"/>
      <c r="K149" s="101"/>
      <c r="L149" s="101"/>
      <c r="Z149" s="86"/>
      <c r="AA149" s="86"/>
      <c r="AB149" s="86"/>
      <c r="AC149" s="86"/>
      <c r="AD149" s="86"/>
      <c r="AE149" s="86"/>
      <c r="AF149" s="86"/>
      <c r="AG149" s="86"/>
      <c r="AH149" s="86"/>
      <c r="AI149" s="86"/>
      <c r="AJ149" s="86"/>
      <c r="AK149" s="86"/>
      <c r="AL149" s="86"/>
      <c r="AM149" s="86"/>
      <c r="AN149" s="86"/>
      <c r="AO149" s="86"/>
      <c r="AP149" s="86"/>
      <c r="AQ149" s="86"/>
      <c r="AR149" s="86"/>
      <c r="AS149" s="86"/>
      <c r="AT149" s="86"/>
      <c r="AU149" s="86"/>
      <c r="AV149" s="86"/>
      <c r="AW149" s="86"/>
      <c r="AX149" s="86"/>
      <c r="AY149" s="86"/>
      <c r="AZ149" s="86"/>
      <c r="BA149" s="86"/>
      <c r="BB149" s="86"/>
      <c r="BC149" s="86"/>
      <c r="BD149" s="86"/>
      <c r="BE149" s="86"/>
      <c r="BF149" s="86"/>
      <c r="BG149" s="86"/>
      <c r="BH149" s="86"/>
      <c r="BI149" s="86"/>
      <c r="BJ149" s="86"/>
      <c r="BK149" s="86"/>
      <c r="BL149" s="86"/>
      <c r="BM149" s="86"/>
      <c r="BN149" s="86"/>
      <c r="BO149" s="86"/>
      <c r="BP149" s="86"/>
      <c r="BQ149" s="86"/>
      <c r="BR149" s="86"/>
      <c r="BS149" s="86"/>
      <c r="BT149" s="86"/>
      <c r="BU149" s="86"/>
      <c r="BV149" s="86"/>
      <c r="BW149" s="86"/>
      <c r="BX149" s="86"/>
      <c r="BY149" s="86"/>
      <c r="BZ149" s="86"/>
      <c r="CA149" s="86"/>
      <c r="CB149" s="86"/>
      <c r="CC149" s="86"/>
      <c r="CD149" s="86"/>
      <c r="CE149" s="86"/>
      <c r="CF149" s="86"/>
      <c r="CG149" s="86"/>
      <c r="CH149" s="86"/>
      <c r="CI149" s="86"/>
      <c r="CJ149" s="86"/>
      <c r="CK149" s="86"/>
      <c r="CL149" s="86"/>
      <c r="CM149" s="86"/>
      <c r="CN149" s="86"/>
      <c r="CO149" s="86"/>
      <c r="CP149" s="86"/>
      <c r="CQ149" s="86"/>
      <c r="CR149" s="86"/>
      <c r="CS149" s="86"/>
      <c r="CT149" s="86"/>
      <c r="CU149" s="86"/>
      <c r="CV149" s="86"/>
      <c r="CW149" s="86"/>
      <c r="CX149" s="86"/>
      <c r="CY149" s="86"/>
      <c r="CZ149" s="86"/>
      <c r="DA149" s="86"/>
      <c r="DB149" s="86"/>
      <c r="DC149" s="86"/>
      <c r="DD149" s="86"/>
      <c r="DE149" s="86"/>
      <c r="DF149" s="86"/>
      <c r="DG149" s="86"/>
      <c r="DH149" s="86"/>
      <c r="DI149" s="86"/>
      <c r="DJ149" s="86"/>
      <c r="DK149" s="86"/>
      <c r="DL149" s="86"/>
      <c r="DM149" s="86"/>
      <c r="DN149" s="86"/>
      <c r="DO149" s="86"/>
      <c r="DP149" s="86"/>
      <c r="DQ149" s="86"/>
      <c r="DR149" s="86"/>
      <c r="DS149" s="86"/>
      <c r="DT149" s="86"/>
      <c r="DU149" s="86"/>
      <c r="DV149" s="86"/>
      <c r="DW149" s="86"/>
      <c r="DX149" s="86"/>
      <c r="DY149" s="86"/>
      <c r="DZ149" s="86"/>
      <c r="EA149" s="86"/>
      <c r="EB149" s="86"/>
      <c r="EC149" s="86"/>
      <c r="ED149" s="86"/>
      <c r="EE149" s="86"/>
      <c r="EF149" s="86"/>
      <c r="EG149" s="86"/>
      <c r="EH149" s="86"/>
      <c r="EI149" s="86"/>
      <c r="EJ149" s="86"/>
      <c r="EK149" s="86"/>
      <c r="EL149" s="86"/>
      <c r="EM149" s="86"/>
      <c r="EN149" s="86"/>
      <c r="EO149" s="86"/>
      <c r="EP149" s="86"/>
      <c r="EQ149" s="86"/>
      <c r="ER149" s="86"/>
      <c r="ES149" s="86"/>
      <c r="ET149" s="86"/>
      <c r="EU149" s="86"/>
      <c r="EV149" s="86"/>
      <c r="EW149" s="86"/>
      <c r="EX149" s="86"/>
      <c r="EY149" s="86"/>
      <c r="EZ149" s="86"/>
      <c r="FA149" s="86"/>
    </row>
    <row r="150" spans="2:157" ht="9.75" customHeight="1">
      <c r="B150" s="27"/>
      <c r="C150" s="27"/>
      <c r="D150" s="27"/>
      <c r="E150" s="91"/>
      <c r="F150" s="171"/>
      <c r="G150" s="29"/>
      <c r="H150" s="27"/>
      <c r="J150" s="101"/>
      <c r="K150" s="101"/>
      <c r="L150" s="101"/>
      <c r="Z150" s="86"/>
      <c r="AA150" s="86"/>
      <c r="AB150" s="86"/>
      <c r="AC150" s="86"/>
      <c r="AD150" s="86"/>
      <c r="AE150" s="86"/>
      <c r="AF150" s="86"/>
      <c r="AG150" s="86"/>
      <c r="AH150" s="86"/>
      <c r="AI150" s="86"/>
      <c r="AJ150" s="86"/>
      <c r="AK150" s="86"/>
      <c r="AL150" s="86"/>
      <c r="AM150" s="86"/>
      <c r="AN150" s="86"/>
      <c r="AO150" s="86"/>
      <c r="AP150" s="86"/>
      <c r="AQ150" s="86"/>
      <c r="AR150" s="86"/>
      <c r="AS150" s="86"/>
      <c r="AT150" s="86"/>
      <c r="AU150" s="86"/>
      <c r="AV150" s="86"/>
      <c r="AW150" s="86"/>
      <c r="AX150" s="86"/>
      <c r="AY150" s="86"/>
      <c r="AZ150" s="86"/>
      <c r="BA150" s="86"/>
      <c r="BB150" s="86"/>
      <c r="BC150" s="86"/>
      <c r="BD150" s="86"/>
      <c r="BE150" s="86"/>
      <c r="BF150" s="86"/>
      <c r="BG150" s="86"/>
      <c r="BH150" s="86"/>
      <c r="BI150" s="86"/>
      <c r="BJ150" s="86"/>
      <c r="BK150" s="86"/>
      <c r="BL150" s="86"/>
      <c r="BM150" s="86"/>
      <c r="BN150" s="86"/>
      <c r="BO150" s="86"/>
      <c r="BP150" s="86"/>
      <c r="BQ150" s="86"/>
      <c r="BR150" s="86"/>
      <c r="BS150" s="86"/>
      <c r="BT150" s="86"/>
      <c r="BU150" s="86"/>
      <c r="BV150" s="86"/>
      <c r="BW150" s="86"/>
      <c r="BX150" s="86"/>
      <c r="BY150" s="86"/>
      <c r="BZ150" s="86"/>
      <c r="CA150" s="86"/>
      <c r="CB150" s="86"/>
      <c r="CC150" s="86"/>
      <c r="CD150" s="86"/>
      <c r="CE150" s="86"/>
      <c r="CF150" s="86"/>
      <c r="CG150" s="86"/>
      <c r="CH150" s="86"/>
      <c r="CI150" s="86"/>
      <c r="CJ150" s="86"/>
      <c r="CK150" s="86"/>
      <c r="CL150" s="86"/>
      <c r="CM150" s="86"/>
      <c r="CN150" s="86"/>
      <c r="CO150" s="86"/>
      <c r="CP150" s="86"/>
      <c r="CQ150" s="86"/>
      <c r="CR150" s="86"/>
      <c r="CS150" s="86"/>
      <c r="CT150" s="86"/>
      <c r="CU150" s="86"/>
      <c r="CV150" s="86"/>
      <c r="CW150" s="86"/>
      <c r="CX150" s="86"/>
      <c r="CY150" s="86"/>
      <c r="CZ150" s="86"/>
      <c r="DA150" s="86"/>
      <c r="DB150" s="86"/>
      <c r="DC150" s="86"/>
      <c r="DD150" s="86"/>
      <c r="DE150" s="86"/>
      <c r="DF150" s="86"/>
      <c r="DG150" s="86"/>
      <c r="DH150" s="86"/>
      <c r="DI150" s="86"/>
      <c r="DJ150" s="86"/>
      <c r="DK150" s="86"/>
      <c r="DL150" s="86"/>
      <c r="DM150" s="86"/>
      <c r="DN150" s="86"/>
      <c r="DO150" s="86"/>
      <c r="DP150" s="86"/>
      <c r="DQ150" s="86"/>
      <c r="DR150" s="86"/>
      <c r="DS150" s="86"/>
      <c r="DT150" s="86"/>
      <c r="DU150" s="86"/>
      <c r="DV150" s="86"/>
      <c r="DW150" s="86"/>
      <c r="DX150" s="86"/>
      <c r="DY150" s="86"/>
      <c r="DZ150" s="86"/>
      <c r="EA150" s="86"/>
      <c r="EB150" s="86"/>
      <c r="EC150" s="86"/>
      <c r="ED150" s="86"/>
      <c r="EE150" s="86"/>
      <c r="EF150" s="86"/>
      <c r="EG150" s="86"/>
      <c r="EH150" s="86"/>
      <c r="EI150" s="86"/>
      <c r="EJ150" s="86"/>
      <c r="EK150" s="86"/>
      <c r="EL150" s="86"/>
      <c r="EM150" s="86"/>
      <c r="EN150" s="86"/>
      <c r="EO150" s="86"/>
      <c r="EP150" s="86"/>
      <c r="EQ150" s="86"/>
      <c r="ER150" s="86"/>
      <c r="ES150" s="86"/>
      <c r="ET150" s="86"/>
      <c r="EU150" s="86"/>
      <c r="EV150" s="86"/>
      <c r="EW150" s="86"/>
      <c r="EX150" s="86"/>
      <c r="EY150" s="86"/>
      <c r="EZ150" s="86"/>
      <c r="FA150" s="86"/>
    </row>
    <row r="151" spans="2:157" ht="9.75" customHeight="1">
      <c r="B151" s="27"/>
      <c r="C151" s="27"/>
      <c r="D151" s="27"/>
      <c r="E151" s="27"/>
      <c r="F151" s="27"/>
      <c r="G151" s="27"/>
      <c r="H151" s="27"/>
      <c r="J151" s="101"/>
      <c r="K151" s="101"/>
      <c r="L151" s="101"/>
      <c r="Z151" s="86"/>
      <c r="AA151" s="86"/>
      <c r="AB151" s="86"/>
      <c r="AC151" s="86"/>
      <c r="AD151" s="86"/>
      <c r="AE151" s="86"/>
      <c r="AF151" s="86"/>
      <c r="AG151" s="86"/>
      <c r="AH151" s="86"/>
      <c r="AI151" s="86"/>
      <c r="AJ151" s="86"/>
      <c r="AK151" s="86"/>
      <c r="AL151" s="86"/>
      <c r="AM151" s="86"/>
      <c r="AN151" s="86"/>
      <c r="AO151" s="86"/>
      <c r="AP151" s="86"/>
      <c r="AQ151" s="86"/>
      <c r="AR151" s="86"/>
      <c r="AS151" s="86"/>
      <c r="AT151" s="86"/>
      <c r="AU151" s="86"/>
      <c r="AV151" s="86"/>
      <c r="AW151" s="86"/>
      <c r="AX151" s="86"/>
      <c r="AY151" s="86"/>
      <c r="AZ151" s="86"/>
      <c r="BA151" s="86"/>
      <c r="BB151" s="86"/>
      <c r="BC151" s="86"/>
      <c r="BD151" s="86"/>
      <c r="BE151" s="86"/>
      <c r="BF151" s="86"/>
      <c r="BG151" s="86"/>
      <c r="BH151" s="86"/>
      <c r="BI151" s="86"/>
      <c r="BJ151" s="86"/>
      <c r="BK151" s="86"/>
      <c r="BL151" s="86"/>
      <c r="BM151" s="86"/>
      <c r="BN151" s="86"/>
      <c r="BO151" s="86"/>
      <c r="BP151" s="86"/>
      <c r="BQ151" s="86"/>
      <c r="BR151" s="86"/>
      <c r="BS151" s="86"/>
      <c r="BT151" s="86"/>
      <c r="BU151" s="86"/>
      <c r="BV151" s="86"/>
      <c r="BW151" s="86"/>
      <c r="BX151" s="86"/>
      <c r="BY151" s="86"/>
      <c r="BZ151" s="86"/>
      <c r="CA151" s="86"/>
      <c r="CB151" s="86"/>
      <c r="CC151" s="86"/>
      <c r="CD151" s="86"/>
      <c r="CE151" s="86"/>
      <c r="CF151" s="86"/>
      <c r="CG151" s="86"/>
      <c r="CH151" s="86"/>
      <c r="CI151" s="86"/>
      <c r="CJ151" s="86"/>
      <c r="CK151" s="86"/>
      <c r="CL151" s="86"/>
      <c r="CM151" s="86"/>
      <c r="CN151" s="86"/>
      <c r="CO151" s="86"/>
      <c r="CP151" s="86"/>
      <c r="CQ151" s="86"/>
      <c r="CR151" s="86"/>
      <c r="CS151" s="86"/>
      <c r="CT151" s="86"/>
      <c r="CU151" s="86"/>
      <c r="CV151" s="86"/>
      <c r="CW151" s="86"/>
      <c r="CX151" s="86"/>
      <c r="CY151" s="86"/>
      <c r="CZ151" s="86"/>
      <c r="DA151" s="86"/>
      <c r="DB151" s="86"/>
      <c r="DC151" s="86"/>
      <c r="DD151" s="86"/>
      <c r="DE151" s="86"/>
      <c r="DF151" s="86"/>
      <c r="DG151" s="86"/>
      <c r="DH151" s="86"/>
      <c r="DI151" s="86"/>
      <c r="DJ151" s="86"/>
      <c r="DK151" s="86"/>
      <c r="DL151" s="86"/>
      <c r="DM151" s="86"/>
      <c r="DN151" s="86"/>
      <c r="DO151" s="86"/>
      <c r="DP151" s="86"/>
      <c r="DQ151" s="86"/>
      <c r="DR151" s="86"/>
      <c r="DS151" s="86"/>
      <c r="DT151" s="86"/>
      <c r="DU151" s="86"/>
      <c r="DV151" s="86"/>
      <c r="DW151" s="86"/>
      <c r="DX151" s="86"/>
      <c r="DY151" s="86"/>
      <c r="DZ151" s="86"/>
      <c r="EA151" s="86"/>
      <c r="EB151" s="86"/>
      <c r="EC151" s="86"/>
      <c r="ED151" s="86"/>
      <c r="EE151" s="86"/>
      <c r="EF151" s="86"/>
      <c r="EG151" s="86"/>
      <c r="EH151" s="86"/>
      <c r="EI151" s="86"/>
      <c r="EJ151" s="86"/>
      <c r="EK151" s="86"/>
      <c r="EL151" s="86"/>
      <c r="EM151" s="86"/>
      <c r="EN151" s="86"/>
      <c r="EO151" s="86"/>
      <c r="EP151" s="86"/>
      <c r="EQ151" s="86"/>
      <c r="ER151" s="86"/>
      <c r="ES151" s="86"/>
      <c r="ET151" s="86"/>
      <c r="EU151" s="86"/>
      <c r="EV151" s="86"/>
      <c r="EW151" s="86"/>
      <c r="EX151" s="86"/>
      <c r="EY151" s="86"/>
      <c r="EZ151" s="86"/>
      <c r="FA151" s="86"/>
    </row>
    <row r="152" spans="2:157" ht="9.75" customHeight="1">
      <c r="B152" s="27"/>
      <c r="C152" s="27"/>
      <c r="D152" s="27"/>
      <c r="E152" s="27"/>
      <c r="F152" s="27"/>
      <c r="G152" s="27"/>
      <c r="H152" s="27"/>
      <c r="J152" s="101"/>
      <c r="K152" s="101"/>
      <c r="L152" s="101"/>
      <c r="Z152" s="86"/>
      <c r="AA152" s="86"/>
      <c r="AB152" s="86"/>
      <c r="AC152" s="86"/>
      <c r="AD152" s="86"/>
      <c r="AE152" s="86"/>
      <c r="AF152" s="86"/>
      <c r="AG152" s="86"/>
      <c r="AH152" s="86"/>
      <c r="AI152" s="86"/>
      <c r="AJ152" s="86"/>
      <c r="AK152" s="86"/>
      <c r="AL152" s="86"/>
      <c r="AM152" s="86"/>
      <c r="AN152" s="86"/>
      <c r="AO152" s="86"/>
      <c r="AP152" s="86"/>
      <c r="AQ152" s="86"/>
      <c r="AR152" s="86"/>
      <c r="AS152" s="86"/>
      <c r="AT152" s="86"/>
      <c r="AU152" s="86"/>
      <c r="AV152" s="86"/>
      <c r="AW152" s="86"/>
      <c r="AX152" s="86"/>
      <c r="AY152" s="86"/>
      <c r="AZ152" s="86"/>
      <c r="BA152" s="86"/>
      <c r="BB152" s="86"/>
      <c r="BC152" s="86"/>
      <c r="BD152" s="86"/>
      <c r="BE152" s="86"/>
      <c r="BF152" s="86"/>
      <c r="BG152" s="86"/>
      <c r="BH152" s="86"/>
      <c r="BI152" s="86"/>
      <c r="BJ152" s="86"/>
      <c r="BK152" s="86"/>
      <c r="BL152" s="86"/>
      <c r="BM152" s="86"/>
      <c r="BN152" s="86"/>
      <c r="BO152" s="86"/>
      <c r="BP152" s="86"/>
      <c r="BQ152" s="86"/>
      <c r="BR152" s="86"/>
      <c r="BS152" s="86"/>
      <c r="BT152" s="86"/>
      <c r="BU152" s="86"/>
      <c r="BV152" s="86"/>
      <c r="BW152" s="86"/>
      <c r="BX152" s="86"/>
      <c r="BY152" s="86"/>
      <c r="BZ152" s="86"/>
      <c r="CA152" s="86"/>
      <c r="CB152" s="86"/>
      <c r="CC152" s="86"/>
      <c r="CD152" s="86"/>
      <c r="CE152" s="86"/>
      <c r="CF152" s="86"/>
      <c r="CG152" s="86"/>
      <c r="CH152" s="86"/>
      <c r="CI152" s="86"/>
      <c r="CJ152" s="86"/>
      <c r="CK152" s="86"/>
      <c r="CL152" s="86"/>
      <c r="CM152" s="86"/>
      <c r="CN152" s="86"/>
      <c r="CO152" s="86"/>
      <c r="CP152" s="86"/>
      <c r="CQ152" s="86"/>
      <c r="CR152" s="86"/>
      <c r="CS152" s="86"/>
      <c r="CT152" s="86"/>
      <c r="CU152" s="86"/>
      <c r="CV152" s="86"/>
      <c r="CW152" s="86"/>
      <c r="CX152" s="86"/>
      <c r="CY152" s="86"/>
      <c r="CZ152" s="86"/>
      <c r="DA152" s="86"/>
      <c r="DB152" s="86"/>
      <c r="DC152" s="86"/>
      <c r="DD152" s="86"/>
      <c r="DE152" s="86"/>
      <c r="DF152" s="86"/>
      <c r="DG152" s="86"/>
      <c r="DH152" s="86"/>
      <c r="DI152" s="86"/>
      <c r="DJ152" s="86"/>
      <c r="DK152" s="86"/>
      <c r="DL152" s="86"/>
      <c r="DM152" s="86"/>
      <c r="DN152" s="86"/>
      <c r="DO152" s="86"/>
      <c r="DP152" s="86"/>
      <c r="DQ152" s="86"/>
      <c r="DR152" s="86"/>
      <c r="DS152" s="86"/>
      <c r="DT152" s="86"/>
      <c r="DU152" s="86"/>
      <c r="DV152" s="86"/>
      <c r="DW152" s="86"/>
      <c r="DX152" s="86"/>
      <c r="DY152" s="86"/>
      <c r="DZ152" s="86"/>
      <c r="EA152" s="86"/>
      <c r="EB152" s="86"/>
      <c r="EC152" s="86"/>
      <c r="ED152" s="86"/>
      <c r="EE152" s="86"/>
      <c r="EF152" s="86"/>
      <c r="EG152" s="86"/>
      <c r="EH152" s="86"/>
      <c r="EI152" s="86"/>
      <c r="EJ152" s="86"/>
      <c r="EK152" s="86"/>
      <c r="EL152" s="86"/>
      <c r="EM152" s="86"/>
      <c r="EN152" s="86"/>
      <c r="EO152" s="86"/>
      <c r="EP152" s="86"/>
      <c r="EQ152" s="86"/>
      <c r="ER152" s="86"/>
      <c r="ES152" s="86"/>
      <c r="ET152" s="86"/>
      <c r="EU152" s="86"/>
      <c r="EV152" s="86"/>
      <c r="EW152" s="86"/>
      <c r="EX152" s="86"/>
      <c r="EY152" s="86"/>
      <c r="EZ152" s="86"/>
      <c r="FA152" s="86"/>
    </row>
    <row r="153" spans="2:157" ht="9.75" customHeight="1">
      <c r="B153" s="31"/>
      <c r="C153" s="31"/>
      <c r="D153" s="31"/>
      <c r="E153" s="31"/>
      <c r="F153" s="31"/>
      <c r="G153" s="31"/>
      <c r="H153" s="31"/>
      <c r="J153" s="101"/>
      <c r="K153" s="101"/>
      <c r="L153" s="101"/>
      <c r="Z153" s="86"/>
      <c r="AA153" s="86"/>
      <c r="AB153" s="86"/>
      <c r="AC153" s="86"/>
      <c r="AD153" s="86"/>
      <c r="AE153" s="86"/>
      <c r="AF153" s="86"/>
      <c r="AG153" s="86"/>
      <c r="AH153" s="86"/>
      <c r="AI153" s="86"/>
      <c r="AJ153" s="86"/>
      <c r="AK153" s="86"/>
      <c r="AL153" s="86"/>
      <c r="AM153" s="86"/>
      <c r="AN153" s="86"/>
      <c r="AO153" s="86"/>
      <c r="AP153" s="86"/>
      <c r="AQ153" s="86"/>
      <c r="AR153" s="86"/>
      <c r="AS153" s="86"/>
      <c r="AT153" s="86"/>
      <c r="AU153" s="86"/>
      <c r="AV153" s="86"/>
      <c r="AW153" s="86"/>
      <c r="AX153" s="86"/>
      <c r="AY153" s="86"/>
      <c r="AZ153" s="86"/>
      <c r="BA153" s="86"/>
      <c r="BB153" s="86"/>
      <c r="BC153" s="86"/>
      <c r="BD153" s="86"/>
      <c r="BE153" s="86"/>
      <c r="BF153" s="86"/>
      <c r="BG153" s="86"/>
      <c r="BH153" s="86"/>
      <c r="BI153" s="86"/>
      <c r="BJ153" s="86"/>
      <c r="BK153" s="86"/>
      <c r="BL153" s="86"/>
      <c r="BM153" s="86"/>
      <c r="BN153" s="86"/>
      <c r="BO153" s="86"/>
      <c r="BP153" s="86"/>
      <c r="BQ153" s="86"/>
      <c r="BR153" s="86"/>
      <c r="BS153" s="86"/>
      <c r="BT153" s="86"/>
      <c r="BU153" s="86"/>
      <c r="BV153" s="86"/>
      <c r="BW153" s="86"/>
      <c r="BX153" s="86"/>
      <c r="BY153" s="86"/>
      <c r="BZ153" s="86"/>
      <c r="CA153" s="86"/>
      <c r="CB153" s="86"/>
      <c r="CC153" s="86"/>
      <c r="CD153" s="86"/>
      <c r="CE153" s="86"/>
      <c r="CF153" s="86"/>
      <c r="CG153" s="86"/>
      <c r="CH153" s="86"/>
      <c r="CI153" s="86"/>
      <c r="CJ153" s="86"/>
      <c r="CK153" s="86"/>
      <c r="CL153" s="86"/>
      <c r="CM153" s="86"/>
      <c r="CN153" s="86"/>
      <c r="CO153" s="86"/>
      <c r="CP153" s="86"/>
      <c r="CQ153" s="86"/>
      <c r="CR153" s="86"/>
      <c r="CS153" s="86"/>
      <c r="CT153" s="86"/>
      <c r="CU153" s="86"/>
      <c r="CV153" s="86"/>
      <c r="CW153" s="86"/>
      <c r="CX153" s="86"/>
      <c r="CY153" s="86"/>
      <c r="CZ153" s="86"/>
      <c r="DA153" s="86"/>
      <c r="DB153" s="86"/>
      <c r="DC153" s="86"/>
      <c r="DD153" s="86"/>
      <c r="DE153" s="86"/>
      <c r="DF153" s="86"/>
      <c r="DG153" s="86"/>
      <c r="DH153" s="86"/>
      <c r="DI153" s="86"/>
      <c r="DJ153" s="86"/>
      <c r="DK153" s="86"/>
      <c r="DL153" s="86"/>
      <c r="DM153" s="86"/>
      <c r="DN153" s="86"/>
      <c r="DO153" s="86"/>
      <c r="DP153" s="86"/>
      <c r="DQ153" s="86"/>
      <c r="DR153" s="86"/>
      <c r="DS153" s="86"/>
      <c r="DT153" s="86"/>
      <c r="DU153" s="86"/>
      <c r="DV153" s="86"/>
      <c r="DW153" s="86"/>
      <c r="DX153" s="86"/>
      <c r="DY153" s="86"/>
      <c r="DZ153" s="86"/>
      <c r="EA153" s="86"/>
      <c r="EB153" s="86"/>
      <c r="EC153" s="86"/>
      <c r="ED153" s="86"/>
      <c r="EE153" s="86"/>
      <c r="EF153" s="86"/>
      <c r="EG153" s="86"/>
      <c r="EH153" s="86"/>
      <c r="EI153" s="86"/>
      <c r="EJ153" s="86"/>
      <c r="EK153" s="86"/>
      <c r="EL153" s="86"/>
      <c r="EM153" s="86"/>
      <c r="EN153" s="86"/>
      <c r="EO153" s="86"/>
      <c r="EP153" s="86"/>
      <c r="EQ153" s="86"/>
      <c r="ER153" s="86"/>
      <c r="ES153" s="86"/>
      <c r="ET153" s="86"/>
      <c r="EU153" s="86"/>
      <c r="EV153" s="86"/>
      <c r="EW153" s="86"/>
      <c r="EX153" s="86"/>
      <c r="EY153" s="86"/>
      <c r="EZ153" s="86"/>
      <c r="FA153" s="86"/>
    </row>
    <row r="154" spans="2:157" ht="10.95" customHeight="1">
      <c r="B154" s="1347" t="s">
        <v>510</v>
      </c>
      <c r="C154" s="1348"/>
      <c r="D154" s="1345"/>
      <c r="E154" s="1346"/>
      <c r="F154" s="842"/>
      <c r="G154" s="837" t="s">
        <v>4</v>
      </c>
      <c r="H154" s="856"/>
      <c r="J154" s="101"/>
      <c r="K154" s="101"/>
      <c r="L154" s="101"/>
      <c r="Z154" s="86"/>
      <c r="AA154" s="86"/>
      <c r="AB154" s="86"/>
      <c r="AC154" s="86"/>
      <c r="AD154" s="86"/>
      <c r="AE154" s="86"/>
      <c r="AF154" s="86"/>
      <c r="AG154" s="86"/>
      <c r="AH154" s="86"/>
      <c r="AI154" s="86"/>
      <c r="AJ154" s="86"/>
      <c r="AK154" s="86"/>
      <c r="AL154" s="86"/>
      <c r="AM154" s="86"/>
      <c r="AN154" s="86"/>
      <c r="AO154" s="86"/>
      <c r="AP154" s="86"/>
      <c r="AQ154" s="86"/>
      <c r="AR154" s="86"/>
      <c r="AS154" s="86"/>
      <c r="AT154" s="86"/>
      <c r="AU154" s="86"/>
      <c r="AV154" s="86"/>
      <c r="AW154" s="86"/>
      <c r="AX154" s="86"/>
      <c r="AY154" s="86"/>
      <c r="AZ154" s="86"/>
      <c r="BA154" s="86"/>
      <c r="BB154" s="86"/>
      <c r="BC154" s="86"/>
      <c r="BD154" s="86"/>
      <c r="BE154" s="86"/>
      <c r="BF154" s="86"/>
      <c r="BG154" s="86"/>
      <c r="BH154" s="86"/>
      <c r="BI154" s="86"/>
      <c r="BJ154" s="86"/>
      <c r="BK154" s="86"/>
      <c r="BL154" s="86"/>
      <c r="BM154" s="86"/>
      <c r="BN154" s="86"/>
      <c r="BO154" s="86"/>
      <c r="BP154" s="86"/>
      <c r="BQ154" s="86"/>
      <c r="BR154" s="86"/>
      <c r="BS154" s="86"/>
      <c r="BT154" s="86"/>
      <c r="BU154" s="86"/>
      <c r="BV154" s="86"/>
      <c r="BW154" s="86"/>
      <c r="BX154" s="86"/>
      <c r="BY154" s="86"/>
      <c r="BZ154" s="86"/>
      <c r="CA154" s="86"/>
      <c r="CB154" s="86"/>
      <c r="CC154" s="86"/>
      <c r="CD154" s="86"/>
      <c r="CE154" s="86"/>
      <c r="CF154" s="86"/>
      <c r="CG154" s="86"/>
      <c r="CH154" s="86"/>
      <c r="CI154" s="86"/>
      <c r="CJ154" s="86"/>
      <c r="CK154" s="86"/>
      <c r="CL154" s="86"/>
      <c r="CM154" s="86"/>
      <c r="CN154" s="86"/>
      <c r="CO154" s="86"/>
      <c r="CP154" s="86"/>
      <c r="CQ154" s="86"/>
      <c r="CR154" s="86"/>
      <c r="CS154" s="86"/>
      <c r="CT154" s="86"/>
      <c r="CU154" s="86"/>
      <c r="CV154" s="86"/>
      <c r="CW154" s="86"/>
      <c r="CX154" s="86"/>
      <c r="CY154" s="86"/>
      <c r="CZ154" s="86"/>
      <c r="DA154" s="86"/>
      <c r="DB154" s="86"/>
      <c r="DC154" s="86"/>
      <c r="DD154" s="86"/>
      <c r="DE154" s="86"/>
      <c r="DF154" s="86"/>
      <c r="DG154" s="86"/>
      <c r="DH154" s="86"/>
      <c r="DI154" s="86"/>
      <c r="DJ154" s="86"/>
      <c r="DK154" s="86"/>
      <c r="DL154" s="86"/>
      <c r="DM154" s="86"/>
      <c r="DN154" s="86"/>
      <c r="DO154" s="86"/>
      <c r="DP154" s="86"/>
      <c r="DQ154" s="86"/>
      <c r="DR154" s="86"/>
      <c r="DS154" s="86"/>
      <c r="DT154" s="86"/>
      <c r="DU154" s="86"/>
      <c r="DV154" s="86"/>
      <c r="DW154" s="86"/>
      <c r="DX154" s="86"/>
      <c r="DY154" s="86"/>
      <c r="DZ154" s="86"/>
      <c r="EA154" s="86"/>
      <c r="EB154" s="86"/>
      <c r="EC154" s="86"/>
      <c r="ED154" s="86"/>
      <c r="EE154" s="86"/>
      <c r="EF154" s="86"/>
      <c r="EG154" s="86"/>
      <c r="EH154" s="86"/>
      <c r="EI154" s="86"/>
      <c r="EJ154" s="86"/>
      <c r="EK154" s="86"/>
      <c r="EL154" s="86"/>
      <c r="EM154" s="86"/>
      <c r="EN154" s="86"/>
      <c r="EO154" s="86"/>
      <c r="EP154" s="86"/>
      <c r="EQ154" s="86"/>
      <c r="ER154" s="86"/>
      <c r="ES154" s="86"/>
      <c r="ET154" s="86"/>
      <c r="EU154" s="86"/>
      <c r="EV154" s="86"/>
      <c r="EW154" s="86"/>
      <c r="EX154" s="86"/>
      <c r="EY154" s="86"/>
      <c r="EZ154" s="86"/>
      <c r="FA154" s="86"/>
    </row>
    <row r="155" spans="2:157" ht="10.95" customHeight="1">
      <c r="B155" s="1347" t="s">
        <v>582</v>
      </c>
      <c r="C155" s="1349"/>
      <c r="D155" s="1345"/>
      <c r="E155" s="1346"/>
      <c r="F155" s="839"/>
      <c r="G155" s="853" t="s">
        <v>345</v>
      </c>
      <c r="H155" s="854">
        <f>ROUND(1/(SUM(H158:H168)),2)</f>
        <v>5.88</v>
      </c>
      <c r="J155" s="101"/>
      <c r="K155" s="101"/>
      <c r="L155" s="101"/>
      <c r="Z155" s="86"/>
      <c r="AA155" s="86"/>
      <c r="AB155" s="86"/>
      <c r="AC155" s="86"/>
      <c r="AD155" s="86"/>
      <c r="AE155" s="86"/>
      <c r="AF155" s="86"/>
      <c r="AG155" s="86"/>
      <c r="AH155" s="86"/>
      <c r="AI155" s="86"/>
      <c r="AJ155" s="86"/>
      <c r="AK155" s="86"/>
      <c r="AL155" s="86"/>
      <c r="AM155" s="86"/>
      <c r="AN155" s="86"/>
      <c r="AO155" s="86"/>
      <c r="AP155" s="86"/>
      <c r="AQ155" s="86"/>
      <c r="AR155" s="86"/>
      <c r="AS155" s="86"/>
      <c r="AT155" s="86"/>
      <c r="AU155" s="86"/>
      <c r="AV155" s="86"/>
      <c r="AW155" s="86"/>
      <c r="AX155" s="86"/>
      <c r="AY155" s="86"/>
      <c r="AZ155" s="86"/>
      <c r="BA155" s="86"/>
      <c r="BB155" s="86"/>
      <c r="BC155" s="86"/>
      <c r="BD155" s="86"/>
      <c r="BE155" s="86"/>
      <c r="BF155" s="86"/>
      <c r="BG155" s="86"/>
      <c r="BH155" s="86"/>
      <c r="BI155" s="86"/>
      <c r="BJ155" s="86"/>
      <c r="BK155" s="86"/>
      <c r="BL155" s="86"/>
      <c r="BM155" s="86"/>
      <c r="BN155" s="86"/>
      <c r="BO155" s="86"/>
      <c r="BP155" s="86"/>
      <c r="BQ155" s="86"/>
      <c r="BR155" s="86"/>
      <c r="BS155" s="86"/>
      <c r="BT155" s="86"/>
      <c r="BU155" s="86"/>
      <c r="BV155" s="86"/>
      <c r="BW155" s="86"/>
      <c r="BX155" s="86"/>
      <c r="BY155" s="86"/>
      <c r="BZ155" s="86"/>
      <c r="CA155" s="86"/>
      <c r="CB155" s="86"/>
      <c r="CC155" s="86"/>
      <c r="CD155" s="86"/>
      <c r="CE155" s="86"/>
      <c r="CF155" s="86"/>
      <c r="CG155" s="86"/>
      <c r="CH155" s="86"/>
      <c r="CI155" s="86"/>
      <c r="CJ155" s="86"/>
      <c r="CK155" s="86"/>
      <c r="CL155" s="86"/>
      <c r="CM155" s="86"/>
      <c r="CN155" s="86"/>
      <c r="CO155" s="86"/>
      <c r="CP155" s="86"/>
      <c r="CQ155" s="86"/>
      <c r="CR155" s="86"/>
      <c r="CS155" s="86"/>
      <c r="CT155" s="86"/>
      <c r="CU155" s="86"/>
      <c r="CV155" s="86"/>
      <c r="CW155" s="86"/>
      <c r="CX155" s="86"/>
      <c r="CY155" s="86"/>
      <c r="CZ155" s="86"/>
      <c r="DA155" s="86"/>
      <c r="DB155" s="86"/>
      <c r="DC155" s="86"/>
      <c r="DD155" s="86"/>
      <c r="DE155" s="86"/>
      <c r="DF155" s="86"/>
      <c r="DG155" s="86"/>
      <c r="DH155" s="86"/>
      <c r="DI155" s="86"/>
      <c r="DJ155" s="86"/>
      <c r="DK155" s="86"/>
      <c r="DL155" s="86"/>
      <c r="DM155" s="86"/>
      <c r="DN155" s="86"/>
      <c r="DO155" s="86"/>
      <c r="DP155" s="86"/>
      <c r="DQ155" s="86"/>
      <c r="DR155" s="86"/>
      <c r="DS155" s="86"/>
      <c r="DT155" s="86"/>
      <c r="DU155" s="86"/>
      <c r="DV155" s="86"/>
      <c r="DW155" s="86"/>
      <c r="DX155" s="86"/>
      <c r="DY155" s="86"/>
      <c r="DZ155" s="86"/>
      <c r="EA155" s="86"/>
      <c r="EB155" s="86"/>
      <c r="EC155" s="86"/>
      <c r="ED155" s="86"/>
      <c r="EE155" s="86"/>
      <c r="EF155" s="86"/>
      <c r="EG155" s="86"/>
      <c r="EH155" s="86"/>
      <c r="EI155" s="86"/>
      <c r="EJ155" s="86"/>
      <c r="EK155" s="86"/>
      <c r="EL155" s="86"/>
      <c r="EM155" s="86"/>
      <c r="EN155" s="86"/>
      <c r="EO155" s="86"/>
      <c r="EP155" s="86"/>
      <c r="EQ155" s="86"/>
      <c r="ER155" s="86"/>
      <c r="ES155" s="86"/>
      <c r="ET155" s="86"/>
      <c r="EU155" s="86"/>
      <c r="EV155" s="86"/>
      <c r="EW155" s="86"/>
      <c r="EX155" s="86"/>
      <c r="EY155" s="86"/>
      <c r="EZ155" s="86"/>
      <c r="FA155" s="86"/>
    </row>
    <row r="156" spans="2:157" ht="9.75" customHeight="1">
      <c r="B156" s="839"/>
      <c r="C156" s="839"/>
      <c r="D156" s="844"/>
      <c r="E156" s="839"/>
      <c r="F156" s="839"/>
      <c r="G156" s="852"/>
      <c r="H156" s="850"/>
      <c r="J156" s="101"/>
      <c r="K156" s="101"/>
      <c r="L156" s="101"/>
      <c r="Z156" s="86"/>
      <c r="AA156" s="86"/>
      <c r="AB156" s="86"/>
      <c r="AC156" s="86"/>
      <c r="AD156" s="86"/>
      <c r="AE156" s="86"/>
      <c r="AF156" s="86"/>
      <c r="AG156" s="86"/>
      <c r="AH156" s="86"/>
      <c r="AI156" s="86"/>
      <c r="AJ156" s="86"/>
      <c r="AK156" s="86"/>
      <c r="AL156" s="86"/>
      <c r="AM156" s="86"/>
      <c r="AN156" s="86"/>
      <c r="AO156" s="86"/>
      <c r="AP156" s="86"/>
      <c r="AQ156" s="86"/>
      <c r="AR156" s="86"/>
      <c r="AS156" s="86"/>
      <c r="AT156" s="86"/>
      <c r="AU156" s="86"/>
      <c r="AV156" s="86"/>
      <c r="AW156" s="86"/>
      <c r="AX156" s="86"/>
      <c r="AY156" s="86"/>
      <c r="AZ156" s="86"/>
      <c r="BA156" s="86"/>
      <c r="BB156" s="86"/>
      <c r="BC156" s="86"/>
      <c r="BD156" s="86"/>
      <c r="BE156" s="86"/>
      <c r="BF156" s="86"/>
      <c r="BG156" s="86"/>
      <c r="BH156" s="86"/>
      <c r="BI156" s="86"/>
      <c r="BJ156" s="86"/>
      <c r="BK156" s="86"/>
      <c r="BL156" s="86"/>
      <c r="BM156" s="86"/>
      <c r="BN156" s="86"/>
      <c r="BO156" s="86"/>
      <c r="BP156" s="86"/>
      <c r="BQ156" s="86"/>
      <c r="BR156" s="86"/>
      <c r="BS156" s="86"/>
      <c r="BT156" s="86"/>
      <c r="BU156" s="86"/>
      <c r="BV156" s="86"/>
      <c r="BW156" s="86"/>
      <c r="BX156" s="86"/>
      <c r="BY156" s="86"/>
      <c r="BZ156" s="86"/>
      <c r="CA156" s="86"/>
      <c r="CB156" s="86"/>
      <c r="CC156" s="86"/>
      <c r="CD156" s="86"/>
      <c r="CE156" s="86"/>
      <c r="CF156" s="86"/>
      <c r="CG156" s="86"/>
      <c r="CH156" s="86"/>
      <c r="CI156" s="86"/>
      <c r="CJ156" s="86"/>
      <c r="CK156" s="86"/>
      <c r="CL156" s="86"/>
      <c r="CM156" s="86"/>
      <c r="CN156" s="86"/>
      <c r="CO156" s="86"/>
      <c r="CP156" s="86"/>
      <c r="CQ156" s="86"/>
      <c r="CR156" s="86"/>
      <c r="CS156" s="86"/>
      <c r="CT156" s="86"/>
      <c r="CU156" s="86"/>
      <c r="CV156" s="86"/>
      <c r="CW156" s="86"/>
      <c r="CX156" s="86"/>
      <c r="CY156" s="86"/>
      <c r="CZ156" s="86"/>
      <c r="DA156" s="86"/>
      <c r="DB156" s="86"/>
      <c r="DC156" s="86"/>
      <c r="DD156" s="86"/>
      <c r="DE156" s="86"/>
      <c r="DF156" s="86"/>
      <c r="DG156" s="86"/>
      <c r="DH156" s="86"/>
      <c r="DI156" s="86"/>
      <c r="DJ156" s="86"/>
      <c r="DK156" s="86"/>
      <c r="DL156" s="86"/>
      <c r="DM156" s="86"/>
      <c r="DN156" s="86"/>
      <c r="DO156" s="86"/>
      <c r="DP156" s="86"/>
      <c r="DQ156" s="86"/>
      <c r="DR156" s="86"/>
      <c r="DS156" s="86"/>
      <c r="DT156" s="86"/>
      <c r="DU156" s="86"/>
      <c r="DV156" s="86"/>
      <c r="DW156" s="86"/>
      <c r="DX156" s="86"/>
      <c r="DY156" s="86"/>
      <c r="DZ156" s="86"/>
      <c r="EA156" s="86"/>
      <c r="EB156" s="86"/>
      <c r="EC156" s="86"/>
      <c r="ED156" s="86"/>
      <c r="EE156" s="86"/>
      <c r="EF156" s="86"/>
      <c r="EG156" s="86"/>
      <c r="EH156" s="86"/>
      <c r="EI156" s="86"/>
      <c r="EJ156" s="86"/>
      <c r="EK156" s="86"/>
      <c r="EL156" s="86"/>
      <c r="EM156" s="86"/>
      <c r="EN156" s="86"/>
      <c r="EO156" s="86"/>
      <c r="EP156" s="86"/>
      <c r="EQ156" s="86"/>
      <c r="ER156" s="86"/>
      <c r="ES156" s="86"/>
      <c r="ET156" s="86"/>
      <c r="EU156" s="86"/>
      <c r="EV156" s="86"/>
      <c r="EW156" s="86"/>
      <c r="EX156" s="86"/>
      <c r="EY156" s="86"/>
      <c r="EZ156" s="86"/>
      <c r="FA156" s="86"/>
    </row>
    <row r="157" spans="2:157" ht="9.75" customHeight="1">
      <c r="B157" s="844" t="s">
        <v>349</v>
      </c>
      <c r="C157" s="1352" t="s">
        <v>344</v>
      </c>
      <c r="D157" s="1352"/>
      <c r="E157" s="87"/>
      <c r="F157" s="846" t="s">
        <v>170</v>
      </c>
      <c r="G157" s="847" t="s">
        <v>361</v>
      </c>
      <c r="H157" s="846" t="s">
        <v>281</v>
      </c>
      <c r="J157" s="101"/>
      <c r="K157" s="101"/>
      <c r="L157" s="101"/>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86"/>
      <c r="AX157" s="86"/>
      <c r="AY157" s="86"/>
      <c r="AZ157" s="86"/>
      <c r="BA157" s="86"/>
      <c r="BB157" s="86"/>
      <c r="BC157" s="86"/>
      <c r="BD157" s="86"/>
      <c r="BE157" s="86"/>
      <c r="BF157" s="86"/>
      <c r="BG157" s="86"/>
      <c r="BH157" s="86"/>
      <c r="BI157" s="86"/>
      <c r="BJ157" s="86"/>
      <c r="BK157" s="86"/>
      <c r="BL157" s="86"/>
      <c r="BM157" s="86"/>
      <c r="BN157" s="86"/>
      <c r="BO157" s="86"/>
      <c r="BP157" s="86"/>
      <c r="BQ157" s="86"/>
      <c r="BR157" s="86"/>
      <c r="BS157" s="86"/>
      <c r="BT157" s="86"/>
      <c r="BU157" s="86"/>
      <c r="BV157" s="86"/>
      <c r="BW157" s="86"/>
      <c r="BX157" s="86"/>
      <c r="BY157" s="86"/>
      <c r="BZ157" s="86"/>
      <c r="CA157" s="86"/>
      <c r="CB157" s="86"/>
      <c r="CC157" s="86"/>
      <c r="CD157" s="86"/>
      <c r="CE157" s="86"/>
      <c r="CF157" s="86"/>
      <c r="CG157" s="86"/>
      <c r="CH157" s="86"/>
      <c r="CI157" s="86"/>
      <c r="CJ157" s="86"/>
      <c r="CK157" s="86"/>
      <c r="CL157" s="86"/>
      <c r="CM157" s="86"/>
      <c r="CN157" s="86"/>
      <c r="CO157" s="86"/>
      <c r="CP157" s="86"/>
      <c r="CQ157" s="86"/>
      <c r="CR157" s="86"/>
      <c r="CS157" s="86"/>
      <c r="CT157" s="86"/>
      <c r="CU157" s="86"/>
      <c r="CV157" s="86"/>
      <c r="CW157" s="86"/>
      <c r="CX157" s="86"/>
      <c r="CY157" s="86"/>
      <c r="CZ157" s="86"/>
      <c r="DA157" s="86"/>
      <c r="DB157" s="86"/>
      <c r="DC157" s="86"/>
      <c r="DD157" s="86"/>
      <c r="DE157" s="86"/>
      <c r="DF157" s="86"/>
      <c r="DG157" s="86"/>
      <c r="DH157" s="86"/>
      <c r="DI157" s="86"/>
      <c r="DJ157" s="86"/>
      <c r="DK157" s="86"/>
      <c r="DL157" s="86"/>
      <c r="DM157" s="86"/>
      <c r="DN157" s="86"/>
      <c r="DO157" s="86"/>
      <c r="DP157" s="86"/>
      <c r="DQ157" s="86"/>
      <c r="DR157" s="86"/>
      <c r="DS157" s="86"/>
      <c r="DT157" s="86"/>
      <c r="DU157" s="86"/>
      <c r="DV157" s="86"/>
      <c r="DW157" s="86"/>
      <c r="DX157" s="86"/>
      <c r="DY157" s="86"/>
      <c r="DZ157" s="86"/>
      <c r="EA157" s="86"/>
      <c r="EB157" s="86"/>
      <c r="EC157" s="86"/>
      <c r="ED157" s="86"/>
      <c r="EE157" s="86"/>
      <c r="EF157" s="86"/>
      <c r="EG157" s="86"/>
      <c r="EH157" s="86"/>
      <c r="EI157" s="86"/>
      <c r="EJ157" s="86"/>
      <c r="EK157" s="86"/>
      <c r="EL157" s="86"/>
      <c r="EM157" s="86"/>
      <c r="EN157" s="86"/>
      <c r="EO157" s="86"/>
      <c r="EP157" s="86"/>
      <c r="EQ157" s="86"/>
      <c r="ER157" s="86"/>
      <c r="ES157" s="86"/>
      <c r="ET157" s="86"/>
      <c r="EU157" s="86"/>
      <c r="EV157" s="86"/>
      <c r="EW157" s="86"/>
      <c r="EX157" s="86"/>
      <c r="EY157" s="86"/>
      <c r="EZ157" s="86"/>
      <c r="FA157" s="86"/>
    </row>
    <row r="158" spans="2:157" ht="10.050000000000001" customHeight="1">
      <c r="B158" s="845" t="s">
        <v>546</v>
      </c>
      <c r="C158" s="1350" t="s">
        <v>106</v>
      </c>
      <c r="D158" s="1350"/>
      <c r="E158" s="87"/>
      <c r="F158" s="848" t="s">
        <v>546</v>
      </c>
      <c r="G158" s="848" t="s">
        <v>546</v>
      </c>
      <c r="H158" s="1016">
        <v>0.13</v>
      </c>
      <c r="J158" s="101"/>
      <c r="K158" s="101"/>
      <c r="L158" s="101"/>
      <c r="Z158" s="86"/>
      <c r="AA158" s="86"/>
      <c r="AB158" s="86"/>
      <c r="AC158" s="86"/>
      <c r="AD158" s="86"/>
      <c r="AE158" s="86"/>
      <c r="AF158" s="86"/>
      <c r="AG158" s="86"/>
      <c r="AH158" s="86"/>
      <c r="AI158" s="86"/>
      <c r="AJ158" s="86"/>
      <c r="AK158" s="86"/>
      <c r="AL158" s="86"/>
      <c r="AM158" s="86"/>
      <c r="AN158" s="86"/>
      <c r="AO158" s="86"/>
      <c r="AP158" s="86"/>
      <c r="AQ158" s="86"/>
      <c r="AR158" s="86"/>
      <c r="AS158" s="86"/>
      <c r="AT158" s="86"/>
      <c r="AU158" s="86"/>
      <c r="AV158" s="86"/>
      <c r="AW158" s="86"/>
      <c r="AX158" s="86"/>
      <c r="AY158" s="86"/>
      <c r="AZ158" s="86"/>
      <c r="BA158" s="86"/>
      <c r="BB158" s="86"/>
      <c r="BC158" s="86"/>
      <c r="BD158" s="86"/>
      <c r="BE158" s="86"/>
      <c r="BF158" s="86"/>
      <c r="BG158" s="86"/>
      <c r="BH158" s="86"/>
      <c r="BI158" s="86"/>
      <c r="BJ158" s="86"/>
      <c r="BK158" s="86"/>
      <c r="BL158" s="86"/>
      <c r="BM158" s="86"/>
      <c r="BN158" s="86"/>
      <c r="BO158" s="86"/>
      <c r="BP158" s="86"/>
      <c r="BQ158" s="86"/>
      <c r="BR158" s="86"/>
      <c r="BS158" s="86"/>
      <c r="BT158" s="86"/>
      <c r="BU158" s="86"/>
      <c r="BV158" s="86"/>
      <c r="BW158" s="86"/>
      <c r="BX158" s="86"/>
      <c r="BY158" s="86"/>
      <c r="BZ158" s="86"/>
      <c r="CA158" s="86"/>
      <c r="CB158" s="86"/>
      <c r="CC158" s="86"/>
      <c r="CD158" s="86"/>
      <c r="CE158" s="86"/>
      <c r="CF158" s="86"/>
      <c r="CG158" s="86"/>
      <c r="CH158" s="86"/>
      <c r="CI158" s="86"/>
      <c r="CJ158" s="86"/>
      <c r="CK158" s="86"/>
      <c r="CL158" s="86"/>
      <c r="CM158" s="86"/>
      <c r="CN158" s="86"/>
      <c r="CO158" s="86"/>
      <c r="CP158" s="86"/>
      <c r="CQ158" s="86"/>
      <c r="CR158" s="86"/>
      <c r="CS158" s="86"/>
      <c r="CT158" s="86"/>
      <c r="CU158" s="86"/>
      <c r="CV158" s="86"/>
      <c r="CW158" s="86"/>
      <c r="CX158" s="86"/>
      <c r="CY158" s="86"/>
      <c r="CZ158" s="86"/>
      <c r="DA158" s="86"/>
      <c r="DB158" s="86"/>
      <c r="DC158" s="86"/>
      <c r="DD158" s="86"/>
      <c r="DE158" s="86"/>
      <c r="DF158" s="86"/>
      <c r="DG158" s="86"/>
      <c r="DH158" s="86"/>
      <c r="DI158" s="86"/>
      <c r="DJ158" s="86"/>
      <c r="DK158" s="86"/>
      <c r="DL158" s="86"/>
      <c r="DM158" s="86"/>
      <c r="DN158" s="86"/>
      <c r="DO158" s="86"/>
      <c r="DP158" s="86"/>
      <c r="DQ158" s="86"/>
      <c r="DR158" s="86"/>
      <c r="DS158" s="86"/>
      <c r="DT158" s="86"/>
      <c r="DU158" s="86"/>
      <c r="DV158" s="86"/>
      <c r="DW158" s="86"/>
      <c r="DX158" s="86"/>
      <c r="DY158" s="86"/>
      <c r="DZ158" s="86"/>
      <c r="EA158" s="86"/>
      <c r="EB158" s="86"/>
      <c r="EC158" s="86"/>
      <c r="ED158" s="86"/>
      <c r="EE158" s="86"/>
      <c r="EF158" s="86"/>
      <c r="EG158" s="86"/>
      <c r="EH158" s="86"/>
      <c r="EI158" s="86"/>
      <c r="EJ158" s="86"/>
      <c r="EK158" s="86"/>
      <c r="EL158" s="86"/>
      <c r="EM158" s="86"/>
      <c r="EN158" s="86"/>
      <c r="EO158" s="86"/>
      <c r="EP158" s="86"/>
      <c r="EQ158" s="86"/>
      <c r="ER158" s="86"/>
      <c r="ES158" s="86"/>
      <c r="ET158" s="86"/>
      <c r="EU158" s="86"/>
      <c r="EV158" s="86"/>
      <c r="EW158" s="86"/>
      <c r="EX158" s="86"/>
      <c r="EY158" s="86"/>
      <c r="EZ158" s="86"/>
      <c r="FA158" s="86"/>
    </row>
    <row r="159" spans="2:157" ht="9.75" customHeight="1">
      <c r="B159" s="845">
        <v>1</v>
      </c>
      <c r="C159" s="1344"/>
      <c r="D159" s="1344"/>
      <c r="E159" s="1344"/>
      <c r="F159" s="857"/>
      <c r="G159" s="857"/>
      <c r="H159" s="875" t="str">
        <f t="shared" ref="H159:H167" si="7">IF(G159=0,"",(F159/(G159+0.00000000001)))</f>
        <v/>
      </c>
      <c r="J159" s="101"/>
      <c r="K159" s="101"/>
      <c r="L159" s="101"/>
      <c r="Z159" s="86"/>
      <c r="AA159" s="86"/>
      <c r="AB159" s="86"/>
      <c r="AC159" s="86"/>
      <c r="AD159" s="86"/>
      <c r="AE159" s="86"/>
      <c r="AF159" s="86"/>
      <c r="AG159" s="86"/>
      <c r="AH159" s="86"/>
      <c r="AI159" s="86"/>
      <c r="AJ159" s="86"/>
      <c r="AK159" s="86"/>
      <c r="AL159" s="86"/>
      <c r="AM159" s="86"/>
      <c r="AN159" s="86"/>
      <c r="AO159" s="86"/>
      <c r="AP159" s="86"/>
      <c r="AQ159" s="86"/>
      <c r="AR159" s="86"/>
      <c r="AS159" s="86"/>
      <c r="AT159" s="86"/>
      <c r="AU159" s="86"/>
      <c r="AV159" s="86"/>
      <c r="AW159" s="86"/>
      <c r="AX159" s="86"/>
      <c r="AY159" s="86"/>
      <c r="AZ159" s="86"/>
      <c r="BA159" s="86"/>
      <c r="BB159" s="86"/>
      <c r="BC159" s="86"/>
      <c r="BD159" s="86"/>
      <c r="BE159" s="86"/>
      <c r="BF159" s="86"/>
      <c r="BG159" s="86"/>
      <c r="BH159" s="86"/>
      <c r="BI159" s="86"/>
      <c r="BJ159" s="86"/>
      <c r="BK159" s="86"/>
      <c r="BL159" s="86"/>
      <c r="BM159" s="86"/>
      <c r="BN159" s="86"/>
      <c r="BO159" s="86"/>
      <c r="BP159" s="86"/>
      <c r="BQ159" s="86"/>
      <c r="BR159" s="86"/>
      <c r="BS159" s="86"/>
      <c r="BT159" s="86"/>
      <c r="BU159" s="86"/>
      <c r="BV159" s="86"/>
      <c r="BW159" s="86"/>
      <c r="BX159" s="86"/>
      <c r="BY159" s="86"/>
      <c r="BZ159" s="86"/>
      <c r="CA159" s="86"/>
      <c r="CB159" s="86"/>
      <c r="CC159" s="86"/>
      <c r="CD159" s="86"/>
      <c r="CE159" s="86"/>
      <c r="CF159" s="86"/>
      <c r="CG159" s="86"/>
      <c r="CH159" s="86"/>
      <c r="CI159" s="86"/>
      <c r="CJ159" s="86"/>
      <c r="CK159" s="86"/>
      <c r="CL159" s="86"/>
      <c r="CM159" s="86"/>
      <c r="CN159" s="86"/>
      <c r="CO159" s="86"/>
      <c r="CP159" s="86"/>
      <c r="CQ159" s="86"/>
      <c r="CR159" s="86"/>
      <c r="CS159" s="86"/>
      <c r="CT159" s="86"/>
      <c r="CU159" s="86"/>
      <c r="CV159" s="86"/>
      <c r="CW159" s="86"/>
      <c r="CX159" s="86"/>
      <c r="CY159" s="86"/>
      <c r="CZ159" s="86"/>
      <c r="DA159" s="86"/>
      <c r="DB159" s="86"/>
      <c r="DC159" s="86"/>
      <c r="DD159" s="86"/>
      <c r="DE159" s="86"/>
      <c r="DF159" s="86"/>
      <c r="DG159" s="86"/>
      <c r="DH159" s="86"/>
      <c r="DI159" s="86"/>
      <c r="DJ159" s="86"/>
      <c r="DK159" s="86"/>
      <c r="DL159" s="86"/>
      <c r="DM159" s="86"/>
      <c r="DN159" s="86"/>
      <c r="DO159" s="86"/>
      <c r="DP159" s="86"/>
      <c r="DQ159" s="86"/>
      <c r="DR159" s="86"/>
      <c r="DS159" s="86"/>
      <c r="DT159" s="86"/>
      <c r="DU159" s="86"/>
      <c r="DV159" s="86"/>
      <c r="DW159" s="86"/>
      <c r="DX159" s="86"/>
      <c r="DY159" s="86"/>
      <c r="DZ159" s="86"/>
      <c r="EA159" s="86"/>
      <c r="EB159" s="86"/>
      <c r="EC159" s="86"/>
      <c r="ED159" s="86"/>
      <c r="EE159" s="86"/>
      <c r="EF159" s="86"/>
      <c r="EG159" s="86"/>
      <c r="EH159" s="86"/>
      <c r="EI159" s="86"/>
      <c r="EJ159" s="86"/>
      <c r="EK159" s="86"/>
      <c r="EL159" s="86"/>
      <c r="EM159" s="86"/>
      <c r="EN159" s="86"/>
      <c r="EO159" s="86"/>
      <c r="EP159" s="86"/>
      <c r="EQ159" s="86"/>
      <c r="ER159" s="86"/>
      <c r="ES159" s="86"/>
      <c r="ET159" s="86"/>
      <c r="EU159" s="86"/>
      <c r="EV159" s="86"/>
      <c r="EW159" s="86"/>
      <c r="EX159" s="86"/>
      <c r="EY159" s="86"/>
      <c r="EZ159" s="86"/>
      <c r="FA159" s="86"/>
    </row>
    <row r="160" spans="2:157" ht="9.75" customHeight="1">
      <c r="B160" s="845">
        <v>2</v>
      </c>
      <c r="C160" s="1344"/>
      <c r="D160" s="1344"/>
      <c r="E160" s="1344"/>
      <c r="F160" s="857"/>
      <c r="G160" s="857"/>
      <c r="H160" s="875" t="str">
        <f t="shared" si="7"/>
        <v/>
      </c>
      <c r="J160" s="101"/>
      <c r="K160" s="101"/>
      <c r="L160" s="101"/>
      <c r="Z160" s="86"/>
      <c r="AA160" s="86"/>
      <c r="AB160" s="86"/>
      <c r="AC160" s="86"/>
      <c r="AD160" s="86"/>
      <c r="AE160" s="86"/>
      <c r="AF160" s="86"/>
      <c r="AG160" s="86"/>
      <c r="AH160" s="86"/>
      <c r="AI160" s="86"/>
      <c r="AJ160" s="86"/>
      <c r="AK160" s="86"/>
      <c r="AL160" s="86"/>
      <c r="AM160" s="86"/>
      <c r="AN160" s="86"/>
      <c r="AO160" s="86"/>
      <c r="AP160" s="86"/>
      <c r="AQ160" s="86"/>
      <c r="AR160" s="86"/>
      <c r="AS160" s="86"/>
      <c r="AT160" s="86"/>
      <c r="AU160" s="86"/>
      <c r="AV160" s="86"/>
      <c r="AW160" s="86"/>
      <c r="AX160" s="86"/>
      <c r="AY160" s="86"/>
      <c r="AZ160" s="86"/>
      <c r="BA160" s="86"/>
      <c r="BB160" s="86"/>
      <c r="BC160" s="86"/>
      <c r="BD160" s="86"/>
      <c r="BE160" s="86"/>
      <c r="BF160" s="86"/>
      <c r="BG160" s="86"/>
      <c r="BH160" s="86"/>
      <c r="BI160" s="86"/>
      <c r="BJ160" s="86"/>
      <c r="BK160" s="86"/>
      <c r="BL160" s="86"/>
      <c r="BM160" s="86"/>
      <c r="BN160" s="86"/>
      <c r="BO160" s="86"/>
      <c r="BP160" s="86"/>
      <c r="BQ160" s="86"/>
      <c r="BR160" s="86"/>
      <c r="BS160" s="86"/>
      <c r="BT160" s="86"/>
      <c r="BU160" s="86"/>
      <c r="BV160" s="86"/>
      <c r="BW160" s="86"/>
      <c r="BX160" s="86"/>
      <c r="BY160" s="86"/>
      <c r="BZ160" s="86"/>
      <c r="CA160" s="86"/>
      <c r="CB160" s="86"/>
      <c r="CC160" s="86"/>
      <c r="CD160" s="86"/>
      <c r="CE160" s="86"/>
      <c r="CF160" s="86"/>
      <c r="CG160" s="86"/>
      <c r="CH160" s="86"/>
      <c r="CI160" s="86"/>
      <c r="CJ160" s="86"/>
      <c r="CK160" s="86"/>
      <c r="CL160" s="86"/>
      <c r="CM160" s="86"/>
      <c r="CN160" s="86"/>
      <c r="CO160" s="86"/>
      <c r="CP160" s="86"/>
      <c r="CQ160" s="86"/>
      <c r="CR160" s="86"/>
      <c r="CS160" s="86"/>
      <c r="CT160" s="86"/>
      <c r="CU160" s="86"/>
      <c r="CV160" s="86"/>
      <c r="CW160" s="86"/>
      <c r="CX160" s="86"/>
      <c r="CY160" s="86"/>
      <c r="CZ160" s="86"/>
      <c r="DA160" s="86"/>
      <c r="DB160" s="86"/>
      <c r="DC160" s="86"/>
      <c r="DD160" s="86"/>
      <c r="DE160" s="86"/>
      <c r="DF160" s="86"/>
      <c r="DG160" s="86"/>
      <c r="DH160" s="86"/>
      <c r="DI160" s="86"/>
      <c r="DJ160" s="86"/>
      <c r="DK160" s="86"/>
      <c r="DL160" s="86"/>
      <c r="DM160" s="86"/>
      <c r="DN160" s="86"/>
      <c r="DO160" s="86"/>
      <c r="DP160" s="86"/>
      <c r="DQ160" s="86"/>
      <c r="DR160" s="86"/>
      <c r="DS160" s="86"/>
      <c r="DT160" s="86"/>
      <c r="DU160" s="86"/>
      <c r="DV160" s="86"/>
      <c r="DW160" s="86"/>
      <c r="DX160" s="86"/>
      <c r="DY160" s="86"/>
      <c r="DZ160" s="86"/>
      <c r="EA160" s="86"/>
      <c r="EB160" s="86"/>
      <c r="EC160" s="86"/>
      <c r="ED160" s="86"/>
      <c r="EE160" s="86"/>
      <c r="EF160" s="86"/>
      <c r="EG160" s="86"/>
      <c r="EH160" s="86"/>
      <c r="EI160" s="86"/>
      <c r="EJ160" s="86"/>
      <c r="EK160" s="86"/>
      <c r="EL160" s="86"/>
      <c r="EM160" s="86"/>
      <c r="EN160" s="86"/>
      <c r="EO160" s="86"/>
      <c r="EP160" s="86"/>
      <c r="EQ160" s="86"/>
      <c r="ER160" s="86"/>
      <c r="ES160" s="86"/>
      <c r="ET160" s="86"/>
      <c r="EU160" s="86"/>
      <c r="EV160" s="86"/>
      <c r="EW160" s="86"/>
      <c r="EX160" s="86"/>
      <c r="EY160" s="86"/>
      <c r="EZ160" s="86"/>
      <c r="FA160" s="86"/>
    </row>
    <row r="161" spans="2:157" ht="9.75" customHeight="1">
      <c r="B161" s="845">
        <v>3</v>
      </c>
      <c r="C161" s="1344"/>
      <c r="D161" s="1344"/>
      <c r="E161" s="1344"/>
      <c r="F161" s="857"/>
      <c r="G161" s="857"/>
      <c r="H161" s="875" t="str">
        <f t="shared" si="7"/>
        <v/>
      </c>
      <c r="J161" s="101"/>
      <c r="K161" s="101"/>
      <c r="L161" s="101"/>
      <c r="Z161" s="86"/>
      <c r="AA161" s="86"/>
      <c r="AB161" s="86"/>
      <c r="AC161" s="86"/>
      <c r="AD161" s="86"/>
      <c r="AE161" s="86"/>
      <c r="AF161" s="86"/>
      <c r="AG161" s="86"/>
      <c r="AH161" s="86"/>
      <c r="AI161" s="86"/>
      <c r="AJ161" s="86"/>
      <c r="AK161" s="86"/>
      <c r="AL161" s="86"/>
      <c r="AM161" s="86"/>
      <c r="AN161" s="86"/>
      <c r="AO161" s="86"/>
      <c r="AP161" s="86"/>
      <c r="AQ161" s="86"/>
      <c r="AR161" s="86"/>
      <c r="AS161" s="86"/>
      <c r="AT161" s="86"/>
      <c r="AU161" s="86"/>
      <c r="AV161" s="86"/>
      <c r="AW161" s="86"/>
      <c r="AX161" s="86"/>
      <c r="AY161" s="86"/>
      <c r="AZ161" s="86"/>
      <c r="BA161" s="86"/>
      <c r="BB161" s="86"/>
      <c r="BC161" s="86"/>
      <c r="BD161" s="86"/>
      <c r="BE161" s="86"/>
      <c r="BF161" s="86"/>
      <c r="BG161" s="86"/>
      <c r="BH161" s="86"/>
      <c r="BI161" s="86"/>
      <c r="BJ161" s="86"/>
      <c r="BK161" s="86"/>
      <c r="BL161" s="86"/>
      <c r="BM161" s="86"/>
      <c r="BN161" s="86"/>
      <c r="BO161" s="86"/>
      <c r="BP161" s="86"/>
      <c r="BQ161" s="86"/>
      <c r="BR161" s="86"/>
      <c r="BS161" s="86"/>
      <c r="BT161" s="86"/>
      <c r="BU161" s="86"/>
      <c r="BV161" s="86"/>
      <c r="BW161" s="86"/>
      <c r="BX161" s="86"/>
      <c r="BY161" s="86"/>
      <c r="BZ161" s="86"/>
      <c r="CA161" s="86"/>
      <c r="CB161" s="86"/>
      <c r="CC161" s="86"/>
      <c r="CD161" s="86"/>
      <c r="CE161" s="86"/>
      <c r="CF161" s="86"/>
      <c r="CG161" s="86"/>
      <c r="CH161" s="86"/>
      <c r="CI161" s="86"/>
      <c r="CJ161" s="86"/>
      <c r="CK161" s="86"/>
      <c r="CL161" s="86"/>
      <c r="CM161" s="86"/>
      <c r="CN161" s="86"/>
      <c r="CO161" s="86"/>
      <c r="CP161" s="86"/>
      <c r="CQ161" s="86"/>
      <c r="CR161" s="86"/>
      <c r="CS161" s="86"/>
      <c r="CT161" s="86"/>
      <c r="CU161" s="86"/>
      <c r="CV161" s="86"/>
      <c r="CW161" s="86"/>
      <c r="CX161" s="86"/>
      <c r="CY161" s="86"/>
      <c r="CZ161" s="86"/>
      <c r="DA161" s="86"/>
      <c r="DB161" s="86"/>
      <c r="DC161" s="86"/>
      <c r="DD161" s="86"/>
      <c r="DE161" s="86"/>
      <c r="DF161" s="86"/>
      <c r="DG161" s="86"/>
      <c r="DH161" s="86"/>
      <c r="DI161" s="86"/>
      <c r="DJ161" s="86"/>
      <c r="DK161" s="86"/>
      <c r="DL161" s="86"/>
      <c r="DM161" s="86"/>
      <c r="DN161" s="86"/>
      <c r="DO161" s="86"/>
      <c r="DP161" s="86"/>
      <c r="DQ161" s="86"/>
      <c r="DR161" s="86"/>
      <c r="DS161" s="86"/>
      <c r="DT161" s="86"/>
      <c r="DU161" s="86"/>
      <c r="DV161" s="86"/>
      <c r="DW161" s="86"/>
      <c r="DX161" s="86"/>
      <c r="DY161" s="86"/>
      <c r="DZ161" s="86"/>
      <c r="EA161" s="86"/>
      <c r="EB161" s="86"/>
      <c r="EC161" s="86"/>
      <c r="ED161" s="86"/>
      <c r="EE161" s="86"/>
      <c r="EF161" s="86"/>
      <c r="EG161" s="86"/>
      <c r="EH161" s="86"/>
      <c r="EI161" s="86"/>
      <c r="EJ161" s="86"/>
      <c r="EK161" s="86"/>
      <c r="EL161" s="86"/>
      <c r="EM161" s="86"/>
      <c r="EN161" s="86"/>
      <c r="EO161" s="86"/>
      <c r="EP161" s="86"/>
      <c r="EQ161" s="86"/>
      <c r="ER161" s="86"/>
      <c r="ES161" s="86"/>
      <c r="ET161" s="86"/>
      <c r="EU161" s="86"/>
      <c r="EV161" s="86"/>
      <c r="EW161" s="86"/>
      <c r="EX161" s="86"/>
      <c r="EY161" s="86"/>
      <c r="EZ161" s="86"/>
      <c r="FA161" s="86"/>
    </row>
    <row r="162" spans="2:157" ht="9.75" customHeight="1">
      <c r="B162" s="845">
        <v>4</v>
      </c>
      <c r="C162" s="1344"/>
      <c r="D162" s="1344"/>
      <c r="E162" s="1344"/>
      <c r="F162" s="857"/>
      <c r="G162" s="857"/>
      <c r="H162" s="875" t="str">
        <f t="shared" si="7"/>
        <v/>
      </c>
      <c r="J162" s="101"/>
      <c r="K162" s="101"/>
      <c r="L162" s="101"/>
      <c r="Z162" s="86"/>
      <c r="AA162" s="86"/>
      <c r="AB162" s="86"/>
      <c r="AC162" s="86"/>
      <c r="AD162" s="86"/>
      <c r="AE162" s="86"/>
      <c r="AF162" s="86"/>
      <c r="AG162" s="86"/>
      <c r="AH162" s="86"/>
      <c r="AI162" s="86"/>
      <c r="AJ162" s="86"/>
      <c r="AK162" s="86"/>
      <c r="AL162" s="86"/>
      <c r="AM162" s="86"/>
      <c r="AN162" s="86"/>
      <c r="AO162" s="86"/>
      <c r="AP162" s="86"/>
      <c r="AQ162" s="86"/>
      <c r="AR162" s="86"/>
      <c r="AS162" s="86"/>
      <c r="AT162" s="86"/>
      <c r="AU162" s="86"/>
      <c r="AV162" s="86"/>
      <c r="AW162" s="86"/>
      <c r="AX162" s="86"/>
      <c r="AY162" s="86"/>
      <c r="AZ162" s="86"/>
      <c r="BA162" s="86"/>
      <c r="BB162" s="86"/>
      <c r="BC162" s="86"/>
      <c r="BD162" s="86"/>
      <c r="BE162" s="86"/>
      <c r="BF162" s="86"/>
      <c r="BG162" s="86"/>
      <c r="BH162" s="86"/>
      <c r="BI162" s="86"/>
      <c r="BJ162" s="86"/>
      <c r="BK162" s="86"/>
      <c r="BL162" s="86"/>
      <c r="BM162" s="86"/>
      <c r="BN162" s="86"/>
      <c r="BO162" s="86"/>
      <c r="BP162" s="86"/>
      <c r="BQ162" s="86"/>
      <c r="BR162" s="86"/>
      <c r="BS162" s="86"/>
      <c r="BT162" s="86"/>
      <c r="BU162" s="86"/>
      <c r="BV162" s="86"/>
      <c r="BW162" s="86"/>
      <c r="BX162" s="86"/>
      <c r="BY162" s="86"/>
      <c r="BZ162" s="86"/>
      <c r="CA162" s="86"/>
      <c r="CB162" s="86"/>
      <c r="CC162" s="86"/>
      <c r="CD162" s="86"/>
      <c r="CE162" s="86"/>
      <c r="CF162" s="86"/>
      <c r="CG162" s="86"/>
      <c r="CH162" s="86"/>
      <c r="CI162" s="86"/>
      <c r="CJ162" s="86"/>
      <c r="CK162" s="86"/>
      <c r="CL162" s="86"/>
      <c r="CM162" s="86"/>
      <c r="CN162" s="86"/>
      <c r="CO162" s="86"/>
      <c r="CP162" s="86"/>
      <c r="CQ162" s="86"/>
      <c r="CR162" s="86"/>
      <c r="CS162" s="86"/>
      <c r="CT162" s="86"/>
      <c r="CU162" s="86"/>
      <c r="CV162" s="86"/>
      <c r="CW162" s="86"/>
      <c r="CX162" s="86"/>
      <c r="CY162" s="86"/>
      <c r="CZ162" s="86"/>
      <c r="DA162" s="86"/>
      <c r="DB162" s="86"/>
      <c r="DC162" s="86"/>
      <c r="DD162" s="86"/>
      <c r="DE162" s="86"/>
      <c r="DF162" s="86"/>
      <c r="DG162" s="86"/>
      <c r="DH162" s="86"/>
      <c r="DI162" s="86"/>
      <c r="DJ162" s="86"/>
      <c r="DK162" s="86"/>
      <c r="DL162" s="86"/>
      <c r="DM162" s="86"/>
      <c r="DN162" s="86"/>
      <c r="DO162" s="86"/>
      <c r="DP162" s="86"/>
      <c r="DQ162" s="86"/>
      <c r="DR162" s="86"/>
      <c r="DS162" s="86"/>
      <c r="DT162" s="86"/>
      <c r="DU162" s="86"/>
      <c r="DV162" s="86"/>
      <c r="DW162" s="86"/>
      <c r="DX162" s="86"/>
      <c r="DY162" s="86"/>
      <c r="DZ162" s="86"/>
      <c r="EA162" s="86"/>
      <c r="EB162" s="86"/>
      <c r="EC162" s="86"/>
      <c r="ED162" s="86"/>
      <c r="EE162" s="86"/>
      <c r="EF162" s="86"/>
      <c r="EG162" s="86"/>
      <c r="EH162" s="86"/>
      <c r="EI162" s="86"/>
      <c r="EJ162" s="86"/>
      <c r="EK162" s="86"/>
      <c r="EL162" s="86"/>
      <c r="EM162" s="86"/>
      <c r="EN162" s="86"/>
      <c r="EO162" s="86"/>
      <c r="EP162" s="86"/>
      <c r="EQ162" s="86"/>
      <c r="ER162" s="86"/>
      <c r="ES162" s="86"/>
      <c r="ET162" s="86"/>
      <c r="EU162" s="86"/>
      <c r="EV162" s="86"/>
      <c r="EW162" s="86"/>
      <c r="EX162" s="86"/>
      <c r="EY162" s="86"/>
      <c r="EZ162" s="86"/>
      <c r="FA162" s="86"/>
    </row>
    <row r="163" spans="2:157" ht="9.75" customHeight="1">
      <c r="B163" s="845">
        <v>5</v>
      </c>
      <c r="C163" s="1344"/>
      <c r="D163" s="1344"/>
      <c r="E163" s="1344"/>
      <c r="F163" s="857"/>
      <c r="G163" s="857"/>
      <c r="H163" s="875" t="str">
        <f t="shared" si="7"/>
        <v/>
      </c>
      <c r="J163" s="101"/>
      <c r="K163" s="101"/>
      <c r="L163" s="101"/>
      <c r="Z163" s="86"/>
      <c r="AA163" s="86"/>
      <c r="AB163" s="86"/>
      <c r="AC163" s="86"/>
      <c r="AD163" s="86"/>
      <c r="AE163" s="86"/>
      <c r="AF163" s="86"/>
      <c r="AG163" s="86"/>
      <c r="AH163" s="86"/>
      <c r="AI163" s="86"/>
      <c r="AJ163" s="86"/>
      <c r="AK163" s="86"/>
      <c r="AL163" s="86"/>
      <c r="AM163" s="86"/>
      <c r="AN163" s="86"/>
      <c r="AO163" s="86"/>
      <c r="AP163" s="86"/>
      <c r="AQ163" s="86"/>
      <c r="AR163" s="86"/>
      <c r="AS163" s="86"/>
      <c r="AT163" s="86"/>
      <c r="AU163" s="86"/>
      <c r="AV163" s="86"/>
      <c r="AW163" s="86"/>
      <c r="AX163" s="86"/>
      <c r="AY163" s="86"/>
      <c r="AZ163" s="86"/>
      <c r="BA163" s="86"/>
      <c r="BB163" s="86"/>
      <c r="BC163" s="86"/>
      <c r="BD163" s="86"/>
      <c r="BE163" s="86"/>
      <c r="BF163" s="86"/>
      <c r="BG163" s="86"/>
      <c r="BH163" s="86"/>
      <c r="BI163" s="86"/>
      <c r="BJ163" s="86"/>
      <c r="BK163" s="86"/>
      <c r="BL163" s="86"/>
      <c r="BM163" s="86"/>
      <c r="BN163" s="86"/>
      <c r="BO163" s="86"/>
      <c r="BP163" s="86"/>
      <c r="BQ163" s="86"/>
      <c r="BR163" s="86"/>
      <c r="BS163" s="86"/>
      <c r="BT163" s="86"/>
      <c r="BU163" s="86"/>
      <c r="BV163" s="86"/>
      <c r="BW163" s="86"/>
      <c r="BX163" s="86"/>
      <c r="BY163" s="86"/>
      <c r="BZ163" s="86"/>
      <c r="CA163" s="86"/>
      <c r="CB163" s="86"/>
      <c r="CC163" s="86"/>
      <c r="CD163" s="86"/>
      <c r="CE163" s="86"/>
      <c r="CF163" s="86"/>
      <c r="CG163" s="86"/>
      <c r="CH163" s="86"/>
      <c r="CI163" s="86"/>
      <c r="CJ163" s="86"/>
      <c r="CK163" s="86"/>
      <c r="CL163" s="86"/>
      <c r="CM163" s="86"/>
      <c r="CN163" s="86"/>
      <c r="CO163" s="86"/>
      <c r="CP163" s="86"/>
      <c r="CQ163" s="86"/>
      <c r="CR163" s="86"/>
      <c r="CS163" s="86"/>
      <c r="CT163" s="86"/>
      <c r="CU163" s="86"/>
      <c r="CV163" s="86"/>
      <c r="CW163" s="86"/>
      <c r="CX163" s="86"/>
      <c r="CY163" s="86"/>
      <c r="CZ163" s="86"/>
      <c r="DA163" s="86"/>
      <c r="DB163" s="86"/>
      <c r="DC163" s="86"/>
      <c r="DD163" s="86"/>
      <c r="DE163" s="86"/>
      <c r="DF163" s="86"/>
      <c r="DG163" s="86"/>
      <c r="DH163" s="86"/>
      <c r="DI163" s="86"/>
      <c r="DJ163" s="86"/>
      <c r="DK163" s="86"/>
      <c r="DL163" s="86"/>
      <c r="DM163" s="86"/>
      <c r="DN163" s="86"/>
      <c r="DO163" s="86"/>
      <c r="DP163" s="86"/>
      <c r="DQ163" s="86"/>
      <c r="DR163" s="86"/>
      <c r="DS163" s="86"/>
      <c r="DT163" s="86"/>
      <c r="DU163" s="86"/>
      <c r="DV163" s="86"/>
      <c r="DW163" s="86"/>
      <c r="DX163" s="86"/>
      <c r="DY163" s="86"/>
      <c r="DZ163" s="86"/>
      <c r="EA163" s="86"/>
      <c r="EB163" s="86"/>
      <c r="EC163" s="86"/>
      <c r="ED163" s="86"/>
      <c r="EE163" s="86"/>
      <c r="EF163" s="86"/>
      <c r="EG163" s="86"/>
      <c r="EH163" s="86"/>
      <c r="EI163" s="86"/>
      <c r="EJ163" s="86"/>
      <c r="EK163" s="86"/>
      <c r="EL163" s="86"/>
      <c r="EM163" s="86"/>
      <c r="EN163" s="86"/>
      <c r="EO163" s="86"/>
      <c r="EP163" s="86"/>
      <c r="EQ163" s="86"/>
      <c r="ER163" s="86"/>
      <c r="ES163" s="86"/>
      <c r="ET163" s="86"/>
      <c r="EU163" s="86"/>
      <c r="EV163" s="86"/>
      <c r="EW163" s="86"/>
      <c r="EX163" s="86"/>
      <c r="EY163" s="86"/>
      <c r="EZ163" s="86"/>
      <c r="FA163" s="86"/>
    </row>
    <row r="164" spans="2:157" ht="9.75" customHeight="1">
      <c r="B164" s="845">
        <v>6</v>
      </c>
      <c r="C164" s="1344"/>
      <c r="D164" s="1344"/>
      <c r="E164" s="1344"/>
      <c r="F164" s="857"/>
      <c r="G164" s="857"/>
      <c r="H164" s="875" t="str">
        <f t="shared" si="7"/>
        <v/>
      </c>
      <c r="J164" s="101"/>
      <c r="K164" s="101"/>
      <c r="L164" s="101"/>
      <c r="Z164" s="86"/>
      <c r="AA164" s="86"/>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6"/>
      <c r="BD164" s="86"/>
      <c r="BE164" s="86"/>
      <c r="BF164" s="86"/>
      <c r="BG164" s="86"/>
      <c r="BH164" s="86"/>
      <c r="BI164" s="86"/>
      <c r="BJ164" s="86"/>
      <c r="BK164" s="86"/>
      <c r="BL164" s="86"/>
      <c r="BM164" s="86"/>
      <c r="BN164" s="86"/>
      <c r="BO164" s="86"/>
      <c r="BP164" s="86"/>
      <c r="BQ164" s="86"/>
      <c r="BR164" s="86"/>
      <c r="BS164" s="86"/>
      <c r="BT164" s="86"/>
      <c r="BU164" s="86"/>
      <c r="BV164" s="86"/>
      <c r="BW164" s="86"/>
      <c r="BX164" s="86"/>
      <c r="BY164" s="86"/>
      <c r="BZ164" s="86"/>
      <c r="CA164" s="86"/>
      <c r="CB164" s="86"/>
      <c r="CC164" s="86"/>
      <c r="CD164" s="86"/>
      <c r="CE164" s="86"/>
      <c r="CF164" s="86"/>
      <c r="CG164" s="86"/>
      <c r="CH164" s="86"/>
      <c r="CI164" s="86"/>
      <c r="CJ164" s="86"/>
      <c r="CK164" s="86"/>
      <c r="CL164" s="86"/>
      <c r="CM164" s="86"/>
      <c r="CN164" s="86"/>
      <c r="CO164" s="86"/>
      <c r="CP164" s="86"/>
      <c r="CQ164" s="86"/>
      <c r="CR164" s="86"/>
      <c r="CS164" s="86"/>
      <c r="CT164" s="86"/>
      <c r="CU164" s="86"/>
      <c r="CV164" s="86"/>
      <c r="CW164" s="86"/>
      <c r="CX164" s="86"/>
      <c r="CY164" s="86"/>
      <c r="CZ164" s="86"/>
      <c r="DA164" s="86"/>
      <c r="DB164" s="86"/>
      <c r="DC164" s="86"/>
      <c r="DD164" s="86"/>
      <c r="DE164" s="86"/>
      <c r="DF164" s="86"/>
      <c r="DG164" s="86"/>
      <c r="DH164" s="86"/>
      <c r="DI164" s="86"/>
      <c r="DJ164" s="86"/>
      <c r="DK164" s="86"/>
      <c r="DL164" s="86"/>
      <c r="DM164" s="86"/>
      <c r="DN164" s="86"/>
      <c r="DO164" s="86"/>
      <c r="DP164" s="86"/>
      <c r="DQ164" s="86"/>
      <c r="DR164" s="86"/>
      <c r="DS164" s="86"/>
      <c r="DT164" s="86"/>
      <c r="DU164" s="86"/>
      <c r="DV164" s="86"/>
      <c r="DW164" s="86"/>
      <c r="DX164" s="86"/>
      <c r="DY164" s="86"/>
      <c r="DZ164" s="86"/>
      <c r="EA164" s="86"/>
      <c r="EB164" s="86"/>
      <c r="EC164" s="86"/>
      <c r="ED164" s="86"/>
      <c r="EE164" s="86"/>
      <c r="EF164" s="86"/>
      <c r="EG164" s="86"/>
      <c r="EH164" s="86"/>
      <c r="EI164" s="86"/>
      <c r="EJ164" s="86"/>
      <c r="EK164" s="86"/>
      <c r="EL164" s="86"/>
      <c r="EM164" s="86"/>
      <c r="EN164" s="86"/>
      <c r="EO164" s="86"/>
      <c r="EP164" s="86"/>
      <c r="EQ164" s="86"/>
      <c r="ER164" s="86"/>
      <c r="ES164" s="86"/>
      <c r="ET164" s="86"/>
      <c r="EU164" s="86"/>
      <c r="EV164" s="86"/>
      <c r="EW164" s="86"/>
      <c r="EX164" s="86"/>
      <c r="EY164" s="86"/>
      <c r="EZ164" s="86"/>
      <c r="FA164" s="86"/>
    </row>
    <row r="165" spans="2:157" ht="9.75" customHeight="1">
      <c r="B165" s="845">
        <v>7</v>
      </c>
      <c r="C165" s="1344"/>
      <c r="D165" s="1344"/>
      <c r="E165" s="1344"/>
      <c r="F165" s="857"/>
      <c r="G165" s="857"/>
      <c r="H165" s="875" t="str">
        <f t="shared" si="7"/>
        <v/>
      </c>
      <c r="J165" s="101"/>
      <c r="K165" s="101"/>
      <c r="L165" s="101"/>
      <c r="Z165" s="86"/>
      <c r="AA165" s="86"/>
      <c r="AB165" s="86"/>
      <c r="AC165" s="86"/>
      <c r="AD165" s="86"/>
      <c r="AE165" s="86"/>
      <c r="AF165" s="86"/>
      <c r="AG165" s="86"/>
      <c r="AH165" s="86"/>
      <c r="AI165" s="86"/>
      <c r="AJ165" s="86"/>
      <c r="AK165" s="86"/>
      <c r="AL165" s="86"/>
      <c r="AM165" s="86"/>
      <c r="AN165" s="86"/>
      <c r="AO165" s="86"/>
      <c r="AP165" s="86"/>
      <c r="AQ165" s="86"/>
      <c r="AR165" s="86"/>
      <c r="AS165" s="86"/>
      <c r="AT165" s="86"/>
      <c r="AU165" s="86"/>
      <c r="AV165" s="86"/>
      <c r="AW165" s="86"/>
      <c r="AX165" s="86"/>
      <c r="AY165" s="86"/>
      <c r="AZ165" s="86"/>
      <c r="BA165" s="86"/>
      <c r="BB165" s="86"/>
      <c r="BC165" s="86"/>
      <c r="BD165" s="86"/>
      <c r="BE165" s="86"/>
      <c r="BF165" s="86"/>
      <c r="BG165" s="86"/>
      <c r="BH165" s="86"/>
      <c r="BI165" s="86"/>
      <c r="BJ165" s="86"/>
      <c r="BK165" s="86"/>
      <c r="BL165" s="86"/>
      <c r="BM165" s="86"/>
      <c r="BN165" s="86"/>
      <c r="BO165" s="86"/>
      <c r="BP165" s="86"/>
      <c r="BQ165" s="86"/>
      <c r="BR165" s="86"/>
      <c r="BS165" s="86"/>
      <c r="BT165" s="86"/>
      <c r="BU165" s="86"/>
      <c r="BV165" s="86"/>
      <c r="BW165" s="86"/>
      <c r="BX165" s="86"/>
      <c r="BY165" s="86"/>
      <c r="BZ165" s="86"/>
      <c r="CA165" s="86"/>
      <c r="CB165" s="86"/>
      <c r="CC165" s="86"/>
      <c r="CD165" s="86"/>
      <c r="CE165" s="86"/>
      <c r="CF165" s="86"/>
      <c r="CG165" s="86"/>
      <c r="CH165" s="86"/>
      <c r="CI165" s="86"/>
      <c r="CJ165" s="86"/>
      <c r="CK165" s="86"/>
      <c r="CL165" s="86"/>
      <c r="CM165" s="86"/>
      <c r="CN165" s="86"/>
      <c r="CO165" s="86"/>
      <c r="CP165" s="86"/>
      <c r="CQ165" s="86"/>
      <c r="CR165" s="86"/>
      <c r="CS165" s="86"/>
      <c r="CT165" s="86"/>
      <c r="CU165" s="86"/>
      <c r="CV165" s="86"/>
      <c r="CW165" s="86"/>
      <c r="CX165" s="86"/>
      <c r="CY165" s="86"/>
      <c r="CZ165" s="86"/>
      <c r="DA165" s="86"/>
      <c r="DB165" s="86"/>
      <c r="DC165" s="86"/>
      <c r="DD165" s="86"/>
      <c r="DE165" s="86"/>
      <c r="DF165" s="86"/>
      <c r="DG165" s="86"/>
      <c r="DH165" s="86"/>
      <c r="DI165" s="86"/>
      <c r="DJ165" s="86"/>
      <c r="DK165" s="86"/>
      <c r="DL165" s="86"/>
      <c r="DM165" s="86"/>
      <c r="DN165" s="86"/>
      <c r="DO165" s="86"/>
      <c r="DP165" s="86"/>
      <c r="DQ165" s="86"/>
      <c r="DR165" s="86"/>
      <c r="DS165" s="86"/>
      <c r="DT165" s="86"/>
      <c r="DU165" s="86"/>
      <c r="DV165" s="86"/>
      <c r="DW165" s="86"/>
      <c r="DX165" s="86"/>
      <c r="DY165" s="86"/>
      <c r="DZ165" s="86"/>
      <c r="EA165" s="86"/>
      <c r="EB165" s="86"/>
      <c r="EC165" s="86"/>
      <c r="ED165" s="86"/>
      <c r="EE165" s="86"/>
      <c r="EF165" s="86"/>
      <c r="EG165" s="86"/>
      <c r="EH165" s="86"/>
      <c r="EI165" s="86"/>
      <c r="EJ165" s="86"/>
      <c r="EK165" s="86"/>
      <c r="EL165" s="86"/>
      <c r="EM165" s="86"/>
      <c r="EN165" s="86"/>
      <c r="EO165" s="86"/>
      <c r="EP165" s="86"/>
      <c r="EQ165" s="86"/>
      <c r="ER165" s="86"/>
      <c r="ES165" s="86"/>
      <c r="ET165" s="86"/>
      <c r="EU165" s="86"/>
      <c r="EV165" s="86"/>
      <c r="EW165" s="86"/>
      <c r="EX165" s="86"/>
      <c r="EY165" s="86"/>
      <c r="EZ165" s="86"/>
      <c r="FA165" s="86"/>
    </row>
    <row r="166" spans="2:157" ht="9.75" customHeight="1">
      <c r="B166" s="845">
        <v>8</v>
      </c>
      <c r="C166" s="1344"/>
      <c r="D166" s="1344"/>
      <c r="E166" s="1344"/>
      <c r="F166" s="857"/>
      <c r="G166" s="857"/>
      <c r="H166" s="875" t="str">
        <f t="shared" si="7"/>
        <v/>
      </c>
      <c r="J166" s="101"/>
      <c r="K166" s="101"/>
      <c r="L166" s="101"/>
      <c r="Z166" s="86"/>
      <c r="AA166" s="86"/>
      <c r="AB166" s="86"/>
      <c r="AC166" s="86"/>
      <c r="AD166" s="86"/>
      <c r="AE166" s="86"/>
      <c r="AF166" s="86"/>
      <c r="AG166" s="86"/>
      <c r="AH166" s="86"/>
      <c r="AI166" s="86"/>
      <c r="AJ166" s="86"/>
      <c r="AK166" s="86"/>
      <c r="AL166" s="86"/>
      <c r="AM166" s="86"/>
      <c r="AN166" s="86"/>
      <c r="AO166" s="86"/>
      <c r="AP166" s="86"/>
      <c r="AQ166" s="86"/>
      <c r="AR166" s="86"/>
      <c r="AS166" s="86"/>
      <c r="AT166" s="86"/>
      <c r="AU166" s="86"/>
      <c r="AV166" s="86"/>
      <c r="AW166" s="86"/>
      <c r="AX166" s="86"/>
      <c r="AY166" s="86"/>
      <c r="AZ166" s="86"/>
      <c r="BA166" s="86"/>
      <c r="BB166" s="86"/>
      <c r="BC166" s="86"/>
      <c r="BD166" s="86"/>
      <c r="BE166" s="86"/>
      <c r="BF166" s="86"/>
      <c r="BG166" s="86"/>
      <c r="BH166" s="86"/>
      <c r="BI166" s="86"/>
      <c r="BJ166" s="86"/>
      <c r="BK166" s="86"/>
      <c r="BL166" s="86"/>
      <c r="BM166" s="86"/>
      <c r="BN166" s="86"/>
      <c r="BO166" s="86"/>
      <c r="BP166" s="86"/>
      <c r="BQ166" s="86"/>
      <c r="BR166" s="86"/>
      <c r="BS166" s="86"/>
      <c r="BT166" s="86"/>
      <c r="BU166" s="86"/>
      <c r="BV166" s="86"/>
      <c r="BW166" s="86"/>
      <c r="BX166" s="86"/>
      <c r="BY166" s="86"/>
      <c r="BZ166" s="86"/>
      <c r="CA166" s="86"/>
      <c r="CB166" s="86"/>
      <c r="CC166" s="86"/>
      <c r="CD166" s="86"/>
      <c r="CE166" s="86"/>
      <c r="CF166" s="86"/>
      <c r="CG166" s="86"/>
      <c r="CH166" s="86"/>
      <c r="CI166" s="86"/>
      <c r="CJ166" s="86"/>
      <c r="CK166" s="86"/>
      <c r="CL166" s="86"/>
      <c r="CM166" s="86"/>
      <c r="CN166" s="86"/>
      <c r="CO166" s="86"/>
      <c r="CP166" s="86"/>
      <c r="CQ166" s="86"/>
      <c r="CR166" s="86"/>
      <c r="CS166" s="86"/>
      <c r="CT166" s="86"/>
      <c r="CU166" s="86"/>
      <c r="CV166" s="86"/>
      <c r="CW166" s="86"/>
      <c r="CX166" s="86"/>
      <c r="CY166" s="86"/>
      <c r="CZ166" s="86"/>
      <c r="DA166" s="86"/>
      <c r="DB166" s="86"/>
      <c r="DC166" s="86"/>
      <c r="DD166" s="86"/>
      <c r="DE166" s="86"/>
      <c r="DF166" s="86"/>
      <c r="DG166" s="86"/>
      <c r="DH166" s="86"/>
      <c r="DI166" s="86"/>
      <c r="DJ166" s="86"/>
      <c r="DK166" s="86"/>
      <c r="DL166" s="86"/>
      <c r="DM166" s="86"/>
      <c r="DN166" s="86"/>
      <c r="DO166" s="86"/>
      <c r="DP166" s="86"/>
      <c r="DQ166" s="86"/>
      <c r="DR166" s="86"/>
      <c r="DS166" s="86"/>
      <c r="DT166" s="86"/>
      <c r="DU166" s="86"/>
      <c r="DV166" s="86"/>
      <c r="DW166" s="86"/>
      <c r="DX166" s="86"/>
      <c r="DY166" s="86"/>
      <c r="DZ166" s="86"/>
      <c r="EA166" s="86"/>
      <c r="EB166" s="86"/>
      <c r="EC166" s="86"/>
      <c r="ED166" s="86"/>
      <c r="EE166" s="86"/>
      <c r="EF166" s="86"/>
      <c r="EG166" s="86"/>
      <c r="EH166" s="86"/>
      <c r="EI166" s="86"/>
      <c r="EJ166" s="86"/>
      <c r="EK166" s="86"/>
      <c r="EL166" s="86"/>
      <c r="EM166" s="86"/>
      <c r="EN166" s="86"/>
      <c r="EO166" s="86"/>
      <c r="EP166" s="86"/>
      <c r="EQ166" s="86"/>
      <c r="ER166" s="86"/>
      <c r="ES166" s="86"/>
      <c r="ET166" s="86"/>
      <c r="EU166" s="86"/>
      <c r="EV166" s="86"/>
      <c r="EW166" s="86"/>
      <c r="EX166" s="86"/>
      <c r="EY166" s="86"/>
      <c r="EZ166" s="86"/>
      <c r="FA166" s="86"/>
    </row>
    <row r="167" spans="2:157" ht="9.75" customHeight="1">
      <c r="B167" s="845">
        <v>9</v>
      </c>
      <c r="C167" s="1344"/>
      <c r="D167" s="1344"/>
      <c r="E167" s="1344"/>
      <c r="F167" s="857"/>
      <c r="G167" s="857"/>
      <c r="H167" s="875" t="str">
        <f t="shared" si="7"/>
        <v/>
      </c>
      <c r="J167" s="101"/>
      <c r="K167" s="101"/>
      <c r="L167" s="101"/>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86"/>
      <c r="AX167" s="86"/>
      <c r="AY167" s="86"/>
      <c r="AZ167" s="86"/>
      <c r="BA167" s="86"/>
      <c r="BB167" s="86"/>
      <c r="BC167" s="86"/>
      <c r="BD167" s="86"/>
      <c r="BE167" s="86"/>
      <c r="BF167" s="86"/>
      <c r="BG167" s="86"/>
      <c r="BH167" s="86"/>
      <c r="BI167" s="86"/>
      <c r="BJ167" s="86"/>
      <c r="BK167" s="86"/>
      <c r="BL167" s="86"/>
      <c r="BM167" s="86"/>
      <c r="BN167" s="86"/>
      <c r="BO167" s="86"/>
      <c r="BP167" s="86"/>
      <c r="BQ167" s="86"/>
      <c r="BR167" s="86"/>
      <c r="BS167" s="86"/>
      <c r="BT167" s="86"/>
      <c r="BU167" s="86"/>
      <c r="BV167" s="86"/>
      <c r="BW167" s="86"/>
      <c r="BX167" s="86"/>
      <c r="BY167" s="86"/>
      <c r="BZ167" s="86"/>
      <c r="CA167" s="86"/>
      <c r="CB167" s="86"/>
      <c r="CC167" s="86"/>
      <c r="CD167" s="86"/>
      <c r="CE167" s="86"/>
      <c r="CF167" s="86"/>
      <c r="CG167" s="86"/>
      <c r="CH167" s="86"/>
      <c r="CI167" s="86"/>
      <c r="CJ167" s="86"/>
      <c r="CK167" s="86"/>
      <c r="CL167" s="86"/>
      <c r="CM167" s="86"/>
      <c r="CN167" s="86"/>
      <c r="CO167" s="86"/>
      <c r="CP167" s="86"/>
      <c r="CQ167" s="86"/>
      <c r="CR167" s="86"/>
      <c r="CS167" s="86"/>
      <c r="CT167" s="86"/>
      <c r="CU167" s="86"/>
      <c r="CV167" s="86"/>
      <c r="CW167" s="86"/>
      <c r="CX167" s="86"/>
      <c r="CY167" s="86"/>
      <c r="CZ167" s="86"/>
      <c r="DA167" s="86"/>
      <c r="DB167" s="86"/>
      <c r="DC167" s="86"/>
      <c r="DD167" s="86"/>
      <c r="DE167" s="86"/>
      <c r="DF167" s="86"/>
      <c r="DG167" s="86"/>
      <c r="DH167" s="86"/>
      <c r="DI167" s="86"/>
      <c r="DJ167" s="86"/>
      <c r="DK167" s="86"/>
      <c r="DL167" s="86"/>
      <c r="DM167" s="86"/>
      <c r="DN167" s="86"/>
      <c r="DO167" s="86"/>
      <c r="DP167" s="86"/>
      <c r="DQ167" s="86"/>
      <c r="DR167" s="86"/>
      <c r="DS167" s="86"/>
      <c r="DT167" s="86"/>
      <c r="DU167" s="86"/>
      <c r="DV167" s="86"/>
      <c r="DW167" s="86"/>
      <c r="DX167" s="86"/>
      <c r="DY167" s="86"/>
      <c r="DZ167" s="86"/>
      <c r="EA167" s="86"/>
      <c r="EB167" s="86"/>
      <c r="EC167" s="86"/>
      <c r="ED167" s="86"/>
      <c r="EE167" s="86"/>
      <c r="EF167" s="86"/>
      <c r="EG167" s="86"/>
      <c r="EH167" s="86"/>
      <c r="EI167" s="86"/>
      <c r="EJ167" s="86"/>
      <c r="EK167" s="86"/>
      <c r="EL167" s="86"/>
      <c r="EM167" s="86"/>
      <c r="EN167" s="86"/>
      <c r="EO167" s="86"/>
      <c r="EP167" s="86"/>
      <c r="EQ167" s="86"/>
      <c r="ER167" s="86"/>
      <c r="ES167" s="86"/>
      <c r="ET167" s="86"/>
      <c r="EU167" s="86"/>
      <c r="EV167" s="86"/>
      <c r="EW167" s="86"/>
      <c r="EX167" s="86"/>
      <c r="EY167" s="86"/>
      <c r="EZ167" s="86"/>
      <c r="FA167" s="86"/>
    </row>
    <row r="168" spans="2:157" ht="10.050000000000001" customHeight="1">
      <c r="B168" s="845" t="s">
        <v>546</v>
      </c>
      <c r="C168" s="836" t="s">
        <v>73</v>
      </c>
      <c r="D168" s="839"/>
      <c r="E168" s="86"/>
      <c r="F168" s="848" t="s">
        <v>546</v>
      </c>
      <c r="G168" s="848" t="s">
        <v>546</v>
      </c>
      <c r="H168" s="858">
        <v>0.04</v>
      </c>
      <c r="J168" s="101"/>
      <c r="K168" s="101"/>
      <c r="L168" s="101"/>
      <c r="Z168" s="86"/>
      <c r="AA168" s="86"/>
      <c r="AB168" s="86"/>
      <c r="AC168" s="86"/>
      <c r="AD168" s="86"/>
      <c r="AE168" s="86"/>
      <c r="AF168" s="86"/>
      <c r="AG168" s="86"/>
      <c r="AH168" s="86"/>
      <c r="AI168" s="86"/>
      <c r="AJ168" s="86"/>
      <c r="AK168" s="86"/>
      <c r="AL168" s="86"/>
      <c r="AM168" s="86"/>
      <c r="AN168" s="86"/>
      <c r="AO168" s="86"/>
      <c r="AP168" s="86"/>
      <c r="AQ168" s="86"/>
      <c r="AR168" s="86"/>
      <c r="AS168" s="86"/>
      <c r="AT168" s="86"/>
      <c r="AU168" s="86"/>
      <c r="AV168" s="86"/>
      <c r="AW168" s="86"/>
      <c r="AX168" s="86"/>
      <c r="AY168" s="86"/>
      <c r="AZ168" s="86"/>
      <c r="BA168" s="86"/>
      <c r="BB168" s="86"/>
      <c r="BC168" s="86"/>
      <c r="BD168" s="86"/>
      <c r="BE168" s="86"/>
      <c r="BF168" s="86"/>
      <c r="BG168" s="86"/>
      <c r="BH168" s="86"/>
      <c r="BI168" s="86"/>
      <c r="BJ168" s="86"/>
      <c r="BK168" s="86"/>
      <c r="BL168" s="86"/>
      <c r="BM168" s="86"/>
      <c r="BN168" s="86"/>
      <c r="BO168" s="86"/>
      <c r="BP168" s="86"/>
      <c r="BQ168" s="86"/>
      <c r="BR168" s="86"/>
      <c r="BS168" s="86"/>
      <c r="BT168" s="86"/>
      <c r="BU168" s="86"/>
      <c r="BV168" s="86"/>
      <c r="BW168" s="86"/>
      <c r="BX168" s="86"/>
      <c r="BY168" s="86"/>
      <c r="BZ168" s="86"/>
      <c r="CA168" s="86"/>
      <c r="CB168" s="86"/>
      <c r="CC168" s="86"/>
      <c r="CD168" s="86"/>
      <c r="CE168" s="86"/>
      <c r="CF168" s="86"/>
      <c r="CG168" s="86"/>
      <c r="CH168" s="86"/>
      <c r="CI168" s="86"/>
      <c r="CJ168" s="86"/>
      <c r="CK168" s="86"/>
      <c r="CL168" s="86"/>
      <c r="CM168" s="86"/>
      <c r="CN168" s="86"/>
      <c r="CO168" s="86"/>
      <c r="CP168" s="86"/>
      <c r="CQ168" s="86"/>
      <c r="CR168" s="86"/>
      <c r="CS168" s="86"/>
      <c r="CT168" s="86"/>
      <c r="CU168" s="86"/>
      <c r="CV168" s="86"/>
      <c r="CW168" s="86"/>
      <c r="CX168" s="86"/>
      <c r="CY168" s="86"/>
      <c r="CZ168" s="86"/>
      <c r="DA168" s="86"/>
      <c r="DB168" s="86"/>
      <c r="DC168" s="86"/>
      <c r="DD168" s="86"/>
      <c r="DE168" s="86"/>
      <c r="DF168" s="86"/>
      <c r="DG168" s="86"/>
      <c r="DH168" s="86"/>
      <c r="DI168" s="86"/>
      <c r="DJ168" s="86"/>
      <c r="DK168" s="86"/>
      <c r="DL168" s="86"/>
      <c r="DM168" s="86"/>
      <c r="DN168" s="86"/>
      <c r="DO168" s="86"/>
      <c r="DP168" s="86"/>
      <c r="DQ168" s="86"/>
      <c r="DR168" s="86"/>
      <c r="DS168" s="86"/>
      <c r="DT168" s="86"/>
      <c r="DU168" s="86"/>
      <c r="DV168" s="86"/>
      <c r="DW168" s="86"/>
      <c r="DX168" s="86"/>
      <c r="DY168" s="86"/>
      <c r="DZ168" s="86"/>
      <c r="EA168" s="86"/>
      <c r="EB168" s="86"/>
      <c r="EC168" s="86"/>
      <c r="ED168" s="86"/>
      <c r="EE168" s="86"/>
      <c r="EF168" s="86"/>
      <c r="EG168" s="86"/>
      <c r="EH168" s="86"/>
      <c r="EI168" s="86"/>
      <c r="EJ168" s="86"/>
      <c r="EK168" s="86"/>
      <c r="EL168" s="86"/>
      <c r="EM168" s="86"/>
      <c r="EN168" s="86"/>
      <c r="EO168" s="86"/>
      <c r="EP168" s="86"/>
      <c r="EQ168" s="86"/>
      <c r="ER168" s="86"/>
      <c r="ES168" s="86"/>
      <c r="ET168" s="86"/>
      <c r="EU168" s="86"/>
      <c r="EV168" s="86"/>
      <c r="EW168" s="86"/>
      <c r="EX168" s="86"/>
      <c r="EY168" s="86"/>
      <c r="EZ168" s="86"/>
      <c r="FA168" s="86"/>
    </row>
    <row r="169" spans="2:157" ht="9.75" customHeight="1">
      <c r="B169" s="849"/>
      <c r="C169" s="849"/>
      <c r="D169" s="849"/>
      <c r="E169" s="849"/>
      <c r="F169" s="849"/>
      <c r="G169" s="849"/>
      <c r="H169" s="855"/>
      <c r="J169" s="101"/>
      <c r="K169" s="101"/>
      <c r="L169" s="101"/>
      <c r="Z169" s="86"/>
      <c r="AA169" s="86"/>
      <c r="AB169" s="86"/>
      <c r="AC169" s="86"/>
      <c r="AD169" s="86"/>
      <c r="AE169" s="86"/>
      <c r="AF169" s="86"/>
      <c r="AG169" s="86"/>
      <c r="AH169" s="86"/>
      <c r="AI169" s="86"/>
      <c r="AJ169" s="86"/>
      <c r="AK169" s="86"/>
      <c r="AL169" s="86"/>
      <c r="AM169" s="86"/>
      <c r="AN169" s="86"/>
      <c r="AO169" s="86"/>
      <c r="AP169" s="86"/>
      <c r="AQ169" s="86"/>
      <c r="AR169" s="86"/>
      <c r="AS169" s="86"/>
      <c r="AT169" s="86"/>
      <c r="AU169" s="86"/>
      <c r="AV169" s="86"/>
      <c r="AW169" s="86"/>
      <c r="AX169" s="86"/>
      <c r="AY169" s="86"/>
      <c r="AZ169" s="86"/>
      <c r="BA169" s="86"/>
      <c r="BB169" s="86"/>
      <c r="BC169" s="86"/>
      <c r="BD169" s="86"/>
      <c r="BE169" s="86"/>
      <c r="BF169" s="86"/>
      <c r="BG169" s="86"/>
      <c r="BH169" s="86"/>
      <c r="BI169" s="86"/>
      <c r="BJ169" s="86"/>
      <c r="BK169" s="86"/>
      <c r="BL169" s="86"/>
      <c r="BM169" s="86"/>
      <c r="BN169" s="86"/>
      <c r="BO169" s="86"/>
      <c r="BP169" s="86"/>
      <c r="BQ169" s="86"/>
      <c r="BR169" s="86"/>
      <c r="BS169" s="86"/>
      <c r="BT169" s="86"/>
      <c r="BU169" s="86"/>
      <c r="BV169" s="86"/>
      <c r="BW169" s="86"/>
      <c r="BX169" s="86"/>
      <c r="BY169" s="86"/>
      <c r="BZ169" s="86"/>
      <c r="CA169" s="86"/>
      <c r="CB169" s="86"/>
      <c r="CC169" s="86"/>
      <c r="CD169" s="86"/>
      <c r="CE169" s="86"/>
      <c r="CF169" s="86"/>
      <c r="CG169" s="86"/>
      <c r="CH169" s="86"/>
      <c r="CI169" s="86"/>
      <c r="CJ169" s="86"/>
      <c r="CK169" s="86"/>
      <c r="CL169" s="86"/>
      <c r="CM169" s="86"/>
      <c r="CN169" s="86"/>
      <c r="CO169" s="86"/>
      <c r="CP169" s="86"/>
      <c r="CQ169" s="86"/>
      <c r="CR169" s="86"/>
      <c r="CS169" s="86"/>
      <c r="CT169" s="86"/>
      <c r="CU169" s="86"/>
      <c r="CV169" s="86"/>
      <c r="CW169" s="86"/>
      <c r="CX169" s="86"/>
      <c r="CY169" s="86"/>
      <c r="CZ169" s="86"/>
      <c r="DA169" s="86"/>
      <c r="DB169" s="86"/>
      <c r="DC169" s="86"/>
      <c r="DD169" s="86"/>
      <c r="DE169" s="86"/>
      <c r="DF169" s="86"/>
      <c r="DG169" s="86"/>
      <c r="DH169" s="86"/>
      <c r="DI169" s="86"/>
      <c r="DJ169" s="86"/>
      <c r="DK169" s="86"/>
      <c r="DL169" s="86"/>
      <c r="DM169" s="86"/>
      <c r="DN169" s="86"/>
      <c r="DO169" s="86"/>
      <c r="DP169" s="86"/>
      <c r="DQ169" s="86"/>
      <c r="DR169" s="86"/>
      <c r="DS169" s="86"/>
      <c r="DT169" s="86"/>
      <c r="DU169" s="86"/>
      <c r="DV169" s="86"/>
      <c r="DW169" s="86"/>
      <c r="DX169" s="86"/>
      <c r="DY169" s="86"/>
      <c r="DZ169" s="86"/>
      <c r="EA169" s="86"/>
      <c r="EB169" s="86"/>
      <c r="EC169" s="86"/>
      <c r="ED169" s="86"/>
      <c r="EE169" s="86"/>
      <c r="EF169" s="86"/>
      <c r="EG169" s="86"/>
      <c r="EH169" s="86"/>
      <c r="EI169" s="86"/>
      <c r="EJ169" s="86"/>
      <c r="EK169" s="86"/>
      <c r="EL169" s="86"/>
      <c r="EM169" s="86"/>
      <c r="EN169" s="86"/>
      <c r="EO169" s="86"/>
      <c r="EP169" s="86"/>
      <c r="EQ169" s="86"/>
      <c r="ER169" s="86"/>
      <c r="ES169" s="86"/>
      <c r="ET169" s="86"/>
      <c r="EU169" s="86"/>
      <c r="EV169" s="86"/>
      <c r="EW169" s="86"/>
      <c r="EX169" s="86"/>
      <c r="EY169" s="86"/>
      <c r="EZ169" s="86"/>
      <c r="FA169" s="86"/>
    </row>
    <row r="170" spans="2:157" ht="10.050000000000001" customHeight="1">
      <c r="B170" s="27"/>
      <c r="C170" s="27"/>
      <c r="D170" s="27"/>
      <c r="E170" s="91"/>
      <c r="F170" s="171"/>
      <c r="G170" s="29"/>
      <c r="H170" s="27"/>
      <c r="J170" s="101"/>
      <c r="K170" s="101"/>
      <c r="L170" s="101"/>
      <c r="Z170" s="86"/>
      <c r="AA170" s="86"/>
      <c r="AB170" s="86"/>
      <c r="AC170" s="86"/>
      <c r="AD170" s="86"/>
      <c r="AE170" s="86"/>
      <c r="AF170" s="86"/>
      <c r="AG170" s="86"/>
      <c r="AH170" s="86"/>
      <c r="AI170" s="86"/>
      <c r="AJ170" s="86"/>
      <c r="AK170" s="86"/>
      <c r="AL170" s="86"/>
      <c r="AM170" s="86"/>
      <c r="AN170" s="86"/>
      <c r="AO170" s="86"/>
      <c r="AP170" s="86"/>
      <c r="AQ170" s="86"/>
      <c r="AR170" s="86"/>
      <c r="AS170" s="86"/>
      <c r="AT170" s="86"/>
      <c r="AU170" s="86"/>
      <c r="AV170" s="86"/>
      <c r="AW170" s="86"/>
      <c r="AX170" s="86"/>
      <c r="AY170" s="86"/>
      <c r="AZ170" s="86"/>
      <c r="BA170" s="86"/>
      <c r="BB170" s="86"/>
      <c r="BC170" s="86"/>
      <c r="BD170" s="86"/>
      <c r="BE170" s="86"/>
      <c r="BF170" s="86"/>
      <c r="BG170" s="86"/>
      <c r="BH170" s="86"/>
      <c r="BI170" s="86"/>
      <c r="BJ170" s="86"/>
      <c r="BK170" s="86"/>
      <c r="BL170" s="86"/>
      <c r="BM170" s="86"/>
      <c r="BN170" s="86"/>
      <c r="BO170" s="86"/>
      <c r="BP170" s="86"/>
      <c r="BQ170" s="86"/>
      <c r="BR170" s="86"/>
      <c r="BS170" s="86"/>
      <c r="BT170" s="86"/>
      <c r="BU170" s="86"/>
      <c r="BV170" s="86"/>
      <c r="BW170" s="86"/>
      <c r="BX170" s="86"/>
      <c r="BY170" s="86"/>
      <c r="BZ170" s="86"/>
      <c r="CA170" s="86"/>
      <c r="CB170" s="86"/>
      <c r="CC170" s="86"/>
      <c r="CD170" s="86"/>
      <c r="CE170" s="86"/>
      <c r="CF170" s="86"/>
      <c r="CG170" s="86"/>
      <c r="CH170" s="86"/>
      <c r="CI170" s="86"/>
      <c r="CJ170" s="86"/>
      <c r="CK170" s="86"/>
      <c r="CL170" s="86"/>
      <c r="CM170" s="86"/>
      <c r="CN170" s="86"/>
      <c r="CO170" s="86"/>
      <c r="CP170" s="86"/>
      <c r="CQ170" s="86"/>
      <c r="CR170" s="86"/>
      <c r="CS170" s="86"/>
      <c r="CT170" s="86"/>
      <c r="CU170" s="86"/>
      <c r="CV170" s="86"/>
      <c r="CW170" s="86"/>
      <c r="CX170" s="86"/>
      <c r="CY170" s="86"/>
      <c r="CZ170" s="86"/>
      <c r="DA170" s="86"/>
      <c r="DB170" s="86"/>
      <c r="DC170" s="86"/>
      <c r="DD170" s="86"/>
      <c r="DE170" s="86"/>
      <c r="DF170" s="86"/>
      <c r="DG170" s="86"/>
      <c r="DH170" s="86"/>
      <c r="DI170" s="86"/>
      <c r="DJ170" s="86"/>
      <c r="DK170" s="86"/>
      <c r="DL170" s="86"/>
      <c r="DM170" s="86"/>
      <c r="DN170" s="86"/>
      <c r="DO170" s="86"/>
      <c r="DP170" s="86"/>
      <c r="DQ170" s="86"/>
      <c r="DR170" s="86"/>
      <c r="DS170" s="86"/>
      <c r="DT170" s="86"/>
      <c r="DU170" s="86"/>
      <c r="DV170" s="86"/>
      <c r="DW170" s="86"/>
      <c r="DX170" s="86"/>
      <c r="DY170" s="86"/>
      <c r="DZ170" s="86"/>
      <c r="EA170" s="86"/>
      <c r="EB170" s="86"/>
      <c r="EC170" s="86"/>
      <c r="ED170" s="86"/>
      <c r="EE170" s="86"/>
      <c r="EF170" s="86"/>
      <c r="EG170" s="86"/>
      <c r="EH170" s="86"/>
      <c r="EI170" s="86"/>
      <c r="EJ170" s="86"/>
      <c r="EK170" s="86"/>
      <c r="EL170" s="86"/>
      <c r="EM170" s="86"/>
      <c r="EN170" s="86"/>
      <c r="EO170" s="86"/>
      <c r="EP170" s="86"/>
      <c r="EQ170" s="86"/>
      <c r="ER170" s="86"/>
      <c r="ES170" s="86"/>
      <c r="ET170" s="86"/>
      <c r="EU170" s="86"/>
      <c r="EV170" s="86"/>
      <c r="EW170" s="86"/>
      <c r="EX170" s="86"/>
      <c r="EY170" s="86"/>
      <c r="EZ170" s="86"/>
      <c r="FA170" s="86"/>
    </row>
    <row r="171" spans="2:157" ht="10.050000000000001" customHeight="1">
      <c r="B171" s="27"/>
      <c r="C171" s="27"/>
      <c r="D171" s="27"/>
      <c r="E171" s="91"/>
      <c r="F171" s="171"/>
      <c r="G171" s="29"/>
      <c r="H171" s="27"/>
      <c r="J171" s="101"/>
      <c r="K171" s="101"/>
      <c r="L171" s="101"/>
      <c r="Z171" s="86"/>
      <c r="AA171" s="86"/>
      <c r="AB171" s="86"/>
      <c r="AC171" s="86"/>
      <c r="AD171" s="86"/>
      <c r="AE171" s="86"/>
      <c r="AF171" s="86"/>
      <c r="AG171" s="86"/>
      <c r="AH171" s="86"/>
      <c r="AI171" s="86"/>
      <c r="AJ171" s="86"/>
      <c r="AK171" s="86"/>
      <c r="AL171" s="86"/>
      <c r="AM171" s="86"/>
      <c r="AN171" s="86"/>
      <c r="AO171" s="86"/>
      <c r="AP171" s="86"/>
      <c r="AQ171" s="86"/>
      <c r="AR171" s="86"/>
      <c r="AS171" s="86"/>
      <c r="AT171" s="86"/>
      <c r="AU171" s="86"/>
      <c r="AV171" s="86"/>
      <c r="AW171" s="86"/>
      <c r="AX171" s="86"/>
      <c r="AY171" s="86"/>
      <c r="AZ171" s="86"/>
      <c r="BA171" s="86"/>
      <c r="BB171" s="86"/>
      <c r="BC171" s="86"/>
      <c r="BD171" s="86"/>
      <c r="BE171" s="86"/>
      <c r="BF171" s="86"/>
      <c r="BG171" s="86"/>
      <c r="BH171" s="86"/>
      <c r="BI171" s="86"/>
      <c r="BJ171" s="86"/>
      <c r="BK171" s="86"/>
      <c r="BL171" s="86"/>
      <c r="BM171" s="86"/>
      <c r="BN171" s="86"/>
      <c r="BO171" s="86"/>
      <c r="BP171" s="86"/>
      <c r="BQ171" s="86"/>
      <c r="BR171" s="86"/>
      <c r="BS171" s="86"/>
      <c r="BT171" s="86"/>
      <c r="BU171" s="86"/>
      <c r="BV171" s="86"/>
      <c r="BW171" s="86"/>
      <c r="BX171" s="86"/>
      <c r="BY171" s="86"/>
      <c r="BZ171" s="86"/>
      <c r="CA171" s="86"/>
      <c r="CB171" s="86"/>
      <c r="CC171" s="86"/>
      <c r="CD171" s="86"/>
      <c r="CE171" s="86"/>
      <c r="CF171" s="86"/>
      <c r="CG171" s="86"/>
      <c r="CH171" s="86"/>
      <c r="CI171" s="86"/>
      <c r="CJ171" s="86"/>
      <c r="CK171" s="86"/>
      <c r="CL171" s="86"/>
      <c r="CM171" s="86"/>
      <c r="CN171" s="86"/>
      <c r="CO171" s="86"/>
      <c r="CP171" s="86"/>
      <c r="CQ171" s="86"/>
      <c r="CR171" s="86"/>
      <c r="CS171" s="86"/>
      <c r="CT171" s="86"/>
      <c r="CU171" s="86"/>
      <c r="CV171" s="86"/>
      <c r="CW171" s="86"/>
      <c r="CX171" s="86"/>
      <c r="CY171" s="86"/>
      <c r="CZ171" s="86"/>
      <c r="DA171" s="86"/>
      <c r="DB171" s="86"/>
      <c r="DC171" s="86"/>
      <c r="DD171" s="86"/>
      <c r="DE171" s="86"/>
      <c r="DF171" s="86"/>
      <c r="DG171" s="86"/>
      <c r="DH171" s="86"/>
      <c r="DI171" s="86"/>
      <c r="DJ171" s="86"/>
      <c r="DK171" s="86"/>
      <c r="DL171" s="86"/>
      <c r="DM171" s="86"/>
      <c r="DN171" s="86"/>
      <c r="DO171" s="86"/>
      <c r="DP171" s="86"/>
      <c r="DQ171" s="86"/>
      <c r="DR171" s="86"/>
      <c r="DS171" s="86"/>
      <c r="DT171" s="86"/>
      <c r="DU171" s="86"/>
      <c r="DV171" s="86"/>
      <c r="DW171" s="86"/>
      <c r="DX171" s="86"/>
      <c r="DY171" s="86"/>
      <c r="DZ171" s="86"/>
      <c r="EA171" s="86"/>
      <c r="EB171" s="86"/>
      <c r="EC171" s="86"/>
      <c r="ED171" s="86"/>
      <c r="EE171" s="86"/>
      <c r="EF171" s="86"/>
      <c r="EG171" s="86"/>
      <c r="EH171" s="86"/>
      <c r="EI171" s="86"/>
      <c r="EJ171" s="86"/>
      <c r="EK171" s="86"/>
      <c r="EL171" s="86"/>
      <c r="EM171" s="86"/>
      <c r="EN171" s="86"/>
      <c r="EO171" s="86"/>
      <c r="EP171" s="86"/>
      <c r="EQ171" s="86"/>
      <c r="ER171" s="86"/>
      <c r="ES171" s="86"/>
      <c r="ET171" s="86"/>
      <c r="EU171" s="86"/>
      <c r="EV171" s="86"/>
      <c r="EW171" s="86"/>
      <c r="EX171" s="86"/>
      <c r="EY171" s="86"/>
      <c r="EZ171" s="86"/>
      <c r="FA171" s="86"/>
    </row>
    <row r="172" spans="2:157" ht="10.050000000000001" customHeight="1">
      <c r="B172" s="27"/>
      <c r="C172" s="27"/>
      <c r="D172" s="27"/>
      <c r="E172" s="91"/>
      <c r="F172" s="171"/>
      <c r="G172" s="29"/>
      <c r="H172" s="27"/>
      <c r="J172" s="101"/>
      <c r="K172" s="101"/>
      <c r="L172" s="101"/>
      <c r="Z172" s="86"/>
      <c r="AA172" s="86"/>
      <c r="AB172" s="86"/>
      <c r="AC172" s="86"/>
      <c r="AD172" s="86"/>
      <c r="AE172" s="86"/>
      <c r="AF172" s="86"/>
      <c r="AG172" s="86"/>
      <c r="AH172" s="86"/>
      <c r="AI172" s="86"/>
      <c r="AJ172" s="86"/>
      <c r="AK172" s="86"/>
      <c r="AL172" s="86"/>
      <c r="AM172" s="86"/>
      <c r="AN172" s="86"/>
      <c r="AO172" s="86"/>
      <c r="AP172" s="86"/>
      <c r="AQ172" s="86"/>
      <c r="AR172" s="86"/>
      <c r="AS172" s="86"/>
      <c r="AT172" s="86"/>
      <c r="AU172" s="86"/>
      <c r="AV172" s="86"/>
      <c r="AW172" s="86"/>
      <c r="AX172" s="86"/>
      <c r="AY172" s="86"/>
      <c r="AZ172" s="86"/>
      <c r="BA172" s="86"/>
      <c r="BB172" s="86"/>
      <c r="BC172" s="86"/>
      <c r="BD172" s="86"/>
      <c r="BE172" s="86"/>
      <c r="BF172" s="86"/>
      <c r="BG172" s="86"/>
      <c r="BH172" s="86"/>
      <c r="BI172" s="86"/>
      <c r="BJ172" s="86"/>
      <c r="BK172" s="86"/>
      <c r="BL172" s="86"/>
      <c r="BM172" s="86"/>
      <c r="BN172" s="86"/>
      <c r="BO172" s="86"/>
      <c r="BP172" s="86"/>
      <c r="BQ172" s="86"/>
      <c r="BR172" s="86"/>
      <c r="BS172" s="86"/>
      <c r="BT172" s="86"/>
      <c r="BU172" s="86"/>
      <c r="BV172" s="86"/>
      <c r="BW172" s="86"/>
      <c r="BX172" s="86"/>
      <c r="BY172" s="86"/>
      <c r="BZ172" s="86"/>
      <c r="CA172" s="86"/>
      <c r="CB172" s="86"/>
      <c r="CC172" s="86"/>
      <c r="CD172" s="86"/>
      <c r="CE172" s="86"/>
      <c r="CF172" s="86"/>
      <c r="CG172" s="86"/>
      <c r="CH172" s="86"/>
      <c r="CI172" s="86"/>
      <c r="CJ172" s="86"/>
      <c r="CK172" s="86"/>
      <c r="CL172" s="86"/>
      <c r="CM172" s="86"/>
      <c r="CN172" s="86"/>
      <c r="CO172" s="86"/>
      <c r="CP172" s="86"/>
      <c r="CQ172" s="86"/>
      <c r="CR172" s="86"/>
      <c r="CS172" s="86"/>
      <c r="CT172" s="86"/>
      <c r="CU172" s="86"/>
      <c r="CV172" s="86"/>
      <c r="CW172" s="86"/>
      <c r="CX172" s="86"/>
      <c r="CY172" s="86"/>
      <c r="CZ172" s="86"/>
      <c r="DA172" s="86"/>
      <c r="DB172" s="86"/>
      <c r="DC172" s="86"/>
      <c r="DD172" s="86"/>
      <c r="DE172" s="86"/>
      <c r="DF172" s="86"/>
      <c r="DG172" s="86"/>
      <c r="DH172" s="86"/>
      <c r="DI172" s="86"/>
      <c r="DJ172" s="86"/>
      <c r="DK172" s="86"/>
      <c r="DL172" s="86"/>
      <c r="DM172" s="86"/>
      <c r="DN172" s="86"/>
      <c r="DO172" s="86"/>
      <c r="DP172" s="86"/>
      <c r="DQ172" s="86"/>
      <c r="DR172" s="86"/>
      <c r="DS172" s="86"/>
      <c r="DT172" s="86"/>
      <c r="DU172" s="86"/>
      <c r="DV172" s="86"/>
      <c r="DW172" s="86"/>
      <c r="DX172" s="86"/>
      <c r="DY172" s="86"/>
      <c r="DZ172" s="86"/>
      <c r="EA172" s="86"/>
      <c r="EB172" s="86"/>
      <c r="EC172" s="86"/>
      <c r="ED172" s="86"/>
      <c r="EE172" s="86"/>
      <c r="EF172" s="86"/>
      <c r="EG172" s="86"/>
      <c r="EH172" s="86"/>
      <c r="EI172" s="86"/>
      <c r="EJ172" s="86"/>
      <c r="EK172" s="86"/>
      <c r="EL172" s="86"/>
      <c r="EM172" s="86"/>
      <c r="EN172" s="86"/>
      <c r="EO172" s="86"/>
      <c r="EP172" s="86"/>
      <c r="EQ172" s="86"/>
      <c r="ER172" s="86"/>
      <c r="ES172" s="86"/>
      <c r="ET172" s="86"/>
      <c r="EU172" s="86"/>
      <c r="EV172" s="86"/>
      <c r="EW172" s="86"/>
      <c r="EX172" s="86"/>
      <c r="EY172" s="86"/>
      <c r="EZ172" s="86"/>
      <c r="FA172" s="86"/>
    </row>
    <row r="173" spans="2:157" ht="10.050000000000001" customHeight="1">
      <c r="B173" s="27"/>
      <c r="C173" s="27"/>
      <c r="D173" s="27"/>
      <c r="E173" s="91"/>
      <c r="F173" s="171"/>
      <c r="G173" s="29"/>
      <c r="H173" s="27"/>
      <c r="J173" s="101"/>
      <c r="K173" s="101"/>
      <c r="L173" s="101"/>
      <c r="Z173" s="86"/>
      <c r="AA173" s="86"/>
      <c r="AB173" s="86"/>
      <c r="AC173" s="86"/>
      <c r="AD173" s="86"/>
      <c r="AE173" s="86"/>
      <c r="AF173" s="86"/>
      <c r="AG173" s="86"/>
      <c r="AH173" s="86"/>
      <c r="AI173" s="86"/>
      <c r="AJ173" s="86"/>
      <c r="AK173" s="86"/>
      <c r="AL173" s="86"/>
      <c r="AM173" s="86"/>
      <c r="AN173" s="86"/>
      <c r="AO173" s="86"/>
      <c r="AP173" s="86"/>
      <c r="AQ173" s="86"/>
      <c r="AR173" s="86"/>
      <c r="AS173" s="86"/>
      <c r="AT173" s="86"/>
      <c r="AU173" s="86"/>
      <c r="AV173" s="86"/>
      <c r="AW173" s="86"/>
      <c r="AX173" s="86"/>
      <c r="AY173" s="86"/>
      <c r="AZ173" s="86"/>
      <c r="BA173" s="86"/>
      <c r="BB173" s="86"/>
      <c r="BC173" s="86"/>
      <c r="BD173" s="86"/>
      <c r="BE173" s="86"/>
      <c r="BF173" s="86"/>
      <c r="BG173" s="86"/>
      <c r="BH173" s="86"/>
      <c r="BI173" s="86"/>
      <c r="BJ173" s="86"/>
      <c r="BK173" s="86"/>
      <c r="BL173" s="86"/>
      <c r="BM173" s="86"/>
      <c r="BN173" s="86"/>
      <c r="BO173" s="86"/>
      <c r="BP173" s="86"/>
      <c r="BQ173" s="86"/>
      <c r="BR173" s="86"/>
      <c r="BS173" s="86"/>
      <c r="BT173" s="86"/>
      <c r="BU173" s="86"/>
      <c r="BV173" s="86"/>
      <c r="BW173" s="86"/>
      <c r="BX173" s="86"/>
      <c r="BY173" s="86"/>
      <c r="BZ173" s="86"/>
      <c r="CA173" s="86"/>
      <c r="CB173" s="86"/>
      <c r="CC173" s="86"/>
      <c r="CD173" s="86"/>
      <c r="CE173" s="86"/>
      <c r="CF173" s="86"/>
      <c r="CG173" s="86"/>
      <c r="CH173" s="86"/>
      <c r="CI173" s="86"/>
      <c r="CJ173" s="86"/>
      <c r="CK173" s="86"/>
      <c r="CL173" s="86"/>
      <c r="CM173" s="86"/>
      <c r="CN173" s="86"/>
      <c r="CO173" s="86"/>
      <c r="CP173" s="86"/>
      <c r="CQ173" s="86"/>
      <c r="CR173" s="86"/>
      <c r="CS173" s="86"/>
      <c r="CT173" s="86"/>
      <c r="CU173" s="86"/>
      <c r="CV173" s="86"/>
      <c r="CW173" s="86"/>
      <c r="CX173" s="86"/>
      <c r="CY173" s="86"/>
      <c r="CZ173" s="86"/>
      <c r="DA173" s="86"/>
      <c r="DB173" s="86"/>
      <c r="DC173" s="86"/>
      <c r="DD173" s="86"/>
      <c r="DE173" s="86"/>
      <c r="DF173" s="86"/>
      <c r="DG173" s="86"/>
      <c r="DH173" s="86"/>
      <c r="DI173" s="86"/>
      <c r="DJ173" s="86"/>
      <c r="DK173" s="86"/>
      <c r="DL173" s="86"/>
      <c r="DM173" s="86"/>
      <c r="DN173" s="86"/>
      <c r="DO173" s="86"/>
      <c r="DP173" s="86"/>
      <c r="DQ173" s="86"/>
      <c r="DR173" s="86"/>
      <c r="DS173" s="86"/>
      <c r="DT173" s="86"/>
      <c r="DU173" s="86"/>
      <c r="DV173" s="86"/>
      <c r="DW173" s="86"/>
      <c r="DX173" s="86"/>
      <c r="DY173" s="86"/>
      <c r="DZ173" s="86"/>
      <c r="EA173" s="86"/>
      <c r="EB173" s="86"/>
      <c r="EC173" s="86"/>
      <c r="ED173" s="86"/>
      <c r="EE173" s="86"/>
      <c r="EF173" s="86"/>
      <c r="EG173" s="86"/>
      <c r="EH173" s="86"/>
      <c r="EI173" s="86"/>
      <c r="EJ173" s="86"/>
      <c r="EK173" s="86"/>
      <c r="EL173" s="86"/>
      <c r="EM173" s="86"/>
      <c r="EN173" s="86"/>
      <c r="EO173" s="86"/>
      <c r="EP173" s="86"/>
      <c r="EQ173" s="86"/>
      <c r="ER173" s="86"/>
      <c r="ES173" s="86"/>
      <c r="ET173" s="86"/>
      <c r="EU173" s="86"/>
      <c r="EV173" s="86"/>
      <c r="EW173" s="86"/>
      <c r="EX173" s="86"/>
      <c r="EY173" s="86"/>
      <c r="EZ173" s="86"/>
      <c r="FA173" s="86"/>
    </row>
    <row r="174" spans="2:157" ht="10.050000000000001" customHeight="1">
      <c r="B174" s="27"/>
      <c r="C174" s="27"/>
      <c r="D174" s="27"/>
      <c r="E174" s="27"/>
      <c r="F174" s="27"/>
      <c r="G174" s="27"/>
      <c r="H174" s="27"/>
      <c r="J174" s="101"/>
      <c r="K174" s="101"/>
      <c r="L174" s="101"/>
      <c r="Z174" s="86"/>
      <c r="AA174" s="86"/>
      <c r="AB174" s="86"/>
      <c r="AC174" s="86"/>
      <c r="AD174" s="86"/>
      <c r="AE174" s="86"/>
      <c r="AF174" s="86"/>
      <c r="AG174" s="86"/>
      <c r="AH174" s="86"/>
      <c r="AI174" s="86"/>
      <c r="AJ174" s="86"/>
      <c r="AK174" s="86"/>
      <c r="AL174" s="86"/>
      <c r="AM174" s="86"/>
      <c r="AN174" s="86"/>
      <c r="AO174" s="86"/>
      <c r="AP174" s="86"/>
      <c r="AQ174" s="86"/>
      <c r="AR174" s="86"/>
      <c r="AS174" s="86"/>
      <c r="AT174" s="86"/>
      <c r="AU174" s="86"/>
      <c r="AV174" s="86"/>
      <c r="AW174" s="86"/>
      <c r="AX174" s="86"/>
      <c r="AY174" s="86"/>
      <c r="AZ174" s="86"/>
      <c r="BA174" s="86"/>
      <c r="BB174" s="86"/>
      <c r="BC174" s="86"/>
      <c r="BD174" s="86"/>
      <c r="BE174" s="86"/>
      <c r="BF174" s="86"/>
      <c r="BG174" s="86"/>
      <c r="BH174" s="86"/>
      <c r="BI174" s="86"/>
      <c r="BJ174" s="86"/>
      <c r="BK174" s="86"/>
      <c r="BL174" s="86"/>
      <c r="BM174" s="86"/>
      <c r="BN174" s="86"/>
      <c r="BO174" s="86"/>
      <c r="BP174" s="86"/>
      <c r="BQ174" s="86"/>
      <c r="BR174" s="86"/>
      <c r="BS174" s="86"/>
      <c r="BT174" s="86"/>
      <c r="BU174" s="86"/>
      <c r="BV174" s="86"/>
      <c r="BW174" s="86"/>
      <c r="BX174" s="86"/>
      <c r="BY174" s="86"/>
      <c r="BZ174" s="86"/>
      <c r="CA174" s="86"/>
      <c r="CB174" s="86"/>
      <c r="CC174" s="86"/>
      <c r="CD174" s="86"/>
      <c r="CE174" s="86"/>
      <c r="CF174" s="86"/>
      <c r="CG174" s="86"/>
      <c r="CH174" s="86"/>
      <c r="CI174" s="86"/>
      <c r="CJ174" s="86"/>
      <c r="CK174" s="86"/>
      <c r="CL174" s="86"/>
      <c r="CM174" s="86"/>
      <c r="CN174" s="86"/>
      <c r="CO174" s="86"/>
      <c r="CP174" s="86"/>
      <c r="CQ174" s="86"/>
      <c r="CR174" s="86"/>
      <c r="CS174" s="86"/>
      <c r="CT174" s="86"/>
      <c r="CU174" s="86"/>
      <c r="CV174" s="86"/>
      <c r="CW174" s="86"/>
      <c r="CX174" s="86"/>
      <c r="CY174" s="86"/>
      <c r="CZ174" s="86"/>
      <c r="DA174" s="86"/>
      <c r="DB174" s="86"/>
      <c r="DC174" s="86"/>
      <c r="DD174" s="86"/>
      <c r="DE174" s="86"/>
      <c r="DF174" s="86"/>
      <c r="DG174" s="86"/>
      <c r="DH174" s="86"/>
      <c r="DI174" s="86"/>
      <c r="DJ174" s="86"/>
      <c r="DK174" s="86"/>
      <c r="DL174" s="86"/>
      <c r="DM174" s="86"/>
      <c r="DN174" s="86"/>
      <c r="DO174" s="86"/>
      <c r="DP174" s="86"/>
      <c r="DQ174" s="86"/>
      <c r="DR174" s="86"/>
      <c r="DS174" s="86"/>
      <c r="DT174" s="86"/>
      <c r="DU174" s="86"/>
      <c r="DV174" s="86"/>
      <c r="DW174" s="86"/>
      <c r="DX174" s="86"/>
      <c r="DY174" s="86"/>
      <c r="DZ174" s="86"/>
      <c r="EA174" s="86"/>
      <c r="EB174" s="86"/>
      <c r="EC174" s="86"/>
      <c r="ED174" s="86"/>
      <c r="EE174" s="86"/>
      <c r="EF174" s="86"/>
      <c r="EG174" s="86"/>
      <c r="EH174" s="86"/>
      <c r="EI174" s="86"/>
      <c r="EJ174" s="86"/>
      <c r="EK174" s="86"/>
      <c r="EL174" s="86"/>
      <c r="EM174" s="86"/>
      <c r="EN174" s="86"/>
      <c r="EO174" s="86"/>
      <c r="EP174" s="86"/>
      <c r="EQ174" s="86"/>
      <c r="ER174" s="86"/>
      <c r="ES174" s="86"/>
      <c r="ET174" s="86"/>
      <c r="EU174" s="86"/>
      <c r="EV174" s="86"/>
      <c r="EW174" s="86"/>
      <c r="EX174" s="86"/>
      <c r="EY174" s="86"/>
      <c r="EZ174" s="86"/>
      <c r="FA174" s="86"/>
    </row>
    <row r="175" spans="2:157" ht="10.050000000000001" customHeight="1">
      <c r="B175" s="141"/>
      <c r="C175" s="141"/>
      <c r="D175" s="31"/>
      <c r="E175" s="31"/>
      <c r="F175" s="142"/>
      <c r="G175" s="1341">
        <f ca="1">NOW()</f>
        <v>42122.346852083334</v>
      </c>
      <c r="H175" s="1341"/>
      <c r="J175" s="101"/>
      <c r="K175" s="101"/>
      <c r="L175" s="101"/>
      <c r="Z175" s="86"/>
      <c r="AA175" s="86"/>
      <c r="AB175" s="86"/>
      <c r="AC175" s="86"/>
      <c r="AD175" s="86"/>
      <c r="AE175" s="86"/>
      <c r="AF175" s="86"/>
      <c r="AG175" s="86"/>
      <c r="AH175" s="86"/>
      <c r="AI175" s="86"/>
      <c r="AJ175" s="86"/>
      <c r="AK175" s="86"/>
      <c r="AL175" s="86"/>
      <c r="AM175" s="86"/>
      <c r="AN175" s="86"/>
      <c r="AO175" s="86"/>
      <c r="AP175" s="86"/>
      <c r="AQ175" s="86"/>
      <c r="AR175" s="86"/>
      <c r="AS175" s="86"/>
      <c r="AT175" s="86"/>
      <c r="AU175" s="86"/>
      <c r="AV175" s="86"/>
      <c r="AW175" s="86"/>
      <c r="AX175" s="86"/>
      <c r="AY175" s="86"/>
      <c r="AZ175" s="86"/>
      <c r="BA175" s="86"/>
      <c r="BB175" s="86"/>
      <c r="BC175" s="86"/>
      <c r="BD175" s="86"/>
      <c r="BE175" s="86"/>
      <c r="BF175" s="86"/>
      <c r="BG175" s="86"/>
      <c r="BH175" s="86"/>
      <c r="BI175" s="86"/>
      <c r="BJ175" s="86"/>
      <c r="BK175" s="86"/>
      <c r="BL175" s="86"/>
      <c r="BM175" s="86"/>
      <c r="BN175" s="86"/>
      <c r="BO175" s="86"/>
      <c r="BP175" s="86"/>
      <c r="BQ175" s="86"/>
      <c r="BR175" s="86"/>
      <c r="BS175" s="86"/>
      <c r="BT175" s="86"/>
      <c r="BU175" s="86"/>
      <c r="BV175" s="86"/>
      <c r="BW175" s="86"/>
      <c r="BX175" s="86"/>
      <c r="BY175" s="86"/>
      <c r="BZ175" s="86"/>
      <c r="CA175" s="86"/>
      <c r="CB175" s="86"/>
      <c r="CC175" s="86"/>
      <c r="CD175" s="86"/>
      <c r="CE175" s="86"/>
      <c r="CF175" s="86"/>
      <c r="CG175" s="86"/>
      <c r="CH175" s="86"/>
      <c r="CI175" s="86"/>
      <c r="CJ175" s="86"/>
      <c r="CK175" s="86"/>
      <c r="CL175" s="86"/>
      <c r="CM175" s="86"/>
      <c r="CN175" s="86"/>
      <c r="CO175" s="86"/>
      <c r="CP175" s="86"/>
      <c r="CQ175" s="86"/>
      <c r="CR175" s="86"/>
      <c r="CS175" s="86"/>
      <c r="CT175" s="86"/>
      <c r="CU175" s="86"/>
      <c r="CV175" s="86"/>
      <c r="CW175" s="86"/>
      <c r="CX175" s="86"/>
      <c r="CY175" s="86"/>
      <c r="CZ175" s="86"/>
      <c r="DA175" s="86"/>
      <c r="DB175" s="86"/>
      <c r="DC175" s="86"/>
      <c r="DD175" s="86"/>
      <c r="DE175" s="86"/>
      <c r="DF175" s="86"/>
      <c r="DG175" s="86"/>
      <c r="DH175" s="86"/>
      <c r="DI175" s="86"/>
      <c r="DJ175" s="86"/>
      <c r="DK175" s="86"/>
      <c r="DL175" s="86"/>
      <c r="DM175" s="86"/>
      <c r="DN175" s="86"/>
      <c r="DO175" s="86"/>
      <c r="DP175" s="86"/>
      <c r="DQ175" s="86"/>
      <c r="DR175" s="86"/>
      <c r="DS175" s="86"/>
      <c r="DT175" s="86"/>
      <c r="DU175" s="86"/>
      <c r="DV175" s="86"/>
      <c r="DW175" s="86"/>
      <c r="DX175" s="86"/>
      <c r="DY175" s="86"/>
      <c r="DZ175" s="86"/>
      <c r="EA175" s="86"/>
      <c r="EB175" s="86"/>
      <c r="EC175" s="86"/>
      <c r="ED175" s="86"/>
      <c r="EE175" s="86"/>
      <c r="EF175" s="86"/>
      <c r="EG175" s="86"/>
      <c r="EH175" s="86"/>
      <c r="EI175" s="86"/>
      <c r="EJ175" s="86"/>
      <c r="EK175" s="86"/>
      <c r="EL175" s="86"/>
      <c r="EM175" s="86"/>
      <c r="EN175" s="86"/>
      <c r="EO175" s="86"/>
      <c r="EP175" s="86"/>
      <c r="EQ175" s="86"/>
      <c r="ER175" s="86"/>
      <c r="ES175" s="86"/>
      <c r="ET175" s="86"/>
      <c r="EU175" s="86"/>
      <c r="EV175" s="86"/>
      <c r="EW175" s="86"/>
      <c r="EX175" s="86"/>
      <c r="EY175" s="86"/>
      <c r="EZ175" s="86"/>
      <c r="FA175" s="86"/>
    </row>
    <row r="176" spans="2:157" ht="10.050000000000001" customHeight="1">
      <c r="B176" s="1343">
        <f>B1</f>
        <v>0</v>
      </c>
      <c r="C176" s="1343"/>
      <c r="D176" s="139" t="str">
        <f>IF(Nutzung!$E$8="","",Nutzung!$E$8)</f>
        <v/>
      </c>
      <c r="E176" s="31"/>
      <c r="F176" s="31"/>
      <c r="G176" s="31"/>
      <c r="H176" s="140" t="s">
        <v>63</v>
      </c>
      <c r="J176" s="101"/>
      <c r="K176" s="101"/>
      <c r="L176" s="101"/>
      <c r="Z176" s="86"/>
      <c r="AA176" s="86"/>
      <c r="AB176" s="86"/>
      <c r="AC176" s="86"/>
      <c r="AD176" s="86"/>
      <c r="AE176" s="86"/>
      <c r="AF176" s="86"/>
      <c r="AG176" s="86"/>
      <c r="AH176" s="86"/>
      <c r="AI176" s="86"/>
      <c r="AJ176" s="86"/>
      <c r="AK176" s="86"/>
      <c r="AL176" s="86"/>
      <c r="AM176" s="86"/>
      <c r="AN176" s="86"/>
      <c r="AO176" s="86"/>
      <c r="AP176" s="86"/>
      <c r="AQ176" s="86"/>
      <c r="AR176" s="86"/>
      <c r="AS176" s="86"/>
      <c r="AT176" s="86"/>
      <c r="AU176" s="86"/>
      <c r="AV176" s="86"/>
      <c r="AW176" s="86"/>
      <c r="AX176" s="86"/>
      <c r="AY176" s="86"/>
      <c r="AZ176" s="86"/>
      <c r="BA176" s="86"/>
      <c r="BB176" s="86"/>
      <c r="BC176" s="86"/>
      <c r="BD176" s="86"/>
      <c r="BE176" s="86"/>
      <c r="BF176" s="86"/>
      <c r="BG176" s="86"/>
      <c r="BH176" s="86"/>
      <c r="BI176" s="86"/>
      <c r="BJ176" s="86"/>
      <c r="BK176" s="86"/>
      <c r="BL176" s="86"/>
      <c r="BM176" s="86"/>
      <c r="BN176" s="86"/>
      <c r="BO176" s="86"/>
      <c r="BP176" s="86"/>
      <c r="BQ176" s="86"/>
      <c r="BR176" s="86"/>
      <c r="BS176" s="86"/>
      <c r="BT176" s="86"/>
      <c r="BU176" s="86"/>
      <c r="BV176" s="86"/>
      <c r="BW176" s="86"/>
      <c r="BX176" s="86"/>
      <c r="BY176" s="86"/>
      <c r="BZ176" s="86"/>
      <c r="CA176" s="86"/>
      <c r="CB176" s="86"/>
      <c r="CC176" s="86"/>
      <c r="CD176" s="86"/>
      <c r="CE176" s="86"/>
      <c r="CF176" s="86"/>
      <c r="CG176" s="86"/>
      <c r="CH176" s="86"/>
      <c r="CI176" s="86"/>
      <c r="CJ176" s="86"/>
      <c r="CK176" s="86"/>
      <c r="CL176" s="86"/>
      <c r="CM176" s="86"/>
      <c r="CN176" s="86"/>
      <c r="CO176" s="86"/>
      <c r="CP176" s="86"/>
      <c r="CQ176" s="86"/>
      <c r="CR176" s="86"/>
      <c r="CS176" s="86"/>
      <c r="CT176" s="86"/>
      <c r="CU176" s="86"/>
      <c r="CV176" s="86"/>
      <c r="CW176" s="86"/>
      <c r="CX176" s="86"/>
      <c r="CY176" s="86"/>
      <c r="CZ176" s="86"/>
      <c r="DA176" s="86"/>
      <c r="DB176" s="86"/>
      <c r="DC176" s="86"/>
      <c r="DD176" s="86"/>
      <c r="DE176" s="86"/>
      <c r="DF176" s="86"/>
      <c r="DG176" s="86"/>
      <c r="DH176" s="86"/>
      <c r="DI176" s="86"/>
      <c r="DJ176" s="86"/>
      <c r="DK176" s="86"/>
      <c r="DL176" s="86"/>
      <c r="DM176" s="86"/>
      <c r="DN176" s="86"/>
      <c r="DO176" s="86"/>
      <c r="DP176" s="86"/>
      <c r="DQ176" s="86"/>
      <c r="DR176" s="86"/>
      <c r="DS176" s="86"/>
      <c r="DT176" s="86"/>
      <c r="DU176" s="86"/>
      <c r="DV176" s="86"/>
      <c r="DW176" s="86"/>
      <c r="DX176" s="86"/>
      <c r="DY176" s="86"/>
      <c r="DZ176" s="86"/>
      <c r="EA176" s="86"/>
      <c r="EB176" s="86"/>
      <c r="EC176" s="86"/>
      <c r="ED176" s="86"/>
      <c r="EE176" s="86"/>
      <c r="EF176" s="86"/>
      <c r="EG176" s="86"/>
      <c r="EH176" s="86"/>
      <c r="EI176" s="86"/>
      <c r="EJ176" s="86"/>
      <c r="EK176" s="86"/>
      <c r="EL176" s="86"/>
      <c r="EM176" s="86"/>
      <c r="EN176" s="86"/>
      <c r="EO176" s="86"/>
      <c r="EP176" s="86"/>
      <c r="EQ176" s="86"/>
      <c r="ER176" s="86"/>
      <c r="ES176" s="86"/>
      <c r="ET176" s="86"/>
      <c r="EU176" s="86"/>
      <c r="EV176" s="86"/>
      <c r="EW176" s="86"/>
      <c r="EX176" s="86"/>
      <c r="EY176" s="86"/>
      <c r="EZ176" s="86"/>
      <c r="FA176" s="86"/>
    </row>
    <row r="177" spans="2:157" ht="10.050000000000001" customHeight="1">
      <c r="C177" s="31"/>
      <c r="D177" s="25"/>
      <c r="E177" s="31"/>
      <c r="F177" s="31"/>
      <c r="G177" s="31"/>
      <c r="H177" s="138"/>
      <c r="J177" s="101"/>
      <c r="K177" s="101"/>
      <c r="L177" s="101"/>
      <c r="Z177" s="86"/>
      <c r="AA177" s="86"/>
      <c r="AB177" s="86"/>
      <c r="AC177" s="86"/>
      <c r="AD177" s="86"/>
      <c r="AE177" s="86"/>
      <c r="AF177" s="86"/>
      <c r="AG177" s="86"/>
      <c r="AH177" s="86"/>
      <c r="AI177" s="86"/>
      <c r="AJ177" s="86"/>
      <c r="AK177" s="86"/>
      <c r="AL177" s="86"/>
      <c r="AM177" s="86"/>
      <c r="AN177" s="86"/>
      <c r="AO177" s="86"/>
      <c r="AP177" s="86"/>
      <c r="AQ177" s="86"/>
      <c r="AR177" s="86"/>
      <c r="AS177" s="86"/>
      <c r="AT177" s="86"/>
      <c r="AU177" s="86"/>
      <c r="AV177" s="86"/>
      <c r="AW177" s="86"/>
      <c r="AX177" s="86"/>
      <c r="AY177" s="86"/>
      <c r="AZ177" s="86"/>
      <c r="BA177" s="86"/>
      <c r="BB177" s="86"/>
      <c r="BC177" s="86"/>
      <c r="BD177" s="86"/>
      <c r="BE177" s="86"/>
      <c r="BF177" s="86"/>
      <c r="BG177" s="86"/>
      <c r="BH177" s="86"/>
      <c r="BI177" s="86"/>
      <c r="BJ177" s="86"/>
      <c r="BK177" s="86"/>
      <c r="BL177" s="86"/>
      <c r="BM177" s="86"/>
      <c r="BN177" s="86"/>
      <c r="BO177" s="86"/>
      <c r="BP177" s="86"/>
      <c r="BQ177" s="86"/>
      <c r="BR177" s="86"/>
      <c r="BS177" s="86"/>
      <c r="BT177" s="86"/>
      <c r="BU177" s="86"/>
      <c r="BV177" s="86"/>
      <c r="BW177" s="86"/>
      <c r="BX177" s="86"/>
      <c r="BY177" s="86"/>
      <c r="BZ177" s="86"/>
      <c r="CA177" s="86"/>
      <c r="CB177" s="86"/>
      <c r="CC177" s="86"/>
      <c r="CD177" s="86"/>
      <c r="CE177" s="86"/>
      <c r="CF177" s="86"/>
      <c r="CG177" s="86"/>
      <c r="CH177" s="86"/>
      <c r="CI177" s="86"/>
      <c r="CJ177" s="86"/>
      <c r="CK177" s="86"/>
      <c r="CL177" s="86"/>
      <c r="CM177" s="86"/>
      <c r="CN177" s="86"/>
      <c r="CO177" s="86"/>
      <c r="CP177" s="86"/>
      <c r="CQ177" s="86"/>
      <c r="CR177" s="86"/>
      <c r="CS177" s="86"/>
      <c r="CT177" s="86"/>
      <c r="CU177" s="86"/>
      <c r="CV177" s="86"/>
      <c r="CW177" s="86"/>
      <c r="CX177" s="86"/>
      <c r="CY177" s="86"/>
      <c r="CZ177" s="86"/>
      <c r="DA177" s="86"/>
      <c r="DB177" s="86"/>
      <c r="DC177" s="86"/>
      <c r="DD177" s="86"/>
      <c r="DE177" s="86"/>
      <c r="DF177" s="86"/>
      <c r="DG177" s="86"/>
      <c r="DH177" s="86"/>
      <c r="DI177" s="86"/>
      <c r="DJ177" s="86"/>
      <c r="DK177" s="86"/>
      <c r="DL177" s="86"/>
      <c r="DM177" s="86"/>
      <c r="DN177" s="86"/>
      <c r="DO177" s="86"/>
      <c r="DP177" s="86"/>
      <c r="DQ177" s="86"/>
      <c r="DR177" s="86"/>
      <c r="DS177" s="86"/>
      <c r="DT177" s="86"/>
      <c r="DU177" s="86"/>
      <c r="DV177" s="86"/>
      <c r="DW177" s="86"/>
      <c r="DX177" s="86"/>
      <c r="DY177" s="86"/>
      <c r="DZ177" s="86"/>
      <c r="EA177" s="86"/>
      <c r="EB177" s="86"/>
      <c r="EC177" s="86"/>
      <c r="ED177" s="86"/>
      <c r="EE177" s="86"/>
      <c r="EF177" s="86"/>
      <c r="EG177" s="86"/>
      <c r="EH177" s="86"/>
      <c r="EI177" s="86"/>
      <c r="EJ177" s="86"/>
      <c r="EK177" s="86"/>
      <c r="EL177" s="86"/>
      <c r="EM177" s="86"/>
      <c r="EN177" s="86"/>
      <c r="EO177" s="86"/>
      <c r="EP177" s="86"/>
      <c r="EQ177" s="86"/>
      <c r="ER177" s="86"/>
      <c r="ES177" s="86"/>
      <c r="ET177" s="86"/>
      <c r="EU177" s="86"/>
      <c r="EV177" s="86"/>
      <c r="EW177" s="86"/>
      <c r="EX177" s="86"/>
      <c r="EY177" s="86"/>
      <c r="EZ177" s="86"/>
      <c r="FA177" s="86"/>
    </row>
    <row r="178" spans="2:157" ht="10.050000000000001" customHeight="1">
      <c r="C178" s="31"/>
      <c r="D178" s="25"/>
      <c r="E178" s="31"/>
      <c r="F178" s="31"/>
      <c r="G178" s="31"/>
      <c r="H178" s="138"/>
      <c r="J178" s="101"/>
      <c r="K178" s="101"/>
      <c r="L178" s="101"/>
      <c r="Z178" s="86"/>
      <c r="AA178" s="86"/>
      <c r="AB178" s="86"/>
      <c r="AC178" s="86"/>
      <c r="AD178" s="86"/>
      <c r="AE178" s="86"/>
      <c r="AF178" s="86"/>
      <c r="AG178" s="86"/>
      <c r="AH178" s="86"/>
      <c r="AI178" s="86"/>
      <c r="AJ178" s="86"/>
      <c r="AK178" s="86"/>
      <c r="AL178" s="86"/>
      <c r="AM178" s="86"/>
      <c r="AN178" s="86"/>
      <c r="AO178" s="86"/>
      <c r="AP178" s="86"/>
      <c r="AQ178" s="86"/>
      <c r="AR178" s="86"/>
      <c r="AS178" s="86"/>
      <c r="AT178" s="86"/>
      <c r="AU178" s="86"/>
      <c r="AV178" s="86"/>
      <c r="AW178" s="86"/>
      <c r="AX178" s="86"/>
      <c r="AY178" s="86"/>
      <c r="AZ178" s="86"/>
      <c r="BA178" s="86"/>
      <c r="BB178" s="86"/>
      <c r="BC178" s="86"/>
      <c r="BD178" s="86"/>
      <c r="BE178" s="86"/>
      <c r="BF178" s="86"/>
      <c r="BG178" s="86"/>
      <c r="BH178" s="86"/>
      <c r="BI178" s="86"/>
      <c r="BJ178" s="86"/>
      <c r="BK178" s="86"/>
      <c r="BL178" s="86"/>
      <c r="BM178" s="86"/>
      <c r="BN178" s="86"/>
      <c r="BO178" s="86"/>
      <c r="BP178" s="86"/>
      <c r="BQ178" s="86"/>
      <c r="BR178" s="86"/>
      <c r="BS178" s="86"/>
      <c r="BT178" s="86"/>
      <c r="BU178" s="86"/>
      <c r="BV178" s="86"/>
      <c r="BW178" s="86"/>
      <c r="BX178" s="86"/>
      <c r="BY178" s="86"/>
      <c r="BZ178" s="86"/>
      <c r="CA178" s="86"/>
      <c r="CB178" s="86"/>
      <c r="CC178" s="86"/>
      <c r="CD178" s="86"/>
      <c r="CE178" s="86"/>
      <c r="CF178" s="86"/>
      <c r="CG178" s="86"/>
      <c r="CH178" s="86"/>
      <c r="CI178" s="86"/>
      <c r="CJ178" s="86"/>
      <c r="CK178" s="86"/>
      <c r="CL178" s="86"/>
      <c r="CM178" s="86"/>
      <c r="CN178" s="86"/>
      <c r="CO178" s="86"/>
      <c r="CP178" s="86"/>
      <c r="CQ178" s="86"/>
      <c r="CR178" s="86"/>
      <c r="CS178" s="86"/>
      <c r="CT178" s="86"/>
      <c r="CU178" s="86"/>
      <c r="CV178" s="86"/>
      <c r="CW178" s="86"/>
      <c r="CX178" s="86"/>
      <c r="CY178" s="86"/>
      <c r="CZ178" s="86"/>
      <c r="DA178" s="86"/>
      <c r="DB178" s="86"/>
      <c r="DC178" s="86"/>
      <c r="DD178" s="86"/>
      <c r="DE178" s="86"/>
      <c r="DF178" s="86"/>
      <c r="DG178" s="86"/>
      <c r="DH178" s="86"/>
      <c r="DI178" s="86"/>
      <c r="DJ178" s="86"/>
      <c r="DK178" s="86"/>
      <c r="DL178" s="86"/>
      <c r="DM178" s="86"/>
      <c r="DN178" s="86"/>
      <c r="DO178" s="86"/>
      <c r="DP178" s="86"/>
      <c r="DQ178" s="86"/>
      <c r="DR178" s="86"/>
      <c r="DS178" s="86"/>
      <c r="DT178" s="86"/>
      <c r="DU178" s="86"/>
      <c r="DV178" s="86"/>
      <c r="DW178" s="86"/>
      <c r="DX178" s="86"/>
      <c r="DY178" s="86"/>
      <c r="DZ178" s="86"/>
      <c r="EA178" s="86"/>
      <c r="EB178" s="86"/>
      <c r="EC178" s="86"/>
      <c r="ED178" s="86"/>
      <c r="EE178" s="86"/>
      <c r="EF178" s="86"/>
      <c r="EG178" s="86"/>
      <c r="EH178" s="86"/>
      <c r="EI178" s="86"/>
      <c r="EJ178" s="86"/>
      <c r="EK178" s="86"/>
      <c r="EL178" s="86"/>
      <c r="EM178" s="86"/>
      <c r="EN178" s="86"/>
      <c r="EO178" s="86"/>
      <c r="EP178" s="86"/>
      <c r="EQ178" s="86"/>
      <c r="ER178" s="86"/>
      <c r="ES178" s="86"/>
      <c r="ET178" s="86"/>
      <c r="EU178" s="86"/>
      <c r="EV178" s="86"/>
      <c r="EW178" s="86"/>
      <c r="EX178" s="86"/>
      <c r="EY178" s="86"/>
      <c r="EZ178" s="86"/>
      <c r="FA178" s="86"/>
    </row>
    <row r="179" spans="2:157" ht="18" customHeight="1">
      <c r="C179" s="31"/>
      <c r="D179" s="25"/>
      <c r="E179" s="31"/>
      <c r="F179" s="31"/>
      <c r="G179" s="31"/>
      <c r="H179" s="138"/>
      <c r="J179" s="101"/>
      <c r="K179" s="101"/>
      <c r="L179" s="101"/>
      <c r="Z179" s="86"/>
      <c r="AA179" s="86"/>
      <c r="AB179" s="86"/>
      <c r="AC179" s="86"/>
      <c r="AD179" s="86"/>
      <c r="AE179" s="86"/>
      <c r="AF179" s="86"/>
      <c r="AG179" s="86"/>
      <c r="AH179" s="86"/>
      <c r="AI179" s="86"/>
      <c r="AJ179" s="86"/>
      <c r="AK179" s="86"/>
      <c r="AL179" s="86"/>
      <c r="AM179" s="86"/>
      <c r="AN179" s="86"/>
      <c r="AO179" s="86"/>
      <c r="AP179" s="86"/>
      <c r="AQ179" s="86"/>
      <c r="AR179" s="86"/>
      <c r="AS179" s="86"/>
      <c r="AT179" s="86"/>
      <c r="AU179" s="86"/>
      <c r="AV179" s="86"/>
      <c r="AW179" s="86"/>
      <c r="AX179" s="86"/>
      <c r="AY179" s="86"/>
      <c r="AZ179" s="86"/>
      <c r="BA179" s="86"/>
      <c r="BB179" s="86"/>
      <c r="BC179" s="86"/>
      <c r="BD179" s="86"/>
      <c r="BE179" s="86"/>
      <c r="BF179" s="86"/>
      <c r="BG179" s="86"/>
      <c r="BH179" s="86"/>
      <c r="BI179" s="86"/>
      <c r="BJ179" s="86"/>
      <c r="BK179" s="86"/>
      <c r="BL179" s="86"/>
      <c r="BM179" s="86"/>
      <c r="BN179" s="86"/>
      <c r="BO179" s="86"/>
      <c r="BP179" s="86"/>
      <c r="BQ179" s="86"/>
      <c r="BR179" s="86"/>
      <c r="BS179" s="86"/>
      <c r="BT179" s="86"/>
      <c r="BU179" s="86"/>
      <c r="BV179" s="86"/>
      <c r="BW179" s="86"/>
      <c r="BX179" s="86"/>
      <c r="BY179" s="86"/>
      <c r="BZ179" s="86"/>
      <c r="CA179" s="86"/>
      <c r="CB179" s="86"/>
      <c r="CC179" s="86"/>
      <c r="CD179" s="86"/>
      <c r="CE179" s="86"/>
      <c r="CF179" s="86"/>
      <c r="CG179" s="86"/>
      <c r="CH179" s="86"/>
      <c r="CI179" s="86"/>
      <c r="CJ179" s="86"/>
      <c r="CK179" s="86"/>
      <c r="CL179" s="86"/>
      <c r="CM179" s="86"/>
      <c r="CN179" s="86"/>
      <c r="CO179" s="86"/>
      <c r="CP179" s="86"/>
      <c r="CQ179" s="86"/>
      <c r="CR179" s="86"/>
      <c r="CS179" s="86"/>
      <c r="CT179" s="86"/>
      <c r="CU179" s="86"/>
      <c r="CV179" s="86"/>
      <c r="CW179" s="86"/>
      <c r="CX179" s="86"/>
      <c r="CY179" s="86"/>
      <c r="CZ179" s="86"/>
      <c r="DA179" s="86"/>
      <c r="DB179" s="86"/>
      <c r="DC179" s="86"/>
      <c r="DD179" s="86"/>
      <c r="DE179" s="86"/>
      <c r="DF179" s="86"/>
      <c r="DG179" s="86"/>
      <c r="DH179" s="86"/>
      <c r="DI179" s="86"/>
      <c r="DJ179" s="86"/>
      <c r="DK179" s="86"/>
      <c r="DL179" s="86"/>
      <c r="DM179" s="86"/>
      <c r="DN179" s="86"/>
      <c r="DO179" s="86"/>
      <c r="DP179" s="86"/>
      <c r="DQ179" s="86"/>
      <c r="DR179" s="86"/>
      <c r="DS179" s="86"/>
      <c r="DT179" s="86"/>
      <c r="DU179" s="86"/>
      <c r="DV179" s="86"/>
      <c r="DW179" s="86"/>
      <c r="DX179" s="86"/>
      <c r="DY179" s="86"/>
      <c r="DZ179" s="86"/>
      <c r="EA179" s="86"/>
      <c r="EB179" s="86"/>
      <c r="EC179" s="86"/>
      <c r="ED179" s="86"/>
      <c r="EE179" s="86"/>
      <c r="EF179" s="86"/>
      <c r="EG179" s="86"/>
      <c r="EH179" s="86"/>
      <c r="EI179" s="86"/>
      <c r="EJ179" s="86"/>
      <c r="EK179" s="86"/>
      <c r="EL179" s="86"/>
      <c r="EM179" s="86"/>
      <c r="EN179" s="86"/>
      <c r="EO179" s="86"/>
      <c r="EP179" s="86"/>
      <c r="EQ179" s="86"/>
      <c r="ER179" s="86"/>
      <c r="ES179" s="86"/>
      <c r="ET179" s="86"/>
      <c r="EU179" s="86"/>
      <c r="EV179" s="86"/>
      <c r="EW179" s="86"/>
      <c r="EX179" s="86"/>
      <c r="EY179" s="86"/>
      <c r="EZ179" s="86"/>
      <c r="FA179" s="86"/>
    </row>
    <row r="180" spans="2:157" ht="10.050000000000001" customHeight="1">
      <c r="B180" s="31"/>
      <c r="C180" s="31"/>
      <c r="D180" s="31"/>
      <c r="E180" s="31"/>
      <c r="F180" s="31"/>
      <c r="G180" s="31"/>
      <c r="H180" s="31"/>
      <c r="J180" s="101"/>
      <c r="K180" s="101"/>
      <c r="L180" s="101"/>
      <c r="Z180" s="86"/>
      <c r="AA180" s="86"/>
      <c r="AB180" s="86"/>
      <c r="AC180" s="86"/>
      <c r="AD180" s="86"/>
      <c r="AE180" s="86"/>
      <c r="AF180" s="86"/>
      <c r="AG180" s="86"/>
      <c r="AH180" s="86"/>
      <c r="AI180" s="86"/>
      <c r="AJ180" s="86"/>
      <c r="AK180" s="86"/>
      <c r="AL180" s="86"/>
      <c r="AM180" s="86"/>
      <c r="AN180" s="86"/>
      <c r="AO180" s="86"/>
      <c r="AP180" s="86"/>
      <c r="AQ180" s="86"/>
      <c r="AR180" s="86"/>
      <c r="AS180" s="86"/>
      <c r="AT180" s="86"/>
      <c r="AU180" s="86"/>
      <c r="AV180" s="86"/>
      <c r="AW180" s="86"/>
      <c r="AX180" s="86"/>
      <c r="AY180" s="86"/>
      <c r="AZ180" s="86"/>
      <c r="BA180" s="86"/>
      <c r="BB180" s="86"/>
      <c r="BC180" s="86"/>
      <c r="BD180" s="86"/>
      <c r="BE180" s="86"/>
      <c r="BF180" s="86"/>
      <c r="BG180" s="86"/>
      <c r="BH180" s="86"/>
      <c r="BI180" s="86"/>
      <c r="BJ180" s="86"/>
      <c r="BK180" s="86"/>
      <c r="BL180" s="86"/>
      <c r="BM180" s="86"/>
      <c r="BN180" s="86"/>
      <c r="BO180" s="86"/>
      <c r="BP180" s="86"/>
      <c r="BQ180" s="86"/>
      <c r="BR180" s="86"/>
      <c r="BS180" s="86"/>
      <c r="BT180" s="86"/>
      <c r="BU180" s="86"/>
      <c r="BV180" s="86"/>
      <c r="BW180" s="86"/>
      <c r="BX180" s="86"/>
      <c r="BY180" s="86"/>
      <c r="BZ180" s="86"/>
      <c r="CA180" s="86"/>
      <c r="CB180" s="86"/>
      <c r="CC180" s="86"/>
      <c r="CD180" s="86"/>
      <c r="CE180" s="86"/>
      <c r="CF180" s="86"/>
      <c r="CG180" s="86"/>
      <c r="CH180" s="86"/>
      <c r="CI180" s="86"/>
      <c r="CJ180" s="86"/>
      <c r="CK180" s="86"/>
      <c r="CL180" s="86"/>
      <c r="CM180" s="86"/>
      <c r="CN180" s="86"/>
      <c r="CO180" s="86"/>
      <c r="CP180" s="86"/>
      <c r="CQ180" s="86"/>
      <c r="CR180" s="86"/>
      <c r="CS180" s="86"/>
      <c r="CT180" s="86"/>
      <c r="CU180" s="86"/>
      <c r="CV180" s="86"/>
      <c r="CW180" s="86"/>
      <c r="CX180" s="86"/>
      <c r="CY180" s="86"/>
      <c r="CZ180" s="86"/>
      <c r="DA180" s="86"/>
      <c r="DB180" s="86"/>
      <c r="DC180" s="86"/>
      <c r="DD180" s="86"/>
      <c r="DE180" s="86"/>
      <c r="DF180" s="86"/>
      <c r="DG180" s="86"/>
      <c r="DH180" s="86"/>
      <c r="DI180" s="86"/>
      <c r="DJ180" s="86"/>
      <c r="DK180" s="86"/>
      <c r="DL180" s="86"/>
      <c r="DM180" s="86"/>
      <c r="DN180" s="86"/>
      <c r="DO180" s="86"/>
      <c r="DP180" s="86"/>
      <c r="DQ180" s="86"/>
      <c r="DR180" s="86"/>
      <c r="DS180" s="86"/>
      <c r="DT180" s="86"/>
      <c r="DU180" s="86"/>
      <c r="DV180" s="86"/>
      <c r="DW180" s="86"/>
      <c r="DX180" s="86"/>
      <c r="DY180" s="86"/>
      <c r="DZ180" s="86"/>
      <c r="EA180" s="86"/>
      <c r="EB180" s="86"/>
      <c r="EC180" s="86"/>
      <c r="ED180" s="86"/>
      <c r="EE180" s="86"/>
      <c r="EF180" s="86"/>
      <c r="EG180" s="86"/>
      <c r="EH180" s="86"/>
      <c r="EI180" s="86"/>
      <c r="EJ180" s="86"/>
      <c r="EK180" s="86"/>
      <c r="EL180" s="86"/>
      <c r="EM180" s="86"/>
      <c r="EN180" s="86"/>
      <c r="EO180" s="86"/>
      <c r="EP180" s="86"/>
      <c r="EQ180" s="86"/>
      <c r="ER180" s="86"/>
      <c r="ES180" s="86"/>
      <c r="ET180" s="86"/>
      <c r="EU180" s="86"/>
      <c r="EV180" s="86"/>
      <c r="EW180" s="86"/>
      <c r="EX180" s="86"/>
      <c r="EY180" s="86"/>
      <c r="EZ180" s="86"/>
      <c r="FA180" s="86"/>
    </row>
    <row r="181" spans="2:157" ht="10.050000000000001" customHeight="1">
      <c r="B181" s="31"/>
      <c r="C181" s="31"/>
      <c r="D181" s="31"/>
      <c r="E181" s="31"/>
      <c r="F181" s="31"/>
      <c r="G181" s="31"/>
      <c r="H181" s="31"/>
      <c r="J181" s="101"/>
      <c r="K181" s="101"/>
      <c r="L181" s="101"/>
      <c r="Z181" s="86"/>
      <c r="AA181" s="86"/>
      <c r="AB181" s="86"/>
      <c r="AC181" s="86"/>
      <c r="AD181" s="86"/>
      <c r="AE181" s="86"/>
      <c r="AF181" s="86"/>
      <c r="AG181" s="86"/>
      <c r="AH181" s="86"/>
      <c r="AI181" s="86"/>
      <c r="AJ181" s="86"/>
      <c r="AK181" s="86"/>
      <c r="AL181" s="86"/>
      <c r="AM181" s="86"/>
      <c r="AN181" s="86"/>
      <c r="AO181" s="86"/>
      <c r="AP181" s="86"/>
      <c r="AQ181" s="86"/>
      <c r="AR181" s="86"/>
      <c r="AS181" s="86"/>
      <c r="AT181" s="86"/>
      <c r="AU181" s="86"/>
      <c r="AV181" s="86"/>
      <c r="AW181" s="86"/>
      <c r="AX181" s="86"/>
      <c r="AY181" s="86"/>
      <c r="AZ181" s="86"/>
      <c r="BA181" s="86"/>
      <c r="BB181" s="86"/>
      <c r="BC181" s="86"/>
      <c r="BD181" s="86"/>
      <c r="BE181" s="86"/>
      <c r="BF181" s="86"/>
      <c r="BG181" s="86"/>
      <c r="BH181" s="86"/>
      <c r="BI181" s="86"/>
      <c r="BJ181" s="86"/>
      <c r="BK181" s="86"/>
      <c r="BL181" s="86"/>
      <c r="BM181" s="86"/>
      <c r="BN181" s="86"/>
      <c r="BO181" s="86"/>
      <c r="BP181" s="86"/>
      <c r="BQ181" s="86"/>
      <c r="BR181" s="86"/>
      <c r="BS181" s="86"/>
      <c r="BT181" s="86"/>
      <c r="BU181" s="86"/>
      <c r="BV181" s="86"/>
      <c r="BW181" s="86"/>
      <c r="BX181" s="86"/>
      <c r="BY181" s="86"/>
      <c r="BZ181" s="86"/>
      <c r="CA181" s="86"/>
      <c r="CB181" s="86"/>
      <c r="CC181" s="86"/>
      <c r="CD181" s="86"/>
      <c r="CE181" s="86"/>
      <c r="CF181" s="86"/>
      <c r="CG181" s="86"/>
      <c r="CH181" s="86"/>
      <c r="CI181" s="86"/>
      <c r="CJ181" s="86"/>
      <c r="CK181" s="86"/>
      <c r="CL181" s="86"/>
      <c r="CM181" s="86"/>
      <c r="CN181" s="86"/>
      <c r="CO181" s="86"/>
      <c r="CP181" s="86"/>
      <c r="CQ181" s="86"/>
      <c r="CR181" s="86"/>
      <c r="CS181" s="86"/>
      <c r="CT181" s="86"/>
      <c r="CU181" s="86"/>
      <c r="CV181" s="86"/>
      <c r="CW181" s="86"/>
      <c r="CX181" s="86"/>
      <c r="CY181" s="86"/>
      <c r="CZ181" s="86"/>
      <c r="DA181" s="86"/>
      <c r="DB181" s="86"/>
      <c r="DC181" s="86"/>
      <c r="DD181" s="86"/>
      <c r="DE181" s="86"/>
      <c r="DF181" s="86"/>
      <c r="DG181" s="86"/>
      <c r="DH181" s="86"/>
      <c r="DI181" s="86"/>
      <c r="DJ181" s="86"/>
      <c r="DK181" s="86"/>
      <c r="DL181" s="86"/>
      <c r="DM181" s="86"/>
      <c r="DN181" s="86"/>
      <c r="DO181" s="86"/>
      <c r="DP181" s="86"/>
      <c r="DQ181" s="86"/>
      <c r="DR181" s="86"/>
      <c r="DS181" s="86"/>
      <c r="DT181" s="86"/>
      <c r="DU181" s="86"/>
      <c r="DV181" s="86"/>
      <c r="DW181" s="86"/>
      <c r="DX181" s="86"/>
      <c r="DY181" s="86"/>
      <c r="DZ181" s="86"/>
      <c r="EA181" s="86"/>
      <c r="EB181" s="86"/>
      <c r="EC181" s="86"/>
      <c r="ED181" s="86"/>
      <c r="EE181" s="86"/>
      <c r="EF181" s="86"/>
      <c r="EG181" s="86"/>
      <c r="EH181" s="86"/>
      <c r="EI181" s="86"/>
      <c r="EJ181" s="86"/>
      <c r="EK181" s="86"/>
      <c r="EL181" s="86"/>
      <c r="EM181" s="86"/>
      <c r="EN181" s="86"/>
      <c r="EO181" s="86"/>
      <c r="EP181" s="86"/>
      <c r="EQ181" s="86"/>
      <c r="ER181" s="86"/>
      <c r="ES181" s="86"/>
      <c r="ET181" s="86"/>
      <c r="EU181" s="86"/>
      <c r="EV181" s="86"/>
      <c r="EW181" s="86"/>
      <c r="EX181" s="86"/>
      <c r="EY181" s="86"/>
      <c r="EZ181" s="86"/>
      <c r="FA181" s="86"/>
    </row>
    <row r="182" spans="2:157" ht="10.95" customHeight="1">
      <c r="B182" s="1347" t="s">
        <v>510</v>
      </c>
      <c r="C182" s="1348"/>
      <c r="D182" s="1345"/>
      <c r="E182" s="1346"/>
      <c r="F182" s="842"/>
      <c r="G182" s="837" t="s">
        <v>4</v>
      </c>
      <c r="H182" s="856"/>
      <c r="J182" s="101"/>
      <c r="K182" s="101"/>
      <c r="L182" s="101"/>
      <c r="Z182" s="86"/>
      <c r="AA182" s="86"/>
      <c r="AB182" s="86"/>
      <c r="AC182" s="86"/>
      <c r="AD182" s="86"/>
      <c r="AE182" s="86"/>
      <c r="AF182" s="86"/>
      <c r="AG182" s="86"/>
      <c r="AH182" s="86"/>
      <c r="AI182" s="86"/>
      <c r="AJ182" s="86"/>
      <c r="AK182" s="86"/>
      <c r="AL182" s="86"/>
      <c r="AM182" s="86"/>
      <c r="AN182" s="86"/>
      <c r="AO182" s="86"/>
      <c r="AP182" s="86"/>
      <c r="AQ182" s="86"/>
      <c r="AR182" s="86"/>
      <c r="AS182" s="86"/>
      <c r="AT182" s="86"/>
      <c r="AU182" s="86"/>
      <c r="AV182" s="86"/>
      <c r="AW182" s="86"/>
      <c r="AX182" s="86"/>
      <c r="AY182" s="86"/>
      <c r="AZ182" s="86"/>
      <c r="BA182" s="86"/>
      <c r="BB182" s="86"/>
      <c r="BC182" s="86"/>
      <c r="BD182" s="86"/>
      <c r="BE182" s="86"/>
      <c r="BF182" s="86"/>
      <c r="BG182" s="86"/>
      <c r="BH182" s="86"/>
      <c r="BI182" s="86"/>
      <c r="BJ182" s="86"/>
      <c r="BK182" s="86"/>
      <c r="BL182" s="86"/>
      <c r="BM182" s="86"/>
      <c r="BN182" s="86"/>
      <c r="BO182" s="86"/>
      <c r="BP182" s="86"/>
      <c r="BQ182" s="86"/>
      <c r="BR182" s="86"/>
      <c r="BS182" s="86"/>
      <c r="BT182" s="86"/>
      <c r="BU182" s="86"/>
      <c r="BV182" s="86"/>
      <c r="BW182" s="86"/>
      <c r="BX182" s="86"/>
      <c r="BY182" s="86"/>
      <c r="BZ182" s="86"/>
      <c r="CA182" s="86"/>
      <c r="CB182" s="86"/>
      <c r="CC182" s="86"/>
      <c r="CD182" s="86"/>
      <c r="CE182" s="86"/>
      <c r="CF182" s="86"/>
      <c r="CG182" s="86"/>
      <c r="CH182" s="86"/>
      <c r="CI182" s="86"/>
      <c r="CJ182" s="86"/>
      <c r="CK182" s="86"/>
      <c r="CL182" s="86"/>
      <c r="CM182" s="86"/>
      <c r="CN182" s="86"/>
      <c r="CO182" s="86"/>
      <c r="CP182" s="86"/>
      <c r="CQ182" s="86"/>
      <c r="CR182" s="86"/>
      <c r="CS182" s="86"/>
      <c r="CT182" s="86"/>
      <c r="CU182" s="86"/>
      <c r="CV182" s="86"/>
      <c r="CW182" s="86"/>
      <c r="CX182" s="86"/>
      <c r="CY182" s="86"/>
      <c r="CZ182" s="86"/>
      <c r="DA182" s="86"/>
      <c r="DB182" s="86"/>
      <c r="DC182" s="86"/>
      <c r="DD182" s="86"/>
      <c r="DE182" s="86"/>
      <c r="DF182" s="86"/>
      <c r="DG182" s="86"/>
      <c r="DH182" s="86"/>
      <c r="DI182" s="86"/>
      <c r="DJ182" s="86"/>
      <c r="DK182" s="86"/>
      <c r="DL182" s="86"/>
      <c r="DM182" s="86"/>
      <c r="DN182" s="86"/>
      <c r="DO182" s="86"/>
      <c r="DP182" s="86"/>
      <c r="DQ182" s="86"/>
      <c r="DR182" s="86"/>
      <c r="DS182" s="86"/>
      <c r="DT182" s="86"/>
      <c r="DU182" s="86"/>
      <c r="DV182" s="86"/>
      <c r="DW182" s="86"/>
      <c r="DX182" s="86"/>
      <c r="DY182" s="86"/>
      <c r="DZ182" s="86"/>
      <c r="EA182" s="86"/>
      <c r="EB182" s="86"/>
      <c r="EC182" s="86"/>
      <c r="ED182" s="86"/>
      <c r="EE182" s="86"/>
      <c r="EF182" s="86"/>
      <c r="EG182" s="86"/>
      <c r="EH182" s="86"/>
      <c r="EI182" s="86"/>
      <c r="EJ182" s="86"/>
      <c r="EK182" s="86"/>
      <c r="EL182" s="86"/>
      <c r="EM182" s="86"/>
      <c r="EN182" s="86"/>
      <c r="EO182" s="86"/>
      <c r="EP182" s="86"/>
      <c r="EQ182" s="86"/>
      <c r="ER182" s="86"/>
      <c r="ES182" s="86"/>
      <c r="ET182" s="86"/>
      <c r="EU182" s="86"/>
      <c r="EV182" s="86"/>
      <c r="EW182" s="86"/>
      <c r="EX182" s="86"/>
      <c r="EY182" s="86"/>
      <c r="EZ182" s="86"/>
      <c r="FA182" s="86"/>
    </row>
    <row r="183" spans="2:157" ht="10.95" customHeight="1">
      <c r="B183" s="1347" t="s">
        <v>582</v>
      </c>
      <c r="C183" s="1349"/>
      <c r="D183" s="1345"/>
      <c r="E183" s="1346"/>
      <c r="F183" s="839"/>
      <c r="G183" s="853" t="s">
        <v>345</v>
      </c>
      <c r="H183" s="854">
        <f>ROUND(1/(SUM(H186:H196)),2)</f>
        <v>5.88</v>
      </c>
      <c r="J183" s="101"/>
      <c r="K183" s="101"/>
      <c r="L183" s="101"/>
      <c r="Z183" s="86"/>
      <c r="AA183" s="86"/>
      <c r="AB183" s="86"/>
      <c r="AC183" s="86"/>
      <c r="AD183" s="86"/>
      <c r="AE183" s="86"/>
      <c r="AF183" s="86"/>
      <c r="AG183" s="86"/>
      <c r="AH183" s="86"/>
      <c r="AI183" s="86"/>
      <c r="AJ183" s="86"/>
      <c r="AK183" s="86"/>
      <c r="AL183" s="86"/>
      <c r="AM183" s="86"/>
      <c r="AN183" s="86"/>
      <c r="AO183" s="86"/>
      <c r="AP183" s="86"/>
      <c r="AQ183" s="86"/>
      <c r="AR183" s="86"/>
      <c r="AS183" s="86"/>
      <c r="AT183" s="86"/>
      <c r="AU183" s="86"/>
      <c r="AV183" s="86"/>
      <c r="AW183" s="86"/>
      <c r="AX183" s="86"/>
      <c r="AY183" s="86"/>
      <c r="AZ183" s="86"/>
      <c r="BA183" s="86"/>
      <c r="BB183" s="86"/>
      <c r="BC183" s="86"/>
      <c r="BD183" s="86"/>
      <c r="BE183" s="86"/>
      <c r="BF183" s="86"/>
      <c r="BG183" s="86"/>
      <c r="BH183" s="86"/>
      <c r="BI183" s="86"/>
      <c r="BJ183" s="86"/>
      <c r="BK183" s="86"/>
      <c r="BL183" s="86"/>
      <c r="BM183" s="86"/>
      <c r="BN183" s="86"/>
      <c r="BO183" s="86"/>
      <c r="BP183" s="86"/>
      <c r="BQ183" s="86"/>
      <c r="BR183" s="86"/>
      <c r="BS183" s="86"/>
      <c r="BT183" s="86"/>
      <c r="BU183" s="86"/>
      <c r="BV183" s="86"/>
      <c r="BW183" s="86"/>
      <c r="BX183" s="86"/>
      <c r="BY183" s="86"/>
      <c r="BZ183" s="86"/>
      <c r="CA183" s="86"/>
      <c r="CB183" s="86"/>
      <c r="CC183" s="86"/>
      <c r="CD183" s="86"/>
      <c r="CE183" s="86"/>
      <c r="CF183" s="86"/>
      <c r="CG183" s="86"/>
      <c r="CH183" s="86"/>
      <c r="CI183" s="86"/>
      <c r="CJ183" s="86"/>
      <c r="CK183" s="86"/>
      <c r="CL183" s="86"/>
      <c r="CM183" s="86"/>
      <c r="CN183" s="86"/>
      <c r="CO183" s="86"/>
      <c r="CP183" s="86"/>
      <c r="CQ183" s="86"/>
      <c r="CR183" s="86"/>
      <c r="CS183" s="86"/>
      <c r="CT183" s="86"/>
      <c r="CU183" s="86"/>
      <c r="CV183" s="86"/>
      <c r="CW183" s="86"/>
      <c r="CX183" s="86"/>
      <c r="CY183" s="86"/>
      <c r="CZ183" s="86"/>
      <c r="DA183" s="86"/>
      <c r="DB183" s="86"/>
      <c r="DC183" s="86"/>
      <c r="DD183" s="86"/>
      <c r="DE183" s="86"/>
      <c r="DF183" s="86"/>
      <c r="DG183" s="86"/>
      <c r="DH183" s="86"/>
      <c r="DI183" s="86"/>
      <c r="DJ183" s="86"/>
      <c r="DK183" s="86"/>
      <c r="DL183" s="86"/>
      <c r="DM183" s="86"/>
      <c r="DN183" s="86"/>
      <c r="DO183" s="86"/>
      <c r="DP183" s="86"/>
      <c r="DQ183" s="86"/>
      <c r="DR183" s="86"/>
      <c r="DS183" s="86"/>
      <c r="DT183" s="86"/>
      <c r="DU183" s="86"/>
      <c r="DV183" s="86"/>
      <c r="DW183" s="86"/>
      <c r="DX183" s="86"/>
      <c r="DY183" s="86"/>
      <c r="DZ183" s="86"/>
      <c r="EA183" s="86"/>
      <c r="EB183" s="86"/>
      <c r="EC183" s="86"/>
      <c r="ED183" s="86"/>
      <c r="EE183" s="86"/>
      <c r="EF183" s="86"/>
      <c r="EG183" s="86"/>
      <c r="EH183" s="86"/>
      <c r="EI183" s="86"/>
      <c r="EJ183" s="86"/>
      <c r="EK183" s="86"/>
      <c r="EL183" s="86"/>
      <c r="EM183" s="86"/>
      <c r="EN183" s="86"/>
      <c r="EO183" s="86"/>
      <c r="EP183" s="86"/>
      <c r="EQ183" s="86"/>
      <c r="ER183" s="86"/>
      <c r="ES183" s="86"/>
      <c r="ET183" s="86"/>
      <c r="EU183" s="86"/>
      <c r="EV183" s="86"/>
      <c r="EW183" s="86"/>
      <c r="EX183" s="86"/>
      <c r="EY183" s="86"/>
      <c r="EZ183" s="86"/>
      <c r="FA183" s="86"/>
    </row>
    <row r="184" spans="2:157" ht="9.75" customHeight="1">
      <c r="B184" s="839"/>
      <c r="C184" s="839"/>
      <c r="D184" s="844"/>
      <c r="E184" s="839"/>
      <c r="F184" s="839"/>
      <c r="G184" s="852"/>
      <c r="H184" s="850"/>
      <c r="J184" s="101"/>
      <c r="K184" s="101"/>
      <c r="L184" s="101"/>
      <c r="Z184" s="86"/>
      <c r="AA184" s="86"/>
      <c r="AB184" s="86"/>
      <c r="AC184" s="86"/>
      <c r="AD184" s="86"/>
      <c r="AE184" s="86"/>
      <c r="AF184" s="86"/>
      <c r="AG184" s="86"/>
      <c r="AH184" s="86"/>
      <c r="AI184" s="86"/>
      <c r="AJ184" s="86"/>
      <c r="AK184" s="86"/>
      <c r="AL184" s="86"/>
      <c r="AM184" s="86"/>
      <c r="AN184" s="86"/>
      <c r="AO184" s="86"/>
      <c r="AP184" s="86"/>
      <c r="AQ184" s="86"/>
      <c r="AR184" s="86"/>
      <c r="AS184" s="86"/>
      <c r="AT184" s="86"/>
      <c r="AU184" s="86"/>
      <c r="AV184" s="86"/>
      <c r="AW184" s="86"/>
      <c r="AX184" s="86"/>
      <c r="AY184" s="86"/>
      <c r="AZ184" s="86"/>
      <c r="BA184" s="86"/>
      <c r="BB184" s="86"/>
      <c r="BC184" s="86"/>
      <c r="BD184" s="86"/>
      <c r="BE184" s="86"/>
      <c r="BF184" s="86"/>
      <c r="BG184" s="86"/>
      <c r="BH184" s="86"/>
      <c r="BI184" s="86"/>
      <c r="BJ184" s="86"/>
      <c r="BK184" s="86"/>
      <c r="BL184" s="86"/>
      <c r="BM184" s="86"/>
      <c r="BN184" s="86"/>
      <c r="BO184" s="86"/>
      <c r="BP184" s="86"/>
      <c r="BQ184" s="86"/>
      <c r="BR184" s="86"/>
      <c r="BS184" s="86"/>
      <c r="BT184" s="86"/>
      <c r="BU184" s="86"/>
      <c r="BV184" s="86"/>
      <c r="BW184" s="86"/>
      <c r="BX184" s="86"/>
      <c r="BY184" s="86"/>
      <c r="BZ184" s="86"/>
      <c r="CA184" s="86"/>
      <c r="CB184" s="86"/>
      <c r="CC184" s="86"/>
      <c r="CD184" s="86"/>
      <c r="CE184" s="86"/>
      <c r="CF184" s="86"/>
      <c r="CG184" s="86"/>
      <c r="CH184" s="86"/>
      <c r="CI184" s="86"/>
      <c r="CJ184" s="86"/>
      <c r="CK184" s="86"/>
      <c r="CL184" s="86"/>
      <c r="CM184" s="86"/>
      <c r="CN184" s="86"/>
      <c r="CO184" s="86"/>
      <c r="CP184" s="86"/>
      <c r="CQ184" s="86"/>
      <c r="CR184" s="86"/>
      <c r="CS184" s="86"/>
      <c r="CT184" s="86"/>
      <c r="CU184" s="86"/>
      <c r="CV184" s="86"/>
      <c r="CW184" s="86"/>
      <c r="CX184" s="86"/>
      <c r="CY184" s="86"/>
      <c r="CZ184" s="86"/>
      <c r="DA184" s="86"/>
      <c r="DB184" s="86"/>
      <c r="DC184" s="86"/>
      <c r="DD184" s="86"/>
      <c r="DE184" s="86"/>
      <c r="DF184" s="86"/>
      <c r="DG184" s="86"/>
      <c r="DH184" s="86"/>
      <c r="DI184" s="86"/>
      <c r="DJ184" s="86"/>
      <c r="DK184" s="86"/>
      <c r="DL184" s="86"/>
      <c r="DM184" s="86"/>
      <c r="DN184" s="86"/>
      <c r="DO184" s="86"/>
      <c r="DP184" s="86"/>
      <c r="DQ184" s="86"/>
      <c r="DR184" s="86"/>
      <c r="DS184" s="86"/>
      <c r="DT184" s="86"/>
      <c r="DU184" s="86"/>
      <c r="DV184" s="86"/>
      <c r="DW184" s="86"/>
      <c r="DX184" s="86"/>
      <c r="DY184" s="86"/>
      <c r="DZ184" s="86"/>
      <c r="EA184" s="86"/>
      <c r="EB184" s="86"/>
      <c r="EC184" s="86"/>
      <c r="ED184" s="86"/>
      <c r="EE184" s="86"/>
      <c r="EF184" s="86"/>
      <c r="EG184" s="86"/>
      <c r="EH184" s="86"/>
      <c r="EI184" s="86"/>
      <c r="EJ184" s="86"/>
      <c r="EK184" s="86"/>
      <c r="EL184" s="86"/>
      <c r="EM184" s="86"/>
      <c r="EN184" s="86"/>
      <c r="EO184" s="86"/>
      <c r="EP184" s="86"/>
      <c r="EQ184" s="86"/>
      <c r="ER184" s="86"/>
      <c r="ES184" s="86"/>
      <c r="ET184" s="86"/>
      <c r="EU184" s="86"/>
      <c r="EV184" s="86"/>
      <c r="EW184" s="86"/>
      <c r="EX184" s="86"/>
      <c r="EY184" s="86"/>
      <c r="EZ184" s="86"/>
      <c r="FA184" s="86"/>
    </row>
    <row r="185" spans="2:157" ht="9.75" customHeight="1">
      <c r="B185" s="844" t="s">
        <v>349</v>
      </c>
      <c r="C185" s="1352" t="s">
        <v>344</v>
      </c>
      <c r="D185" s="1352"/>
      <c r="E185" s="87"/>
      <c r="F185" s="846" t="s">
        <v>170</v>
      </c>
      <c r="G185" s="847" t="s">
        <v>361</v>
      </c>
      <c r="H185" s="846" t="s">
        <v>281</v>
      </c>
      <c r="J185" s="101"/>
      <c r="K185" s="101"/>
      <c r="L185" s="101"/>
      <c r="Z185" s="86"/>
      <c r="AA185" s="86"/>
      <c r="AB185" s="86"/>
      <c r="AC185" s="86"/>
      <c r="AD185" s="86"/>
      <c r="AE185" s="86"/>
      <c r="AF185" s="86"/>
      <c r="AG185" s="86"/>
      <c r="AH185" s="86"/>
      <c r="AI185" s="86"/>
      <c r="AJ185" s="86"/>
      <c r="AK185" s="86"/>
      <c r="AL185" s="86"/>
      <c r="AM185" s="86"/>
      <c r="AN185" s="86"/>
      <c r="AO185" s="86"/>
      <c r="AP185" s="86"/>
      <c r="AQ185" s="86"/>
      <c r="AR185" s="86"/>
      <c r="AS185" s="86"/>
      <c r="AT185" s="86"/>
      <c r="AU185" s="86"/>
      <c r="AV185" s="86"/>
      <c r="AW185" s="86"/>
      <c r="AX185" s="86"/>
      <c r="AY185" s="86"/>
      <c r="AZ185" s="86"/>
      <c r="BA185" s="86"/>
      <c r="BB185" s="86"/>
      <c r="BC185" s="86"/>
      <c r="BD185" s="86"/>
      <c r="BE185" s="86"/>
      <c r="BF185" s="86"/>
      <c r="BG185" s="86"/>
      <c r="BH185" s="86"/>
      <c r="BI185" s="86"/>
      <c r="BJ185" s="86"/>
      <c r="BK185" s="86"/>
      <c r="BL185" s="86"/>
      <c r="BM185" s="86"/>
      <c r="BN185" s="86"/>
      <c r="BO185" s="86"/>
      <c r="BP185" s="86"/>
      <c r="BQ185" s="86"/>
      <c r="BR185" s="86"/>
      <c r="BS185" s="86"/>
      <c r="BT185" s="86"/>
      <c r="BU185" s="86"/>
      <c r="BV185" s="86"/>
      <c r="BW185" s="86"/>
      <c r="BX185" s="86"/>
      <c r="BY185" s="86"/>
      <c r="BZ185" s="86"/>
      <c r="CA185" s="86"/>
      <c r="CB185" s="86"/>
      <c r="CC185" s="86"/>
      <c r="CD185" s="86"/>
      <c r="CE185" s="86"/>
      <c r="CF185" s="86"/>
      <c r="CG185" s="86"/>
      <c r="CH185" s="86"/>
      <c r="CI185" s="86"/>
      <c r="CJ185" s="86"/>
      <c r="CK185" s="86"/>
      <c r="CL185" s="86"/>
      <c r="CM185" s="86"/>
      <c r="CN185" s="86"/>
      <c r="CO185" s="86"/>
      <c r="CP185" s="86"/>
      <c r="CQ185" s="86"/>
      <c r="CR185" s="86"/>
      <c r="CS185" s="86"/>
      <c r="CT185" s="86"/>
      <c r="CU185" s="86"/>
      <c r="CV185" s="86"/>
      <c r="CW185" s="86"/>
      <c r="CX185" s="86"/>
      <c r="CY185" s="86"/>
      <c r="CZ185" s="86"/>
      <c r="DA185" s="86"/>
      <c r="DB185" s="86"/>
      <c r="DC185" s="86"/>
      <c r="DD185" s="86"/>
      <c r="DE185" s="86"/>
      <c r="DF185" s="86"/>
      <c r="DG185" s="86"/>
      <c r="DH185" s="86"/>
      <c r="DI185" s="86"/>
      <c r="DJ185" s="86"/>
      <c r="DK185" s="86"/>
      <c r="DL185" s="86"/>
      <c r="DM185" s="86"/>
      <c r="DN185" s="86"/>
      <c r="DO185" s="86"/>
      <c r="DP185" s="86"/>
      <c r="DQ185" s="86"/>
      <c r="DR185" s="86"/>
      <c r="DS185" s="86"/>
      <c r="DT185" s="86"/>
      <c r="DU185" s="86"/>
      <c r="DV185" s="86"/>
      <c r="DW185" s="86"/>
      <c r="DX185" s="86"/>
      <c r="DY185" s="86"/>
      <c r="DZ185" s="86"/>
      <c r="EA185" s="86"/>
      <c r="EB185" s="86"/>
      <c r="EC185" s="86"/>
      <c r="ED185" s="86"/>
      <c r="EE185" s="86"/>
      <c r="EF185" s="86"/>
      <c r="EG185" s="86"/>
      <c r="EH185" s="86"/>
      <c r="EI185" s="86"/>
      <c r="EJ185" s="86"/>
      <c r="EK185" s="86"/>
      <c r="EL185" s="86"/>
      <c r="EM185" s="86"/>
      <c r="EN185" s="86"/>
      <c r="EO185" s="86"/>
      <c r="EP185" s="86"/>
      <c r="EQ185" s="86"/>
      <c r="ER185" s="86"/>
      <c r="ES185" s="86"/>
      <c r="ET185" s="86"/>
      <c r="EU185" s="86"/>
      <c r="EV185" s="86"/>
      <c r="EW185" s="86"/>
      <c r="EX185" s="86"/>
      <c r="EY185" s="86"/>
      <c r="EZ185" s="86"/>
      <c r="FA185" s="86"/>
    </row>
    <row r="186" spans="2:157" ht="10.050000000000001" customHeight="1">
      <c r="B186" s="845" t="s">
        <v>546</v>
      </c>
      <c r="C186" s="1350" t="s">
        <v>106</v>
      </c>
      <c r="D186" s="1350"/>
      <c r="E186" s="87"/>
      <c r="F186" s="848" t="s">
        <v>546</v>
      </c>
      <c r="G186" s="848" t="s">
        <v>546</v>
      </c>
      <c r="H186" s="1016">
        <v>0.13</v>
      </c>
      <c r="J186" s="101"/>
      <c r="K186" s="101"/>
      <c r="L186" s="101"/>
      <c r="Z186" s="86"/>
      <c r="AA186" s="86"/>
      <c r="AB186" s="86"/>
      <c r="AC186" s="86"/>
      <c r="AD186" s="86"/>
      <c r="AE186" s="86"/>
      <c r="AF186" s="86"/>
      <c r="AG186" s="86"/>
      <c r="AH186" s="86"/>
      <c r="AI186" s="86"/>
      <c r="AJ186" s="86"/>
      <c r="AK186" s="86"/>
      <c r="AL186" s="86"/>
      <c r="AM186" s="86"/>
      <c r="AN186" s="86"/>
      <c r="AO186" s="86"/>
      <c r="AP186" s="86"/>
      <c r="AQ186" s="86"/>
      <c r="AR186" s="86"/>
      <c r="AS186" s="86"/>
      <c r="AT186" s="86"/>
      <c r="AU186" s="86"/>
      <c r="AV186" s="86"/>
      <c r="AW186" s="86"/>
      <c r="AX186" s="86"/>
      <c r="AY186" s="86"/>
      <c r="AZ186" s="86"/>
      <c r="BA186" s="86"/>
      <c r="BB186" s="86"/>
      <c r="BC186" s="86"/>
      <c r="BD186" s="86"/>
      <c r="BE186" s="86"/>
      <c r="BF186" s="86"/>
      <c r="BG186" s="86"/>
      <c r="BH186" s="86"/>
      <c r="BI186" s="86"/>
      <c r="BJ186" s="86"/>
      <c r="BK186" s="86"/>
      <c r="BL186" s="86"/>
      <c r="BM186" s="86"/>
      <c r="BN186" s="86"/>
      <c r="BO186" s="86"/>
      <c r="BP186" s="86"/>
      <c r="BQ186" s="86"/>
      <c r="BR186" s="86"/>
      <c r="BS186" s="86"/>
      <c r="BT186" s="86"/>
      <c r="BU186" s="86"/>
      <c r="BV186" s="86"/>
      <c r="BW186" s="86"/>
      <c r="BX186" s="86"/>
      <c r="BY186" s="86"/>
      <c r="BZ186" s="86"/>
      <c r="CA186" s="86"/>
      <c r="CB186" s="86"/>
      <c r="CC186" s="86"/>
      <c r="CD186" s="86"/>
      <c r="CE186" s="86"/>
      <c r="CF186" s="86"/>
      <c r="CG186" s="86"/>
      <c r="CH186" s="86"/>
      <c r="CI186" s="86"/>
      <c r="CJ186" s="86"/>
      <c r="CK186" s="86"/>
      <c r="CL186" s="86"/>
      <c r="CM186" s="86"/>
      <c r="CN186" s="86"/>
      <c r="CO186" s="86"/>
      <c r="CP186" s="86"/>
      <c r="CQ186" s="86"/>
      <c r="CR186" s="86"/>
      <c r="CS186" s="86"/>
      <c r="CT186" s="86"/>
      <c r="CU186" s="86"/>
      <c r="CV186" s="86"/>
      <c r="CW186" s="86"/>
      <c r="CX186" s="86"/>
      <c r="CY186" s="86"/>
      <c r="CZ186" s="86"/>
      <c r="DA186" s="86"/>
      <c r="DB186" s="86"/>
      <c r="DC186" s="86"/>
      <c r="DD186" s="86"/>
      <c r="DE186" s="86"/>
      <c r="DF186" s="86"/>
      <c r="DG186" s="86"/>
      <c r="DH186" s="86"/>
      <c r="DI186" s="86"/>
      <c r="DJ186" s="86"/>
      <c r="DK186" s="86"/>
      <c r="DL186" s="86"/>
      <c r="DM186" s="86"/>
      <c r="DN186" s="86"/>
      <c r="DO186" s="86"/>
      <c r="DP186" s="86"/>
      <c r="DQ186" s="86"/>
      <c r="DR186" s="86"/>
      <c r="DS186" s="86"/>
      <c r="DT186" s="86"/>
      <c r="DU186" s="86"/>
      <c r="DV186" s="86"/>
      <c r="DW186" s="86"/>
      <c r="DX186" s="86"/>
      <c r="DY186" s="86"/>
      <c r="DZ186" s="86"/>
      <c r="EA186" s="86"/>
      <c r="EB186" s="86"/>
      <c r="EC186" s="86"/>
      <c r="ED186" s="86"/>
      <c r="EE186" s="86"/>
      <c r="EF186" s="86"/>
      <c r="EG186" s="86"/>
      <c r="EH186" s="86"/>
      <c r="EI186" s="86"/>
      <c r="EJ186" s="86"/>
      <c r="EK186" s="86"/>
      <c r="EL186" s="86"/>
      <c r="EM186" s="86"/>
      <c r="EN186" s="86"/>
      <c r="EO186" s="86"/>
      <c r="EP186" s="86"/>
      <c r="EQ186" s="86"/>
      <c r="ER186" s="86"/>
      <c r="ES186" s="86"/>
      <c r="ET186" s="86"/>
      <c r="EU186" s="86"/>
      <c r="EV186" s="86"/>
      <c r="EW186" s="86"/>
      <c r="EX186" s="86"/>
      <c r="EY186" s="86"/>
      <c r="EZ186" s="86"/>
      <c r="FA186" s="86"/>
    </row>
    <row r="187" spans="2:157" ht="9.75" customHeight="1">
      <c r="B187" s="845">
        <v>1</v>
      </c>
      <c r="C187" s="1344"/>
      <c r="D187" s="1344"/>
      <c r="E187" s="1344"/>
      <c r="F187" s="857"/>
      <c r="G187" s="857"/>
      <c r="H187" s="875" t="str">
        <f t="shared" ref="H187:H195" si="8">IF(G187=0,"",(F187/(G187+0.00000000001)))</f>
        <v/>
      </c>
      <c r="J187" s="101"/>
      <c r="K187" s="101"/>
      <c r="L187" s="101"/>
      <c r="Z187" s="86"/>
      <c r="AA187" s="86"/>
      <c r="AB187" s="86"/>
      <c r="AC187" s="86"/>
      <c r="AD187" s="86"/>
      <c r="AE187" s="86"/>
      <c r="AF187" s="86"/>
      <c r="AG187" s="86"/>
      <c r="AH187" s="86"/>
      <c r="AI187" s="86"/>
      <c r="AJ187" s="86"/>
      <c r="AK187" s="86"/>
      <c r="AL187" s="86"/>
      <c r="AM187" s="86"/>
      <c r="AN187" s="86"/>
      <c r="AO187" s="86"/>
      <c r="AP187" s="86"/>
      <c r="AQ187" s="86"/>
      <c r="AR187" s="86"/>
      <c r="AS187" s="86"/>
      <c r="AT187" s="86"/>
      <c r="AU187" s="86"/>
      <c r="AV187" s="86"/>
      <c r="AW187" s="86"/>
      <c r="AX187" s="86"/>
      <c r="AY187" s="86"/>
      <c r="AZ187" s="86"/>
      <c r="BA187" s="86"/>
      <c r="BB187" s="86"/>
      <c r="BC187" s="86"/>
      <c r="BD187" s="86"/>
      <c r="BE187" s="86"/>
      <c r="BF187" s="86"/>
      <c r="BG187" s="86"/>
      <c r="BH187" s="86"/>
      <c r="BI187" s="86"/>
      <c r="BJ187" s="86"/>
      <c r="BK187" s="86"/>
      <c r="BL187" s="86"/>
      <c r="BM187" s="86"/>
      <c r="BN187" s="86"/>
      <c r="BO187" s="86"/>
      <c r="BP187" s="86"/>
      <c r="BQ187" s="86"/>
      <c r="BR187" s="86"/>
      <c r="BS187" s="86"/>
      <c r="BT187" s="86"/>
      <c r="BU187" s="86"/>
      <c r="BV187" s="86"/>
      <c r="BW187" s="86"/>
      <c r="BX187" s="86"/>
      <c r="BY187" s="86"/>
      <c r="BZ187" s="86"/>
      <c r="CA187" s="86"/>
      <c r="CB187" s="86"/>
      <c r="CC187" s="86"/>
      <c r="CD187" s="86"/>
      <c r="CE187" s="86"/>
      <c r="CF187" s="86"/>
      <c r="CG187" s="86"/>
      <c r="CH187" s="86"/>
      <c r="CI187" s="86"/>
      <c r="CJ187" s="86"/>
      <c r="CK187" s="86"/>
      <c r="CL187" s="86"/>
      <c r="CM187" s="86"/>
      <c r="CN187" s="86"/>
      <c r="CO187" s="86"/>
      <c r="CP187" s="86"/>
      <c r="CQ187" s="86"/>
      <c r="CR187" s="86"/>
      <c r="CS187" s="86"/>
      <c r="CT187" s="86"/>
      <c r="CU187" s="86"/>
      <c r="CV187" s="86"/>
      <c r="CW187" s="86"/>
      <c r="CX187" s="86"/>
      <c r="CY187" s="86"/>
      <c r="CZ187" s="86"/>
      <c r="DA187" s="86"/>
      <c r="DB187" s="86"/>
      <c r="DC187" s="86"/>
      <c r="DD187" s="86"/>
      <c r="DE187" s="86"/>
      <c r="DF187" s="86"/>
      <c r="DG187" s="86"/>
      <c r="DH187" s="86"/>
      <c r="DI187" s="86"/>
      <c r="DJ187" s="86"/>
      <c r="DK187" s="86"/>
      <c r="DL187" s="86"/>
      <c r="DM187" s="86"/>
      <c r="DN187" s="86"/>
      <c r="DO187" s="86"/>
      <c r="DP187" s="86"/>
      <c r="DQ187" s="86"/>
      <c r="DR187" s="86"/>
      <c r="DS187" s="86"/>
      <c r="DT187" s="86"/>
      <c r="DU187" s="86"/>
      <c r="DV187" s="86"/>
      <c r="DW187" s="86"/>
      <c r="DX187" s="86"/>
      <c r="DY187" s="86"/>
      <c r="DZ187" s="86"/>
      <c r="EA187" s="86"/>
      <c r="EB187" s="86"/>
      <c r="EC187" s="86"/>
      <c r="ED187" s="86"/>
      <c r="EE187" s="86"/>
      <c r="EF187" s="86"/>
      <c r="EG187" s="86"/>
      <c r="EH187" s="86"/>
      <c r="EI187" s="86"/>
      <c r="EJ187" s="86"/>
      <c r="EK187" s="86"/>
      <c r="EL187" s="86"/>
      <c r="EM187" s="86"/>
      <c r="EN187" s="86"/>
      <c r="EO187" s="86"/>
      <c r="EP187" s="86"/>
      <c r="EQ187" s="86"/>
      <c r="ER187" s="86"/>
      <c r="ES187" s="86"/>
      <c r="ET187" s="86"/>
      <c r="EU187" s="86"/>
      <c r="EV187" s="86"/>
      <c r="EW187" s="86"/>
      <c r="EX187" s="86"/>
      <c r="EY187" s="86"/>
      <c r="EZ187" s="86"/>
      <c r="FA187" s="86"/>
    </row>
    <row r="188" spans="2:157" ht="9.75" customHeight="1">
      <c r="B188" s="845">
        <v>2</v>
      </c>
      <c r="C188" s="1344"/>
      <c r="D188" s="1344"/>
      <c r="E188" s="1344"/>
      <c r="F188" s="857"/>
      <c r="G188" s="857"/>
      <c r="H188" s="875" t="str">
        <f t="shared" si="8"/>
        <v/>
      </c>
      <c r="J188" s="101"/>
      <c r="K188" s="101"/>
      <c r="L188" s="101"/>
      <c r="Z188" s="86"/>
      <c r="AA188" s="86"/>
      <c r="AB188" s="86"/>
      <c r="AC188" s="86"/>
      <c r="AD188" s="86"/>
      <c r="AE188" s="86"/>
      <c r="AF188" s="86"/>
      <c r="AG188" s="86"/>
      <c r="AH188" s="86"/>
      <c r="AI188" s="86"/>
      <c r="AJ188" s="86"/>
      <c r="AK188" s="86"/>
      <c r="AL188" s="86"/>
      <c r="AM188" s="86"/>
      <c r="AN188" s="86"/>
      <c r="AO188" s="86"/>
      <c r="AP188" s="86"/>
      <c r="AQ188" s="86"/>
      <c r="AR188" s="86"/>
      <c r="AS188" s="86"/>
      <c r="AT188" s="86"/>
      <c r="AU188" s="86"/>
      <c r="AV188" s="86"/>
      <c r="AW188" s="86"/>
      <c r="AX188" s="86"/>
      <c r="AY188" s="86"/>
      <c r="AZ188" s="86"/>
      <c r="BA188" s="86"/>
      <c r="BB188" s="86"/>
      <c r="BC188" s="86"/>
      <c r="BD188" s="86"/>
      <c r="BE188" s="86"/>
      <c r="BF188" s="86"/>
      <c r="BG188" s="86"/>
      <c r="BH188" s="86"/>
      <c r="BI188" s="86"/>
      <c r="BJ188" s="86"/>
      <c r="BK188" s="86"/>
      <c r="BL188" s="86"/>
      <c r="BM188" s="86"/>
      <c r="BN188" s="86"/>
      <c r="BO188" s="86"/>
      <c r="BP188" s="86"/>
      <c r="BQ188" s="86"/>
      <c r="BR188" s="86"/>
      <c r="BS188" s="86"/>
      <c r="BT188" s="86"/>
      <c r="BU188" s="86"/>
      <c r="BV188" s="86"/>
      <c r="BW188" s="86"/>
      <c r="BX188" s="86"/>
      <c r="BY188" s="86"/>
      <c r="BZ188" s="86"/>
      <c r="CA188" s="86"/>
      <c r="CB188" s="86"/>
      <c r="CC188" s="86"/>
      <c r="CD188" s="86"/>
      <c r="CE188" s="86"/>
      <c r="CF188" s="86"/>
      <c r="CG188" s="86"/>
      <c r="CH188" s="86"/>
      <c r="CI188" s="86"/>
      <c r="CJ188" s="86"/>
      <c r="CK188" s="86"/>
      <c r="CL188" s="86"/>
      <c r="CM188" s="86"/>
      <c r="CN188" s="86"/>
      <c r="CO188" s="86"/>
      <c r="CP188" s="86"/>
      <c r="CQ188" s="86"/>
      <c r="CR188" s="86"/>
      <c r="CS188" s="86"/>
      <c r="CT188" s="86"/>
      <c r="CU188" s="86"/>
      <c r="CV188" s="86"/>
      <c r="CW188" s="86"/>
      <c r="CX188" s="86"/>
      <c r="CY188" s="86"/>
      <c r="CZ188" s="86"/>
      <c r="DA188" s="86"/>
      <c r="DB188" s="86"/>
      <c r="DC188" s="86"/>
      <c r="DD188" s="86"/>
      <c r="DE188" s="86"/>
      <c r="DF188" s="86"/>
      <c r="DG188" s="86"/>
      <c r="DH188" s="86"/>
      <c r="DI188" s="86"/>
      <c r="DJ188" s="86"/>
      <c r="DK188" s="86"/>
      <c r="DL188" s="86"/>
      <c r="DM188" s="86"/>
      <c r="DN188" s="86"/>
      <c r="DO188" s="86"/>
      <c r="DP188" s="86"/>
      <c r="DQ188" s="86"/>
      <c r="DR188" s="86"/>
      <c r="DS188" s="86"/>
      <c r="DT188" s="86"/>
      <c r="DU188" s="86"/>
      <c r="DV188" s="86"/>
      <c r="DW188" s="86"/>
      <c r="DX188" s="86"/>
      <c r="DY188" s="86"/>
      <c r="DZ188" s="86"/>
      <c r="EA188" s="86"/>
      <c r="EB188" s="86"/>
      <c r="EC188" s="86"/>
      <c r="ED188" s="86"/>
      <c r="EE188" s="86"/>
      <c r="EF188" s="86"/>
      <c r="EG188" s="86"/>
      <c r="EH188" s="86"/>
      <c r="EI188" s="86"/>
      <c r="EJ188" s="86"/>
      <c r="EK188" s="86"/>
      <c r="EL188" s="86"/>
      <c r="EM188" s="86"/>
      <c r="EN188" s="86"/>
      <c r="EO188" s="86"/>
      <c r="EP188" s="86"/>
      <c r="EQ188" s="86"/>
      <c r="ER188" s="86"/>
      <c r="ES188" s="86"/>
      <c r="ET188" s="86"/>
      <c r="EU188" s="86"/>
      <c r="EV188" s="86"/>
      <c r="EW188" s="86"/>
      <c r="EX188" s="86"/>
      <c r="EY188" s="86"/>
      <c r="EZ188" s="86"/>
      <c r="FA188" s="86"/>
    </row>
    <row r="189" spans="2:157" ht="9.75" customHeight="1">
      <c r="B189" s="845">
        <v>3</v>
      </c>
      <c r="C189" s="1344"/>
      <c r="D189" s="1344"/>
      <c r="E189" s="1344"/>
      <c r="F189" s="857"/>
      <c r="G189" s="857"/>
      <c r="H189" s="875" t="str">
        <f t="shared" si="8"/>
        <v/>
      </c>
      <c r="J189" s="101"/>
      <c r="K189" s="101"/>
      <c r="L189" s="101"/>
      <c r="Z189" s="86"/>
      <c r="AA189" s="86"/>
      <c r="AB189" s="86"/>
      <c r="AC189" s="86"/>
      <c r="AD189" s="86"/>
      <c r="AE189" s="86"/>
      <c r="AF189" s="86"/>
      <c r="AG189" s="86"/>
      <c r="AH189" s="86"/>
      <c r="AI189" s="86"/>
      <c r="AJ189" s="86"/>
      <c r="AK189" s="86"/>
      <c r="AL189" s="86"/>
      <c r="AM189" s="86"/>
      <c r="AN189" s="86"/>
      <c r="AO189" s="86"/>
      <c r="AP189" s="86"/>
      <c r="AQ189" s="86"/>
      <c r="AR189" s="86"/>
      <c r="AS189" s="86"/>
      <c r="AT189" s="86"/>
      <c r="AU189" s="86"/>
      <c r="AV189" s="86"/>
      <c r="AW189" s="86"/>
      <c r="AX189" s="86"/>
      <c r="AY189" s="86"/>
      <c r="AZ189" s="86"/>
      <c r="BA189" s="86"/>
      <c r="BB189" s="86"/>
      <c r="BC189" s="86"/>
      <c r="BD189" s="86"/>
      <c r="BE189" s="86"/>
      <c r="BF189" s="86"/>
      <c r="BG189" s="86"/>
      <c r="BH189" s="86"/>
      <c r="BI189" s="86"/>
      <c r="BJ189" s="86"/>
      <c r="BK189" s="86"/>
      <c r="BL189" s="86"/>
      <c r="BM189" s="86"/>
      <c r="BN189" s="86"/>
      <c r="BO189" s="86"/>
      <c r="BP189" s="86"/>
      <c r="BQ189" s="86"/>
      <c r="BR189" s="86"/>
      <c r="BS189" s="86"/>
      <c r="BT189" s="86"/>
      <c r="BU189" s="86"/>
      <c r="BV189" s="86"/>
      <c r="BW189" s="86"/>
      <c r="BX189" s="86"/>
      <c r="BY189" s="86"/>
      <c r="BZ189" s="86"/>
      <c r="CA189" s="86"/>
      <c r="CB189" s="86"/>
      <c r="CC189" s="86"/>
      <c r="CD189" s="86"/>
      <c r="CE189" s="86"/>
      <c r="CF189" s="86"/>
      <c r="CG189" s="86"/>
      <c r="CH189" s="86"/>
      <c r="CI189" s="86"/>
      <c r="CJ189" s="86"/>
      <c r="CK189" s="86"/>
      <c r="CL189" s="86"/>
      <c r="CM189" s="86"/>
      <c r="CN189" s="86"/>
      <c r="CO189" s="86"/>
      <c r="CP189" s="86"/>
      <c r="CQ189" s="86"/>
      <c r="CR189" s="86"/>
      <c r="CS189" s="86"/>
      <c r="CT189" s="86"/>
      <c r="CU189" s="86"/>
      <c r="CV189" s="86"/>
      <c r="CW189" s="86"/>
      <c r="CX189" s="86"/>
      <c r="CY189" s="86"/>
      <c r="CZ189" s="86"/>
      <c r="DA189" s="86"/>
      <c r="DB189" s="86"/>
      <c r="DC189" s="86"/>
      <c r="DD189" s="86"/>
      <c r="DE189" s="86"/>
      <c r="DF189" s="86"/>
      <c r="DG189" s="86"/>
      <c r="DH189" s="86"/>
      <c r="DI189" s="86"/>
      <c r="DJ189" s="86"/>
      <c r="DK189" s="86"/>
      <c r="DL189" s="86"/>
      <c r="DM189" s="86"/>
      <c r="DN189" s="86"/>
      <c r="DO189" s="86"/>
      <c r="DP189" s="86"/>
      <c r="DQ189" s="86"/>
      <c r="DR189" s="86"/>
      <c r="DS189" s="86"/>
      <c r="DT189" s="86"/>
      <c r="DU189" s="86"/>
      <c r="DV189" s="86"/>
      <c r="DW189" s="86"/>
      <c r="DX189" s="86"/>
      <c r="DY189" s="86"/>
      <c r="DZ189" s="86"/>
      <c r="EA189" s="86"/>
      <c r="EB189" s="86"/>
      <c r="EC189" s="86"/>
      <c r="ED189" s="86"/>
      <c r="EE189" s="86"/>
      <c r="EF189" s="86"/>
      <c r="EG189" s="86"/>
      <c r="EH189" s="86"/>
      <c r="EI189" s="86"/>
      <c r="EJ189" s="86"/>
      <c r="EK189" s="86"/>
      <c r="EL189" s="86"/>
      <c r="EM189" s="86"/>
      <c r="EN189" s="86"/>
      <c r="EO189" s="86"/>
      <c r="EP189" s="86"/>
      <c r="EQ189" s="86"/>
      <c r="ER189" s="86"/>
      <c r="ES189" s="86"/>
      <c r="ET189" s="86"/>
      <c r="EU189" s="86"/>
      <c r="EV189" s="86"/>
      <c r="EW189" s="86"/>
      <c r="EX189" s="86"/>
      <c r="EY189" s="86"/>
      <c r="EZ189" s="86"/>
      <c r="FA189" s="86"/>
    </row>
    <row r="190" spans="2:157" ht="9.75" customHeight="1">
      <c r="B190" s="845">
        <v>4</v>
      </c>
      <c r="C190" s="1344"/>
      <c r="D190" s="1344"/>
      <c r="E190" s="1344"/>
      <c r="F190" s="857"/>
      <c r="G190" s="857"/>
      <c r="H190" s="875" t="str">
        <f t="shared" si="8"/>
        <v/>
      </c>
      <c r="J190" s="101"/>
      <c r="K190" s="101"/>
      <c r="L190" s="101"/>
      <c r="Z190" s="86"/>
      <c r="AA190" s="86"/>
      <c r="AB190" s="86"/>
      <c r="AC190" s="86"/>
      <c r="AD190" s="86"/>
      <c r="AE190" s="86"/>
      <c r="AF190" s="86"/>
      <c r="AG190" s="86"/>
      <c r="AH190" s="86"/>
      <c r="AI190" s="86"/>
      <c r="AJ190" s="86"/>
      <c r="AK190" s="86"/>
      <c r="AL190" s="86"/>
      <c r="AM190" s="86"/>
      <c r="AN190" s="86"/>
      <c r="AO190" s="86"/>
      <c r="AP190" s="86"/>
      <c r="AQ190" s="86"/>
      <c r="AR190" s="86"/>
      <c r="AS190" s="86"/>
      <c r="AT190" s="86"/>
      <c r="AU190" s="86"/>
      <c r="AV190" s="86"/>
      <c r="AW190" s="86"/>
      <c r="AX190" s="86"/>
      <c r="AY190" s="86"/>
      <c r="AZ190" s="86"/>
      <c r="BA190" s="86"/>
      <c r="BB190" s="86"/>
      <c r="BC190" s="86"/>
      <c r="BD190" s="86"/>
      <c r="BE190" s="86"/>
      <c r="BF190" s="86"/>
      <c r="BG190" s="86"/>
      <c r="BH190" s="86"/>
      <c r="BI190" s="86"/>
      <c r="BJ190" s="86"/>
      <c r="BK190" s="86"/>
      <c r="BL190" s="86"/>
      <c r="BM190" s="86"/>
      <c r="BN190" s="86"/>
      <c r="BO190" s="86"/>
      <c r="BP190" s="86"/>
      <c r="BQ190" s="86"/>
      <c r="BR190" s="86"/>
      <c r="BS190" s="86"/>
      <c r="BT190" s="86"/>
      <c r="BU190" s="86"/>
      <c r="BV190" s="86"/>
      <c r="BW190" s="86"/>
      <c r="BX190" s="86"/>
      <c r="BY190" s="86"/>
      <c r="BZ190" s="86"/>
      <c r="CA190" s="86"/>
      <c r="CB190" s="86"/>
      <c r="CC190" s="86"/>
      <c r="CD190" s="86"/>
      <c r="CE190" s="86"/>
      <c r="CF190" s="86"/>
      <c r="CG190" s="86"/>
      <c r="CH190" s="86"/>
      <c r="CI190" s="86"/>
      <c r="CJ190" s="86"/>
      <c r="CK190" s="86"/>
      <c r="CL190" s="86"/>
      <c r="CM190" s="86"/>
      <c r="CN190" s="86"/>
      <c r="CO190" s="86"/>
      <c r="CP190" s="86"/>
      <c r="CQ190" s="86"/>
      <c r="CR190" s="86"/>
      <c r="CS190" s="86"/>
      <c r="CT190" s="86"/>
      <c r="CU190" s="86"/>
      <c r="CV190" s="86"/>
      <c r="CW190" s="86"/>
      <c r="CX190" s="86"/>
      <c r="CY190" s="86"/>
      <c r="CZ190" s="86"/>
      <c r="DA190" s="86"/>
      <c r="DB190" s="86"/>
      <c r="DC190" s="86"/>
      <c r="DD190" s="86"/>
      <c r="DE190" s="86"/>
      <c r="DF190" s="86"/>
      <c r="DG190" s="86"/>
      <c r="DH190" s="86"/>
      <c r="DI190" s="86"/>
      <c r="DJ190" s="86"/>
      <c r="DK190" s="86"/>
      <c r="DL190" s="86"/>
      <c r="DM190" s="86"/>
      <c r="DN190" s="86"/>
      <c r="DO190" s="86"/>
      <c r="DP190" s="86"/>
      <c r="DQ190" s="86"/>
      <c r="DR190" s="86"/>
      <c r="DS190" s="86"/>
      <c r="DT190" s="86"/>
      <c r="DU190" s="86"/>
      <c r="DV190" s="86"/>
      <c r="DW190" s="86"/>
      <c r="DX190" s="86"/>
      <c r="DY190" s="86"/>
      <c r="DZ190" s="86"/>
      <c r="EA190" s="86"/>
      <c r="EB190" s="86"/>
      <c r="EC190" s="86"/>
      <c r="ED190" s="86"/>
      <c r="EE190" s="86"/>
      <c r="EF190" s="86"/>
      <c r="EG190" s="86"/>
      <c r="EH190" s="86"/>
      <c r="EI190" s="86"/>
      <c r="EJ190" s="86"/>
      <c r="EK190" s="86"/>
      <c r="EL190" s="86"/>
      <c r="EM190" s="86"/>
      <c r="EN190" s="86"/>
      <c r="EO190" s="86"/>
      <c r="EP190" s="86"/>
      <c r="EQ190" s="86"/>
      <c r="ER190" s="86"/>
      <c r="ES190" s="86"/>
      <c r="ET190" s="86"/>
      <c r="EU190" s="86"/>
      <c r="EV190" s="86"/>
      <c r="EW190" s="86"/>
      <c r="EX190" s="86"/>
      <c r="EY190" s="86"/>
      <c r="EZ190" s="86"/>
      <c r="FA190" s="86"/>
    </row>
    <row r="191" spans="2:157" ht="9.75" customHeight="1">
      <c r="B191" s="845">
        <v>5</v>
      </c>
      <c r="C191" s="1344"/>
      <c r="D191" s="1344"/>
      <c r="E191" s="1344"/>
      <c r="F191" s="857"/>
      <c r="G191" s="857"/>
      <c r="H191" s="875" t="str">
        <f t="shared" si="8"/>
        <v/>
      </c>
      <c r="J191" s="101"/>
      <c r="K191" s="101"/>
      <c r="L191" s="101"/>
      <c r="Z191" s="86"/>
      <c r="AA191" s="86"/>
      <c r="AB191" s="86"/>
      <c r="AC191" s="86"/>
      <c r="AD191" s="86"/>
      <c r="AE191" s="86"/>
      <c r="AF191" s="86"/>
      <c r="AG191" s="86"/>
      <c r="AH191" s="86"/>
      <c r="AI191" s="86"/>
      <c r="AJ191" s="86"/>
      <c r="AK191" s="86"/>
      <c r="AL191" s="86"/>
      <c r="AM191" s="86"/>
      <c r="AN191" s="86"/>
      <c r="AO191" s="86"/>
      <c r="AP191" s="86"/>
      <c r="AQ191" s="86"/>
      <c r="AR191" s="86"/>
      <c r="AS191" s="86"/>
      <c r="AT191" s="86"/>
      <c r="AU191" s="86"/>
      <c r="AV191" s="86"/>
      <c r="AW191" s="86"/>
      <c r="AX191" s="86"/>
      <c r="AY191" s="86"/>
      <c r="AZ191" s="86"/>
      <c r="BA191" s="86"/>
      <c r="BB191" s="86"/>
      <c r="BC191" s="86"/>
      <c r="BD191" s="86"/>
      <c r="BE191" s="86"/>
      <c r="BF191" s="86"/>
      <c r="BG191" s="86"/>
      <c r="BH191" s="86"/>
      <c r="BI191" s="86"/>
      <c r="BJ191" s="86"/>
      <c r="BK191" s="86"/>
      <c r="BL191" s="86"/>
      <c r="BM191" s="86"/>
      <c r="BN191" s="86"/>
      <c r="BO191" s="86"/>
      <c r="BP191" s="86"/>
      <c r="BQ191" s="86"/>
      <c r="BR191" s="86"/>
      <c r="BS191" s="86"/>
      <c r="BT191" s="86"/>
      <c r="BU191" s="86"/>
      <c r="BV191" s="86"/>
      <c r="BW191" s="86"/>
      <c r="BX191" s="86"/>
      <c r="BY191" s="86"/>
      <c r="BZ191" s="86"/>
      <c r="CA191" s="86"/>
      <c r="CB191" s="86"/>
      <c r="CC191" s="86"/>
      <c r="CD191" s="86"/>
      <c r="CE191" s="86"/>
      <c r="CF191" s="86"/>
      <c r="CG191" s="86"/>
      <c r="CH191" s="86"/>
      <c r="CI191" s="86"/>
      <c r="CJ191" s="86"/>
      <c r="CK191" s="86"/>
      <c r="CL191" s="86"/>
      <c r="CM191" s="86"/>
      <c r="CN191" s="86"/>
      <c r="CO191" s="86"/>
      <c r="CP191" s="86"/>
      <c r="CQ191" s="86"/>
      <c r="CR191" s="86"/>
      <c r="CS191" s="86"/>
      <c r="CT191" s="86"/>
      <c r="CU191" s="86"/>
      <c r="CV191" s="86"/>
      <c r="CW191" s="86"/>
      <c r="CX191" s="86"/>
      <c r="CY191" s="86"/>
      <c r="CZ191" s="86"/>
      <c r="DA191" s="86"/>
      <c r="DB191" s="86"/>
      <c r="DC191" s="86"/>
      <c r="DD191" s="86"/>
      <c r="DE191" s="86"/>
      <c r="DF191" s="86"/>
      <c r="DG191" s="86"/>
      <c r="DH191" s="86"/>
      <c r="DI191" s="86"/>
      <c r="DJ191" s="86"/>
      <c r="DK191" s="86"/>
      <c r="DL191" s="86"/>
      <c r="DM191" s="86"/>
      <c r="DN191" s="86"/>
      <c r="DO191" s="86"/>
      <c r="DP191" s="86"/>
      <c r="DQ191" s="86"/>
      <c r="DR191" s="86"/>
      <c r="DS191" s="86"/>
      <c r="DT191" s="86"/>
      <c r="DU191" s="86"/>
      <c r="DV191" s="86"/>
      <c r="DW191" s="86"/>
      <c r="DX191" s="86"/>
      <c r="DY191" s="86"/>
      <c r="DZ191" s="86"/>
      <c r="EA191" s="86"/>
      <c r="EB191" s="86"/>
      <c r="EC191" s="86"/>
      <c r="ED191" s="86"/>
      <c r="EE191" s="86"/>
      <c r="EF191" s="86"/>
      <c r="EG191" s="86"/>
      <c r="EH191" s="86"/>
      <c r="EI191" s="86"/>
      <c r="EJ191" s="86"/>
      <c r="EK191" s="86"/>
      <c r="EL191" s="86"/>
      <c r="EM191" s="86"/>
      <c r="EN191" s="86"/>
      <c r="EO191" s="86"/>
      <c r="EP191" s="86"/>
      <c r="EQ191" s="86"/>
      <c r="ER191" s="86"/>
      <c r="ES191" s="86"/>
      <c r="ET191" s="86"/>
      <c r="EU191" s="86"/>
      <c r="EV191" s="86"/>
      <c r="EW191" s="86"/>
      <c r="EX191" s="86"/>
      <c r="EY191" s="86"/>
      <c r="EZ191" s="86"/>
      <c r="FA191" s="86"/>
    </row>
    <row r="192" spans="2:157" ht="9.75" customHeight="1">
      <c r="B192" s="845">
        <v>6</v>
      </c>
      <c r="C192" s="1344"/>
      <c r="D192" s="1344"/>
      <c r="E192" s="1344"/>
      <c r="F192" s="857"/>
      <c r="G192" s="857"/>
      <c r="H192" s="875" t="str">
        <f t="shared" si="8"/>
        <v/>
      </c>
      <c r="J192" s="101"/>
      <c r="K192" s="101"/>
      <c r="L192" s="101"/>
      <c r="Z192" s="86"/>
      <c r="AA192" s="86"/>
      <c r="AB192" s="86"/>
      <c r="AC192" s="86"/>
      <c r="AD192" s="86"/>
      <c r="AE192" s="86"/>
      <c r="AF192" s="86"/>
      <c r="AG192" s="86"/>
      <c r="AH192" s="86"/>
      <c r="AI192" s="86"/>
      <c r="AJ192" s="86"/>
      <c r="AK192" s="86"/>
      <c r="AL192" s="86"/>
      <c r="AM192" s="86"/>
      <c r="AN192" s="86"/>
      <c r="AO192" s="86"/>
      <c r="AP192" s="86"/>
      <c r="AQ192" s="86"/>
      <c r="AR192" s="86"/>
      <c r="AS192" s="86"/>
      <c r="AT192" s="86"/>
      <c r="AU192" s="86"/>
      <c r="AV192" s="86"/>
      <c r="AW192" s="86"/>
      <c r="AX192" s="86"/>
      <c r="AY192" s="86"/>
      <c r="AZ192" s="86"/>
      <c r="BA192" s="86"/>
      <c r="BB192" s="86"/>
      <c r="BC192" s="86"/>
      <c r="BD192" s="86"/>
      <c r="BE192" s="86"/>
      <c r="BF192" s="86"/>
      <c r="BG192" s="86"/>
      <c r="BH192" s="86"/>
      <c r="BI192" s="86"/>
      <c r="BJ192" s="86"/>
      <c r="BK192" s="86"/>
      <c r="BL192" s="86"/>
      <c r="BM192" s="86"/>
      <c r="BN192" s="86"/>
      <c r="BO192" s="86"/>
      <c r="BP192" s="86"/>
      <c r="BQ192" s="86"/>
      <c r="BR192" s="86"/>
      <c r="BS192" s="86"/>
      <c r="BT192" s="86"/>
      <c r="BU192" s="86"/>
      <c r="BV192" s="86"/>
      <c r="BW192" s="86"/>
      <c r="BX192" s="86"/>
      <c r="BY192" s="86"/>
      <c r="BZ192" s="86"/>
      <c r="CA192" s="86"/>
      <c r="CB192" s="86"/>
      <c r="CC192" s="86"/>
      <c r="CD192" s="86"/>
      <c r="CE192" s="86"/>
      <c r="CF192" s="86"/>
      <c r="CG192" s="86"/>
      <c r="CH192" s="86"/>
      <c r="CI192" s="86"/>
      <c r="CJ192" s="86"/>
      <c r="CK192" s="86"/>
      <c r="CL192" s="86"/>
      <c r="CM192" s="86"/>
      <c r="CN192" s="86"/>
      <c r="CO192" s="86"/>
      <c r="CP192" s="86"/>
      <c r="CQ192" s="86"/>
      <c r="CR192" s="86"/>
      <c r="CS192" s="86"/>
      <c r="CT192" s="86"/>
      <c r="CU192" s="86"/>
      <c r="CV192" s="86"/>
      <c r="CW192" s="86"/>
      <c r="CX192" s="86"/>
      <c r="CY192" s="86"/>
      <c r="CZ192" s="86"/>
      <c r="DA192" s="86"/>
      <c r="DB192" s="86"/>
      <c r="DC192" s="86"/>
      <c r="DD192" s="86"/>
      <c r="DE192" s="86"/>
      <c r="DF192" s="86"/>
      <c r="DG192" s="86"/>
      <c r="DH192" s="86"/>
      <c r="DI192" s="86"/>
      <c r="DJ192" s="86"/>
      <c r="DK192" s="86"/>
      <c r="DL192" s="86"/>
      <c r="DM192" s="86"/>
      <c r="DN192" s="86"/>
      <c r="DO192" s="86"/>
      <c r="DP192" s="86"/>
      <c r="DQ192" s="86"/>
      <c r="DR192" s="86"/>
      <c r="DS192" s="86"/>
      <c r="DT192" s="86"/>
      <c r="DU192" s="86"/>
      <c r="DV192" s="86"/>
      <c r="DW192" s="86"/>
      <c r="DX192" s="86"/>
      <c r="DY192" s="86"/>
      <c r="DZ192" s="86"/>
      <c r="EA192" s="86"/>
      <c r="EB192" s="86"/>
      <c r="EC192" s="86"/>
      <c r="ED192" s="86"/>
      <c r="EE192" s="86"/>
      <c r="EF192" s="86"/>
      <c r="EG192" s="86"/>
      <c r="EH192" s="86"/>
      <c r="EI192" s="86"/>
      <c r="EJ192" s="86"/>
      <c r="EK192" s="86"/>
      <c r="EL192" s="86"/>
      <c r="EM192" s="86"/>
      <c r="EN192" s="86"/>
      <c r="EO192" s="86"/>
      <c r="EP192" s="86"/>
      <c r="EQ192" s="86"/>
      <c r="ER192" s="86"/>
      <c r="ES192" s="86"/>
      <c r="ET192" s="86"/>
      <c r="EU192" s="86"/>
      <c r="EV192" s="86"/>
      <c r="EW192" s="86"/>
      <c r="EX192" s="86"/>
      <c r="EY192" s="86"/>
      <c r="EZ192" s="86"/>
      <c r="FA192" s="86"/>
    </row>
    <row r="193" spans="2:157" ht="9.75" customHeight="1">
      <c r="B193" s="845">
        <v>7</v>
      </c>
      <c r="C193" s="1344"/>
      <c r="D193" s="1344"/>
      <c r="E193" s="1344"/>
      <c r="F193" s="857"/>
      <c r="G193" s="857"/>
      <c r="H193" s="875" t="str">
        <f t="shared" si="8"/>
        <v/>
      </c>
      <c r="J193" s="101"/>
      <c r="K193" s="101"/>
      <c r="L193" s="101"/>
      <c r="Z193" s="86"/>
      <c r="AA193" s="86"/>
      <c r="AB193" s="86"/>
      <c r="AC193" s="86"/>
      <c r="AD193" s="86"/>
      <c r="AE193" s="86"/>
      <c r="AF193" s="86"/>
      <c r="AG193" s="86"/>
      <c r="AH193" s="86"/>
      <c r="AI193" s="86"/>
      <c r="AJ193" s="86"/>
      <c r="AK193" s="86"/>
      <c r="AL193" s="86"/>
      <c r="AM193" s="86"/>
      <c r="AN193" s="86"/>
      <c r="AO193" s="86"/>
      <c r="AP193" s="86"/>
      <c r="AQ193" s="86"/>
      <c r="AR193" s="86"/>
      <c r="AS193" s="86"/>
      <c r="AT193" s="86"/>
      <c r="AU193" s="86"/>
      <c r="AV193" s="86"/>
      <c r="AW193" s="86"/>
      <c r="AX193" s="86"/>
      <c r="AY193" s="86"/>
      <c r="AZ193" s="86"/>
      <c r="BA193" s="86"/>
      <c r="BB193" s="86"/>
      <c r="BC193" s="86"/>
      <c r="BD193" s="86"/>
      <c r="BE193" s="86"/>
      <c r="BF193" s="86"/>
      <c r="BG193" s="86"/>
      <c r="BH193" s="86"/>
      <c r="BI193" s="86"/>
      <c r="BJ193" s="86"/>
      <c r="BK193" s="86"/>
      <c r="BL193" s="86"/>
      <c r="BM193" s="86"/>
      <c r="BN193" s="86"/>
      <c r="BO193" s="86"/>
      <c r="BP193" s="86"/>
      <c r="BQ193" s="86"/>
      <c r="BR193" s="86"/>
      <c r="BS193" s="86"/>
      <c r="BT193" s="86"/>
      <c r="BU193" s="86"/>
      <c r="BV193" s="86"/>
      <c r="BW193" s="86"/>
      <c r="BX193" s="86"/>
      <c r="BY193" s="86"/>
      <c r="BZ193" s="86"/>
      <c r="CA193" s="86"/>
      <c r="CB193" s="86"/>
      <c r="CC193" s="86"/>
      <c r="CD193" s="86"/>
      <c r="CE193" s="86"/>
      <c r="CF193" s="86"/>
      <c r="CG193" s="86"/>
      <c r="CH193" s="86"/>
      <c r="CI193" s="86"/>
      <c r="CJ193" s="86"/>
      <c r="CK193" s="86"/>
      <c r="CL193" s="86"/>
      <c r="CM193" s="86"/>
      <c r="CN193" s="86"/>
      <c r="CO193" s="86"/>
      <c r="CP193" s="86"/>
      <c r="CQ193" s="86"/>
      <c r="CR193" s="86"/>
      <c r="CS193" s="86"/>
      <c r="CT193" s="86"/>
      <c r="CU193" s="86"/>
      <c r="CV193" s="86"/>
      <c r="CW193" s="86"/>
      <c r="CX193" s="86"/>
      <c r="CY193" s="86"/>
      <c r="CZ193" s="86"/>
      <c r="DA193" s="86"/>
      <c r="DB193" s="86"/>
      <c r="DC193" s="86"/>
      <c r="DD193" s="86"/>
      <c r="DE193" s="86"/>
      <c r="DF193" s="86"/>
      <c r="DG193" s="86"/>
      <c r="DH193" s="86"/>
      <c r="DI193" s="86"/>
      <c r="DJ193" s="86"/>
      <c r="DK193" s="86"/>
      <c r="DL193" s="86"/>
      <c r="DM193" s="86"/>
      <c r="DN193" s="86"/>
      <c r="DO193" s="86"/>
      <c r="DP193" s="86"/>
      <c r="DQ193" s="86"/>
      <c r="DR193" s="86"/>
      <c r="DS193" s="86"/>
      <c r="DT193" s="86"/>
      <c r="DU193" s="86"/>
      <c r="DV193" s="86"/>
      <c r="DW193" s="86"/>
      <c r="DX193" s="86"/>
      <c r="DY193" s="86"/>
      <c r="DZ193" s="86"/>
      <c r="EA193" s="86"/>
      <c r="EB193" s="86"/>
      <c r="EC193" s="86"/>
      <c r="ED193" s="86"/>
      <c r="EE193" s="86"/>
      <c r="EF193" s="86"/>
      <c r="EG193" s="86"/>
      <c r="EH193" s="86"/>
      <c r="EI193" s="86"/>
      <c r="EJ193" s="86"/>
      <c r="EK193" s="86"/>
      <c r="EL193" s="86"/>
      <c r="EM193" s="86"/>
      <c r="EN193" s="86"/>
      <c r="EO193" s="86"/>
      <c r="EP193" s="86"/>
      <c r="EQ193" s="86"/>
      <c r="ER193" s="86"/>
      <c r="ES193" s="86"/>
      <c r="ET193" s="86"/>
      <c r="EU193" s="86"/>
      <c r="EV193" s="86"/>
      <c r="EW193" s="86"/>
      <c r="EX193" s="86"/>
      <c r="EY193" s="86"/>
      <c r="EZ193" s="86"/>
      <c r="FA193" s="86"/>
    </row>
    <row r="194" spans="2:157" ht="9.75" customHeight="1">
      <c r="B194" s="845">
        <v>8</v>
      </c>
      <c r="C194" s="1344"/>
      <c r="D194" s="1344"/>
      <c r="E194" s="1344"/>
      <c r="F194" s="857"/>
      <c r="G194" s="857"/>
      <c r="H194" s="875" t="str">
        <f t="shared" si="8"/>
        <v/>
      </c>
      <c r="J194" s="101"/>
      <c r="K194" s="101"/>
      <c r="L194" s="101"/>
      <c r="Z194" s="86"/>
      <c r="AA194" s="86"/>
      <c r="AB194" s="86"/>
      <c r="AC194" s="86"/>
      <c r="AD194" s="86"/>
      <c r="AE194" s="86"/>
      <c r="AF194" s="86"/>
      <c r="AG194" s="86"/>
      <c r="AH194" s="86"/>
      <c r="AI194" s="86"/>
      <c r="AJ194" s="86"/>
      <c r="AK194" s="86"/>
      <c r="AL194" s="86"/>
      <c r="AM194" s="86"/>
      <c r="AN194" s="86"/>
      <c r="AO194" s="86"/>
      <c r="AP194" s="86"/>
      <c r="AQ194" s="86"/>
      <c r="AR194" s="86"/>
      <c r="AS194" s="86"/>
      <c r="AT194" s="86"/>
      <c r="AU194" s="86"/>
      <c r="AV194" s="86"/>
      <c r="AW194" s="86"/>
      <c r="AX194" s="86"/>
      <c r="AY194" s="86"/>
      <c r="AZ194" s="86"/>
      <c r="BA194" s="86"/>
      <c r="BB194" s="86"/>
      <c r="BC194" s="86"/>
      <c r="BD194" s="86"/>
      <c r="BE194" s="86"/>
      <c r="BF194" s="86"/>
      <c r="BG194" s="86"/>
      <c r="BH194" s="86"/>
      <c r="BI194" s="86"/>
      <c r="BJ194" s="86"/>
      <c r="BK194" s="86"/>
      <c r="BL194" s="86"/>
      <c r="BM194" s="86"/>
      <c r="BN194" s="86"/>
      <c r="BO194" s="86"/>
      <c r="BP194" s="86"/>
      <c r="BQ194" s="86"/>
      <c r="BR194" s="86"/>
      <c r="BS194" s="86"/>
      <c r="BT194" s="86"/>
      <c r="BU194" s="86"/>
      <c r="BV194" s="86"/>
      <c r="BW194" s="86"/>
      <c r="BX194" s="86"/>
      <c r="BY194" s="86"/>
      <c r="BZ194" s="86"/>
      <c r="CA194" s="86"/>
      <c r="CB194" s="86"/>
      <c r="CC194" s="86"/>
      <c r="CD194" s="86"/>
      <c r="CE194" s="86"/>
      <c r="CF194" s="86"/>
      <c r="CG194" s="86"/>
      <c r="CH194" s="86"/>
      <c r="CI194" s="86"/>
      <c r="CJ194" s="86"/>
      <c r="CK194" s="86"/>
      <c r="CL194" s="86"/>
      <c r="CM194" s="86"/>
      <c r="CN194" s="86"/>
      <c r="CO194" s="86"/>
      <c r="CP194" s="86"/>
      <c r="CQ194" s="86"/>
      <c r="CR194" s="86"/>
      <c r="CS194" s="86"/>
      <c r="CT194" s="86"/>
      <c r="CU194" s="86"/>
      <c r="CV194" s="86"/>
      <c r="CW194" s="86"/>
      <c r="CX194" s="86"/>
      <c r="CY194" s="86"/>
      <c r="CZ194" s="86"/>
      <c r="DA194" s="86"/>
      <c r="DB194" s="86"/>
      <c r="DC194" s="86"/>
      <c r="DD194" s="86"/>
      <c r="DE194" s="86"/>
      <c r="DF194" s="86"/>
      <c r="DG194" s="86"/>
      <c r="DH194" s="86"/>
      <c r="DI194" s="86"/>
      <c r="DJ194" s="86"/>
      <c r="DK194" s="86"/>
      <c r="DL194" s="86"/>
      <c r="DM194" s="86"/>
      <c r="DN194" s="86"/>
      <c r="DO194" s="86"/>
      <c r="DP194" s="86"/>
      <c r="DQ194" s="86"/>
      <c r="DR194" s="86"/>
      <c r="DS194" s="86"/>
      <c r="DT194" s="86"/>
      <c r="DU194" s="86"/>
      <c r="DV194" s="86"/>
      <c r="DW194" s="86"/>
      <c r="DX194" s="86"/>
      <c r="DY194" s="86"/>
      <c r="DZ194" s="86"/>
      <c r="EA194" s="86"/>
      <c r="EB194" s="86"/>
      <c r="EC194" s="86"/>
      <c r="ED194" s="86"/>
      <c r="EE194" s="86"/>
      <c r="EF194" s="86"/>
      <c r="EG194" s="86"/>
      <c r="EH194" s="86"/>
      <c r="EI194" s="86"/>
      <c r="EJ194" s="86"/>
      <c r="EK194" s="86"/>
      <c r="EL194" s="86"/>
      <c r="EM194" s="86"/>
      <c r="EN194" s="86"/>
      <c r="EO194" s="86"/>
      <c r="EP194" s="86"/>
      <c r="EQ194" s="86"/>
      <c r="ER194" s="86"/>
      <c r="ES194" s="86"/>
      <c r="ET194" s="86"/>
      <c r="EU194" s="86"/>
      <c r="EV194" s="86"/>
      <c r="EW194" s="86"/>
      <c r="EX194" s="86"/>
      <c r="EY194" s="86"/>
      <c r="EZ194" s="86"/>
      <c r="FA194" s="86"/>
    </row>
    <row r="195" spans="2:157" ht="9.75" customHeight="1">
      <c r="B195" s="845">
        <v>9</v>
      </c>
      <c r="C195" s="1344"/>
      <c r="D195" s="1344"/>
      <c r="E195" s="1344"/>
      <c r="F195" s="857"/>
      <c r="G195" s="857"/>
      <c r="H195" s="875" t="str">
        <f t="shared" si="8"/>
        <v/>
      </c>
      <c r="J195" s="101"/>
      <c r="K195" s="101"/>
      <c r="L195" s="101"/>
      <c r="Z195" s="86"/>
      <c r="AA195" s="86"/>
      <c r="AB195" s="86"/>
      <c r="AC195" s="86"/>
      <c r="AD195" s="86"/>
      <c r="AE195" s="86"/>
      <c r="AF195" s="86"/>
      <c r="AG195" s="86"/>
      <c r="AH195" s="86"/>
      <c r="AI195" s="86"/>
      <c r="AJ195" s="86"/>
      <c r="AK195" s="86"/>
      <c r="AL195" s="86"/>
      <c r="AM195" s="86"/>
      <c r="AN195" s="86"/>
      <c r="AO195" s="86"/>
      <c r="AP195" s="86"/>
      <c r="AQ195" s="86"/>
      <c r="AR195" s="86"/>
      <c r="AS195" s="86"/>
      <c r="AT195" s="86"/>
      <c r="AU195" s="86"/>
      <c r="AV195" s="86"/>
      <c r="AW195" s="86"/>
      <c r="AX195" s="86"/>
      <c r="AY195" s="86"/>
      <c r="AZ195" s="86"/>
      <c r="BA195" s="86"/>
      <c r="BB195" s="86"/>
      <c r="BC195" s="86"/>
      <c r="BD195" s="86"/>
      <c r="BE195" s="86"/>
      <c r="BF195" s="86"/>
      <c r="BG195" s="86"/>
      <c r="BH195" s="86"/>
      <c r="BI195" s="86"/>
      <c r="BJ195" s="86"/>
      <c r="BK195" s="86"/>
      <c r="BL195" s="86"/>
      <c r="BM195" s="86"/>
      <c r="BN195" s="86"/>
      <c r="BO195" s="86"/>
      <c r="BP195" s="86"/>
      <c r="BQ195" s="86"/>
      <c r="BR195" s="86"/>
      <c r="BS195" s="86"/>
      <c r="BT195" s="86"/>
      <c r="BU195" s="86"/>
      <c r="BV195" s="86"/>
      <c r="BW195" s="86"/>
      <c r="BX195" s="86"/>
      <c r="BY195" s="86"/>
      <c r="BZ195" s="86"/>
      <c r="CA195" s="86"/>
      <c r="CB195" s="86"/>
      <c r="CC195" s="86"/>
      <c r="CD195" s="86"/>
      <c r="CE195" s="86"/>
      <c r="CF195" s="86"/>
      <c r="CG195" s="86"/>
      <c r="CH195" s="86"/>
      <c r="CI195" s="86"/>
      <c r="CJ195" s="86"/>
      <c r="CK195" s="86"/>
      <c r="CL195" s="86"/>
      <c r="CM195" s="86"/>
      <c r="CN195" s="86"/>
      <c r="CO195" s="86"/>
      <c r="CP195" s="86"/>
      <c r="CQ195" s="86"/>
      <c r="CR195" s="86"/>
      <c r="CS195" s="86"/>
      <c r="CT195" s="86"/>
      <c r="CU195" s="86"/>
      <c r="CV195" s="86"/>
      <c r="CW195" s="86"/>
      <c r="CX195" s="86"/>
      <c r="CY195" s="86"/>
      <c r="CZ195" s="86"/>
      <c r="DA195" s="86"/>
      <c r="DB195" s="86"/>
      <c r="DC195" s="86"/>
      <c r="DD195" s="86"/>
      <c r="DE195" s="86"/>
      <c r="DF195" s="86"/>
      <c r="DG195" s="86"/>
      <c r="DH195" s="86"/>
      <c r="DI195" s="86"/>
      <c r="DJ195" s="86"/>
      <c r="DK195" s="86"/>
      <c r="DL195" s="86"/>
      <c r="DM195" s="86"/>
      <c r="DN195" s="86"/>
      <c r="DO195" s="86"/>
      <c r="DP195" s="86"/>
      <c r="DQ195" s="86"/>
      <c r="DR195" s="86"/>
      <c r="DS195" s="86"/>
      <c r="DT195" s="86"/>
      <c r="DU195" s="86"/>
      <c r="DV195" s="86"/>
      <c r="DW195" s="86"/>
      <c r="DX195" s="86"/>
      <c r="DY195" s="86"/>
      <c r="DZ195" s="86"/>
      <c r="EA195" s="86"/>
      <c r="EB195" s="86"/>
      <c r="EC195" s="86"/>
      <c r="ED195" s="86"/>
      <c r="EE195" s="86"/>
      <c r="EF195" s="86"/>
      <c r="EG195" s="86"/>
      <c r="EH195" s="86"/>
      <c r="EI195" s="86"/>
      <c r="EJ195" s="86"/>
      <c r="EK195" s="86"/>
      <c r="EL195" s="86"/>
      <c r="EM195" s="86"/>
      <c r="EN195" s="86"/>
      <c r="EO195" s="86"/>
      <c r="EP195" s="86"/>
      <c r="EQ195" s="86"/>
      <c r="ER195" s="86"/>
      <c r="ES195" s="86"/>
      <c r="ET195" s="86"/>
      <c r="EU195" s="86"/>
      <c r="EV195" s="86"/>
      <c r="EW195" s="86"/>
      <c r="EX195" s="86"/>
      <c r="EY195" s="86"/>
      <c r="EZ195" s="86"/>
      <c r="FA195" s="86"/>
    </row>
    <row r="196" spans="2:157" ht="10.050000000000001" customHeight="1">
      <c r="B196" s="845" t="s">
        <v>546</v>
      </c>
      <c r="C196" s="836" t="s">
        <v>73</v>
      </c>
      <c r="D196" s="839"/>
      <c r="E196" s="86"/>
      <c r="F196" s="848" t="s">
        <v>546</v>
      </c>
      <c r="G196" s="848" t="s">
        <v>546</v>
      </c>
      <c r="H196" s="858">
        <v>0.04</v>
      </c>
      <c r="J196" s="101"/>
      <c r="K196" s="101"/>
      <c r="L196" s="101"/>
      <c r="Z196" s="86"/>
      <c r="AA196" s="86"/>
      <c r="AB196" s="86"/>
      <c r="AC196" s="86"/>
      <c r="AD196" s="86"/>
      <c r="AE196" s="86"/>
      <c r="AF196" s="86"/>
      <c r="AG196" s="86"/>
      <c r="AH196" s="86"/>
      <c r="AI196" s="86"/>
      <c r="AJ196" s="86"/>
      <c r="AK196" s="86"/>
      <c r="AL196" s="86"/>
      <c r="AM196" s="86"/>
      <c r="AN196" s="86"/>
      <c r="AO196" s="86"/>
      <c r="AP196" s="86"/>
      <c r="AQ196" s="86"/>
      <c r="AR196" s="86"/>
      <c r="AS196" s="86"/>
      <c r="AT196" s="86"/>
      <c r="AU196" s="86"/>
      <c r="AV196" s="86"/>
      <c r="AW196" s="86"/>
      <c r="AX196" s="86"/>
      <c r="AY196" s="86"/>
      <c r="AZ196" s="86"/>
      <c r="BA196" s="86"/>
      <c r="BB196" s="86"/>
      <c r="BC196" s="86"/>
      <c r="BD196" s="86"/>
      <c r="BE196" s="86"/>
      <c r="BF196" s="86"/>
      <c r="BG196" s="86"/>
      <c r="BH196" s="86"/>
      <c r="BI196" s="86"/>
      <c r="BJ196" s="86"/>
      <c r="BK196" s="86"/>
      <c r="BL196" s="86"/>
      <c r="BM196" s="86"/>
      <c r="BN196" s="86"/>
      <c r="BO196" s="86"/>
      <c r="BP196" s="86"/>
      <c r="BQ196" s="86"/>
      <c r="BR196" s="86"/>
      <c r="BS196" s="86"/>
      <c r="BT196" s="86"/>
      <c r="BU196" s="86"/>
      <c r="BV196" s="86"/>
      <c r="BW196" s="86"/>
      <c r="BX196" s="86"/>
      <c r="BY196" s="86"/>
      <c r="BZ196" s="86"/>
      <c r="CA196" s="86"/>
      <c r="CB196" s="86"/>
      <c r="CC196" s="86"/>
      <c r="CD196" s="86"/>
      <c r="CE196" s="86"/>
      <c r="CF196" s="86"/>
      <c r="CG196" s="86"/>
      <c r="CH196" s="86"/>
      <c r="CI196" s="86"/>
      <c r="CJ196" s="86"/>
      <c r="CK196" s="86"/>
      <c r="CL196" s="86"/>
      <c r="CM196" s="86"/>
      <c r="CN196" s="86"/>
      <c r="CO196" s="86"/>
      <c r="CP196" s="86"/>
      <c r="CQ196" s="86"/>
      <c r="CR196" s="86"/>
      <c r="CS196" s="86"/>
      <c r="CT196" s="86"/>
      <c r="CU196" s="86"/>
      <c r="CV196" s="86"/>
      <c r="CW196" s="86"/>
      <c r="CX196" s="86"/>
      <c r="CY196" s="86"/>
      <c r="CZ196" s="86"/>
      <c r="DA196" s="86"/>
      <c r="DB196" s="86"/>
      <c r="DC196" s="86"/>
      <c r="DD196" s="86"/>
      <c r="DE196" s="86"/>
      <c r="DF196" s="86"/>
      <c r="DG196" s="86"/>
      <c r="DH196" s="86"/>
      <c r="DI196" s="86"/>
      <c r="DJ196" s="86"/>
      <c r="DK196" s="86"/>
      <c r="DL196" s="86"/>
      <c r="DM196" s="86"/>
      <c r="DN196" s="86"/>
      <c r="DO196" s="86"/>
      <c r="DP196" s="86"/>
      <c r="DQ196" s="86"/>
      <c r="DR196" s="86"/>
      <c r="DS196" s="86"/>
      <c r="DT196" s="86"/>
      <c r="DU196" s="86"/>
      <c r="DV196" s="86"/>
      <c r="DW196" s="86"/>
      <c r="DX196" s="86"/>
      <c r="DY196" s="86"/>
      <c r="DZ196" s="86"/>
      <c r="EA196" s="86"/>
      <c r="EB196" s="86"/>
      <c r="EC196" s="86"/>
      <c r="ED196" s="86"/>
      <c r="EE196" s="86"/>
      <c r="EF196" s="86"/>
      <c r="EG196" s="86"/>
      <c r="EH196" s="86"/>
      <c r="EI196" s="86"/>
      <c r="EJ196" s="86"/>
      <c r="EK196" s="86"/>
      <c r="EL196" s="86"/>
      <c r="EM196" s="86"/>
      <c r="EN196" s="86"/>
      <c r="EO196" s="86"/>
      <c r="EP196" s="86"/>
      <c r="EQ196" s="86"/>
      <c r="ER196" s="86"/>
      <c r="ES196" s="86"/>
      <c r="ET196" s="86"/>
      <c r="EU196" s="86"/>
      <c r="EV196" s="86"/>
      <c r="EW196" s="86"/>
      <c r="EX196" s="86"/>
      <c r="EY196" s="86"/>
      <c r="EZ196" s="86"/>
      <c r="FA196" s="86"/>
    </row>
    <row r="197" spans="2:157" ht="9.75" customHeight="1">
      <c r="B197" s="849"/>
      <c r="C197" s="849"/>
      <c r="D197" s="849"/>
      <c r="E197" s="849"/>
      <c r="F197" s="849"/>
      <c r="G197" s="849"/>
      <c r="H197" s="855"/>
      <c r="J197" s="101"/>
      <c r="K197" s="101"/>
      <c r="L197" s="101"/>
      <c r="Z197" s="86"/>
      <c r="AA197" s="86"/>
      <c r="AB197" s="86"/>
      <c r="AC197" s="86"/>
      <c r="AD197" s="86"/>
      <c r="AE197" s="86"/>
      <c r="AF197" s="86"/>
      <c r="AG197" s="86"/>
      <c r="AH197" s="86"/>
      <c r="AI197" s="86"/>
      <c r="AJ197" s="86"/>
      <c r="AK197" s="86"/>
      <c r="AL197" s="86"/>
      <c r="AM197" s="86"/>
      <c r="AN197" s="86"/>
      <c r="AO197" s="86"/>
      <c r="AP197" s="86"/>
      <c r="AQ197" s="86"/>
      <c r="AR197" s="86"/>
      <c r="AS197" s="86"/>
      <c r="AT197" s="86"/>
      <c r="AU197" s="86"/>
      <c r="AV197" s="86"/>
      <c r="AW197" s="86"/>
      <c r="AX197" s="86"/>
      <c r="AY197" s="86"/>
      <c r="AZ197" s="86"/>
      <c r="BA197" s="86"/>
      <c r="BB197" s="86"/>
      <c r="BC197" s="86"/>
      <c r="BD197" s="86"/>
      <c r="BE197" s="86"/>
      <c r="BF197" s="86"/>
      <c r="BG197" s="86"/>
      <c r="BH197" s="86"/>
      <c r="BI197" s="86"/>
      <c r="BJ197" s="86"/>
      <c r="BK197" s="86"/>
      <c r="BL197" s="86"/>
      <c r="BM197" s="86"/>
      <c r="BN197" s="86"/>
      <c r="BO197" s="86"/>
      <c r="BP197" s="86"/>
      <c r="BQ197" s="86"/>
      <c r="BR197" s="86"/>
      <c r="BS197" s="86"/>
      <c r="BT197" s="86"/>
      <c r="BU197" s="86"/>
      <c r="BV197" s="86"/>
      <c r="BW197" s="86"/>
      <c r="BX197" s="86"/>
      <c r="BY197" s="86"/>
      <c r="BZ197" s="86"/>
      <c r="CA197" s="86"/>
      <c r="CB197" s="86"/>
      <c r="CC197" s="86"/>
      <c r="CD197" s="86"/>
      <c r="CE197" s="86"/>
      <c r="CF197" s="86"/>
      <c r="CG197" s="86"/>
      <c r="CH197" s="86"/>
      <c r="CI197" s="86"/>
      <c r="CJ197" s="86"/>
      <c r="CK197" s="86"/>
      <c r="CL197" s="86"/>
      <c r="CM197" s="86"/>
      <c r="CN197" s="86"/>
      <c r="CO197" s="86"/>
      <c r="CP197" s="86"/>
      <c r="CQ197" s="86"/>
      <c r="CR197" s="86"/>
      <c r="CS197" s="86"/>
      <c r="CT197" s="86"/>
      <c r="CU197" s="86"/>
      <c r="CV197" s="86"/>
      <c r="CW197" s="86"/>
      <c r="CX197" s="86"/>
      <c r="CY197" s="86"/>
      <c r="CZ197" s="86"/>
      <c r="DA197" s="86"/>
      <c r="DB197" s="86"/>
      <c r="DC197" s="86"/>
      <c r="DD197" s="86"/>
      <c r="DE197" s="86"/>
      <c r="DF197" s="86"/>
      <c r="DG197" s="86"/>
      <c r="DH197" s="86"/>
      <c r="DI197" s="86"/>
      <c r="DJ197" s="86"/>
      <c r="DK197" s="86"/>
      <c r="DL197" s="86"/>
      <c r="DM197" s="86"/>
      <c r="DN197" s="86"/>
      <c r="DO197" s="86"/>
      <c r="DP197" s="86"/>
      <c r="DQ197" s="86"/>
      <c r="DR197" s="86"/>
      <c r="DS197" s="86"/>
      <c r="DT197" s="86"/>
      <c r="DU197" s="86"/>
      <c r="DV197" s="86"/>
      <c r="DW197" s="86"/>
      <c r="DX197" s="86"/>
      <c r="DY197" s="86"/>
      <c r="DZ197" s="86"/>
      <c r="EA197" s="86"/>
      <c r="EB197" s="86"/>
      <c r="EC197" s="86"/>
      <c r="ED197" s="86"/>
      <c r="EE197" s="86"/>
      <c r="EF197" s="86"/>
      <c r="EG197" s="86"/>
      <c r="EH197" s="86"/>
      <c r="EI197" s="86"/>
      <c r="EJ197" s="86"/>
      <c r="EK197" s="86"/>
      <c r="EL197" s="86"/>
      <c r="EM197" s="86"/>
      <c r="EN197" s="86"/>
      <c r="EO197" s="86"/>
      <c r="EP197" s="86"/>
      <c r="EQ197" s="86"/>
      <c r="ER197" s="86"/>
      <c r="ES197" s="86"/>
      <c r="ET197" s="86"/>
      <c r="EU197" s="86"/>
      <c r="EV197" s="86"/>
      <c r="EW197" s="86"/>
      <c r="EX197" s="86"/>
      <c r="EY197" s="86"/>
      <c r="EZ197" s="86"/>
      <c r="FA197" s="86"/>
    </row>
    <row r="198" spans="2:157" ht="9.75" customHeight="1">
      <c r="B198" s="27"/>
      <c r="C198" s="27"/>
      <c r="D198" s="27"/>
      <c r="E198" s="91"/>
      <c r="F198" s="171"/>
      <c r="G198" s="29"/>
      <c r="H198" s="27"/>
      <c r="J198" s="101"/>
      <c r="K198" s="101"/>
      <c r="L198" s="101"/>
      <c r="Z198" s="86"/>
      <c r="AA198" s="86"/>
      <c r="AB198" s="86"/>
      <c r="AC198" s="86"/>
      <c r="AD198" s="86"/>
      <c r="AE198" s="86"/>
      <c r="AF198" s="86"/>
      <c r="AG198" s="86"/>
      <c r="AH198" s="86"/>
      <c r="AI198" s="86"/>
      <c r="AJ198" s="86"/>
      <c r="AK198" s="86"/>
      <c r="AL198" s="86"/>
      <c r="AM198" s="86"/>
      <c r="AN198" s="86"/>
      <c r="AO198" s="86"/>
      <c r="AP198" s="86"/>
      <c r="AQ198" s="86"/>
      <c r="AR198" s="86"/>
      <c r="AS198" s="86"/>
      <c r="AT198" s="86"/>
      <c r="AU198" s="86"/>
      <c r="AV198" s="86"/>
      <c r="AW198" s="86"/>
      <c r="AX198" s="86"/>
      <c r="AY198" s="86"/>
      <c r="AZ198" s="86"/>
      <c r="BA198" s="86"/>
      <c r="BB198" s="86"/>
      <c r="BC198" s="86"/>
      <c r="BD198" s="86"/>
      <c r="BE198" s="86"/>
      <c r="BF198" s="86"/>
      <c r="BG198" s="86"/>
      <c r="BH198" s="86"/>
      <c r="BI198" s="86"/>
      <c r="BJ198" s="86"/>
      <c r="BK198" s="86"/>
      <c r="BL198" s="86"/>
      <c r="BM198" s="86"/>
      <c r="BN198" s="86"/>
      <c r="BO198" s="86"/>
      <c r="BP198" s="86"/>
      <c r="BQ198" s="86"/>
      <c r="BR198" s="86"/>
      <c r="BS198" s="86"/>
      <c r="BT198" s="86"/>
      <c r="BU198" s="86"/>
      <c r="BV198" s="86"/>
      <c r="BW198" s="86"/>
      <c r="BX198" s="86"/>
      <c r="BY198" s="86"/>
      <c r="BZ198" s="86"/>
      <c r="CA198" s="86"/>
      <c r="CB198" s="86"/>
      <c r="CC198" s="86"/>
      <c r="CD198" s="86"/>
      <c r="CE198" s="86"/>
      <c r="CF198" s="86"/>
      <c r="CG198" s="86"/>
      <c r="CH198" s="86"/>
      <c r="CI198" s="86"/>
      <c r="CJ198" s="86"/>
      <c r="CK198" s="86"/>
      <c r="CL198" s="86"/>
      <c r="CM198" s="86"/>
      <c r="CN198" s="86"/>
      <c r="CO198" s="86"/>
      <c r="CP198" s="86"/>
      <c r="CQ198" s="86"/>
      <c r="CR198" s="86"/>
      <c r="CS198" s="86"/>
      <c r="CT198" s="86"/>
      <c r="CU198" s="86"/>
      <c r="CV198" s="86"/>
      <c r="CW198" s="86"/>
      <c r="CX198" s="86"/>
      <c r="CY198" s="86"/>
      <c r="CZ198" s="86"/>
      <c r="DA198" s="86"/>
      <c r="DB198" s="86"/>
      <c r="DC198" s="86"/>
      <c r="DD198" s="86"/>
      <c r="DE198" s="86"/>
      <c r="DF198" s="86"/>
      <c r="DG198" s="86"/>
      <c r="DH198" s="86"/>
      <c r="DI198" s="86"/>
      <c r="DJ198" s="86"/>
      <c r="DK198" s="86"/>
      <c r="DL198" s="86"/>
      <c r="DM198" s="86"/>
      <c r="DN198" s="86"/>
      <c r="DO198" s="86"/>
      <c r="DP198" s="86"/>
      <c r="DQ198" s="86"/>
      <c r="DR198" s="86"/>
      <c r="DS198" s="86"/>
      <c r="DT198" s="86"/>
      <c r="DU198" s="86"/>
      <c r="DV198" s="86"/>
      <c r="DW198" s="86"/>
      <c r="DX198" s="86"/>
      <c r="DY198" s="86"/>
      <c r="DZ198" s="86"/>
      <c r="EA198" s="86"/>
      <c r="EB198" s="86"/>
      <c r="EC198" s="86"/>
      <c r="ED198" s="86"/>
      <c r="EE198" s="86"/>
      <c r="EF198" s="86"/>
      <c r="EG198" s="86"/>
      <c r="EH198" s="86"/>
      <c r="EI198" s="86"/>
      <c r="EJ198" s="86"/>
      <c r="EK198" s="86"/>
      <c r="EL198" s="86"/>
      <c r="EM198" s="86"/>
      <c r="EN198" s="86"/>
      <c r="EO198" s="86"/>
      <c r="EP198" s="86"/>
      <c r="EQ198" s="86"/>
      <c r="ER198" s="86"/>
      <c r="ES198" s="86"/>
      <c r="ET198" s="86"/>
      <c r="EU198" s="86"/>
      <c r="EV198" s="86"/>
      <c r="EW198" s="86"/>
      <c r="EX198" s="86"/>
      <c r="EY198" s="86"/>
      <c r="EZ198" s="86"/>
      <c r="FA198" s="86"/>
    </row>
    <row r="199" spans="2:157" ht="9.75" customHeight="1">
      <c r="B199" s="27"/>
      <c r="C199" s="27"/>
      <c r="D199" s="27"/>
      <c r="E199" s="27"/>
      <c r="F199" s="27"/>
      <c r="G199" s="27"/>
      <c r="H199" s="27"/>
      <c r="J199" s="101"/>
      <c r="K199" s="101"/>
      <c r="L199" s="101"/>
      <c r="Z199" s="86"/>
      <c r="AA199" s="86"/>
      <c r="AB199" s="86"/>
      <c r="AC199" s="86"/>
      <c r="AD199" s="86"/>
      <c r="AE199" s="86"/>
      <c r="AF199" s="86"/>
      <c r="AG199" s="86"/>
      <c r="AH199" s="86"/>
      <c r="AI199" s="86"/>
      <c r="AJ199" s="86"/>
      <c r="AK199" s="86"/>
      <c r="AL199" s="86"/>
      <c r="AM199" s="86"/>
      <c r="AN199" s="86"/>
      <c r="AO199" s="86"/>
      <c r="AP199" s="86"/>
      <c r="AQ199" s="86"/>
      <c r="AR199" s="86"/>
      <c r="AS199" s="86"/>
      <c r="AT199" s="86"/>
      <c r="AU199" s="86"/>
      <c r="AV199" s="86"/>
      <c r="AW199" s="86"/>
      <c r="AX199" s="86"/>
      <c r="AY199" s="86"/>
      <c r="AZ199" s="86"/>
      <c r="BA199" s="86"/>
      <c r="BB199" s="86"/>
      <c r="BC199" s="86"/>
      <c r="BD199" s="86"/>
      <c r="BE199" s="86"/>
      <c r="BF199" s="86"/>
      <c r="BG199" s="86"/>
      <c r="BH199" s="86"/>
      <c r="BI199" s="86"/>
      <c r="BJ199" s="86"/>
      <c r="BK199" s="86"/>
      <c r="BL199" s="86"/>
      <c r="BM199" s="86"/>
      <c r="BN199" s="86"/>
      <c r="BO199" s="86"/>
      <c r="BP199" s="86"/>
      <c r="BQ199" s="86"/>
      <c r="BR199" s="86"/>
      <c r="BS199" s="86"/>
      <c r="BT199" s="86"/>
      <c r="BU199" s="86"/>
      <c r="BV199" s="86"/>
      <c r="BW199" s="86"/>
      <c r="BX199" s="86"/>
      <c r="BY199" s="86"/>
      <c r="BZ199" s="86"/>
      <c r="CA199" s="86"/>
      <c r="CB199" s="86"/>
      <c r="CC199" s="86"/>
      <c r="CD199" s="86"/>
      <c r="CE199" s="86"/>
      <c r="CF199" s="86"/>
      <c r="CG199" s="86"/>
      <c r="CH199" s="86"/>
      <c r="CI199" s="86"/>
      <c r="CJ199" s="86"/>
      <c r="CK199" s="86"/>
      <c r="CL199" s="86"/>
      <c r="CM199" s="86"/>
      <c r="CN199" s="86"/>
      <c r="CO199" s="86"/>
      <c r="CP199" s="86"/>
      <c r="CQ199" s="86"/>
      <c r="CR199" s="86"/>
      <c r="CS199" s="86"/>
      <c r="CT199" s="86"/>
      <c r="CU199" s="86"/>
      <c r="CV199" s="86"/>
      <c r="CW199" s="86"/>
      <c r="CX199" s="86"/>
      <c r="CY199" s="86"/>
      <c r="CZ199" s="86"/>
      <c r="DA199" s="86"/>
      <c r="DB199" s="86"/>
      <c r="DC199" s="86"/>
      <c r="DD199" s="86"/>
      <c r="DE199" s="86"/>
      <c r="DF199" s="86"/>
      <c r="DG199" s="86"/>
      <c r="DH199" s="86"/>
      <c r="DI199" s="86"/>
      <c r="DJ199" s="86"/>
      <c r="DK199" s="86"/>
      <c r="DL199" s="86"/>
      <c r="DM199" s="86"/>
      <c r="DN199" s="86"/>
      <c r="DO199" s="86"/>
      <c r="DP199" s="86"/>
      <c r="DQ199" s="86"/>
      <c r="DR199" s="86"/>
      <c r="DS199" s="86"/>
      <c r="DT199" s="86"/>
      <c r="DU199" s="86"/>
      <c r="DV199" s="86"/>
      <c r="DW199" s="86"/>
      <c r="DX199" s="86"/>
      <c r="DY199" s="86"/>
      <c r="DZ199" s="86"/>
      <c r="EA199" s="86"/>
      <c r="EB199" s="86"/>
      <c r="EC199" s="86"/>
      <c r="ED199" s="86"/>
      <c r="EE199" s="86"/>
      <c r="EF199" s="86"/>
      <c r="EG199" s="86"/>
      <c r="EH199" s="86"/>
      <c r="EI199" s="86"/>
      <c r="EJ199" s="86"/>
      <c r="EK199" s="86"/>
      <c r="EL199" s="86"/>
      <c r="EM199" s="86"/>
      <c r="EN199" s="86"/>
      <c r="EO199" s="86"/>
      <c r="EP199" s="86"/>
      <c r="EQ199" s="86"/>
      <c r="ER199" s="86"/>
      <c r="ES199" s="86"/>
      <c r="ET199" s="86"/>
      <c r="EU199" s="86"/>
      <c r="EV199" s="86"/>
      <c r="EW199" s="86"/>
      <c r="EX199" s="86"/>
      <c r="EY199" s="86"/>
      <c r="EZ199" s="86"/>
      <c r="FA199" s="86"/>
    </row>
    <row r="200" spans="2:157" ht="9.75" customHeight="1">
      <c r="B200" s="27"/>
      <c r="C200" s="27"/>
      <c r="D200" s="27"/>
      <c r="E200" s="27"/>
      <c r="F200" s="27"/>
      <c r="G200" s="27"/>
      <c r="H200" s="27"/>
      <c r="J200" s="101"/>
      <c r="K200" s="101"/>
      <c r="L200" s="101"/>
      <c r="Z200" s="86"/>
      <c r="AA200" s="86"/>
      <c r="AB200" s="86"/>
      <c r="AC200" s="86"/>
      <c r="AD200" s="86"/>
      <c r="AE200" s="86"/>
      <c r="AF200" s="86"/>
      <c r="AG200" s="86"/>
      <c r="AH200" s="86"/>
      <c r="AI200" s="86"/>
      <c r="AJ200" s="86"/>
      <c r="AK200" s="86"/>
      <c r="AL200" s="86"/>
      <c r="AM200" s="86"/>
      <c r="AN200" s="86"/>
      <c r="AO200" s="86"/>
      <c r="AP200" s="86"/>
      <c r="AQ200" s="86"/>
      <c r="AR200" s="86"/>
      <c r="AS200" s="86"/>
      <c r="AT200" s="86"/>
      <c r="AU200" s="86"/>
      <c r="AV200" s="86"/>
      <c r="AW200" s="86"/>
      <c r="AX200" s="86"/>
      <c r="AY200" s="86"/>
      <c r="AZ200" s="86"/>
      <c r="BA200" s="86"/>
      <c r="BB200" s="86"/>
      <c r="BC200" s="86"/>
      <c r="BD200" s="86"/>
      <c r="BE200" s="86"/>
      <c r="BF200" s="86"/>
      <c r="BG200" s="86"/>
      <c r="BH200" s="86"/>
      <c r="BI200" s="86"/>
      <c r="BJ200" s="86"/>
      <c r="BK200" s="86"/>
      <c r="BL200" s="86"/>
      <c r="BM200" s="86"/>
      <c r="BN200" s="86"/>
      <c r="BO200" s="86"/>
      <c r="BP200" s="86"/>
      <c r="BQ200" s="86"/>
      <c r="BR200" s="86"/>
      <c r="BS200" s="86"/>
      <c r="BT200" s="86"/>
      <c r="BU200" s="86"/>
      <c r="BV200" s="86"/>
      <c r="BW200" s="86"/>
      <c r="BX200" s="86"/>
      <c r="BY200" s="86"/>
      <c r="BZ200" s="86"/>
      <c r="CA200" s="86"/>
      <c r="CB200" s="86"/>
      <c r="CC200" s="86"/>
      <c r="CD200" s="86"/>
      <c r="CE200" s="86"/>
      <c r="CF200" s="86"/>
      <c r="CG200" s="86"/>
      <c r="CH200" s="86"/>
      <c r="CI200" s="86"/>
      <c r="CJ200" s="86"/>
      <c r="CK200" s="86"/>
      <c r="CL200" s="86"/>
      <c r="CM200" s="86"/>
      <c r="CN200" s="86"/>
      <c r="CO200" s="86"/>
      <c r="CP200" s="86"/>
      <c r="CQ200" s="86"/>
      <c r="CR200" s="86"/>
      <c r="CS200" s="86"/>
      <c r="CT200" s="86"/>
      <c r="CU200" s="86"/>
      <c r="CV200" s="86"/>
      <c r="CW200" s="86"/>
      <c r="CX200" s="86"/>
      <c r="CY200" s="86"/>
      <c r="CZ200" s="86"/>
      <c r="DA200" s="86"/>
      <c r="DB200" s="86"/>
      <c r="DC200" s="86"/>
      <c r="DD200" s="86"/>
      <c r="DE200" s="86"/>
      <c r="DF200" s="86"/>
      <c r="DG200" s="86"/>
      <c r="DH200" s="86"/>
      <c r="DI200" s="86"/>
      <c r="DJ200" s="86"/>
      <c r="DK200" s="86"/>
      <c r="DL200" s="86"/>
      <c r="DM200" s="86"/>
      <c r="DN200" s="86"/>
      <c r="DO200" s="86"/>
      <c r="DP200" s="86"/>
      <c r="DQ200" s="86"/>
      <c r="DR200" s="86"/>
      <c r="DS200" s="86"/>
      <c r="DT200" s="86"/>
      <c r="DU200" s="86"/>
      <c r="DV200" s="86"/>
      <c r="DW200" s="86"/>
      <c r="DX200" s="86"/>
      <c r="DY200" s="86"/>
      <c r="DZ200" s="86"/>
      <c r="EA200" s="86"/>
      <c r="EB200" s="86"/>
      <c r="EC200" s="86"/>
      <c r="ED200" s="86"/>
      <c r="EE200" s="86"/>
      <c r="EF200" s="86"/>
      <c r="EG200" s="86"/>
      <c r="EH200" s="86"/>
      <c r="EI200" s="86"/>
      <c r="EJ200" s="86"/>
      <c r="EK200" s="86"/>
      <c r="EL200" s="86"/>
      <c r="EM200" s="86"/>
      <c r="EN200" s="86"/>
      <c r="EO200" s="86"/>
      <c r="EP200" s="86"/>
      <c r="EQ200" s="86"/>
      <c r="ER200" s="86"/>
      <c r="ES200" s="86"/>
      <c r="ET200" s="86"/>
      <c r="EU200" s="86"/>
      <c r="EV200" s="86"/>
      <c r="EW200" s="86"/>
      <c r="EX200" s="86"/>
      <c r="EY200" s="86"/>
      <c r="EZ200" s="86"/>
      <c r="FA200" s="86"/>
    </row>
    <row r="201" spans="2:157" ht="9.75" customHeight="1">
      <c r="B201" s="31"/>
      <c r="C201" s="31"/>
      <c r="D201" s="31"/>
      <c r="E201" s="31"/>
      <c r="F201" s="31"/>
      <c r="G201" s="31"/>
      <c r="H201" s="31"/>
      <c r="J201" s="101"/>
      <c r="K201" s="101"/>
      <c r="L201" s="101"/>
      <c r="Z201" s="86"/>
      <c r="AA201" s="86"/>
      <c r="AB201" s="86"/>
      <c r="AC201" s="86"/>
      <c r="AD201" s="86"/>
      <c r="AE201" s="86"/>
      <c r="AF201" s="86"/>
      <c r="AG201" s="86"/>
      <c r="AH201" s="86"/>
      <c r="AI201" s="86"/>
      <c r="AJ201" s="86"/>
      <c r="AK201" s="86"/>
      <c r="AL201" s="86"/>
      <c r="AM201" s="86"/>
      <c r="AN201" s="86"/>
      <c r="AO201" s="86"/>
      <c r="AP201" s="86"/>
      <c r="AQ201" s="86"/>
      <c r="AR201" s="86"/>
      <c r="AS201" s="86"/>
      <c r="AT201" s="86"/>
      <c r="AU201" s="86"/>
      <c r="AV201" s="86"/>
      <c r="AW201" s="86"/>
      <c r="AX201" s="86"/>
      <c r="AY201" s="86"/>
      <c r="AZ201" s="86"/>
      <c r="BA201" s="86"/>
      <c r="BB201" s="86"/>
      <c r="BC201" s="86"/>
      <c r="BD201" s="86"/>
      <c r="BE201" s="86"/>
      <c r="BF201" s="86"/>
      <c r="BG201" s="86"/>
      <c r="BH201" s="86"/>
      <c r="BI201" s="86"/>
      <c r="BJ201" s="86"/>
      <c r="BK201" s="86"/>
      <c r="BL201" s="86"/>
      <c r="BM201" s="86"/>
      <c r="BN201" s="86"/>
      <c r="BO201" s="86"/>
      <c r="BP201" s="86"/>
      <c r="BQ201" s="86"/>
      <c r="BR201" s="86"/>
      <c r="BS201" s="86"/>
      <c r="BT201" s="86"/>
      <c r="BU201" s="86"/>
      <c r="BV201" s="86"/>
      <c r="BW201" s="86"/>
      <c r="BX201" s="86"/>
      <c r="BY201" s="86"/>
      <c r="BZ201" s="86"/>
      <c r="CA201" s="86"/>
      <c r="CB201" s="86"/>
      <c r="CC201" s="86"/>
      <c r="CD201" s="86"/>
      <c r="CE201" s="86"/>
      <c r="CF201" s="86"/>
      <c r="CG201" s="86"/>
      <c r="CH201" s="86"/>
      <c r="CI201" s="86"/>
      <c r="CJ201" s="86"/>
      <c r="CK201" s="86"/>
      <c r="CL201" s="86"/>
      <c r="CM201" s="86"/>
      <c r="CN201" s="86"/>
      <c r="CO201" s="86"/>
      <c r="CP201" s="86"/>
      <c r="CQ201" s="86"/>
      <c r="CR201" s="86"/>
      <c r="CS201" s="86"/>
      <c r="CT201" s="86"/>
      <c r="CU201" s="86"/>
      <c r="CV201" s="86"/>
      <c r="CW201" s="86"/>
      <c r="CX201" s="86"/>
      <c r="CY201" s="86"/>
      <c r="CZ201" s="86"/>
      <c r="DA201" s="86"/>
      <c r="DB201" s="86"/>
      <c r="DC201" s="86"/>
      <c r="DD201" s="86"/>
      <c r="DE201" s="86"/>
      <c r="DF201" s="86"/>
      <c r="DG201" s="86"/>
      <c r="DH201" s="86"/>
      <c r="DI201" s="86"/>
      <c r="DJ201" s="86"/>
      <c r="DK201" s="86"/>
      <c r="DL201" s="86"/>
      <c r="DM201" s="86"/>
      <c r="DN201" s="86"/>
      <c r="DO201" s="86"/>
      <c r="DP201" s="86"/>
      <c r="DQ201" s="86"/>
      <c r="DR201" s="86"/>
      <c r="DS201" s="86"/>
      <c r="DT201" s="86"/>
      <c r="DU201" s="86"/>
      <c r="DV201" s="86"/>
      <c r="DW201" s="86"/>
      <c r="DX201" s="86"/>
      <c r="DY201" s="86"/>
      <c r="DZ201" s="86"/>
      <c r="EA201" s="86"/>
      <c r="EB201" s="86"/>
      <c r="EC201" s="86"/>
      <c r="ED201" s="86"/>
      <c r="EE201" s="86"/>
      <c r="EF201" s="86"/>
      <c r="EG201" s="86"/>
      <c r="EH201" s="86"/>
      <c r="EI201" s="86"/>
      <c r="EJ201" s="86"/>
      <c r="EK201" s="86"/>
      <c r="EL201" s="86"/>
      <c r="EM201" s="86"/>
      <c r="EN201" s="86"/>
      <c r="EO201" s="86"/>
      <c r="EP201" s="86"/>
      <c r="EQ201" s="86"/>
      <c r="ER201" s="86"/>
      <c r="ES201" s="86"/>
      <c r="ET201" s="86"/>
      <c r="EU201" s="86"/>
      <c r="EV201" s="86"/>
      <c r="EW201" s="86"/>
      <c r="EX201" s="86"/>
      <c r="EY201" s="86"/>
      <c r="EZ201" s="86"/>
      <c r="FA201" s="86"/>
    </row>
    <row r="202" spans="2:157" ht="10.95" customHeight="1">
      <c r="B202" s="1347" t="s">
        <v>510</v>
      </c>
      <c r="C202" s="1348"/>
      <c r="D202" s="1345"/>
      <c r="E202" s="1346"/>
      <c r="F202" s="842"/>
      <c r="G202" s="837" t="s">
        <v>4</v>
      </c>
      <c r="H202" s="856"/>
      <c r="J202" s="101"/>
      <c r="K202" s="101"/>
      <c r="L202" s="101"/>
      <c r="Z202" s="86"/>
      <c r="AA202" s="86"/>
      <c r="AB202" s="86"/>
      <c r="AC202" s="86"/>
      <c r="AD202" s="86"/>
      <c r="AE202" s="86"/>
      <c r="AF202" s="86"/>
      <c r="AG202" s="86"/>
      <c r="AH202" s="86"/>
      <c r="AI202" s="86"/>
      <c r="AJ202" s="86"/>
      <c r="AK202" s="86"/>
      <c r="AL202" s="86"/>
      <c r="AM202" s="86"/>
      <c r="AN202" s="86"/>
      <c r="AO202" s="86"/>
      <c r="AP202" s="86"/>
      <c r="AQ202" s="86"/>
      <c r="AR202" s="86"/>
      <c r="AS202" s="86"/>
      <c r="AT202" s="86"/>
      <c r="AU202" s="86"/>
      <c r="AV202" s="86"/>
      <c r="AW202" s="86"/>
      <c r="AX202" s="86"/>
      <c r="AY202" s="86"/>
      <c r="AZ202" s="86"/>
      <c r="BA202" s="86"/>
      <c r="BB202" s="86"/>
      <c r="BC202" s="86"/>
      <c r="BD202" s="86"/>
      <c r="BE202" s="86"/>
      <c r="BF202" s="86"/>
      <c r="BG202" s="86"/>
      <c r="BH202" s="86"/>
      <c r="BI202" s="86"/>
      <c r="BJ202" s="86"/>
      <c r="BK202" s="86"/>
      <c r="BL202" s="86"/>
      <c r="BM202" s="86"/>
      <c r="BN202" s="86"/>
      <c r="BO202" s="86"/>
      <c r="BP202" s="86"/>
      <c r="BQ202" s="86"/>
      <c r="BR202" s="86"/>
      <c r="BS202" s="86"/>
      <c r="BT202" s="86"/>
      <c r="BU202" s="86"/>
      <c r="BV202" s="86"/>
      <c r="BW202" s="86"/>
      <c r="BX202" s="86"/>
      <c r="BY202" s="86"/>
      <c r="BZ202" s="86"/>
      <c r="CA202" s="86"/>
      <c r="CB202" s="86"/>
      <c r="CC202" s="86"/>
      <c r="CD202" s="86"/>
      <c r="CE202" s="86"/>
      <c r="CF202" s="86"/>
      <c r="CG202" s="86"/>
      <c r="CH202" s="86"/>
      <c r="CI202" s="86"/>
      <c r="CJ202" s="86"/>
      <c r="CK202" s="86"/>
      <c r="CL202" s="86"/>
      <c r="CM202" s="86"/>
      <c r="CN202" s="86"/>
      <c r="CO202" s="86"/>
      <c r="CP202" s="86"/>
      <c r="CQ202" s="86"/>
      <c r="CR202" s="86"/>
      <c r="CS202" s="86"/>
      <c r="CT202" s="86"/>
      <c r="CU202" s="86"/>
      <c r="CV202" s="86"/>
      <c r="CW202" s="86"/>
      <c r="CX202" s="86"/>
      <c r="CY202" s="86"/>
      <c r="CZ202" s="86"/>
      <c r="DA202" s="86"/>
      <c r="DB202" s="86"/>
      <c r="DC202" s="86"/>
      <c r="DD202" s="86"/>
      <c r="DE202" s="86"/>
      <c r="DF202" s="86"/>
      <c r="DG202" s="86"/>
      <c r="DH202" s="86"/>
      <c r="DI202" s="86"/>
      <c r="DJ202" s="86"/>
      <c r="DK202" s="86"/>
      <c r="DL202" s="86"/>
      <c r="DM202" s="86"/>
      <c r="DN202" s="86"/>
      <c r="DO202" s="86"/>
      <c r="DP202" s="86"/>
      <c r="DQ202" s="86"/>
      <c r="DR202" s="86"/>
      <c r="DS202" s="86"/>
      <c r="DT202" s="86"/>
      <c r="DU202" s="86"/>
      <c r="DV202" s="86"/>
      <c r="DW202" s="86"/>
      <c r="DX202" s="86"/>
      <c r="DY202" s="86"/>
      <c r="DZ202" s="86"/>
      <c r="EA202" s="86"/>
      <c r="EB202" s="86"/>
      <c r="EC202" s="86"/>
      <c r="ED202" s="86"/>
      <c r="EE202" s="86"/>
      <c r="EF202" s="86"/>
      <c r="EG202" s="86"/>
      <c r="EH202" s="86"/>
      <c r="EI202" s="86"/>
      <c r="EJ202" s="86"/>
      <c r="EK202" s="86"/>
      <c r="EL202" s="86"/>
      <c r="EM202" s="86"/>
      <c r="EN202" s="86"/>
      <c r="EO202" s="86"/>
      <c r="EP202" s="86"/>
      <c r="EQ202" s="86"/>
      <c r="ER202" s="86"/>
      <c r="ES202" s="86"/>
      <c r="ET202" s="86"/>
      <c r="EU202" s="86"/>
      <c r="EV202" s="86"/>
      <c r="EW202" s="86"/>
      <c r="EX202" s="86"/>
      <c r="EY202" s="86"/>
      <c r="EZ202" s="86"/>
      <c r="FA202" s="86"/>
    </row>
    <row r="203" spans="2:157" ht="10.95" customHeight="1">
      <c r="B203" s="1347" t="s">
        <v>582</v>
      </c>
      <c r="C203" s="1349"/>
      <c r="D203" s="1345"/>
      <c r="E203" s="1346"/>
      <c r="F203" s="839"/>
      <c r="G203" s="853" t="s">
        <v>345</v>
      </c>
      <c r="H203" s="854">
        <f>ROUND(1/(SUM(H206:H216)),2)</f>
        <v>5.88</v>
      </c>
      <c r="J203" s="101"/>
      <c r="K203" s="101"/>
      <c r="L203" s="101"/>
      <c r="Z203" s="86"/>
      <c r="AA203" s="86"/>
      <c r="AB203" s="86"/>
      <c r="AC203" s="86"/>
      <c r="AD203" s="86"/>
      <c r="AE203" s="86"/>
      <c r="AF203" s="86"/>
      <c r="AG203" s="86"/>
      <c r="AH203" s="86"/>
      <c r="AI203" s="86"/>
      <c r="AJ203" s="86"/>
      <c r="AK203" s="86"/>
      <c r="AL203" s="86"/>
      <c r="AM203" s="86"/>
      <c r="AN203" s="86"/>
      <c r="AO203" s="86"/>
      <c r="AP203" s="86"/>
      <c r="AQ203" s="86"/>
      <c r="AR203" s="86"/>
      <c r="AS203" s="86"/>
      <c r="AT203" s="86"/>
      <c r="AU203" s="86"/>
      <c r="AV203" s="86"/>
      <c r="AW203" s="86"/>
      <c r="AX203" s="86"/>
      <c r="AY203" s="86"/>
      <c r="AZ203" s="86"/>
      <c r="BA203" s="86"/>
      <c r="BB203" s="86"/>
      <c r="BC203" s="86"/>
      <c r="BD203" s="86"/>
      <c r="BE203" s="86"/>
      <c r="BF203" s="86"/>
      <c r="BG203" s="86"/>
      <c r="BH203" s="86"/>
      <c r="BI203" s="86"/>
      <c r="BJ203" s="86"/>
      <c r="BK203" s="86"/>
      <c r="BL203" s="86"/>
      <c r="BM203" s="86"/>
      <c r="BN203" s="86"/>
      <c r="BO203" s="86"/>
      <c r="BP203" s="86"/>
      <c r="BQ203" s="86"/>
      <c r="BR203" s="86"/>
      <c r="BS203" s="86"/>
      <c r="BT203" s="86"/>
      <c r="BU203" s="86"/>
      <c r="BV203" s="86"/>
      <c r="BW203" s="86"/>
      <c r="BX203" s="86"/>
      <c r="BY203" s="86"/>
      <c r="BZ203" s="86"/>
      <c r="CA203" s="86"/>
      <c r="CB203" s="86"/>
      <c r="CC203" s="86"/>
      <c r="CD203" s="86"/>
      <c r="CE203" s="86"/>
      <c r="CF203" s="86"/>
      <c r="CG203" s="86"/>
      <c r="CH203" s="86"/>
      <c r="CI203" s="86"/>
      <c r="CJ203" s="86"/>
      <c r="CK203" s="86"/>
      <c r="CL203" s="86"/>
      <c r="CM203" s="86"/>
      <c r="CN203" s="86"/>
      <c r="CO203" s="86"/>
      <c r="CP203" s="86"/>
      <c r="CQ203" s="86"/>
      <c r="CR203" s="86"/>
      <c r="CS203" s="86"/>
      <c r="CT203" s="86"/>
      <c r="CU203" s="86"/>
      <c r="CV203" s="86"/>
      <c r="CW203" s="86"/>
      <c r="CX203" s="86"/>
      <c r="CY203" s="86"/>
      <c r="CZ203" s="86"/>
      <c r="DA203" s="86"/>
      <c r="DB203" s="86"/>
      <c r="DC203" s="86"/>
      <c r="DD203" s="86"/>
      <c r="DE203" s="86"/>
      <c r="DF203" s="86"/>
      <c r="DG203" s="86"/>
      <c r="DH203" s="86"/>
      <c r="DI203" s="86"/>
      <c r="DJ203" s="86"/>
      <c r="DK203" s="86"/>
      <c r="DL203" s="86"/>
      <c r="DM203" s="86"/>
      <c r="DN203" s="86"/>
      <c r="DO203" s="86"/>
      <c r="DP203" s="86"/>
      <c r="DQ203" s="86"/>
      <c r="DR203" s="86"/>
      <c r="DS203" s="86"/>
      <c r="DT203" s="86"/>
      <c r="DU203" s="86"/>
      <c r="DV203" s="86"/>
      <c r="DW203" s="86"/>
      <c r="DX203" s="86"/>
      <c r="DY203" s="86"/>
      <c r="DZ203" s="86"/>
      <c r="EA203" s="86"/>
      <c r="EB203" s="86"/>
      <c r="EC203" s="86"/>
      <c r="ED203" s="86"/>
      <c r="EE203" s="86"/>
      <c r="EF203" s="86"/>
      <c r="EG203" s="86"/>
      <c r="EH203" s="86"/>
      <c r="EI203" s="86"/>
      <c r="EJ203" s="86"/>
      <c r="EK203" s="86"/>
      <c r="EL203" s="86"/>
      <c r="EM203" s="86"/>
      <c r="EN203" s="86"/>
      <c r="EO203" s="86"/>
      <c r="EP203" s="86"/>
      <c r="EQ203" s="86"/>
      <c r="ER203" s="86"/>
      <c r="ES203" s="86"/>
      <c r="ET203" s="86"/>
      <c r="EU203" s="86"/>
      <c r="EV203" s="86"/>
      <c r="EW203" s="86"/>
      <c r="EX203" s="86"/>
      <c r="EY203" s="86"/>
      <c r="EZ203" s="86"/>
      <c r="FA203" s="86"/>
    </row>
    <row r="204" spans="2:157" ht="9.75" customHeight="1">
      <c r="B204" s="839"/>
      <c r="C204" s="839"/>
      <c r="D204" s="844"/>
      <c r="E204" s="839"/>
      <c r="F204" s="839"/>
      <c r="G204" s="852"/>
      <c r="H204" s="850"/>
      <c r="J204" s="101"/>
      <c r="K204" s="101"/>
      <c r="L204" s="101"/>
      <c r="Z204" s="86"/>
      <c r="AA204" s="86"/>
      <c r="AB204" s="86"/>
      <c r="AC204" s="86"/>
      <c r="AD204" s="86"/>
      <c r="AE204" s="86"/>
      <c r="AF204" s="86"/>
      <c r="AG204" s="86"/>
      <c r="AH204" s="86"/>
      <c r="AI204" s="86"/>
      <c r="AJ204" s="86"/>
      <c r="AK204" s="86"/>
      <c r="AL204" s="86"/>
      <c r="AM204" s="86"/>
      <c r="AN204" s="86"/>
      <c r="AO204" s="86"/>
      <c r="AP204" s="86"/>
      <c r="AQ204" s="86"/>
      <c r="AR204" s="86"/>
      <c r="AS204" s="86"/>
      <c r="AT204" s="86"/>
      <c r="AU204" s="86"/>
      <c r="AV204" s="86"/>
      <c r="AW204" s="86"/>
      <c r="AX204" s="86"/>
      <c r="AY204" s="86"/>
      <c r="AZ204" s="86"/>
      <c r="BA204" s="86"/>
      <c r="BB204" s="86"/>
      <c r="BC204" s="86"/>
      <c r="BD204" s="86"/>
      <c r="BE204" s="86"/>
      <c r="BF204" s="86"/>
      <c r="BG204" s="86"/>
      <c r="BH204" s="86"/>
      <c r="BI204" s="86"/>
      <c r="BJ204" s="86"/>
      <c r="BK204" s="86"/>
      <c r="BL204" s="86"/>
      <c r="BM204" s="86"/>
      <c r="BN204" s="86"/>
      <c r="BO204" s="86"/>
      <c r="BP204" s="86"/>
      <c r="BQ204" s="86"/>
      <c r="BR204" s="86"/>
      <c r="BS204" s="86"/>
      <c r="BT204" s="86"/>
      <c r="BU204" s="86"/>
      <c r="BV204" s="86"/>
      <c r="BW204" s="86"/>
      <c r="BX204" s="86"/>
      <c r="BY204" s="86"/>
      <c r="BZ204" s="86"/>
      <c r="CA204" s="86"/>
      <c r="CB204" s="86"/>
      <c r="CC204" s="86"/>
      <c r="CD204" s="86"/>
      <c r="CE204" s="86"/>
      <c r="CF204" s="86"/>
      <c r="CG204" s="86"/>
      <c r="CH204" s="86"/>
      <c r="CI204" s="86"/>
      <c r="CJ204" s="86"/>
      <c r="CK204" s="86"/>
      <c r="CL204" s="86"/>
      <c r="CM204" s="86"/>
      <c r="CN204" s="86"/>
      <c r="CO204" s="86"/>
      <c r="CP204" s="86"/>
      <c r="CQ204" s="86"/>
      <c r="CR204" s="86"/>
      <c r="CS204" s="86"/>
      <c r="CT204" s="86"/>
      <c r="CU204" s="86"/>
      <c r="CV204" s="86"/>
      <c r="CW204" s="86"/>
      <c r="CX204" s="86"/>
      <c r="CY204" s="86"/>
      <c r="CZ204" s="86"/>
      <c r="DA204" s="86"/>
      <c r="DB204" s="86"/>
      <c r="DC204" s="86"/>
      <c r="DD204" s="86"/>
      <c r="DE204" s="86"/>
      <c r="DF204" s="86"/>
      <c r="DG204" s="86"/>
      <c r="DH204" s="86"/>
      <c r="DI204" s="86"/>
      <c r="DJ204" s="86"/>
      <c r="DK204" s="86"/>
      <c r="DL204" s="86"/>
      <c r="DM204" s="86"/>
      <c r="DN204" s="86"/>
      <c r="DO204" s="86"/>
      <c r="DP204" s="86"/>
      <c r="DQ204" s="86"/>
      <c r="DR204" s="86"/>
      <c r="DS204" s="86"/>
      <c r="DT204" s="86"/>
      <c r="DU204" s="86"/>
      <c r="DV204" s="86"/>
      <c r="DW204" s="86"/>
      <c r="DX204" s="86"/>
      <c r="DY204" s="86"/>
      <c r="DZ204" s="86"/>
      <c r="EA204" s="86"/>
      <c r="EB204" s="86"/>
      <c r="EC204" s="86"/>
      <c r="ED204" s="86"/>
      <c r="EE204" s="86"/>
      <c r="EF204" s="86"/>
      <c r="EG204" s="86"/>
      <c r="EH204" s="86"/>
      <c r="EI204" s="86"/>
      <c r="EJ204" s="86"/>
      <c r="EK204" s="86"/>
      <c r="EL204" s="86"/>
      <c r="EM204" s="86"/>
      <c r="EN204" s="86"/>
      <c r="EO204" s="86"/>
      <c r="EP204" s="86"/>
      <c r="EQ204" s="86"/>
      <c r="ER204" s="86"/>
      <c r="ES204" s="86"/>
      <c r="ET204" s="86"/>
      <c r="EU204" s="86"/>
      <c r="EV204" s="86"/>
      <c r="EW204" s="86"/>
      <c r="EX204" s="86"/>
      <c r="EY204" s="86"/>
      <c r="EZ204" s="86"/>
      <c r="FA204" s="86"/>
    </row>
    <row r="205" spans="2:157" ht="9.75" customHeight="1">
      <c r="B205" s="844" t="s">
        <v>349</v>
      </c>
      <c r="C205" s="1352" t="s">
        <v>344</v>
      </c>
      <c r="D205" s="1352"/>
      <c r="E205" s="87"/>
      <c r="F205" s="846" t="s">
        <v>170</v>
      </c>
      <c r="G205" s="847" t="s">
        <v>361</v>
      </c>
      <c r="H205" s="846" t="s">
        <v>281</v>
      </c>
      <c r="J205" s="101"/>
      <c r="K205" s="101"/>
      <c r="L205" s="101"/>
      <c r="Z205" s="86"/>
      <c r="AA205" s="86"/>
      <c r="AB205" s="86"/>
      <c r="AC205" s="86"/>
      <c r="AD205" s="86"/>
      <c r="AE205" s="86"/>
      <c r="AF205" s="86"/>
      <c r="AG205" s="86"/>
      <c r="AH205" s="86"/>
      <c r="AI205" s="86"/>
      <c r="AJ205" s="86"/>
      <c r="AK205" s="86"/>
      <c r="AL205" s="86"/>
      <c r="AM205" s="86"/>
      <c r="AN205" s="86"/>
      <c r="AO205" s="86"/>
      <c r="AP205" s="86"/>
      <c r="AQ205" s="86"/>
      <c r="AR205" s="86"/>
      <c r="AS205" s="86"/>
      <c r="AT205" s="86"/>
      <c r="AU205" s="86"/>
      <c r="AV205" s="86"/>
      <c r="AW205" s="86"/>
      <c r="AX205" s="86"/>
      <c r="AY205" s="86"/>
      <c r="AZ205" s="86"/>
      <c r="BA205" s="86"/>
      <c r="BB205" s="86"/>
      <c r="BC205" s="86"/>
      <c r="BD205" s="86"/>
      <c r="BE205" s="86"/>
      <c r="BF205" s="86"/>
      <c r="BG205" s="86"/>
      <c r="BH205" s="86"/>
      <c r="BI205" s="86"/>
      <c r="BJ205" s="86"/>
      <c r="BK205" s="86"/>
      <c r="BL205" s="86"/>
      <c r="BM205" s="86"/>
      <c r="BN205" s="86"/>
      <c r="BO205" s="86"/>
      <c r="BP205" s="86"/>
      <c r="BQ205" s="86"/>
      <c r="BR205" s="86"/>
      <c r="BS205" s="86"/>
      <c r="BT205" s="86"/>
      <c r="BU205" s="86"/>
      <c r="BV205" s="86"/>
      <c r="BW205" s="86"/>
      <c r="BX205" s="86"/>
      <c r="BY205" s="86"/>
      <c r="BZ205" s="86"/>
      <c r="CA205" s="86"/>
      <c r="CB205" s="86"/>
      <c r="CC205" s="86"/>
      <c r="CD205" s="86"/>
      <c r="CE205" s="86"/>
      <c r="CF205" s="86"/>
      <c r="CG205" s="86"/>
      <c r="CH205" s="86"/>
      <c r="CI205" s="86"/>
      <c r="CJ205" s="86"/>
      <c r="CK205" s="86"/>
      <c r="CL205" s="86"/>
      <c r="CM205" s="86"/>
      <c r="CN205" s="86"/>
      <c r="CO205" s="86"/>
      <c r="CP205" s="86"/>
      <c r="CQ205" s="86"/>
      <c r="CR205" s="86"/>
      <c r="CS205" s="86"/>
      <c r="CT205" s="86"/>
      <c r="CU205" s="86"/>
      <c r="CV205" s="86"/>
      <c r="CW205" s="86"/>
      <c r="CX205" s="86"/>
      <c r="CY205" s="86"/>
      <c r="CZ205" s="86"/>
      <c r="DA205" s="86"/>
      <c r="DB205" s="86"/>
      <c r="DC205" s="86"/>
      <c r="DD205" s="86"/>
      <c r="DE205" s="86"/>
      <c r="DF205" s="86"/>
      <c r="DG205" s="86"/>
      <c r="DH205" s="86"/>
      <c r="DI205" s="86"/>
      <c r="DJ205" s="86"/>
      <c r="DK205" s="86"/>
      <c r="DL205" s="86"/>
      <c r="DM205" s="86"/>
      <c r="DN205" s="86"/>
      <c r="DO205" s="86"/>
      <c r="DP205" s="86"/>
      <c r="DQ205" s="86"/>
      <c r="DR205" s="86"/>
      <c r="DS205" s="86"/>
      <c r="DT205" s="86"/>
      <c r="DU205" s="86"/>
      <c r="DV205" s="86"/>
      <c r="DW205" s="86"/>
      <c r="DX205" s="86"/>
      <c r="DY205" s="86"/>
      <c r="DZ205" s="86"/>
      <c r="EA205" s="86"/>
      <c r="EB205" s="86"/>
      <c r="EC205" s="86"/>
      <c r="ED205" s="86"/>
      <c r="EE205" s="86"/>
      <c r="EF205" s="86"/>
      <c r="EG205" s="86"/>
      <c r="EH205" s="86"/>
      <c r="EI205" s="86"/>
      <c r="EJ205" s="86"/>
      <c r="EK205" s="86"/>
      <c r="EL205" s="86"/>
      <c r="EM205" s="86"/>
      <c r="EN205" s="86"/>
      <c r="EO205" s="86"/>
      <c r="EP205" s="86"/>
      <c r="EQ205" s="86"/>
      <c r="ER205" s="86"/>
      <c r="ES205" s="86"/>
      <c r="ET205" s="86"/>
      <c r="EU205" s="86"/>
      <c r="EV205" s="86"/>
      <c r="EW205" s="86"/>
      <c r="EX205" s="86"/>
      <c r="EY205" s="86"/>
      <c r="EZ205" s="86"/>
      <c r="FA205" s="86"/>
    </row>
    <row r="206" spans="2:157" ht="10.050000000000001" customHeight="1">
      <c r="B206" s="845" t="s">
        <v>546</v>
      </c>
      <c r="C206" s="1350" t="s">
        <v>106</v>
      </c>
      <c r="D206" s="1350"/>
      <c r="E206" s="87"/>
      <c r="F206" s="848" t="s">
        <v>546</v>
      </c>
      <c r="G206" s="848" t="s">
        <v>546</v>
      </c>
      <c r="H206" s="1016">
        <v>0.13</v>
      </c>
      <c r="J206" s="101"/>
      <c r="K206" s="101"/>
      <c r="L206" s="101"/>
      <c r="Z206" s="86"/>
      <c r="AA206" s="86"/>
      <c r="AB206" s="86"/>
      <c r="AC206" s="86"/>
      <c r="AD206" s="86"/>
      <c r="AE206" s="86"/>
      <c r="AF206" s="86"/>
      <c r="AG206" s="86"/>
      <c r="AH206" s="86"/>
      <c r="AI206" s="86"/>
      <c r="AJ206" s="86"/>
      <c r="AK206" s="86"/>
      <c r="AL206" s="86"/>
      <c r="AM206" s="86"/>
      <c r="AN206" s="86"/>
      <c r="AO206" s="86"/>
      <c r="AP206" s="86"/>
      <c r="AQ206" s="86"/>
      <c r="AR206" s="86"/>
      <c r="AS206" s="86"/>
      <c r="AT206" s="86"/>
      <c r="AU206" s="86"/>
      <c r="AV206" s="86"/>
      <c r="AW206" s="86"/>
      <c r="AX206" s="86"/>
      <c r="AY206" s="86"/>
      <c r="AZ206" s="86"/>
      <c r="BA206" s="86"/>
      <c r="BB206" s="86"/>
      <c r="BC206" s="86"/>
      <c r="BD206" s="86"/>
      <c r="BE206" s="86"/>
      <c r="BF206" s="86"/>
      <c r="BG206" s="86"/>
      <c r="BH206" s="86"/>
      <c r="BI206" s="86"/>
      <c r="BJ206" s="86"/>
      <c r="BK206" s="86"/>
      <c r="BL206" s="86"/>
      <c r="BM206" s="86"/>
      <c r="BN206" s="86"/>
      <c r="BO206" s="86"/>
      <c r="BP206" s="86"/>
      <c r="BQ206" s="86"/>
      <c r="BR206" s="86"/>
      <c r="BS206" s="86"/>
      <c r="BT206" s="86"/>
      <c r="BU206" s="86"/>
      <c r="BV206" s="86"/>
      <c r="BW206" s="86"/>
      <c r="BX206" s="86"/>
      <c r="BY206" s="86"/>
      <c r="BZ206" s="86"/>
      <c r="CA206" s="86"/>
      <c r="CB206" s="86"/>
      <c r="CC206" s="86"/>
      <c r="CD206" s="86"/>
      <c r="CE206" s="86"/>
      <c r="CF206" s="86"/>
      <c r="CG206" s="86"/>
      <c r="CH206" s="86"/>
      <c r="CI206" s="86"/>
      <c r="CJ206" s="86"/>
      <c r="CK206" s="86"/>
      <c r="CL206" s="86"/>
      <c r="CM206" s="86"/>
      <c r="CN206" s="86"/>
      <c r="CO206" s="86"/>
      <c r="CP206" s="86"/>
      <c r="CQ206" s="86"/>
      <c r="CR206" s="86"/>
      <c r="CS206" s="86"/>
      <c r="CT206" s="86"/>
      <c r="CU206" s="86"/>
      <c r="CV206" s="86"/>
      <c r="CW206" s="86"/>
      <c r="CX206" s="86"/>
      <c r="CY206" s="86"/>
      <c r="CZ206" s="86"/>
      <c r="DA206" s="86"/>
      <c r="DB206" s="86"/>
      <c r="DC206" s="86"/>
      <c r="DD206" s="86"/>
      <c r="DE206" s="86"/>
      <c r="DF206" s="86"/>
      <c r="DG206" s="86"/>
      <c r="DH206" s="86"/>
      <c r="DI206" s="86"/>
      <c r="DJ206" s="86"/>
      <c r="DK206" s="86"/>
      <c r="DL206" s="86"/>
      <c r="DM206" s="86"/>
      <c r="DN206" s="86"/>
      <c r="DO206" s="86"/>
      <c r="DP206" s="86"/>
      <c r="DQ206" s="86"/>
      <c r="DR206" s="86"/>
      <c r="DS206" s="86"/>
      <c r="DT206" s="86"/>
      <c r="DU206" s="86"/>
      <c r="DV206" s="86"/>
      <c r="DW206" s="86"/>
      <c r="DX206" s="86"/>
      <c r="DY206" s="86"/>
      <c r="DZ206" s="86"/>
      <c r="EA206" s="86"/>
      <c r="EB206" s="86"/>
      <c r="EC206" s="86"/>
      <c r="ED206" s="86"/>
      <c r="EE206" s="86"/>
      <c r="EF206" s="86"/>
      <c r="EG206" s="86"/>
      <c r="EH206" s="86"/>
      <c r="EI206" s="86"/>
      <c r="EJ206" s="86"/>
      <c r="EK206" s="86"/>
      <c r="EL206" s="86"/>
      <c r="EM206" s="86"/>
      <c r="EN206" s="86"/>
      <c r="EO206" s="86"/>
      <c r="EP206" s="86"/>
      <c r="EQ206" s="86"/>
      <c r="ER206" s="86"/>
      <c r="ES206" s="86"/>
      <c r="ET206" s="86"/>
      <c r="EU206" s="86"/>
      <c r="EV206" s="86"/>
      <c r="EW206" s="86"/>
      <c r="EX206" s="86"/>
      <c r="EY206" s="86"/>
      <c r="EZ206" s="86"/>
      <c r="FA206" s="86"/>
    </row>
    <row r="207" spans="2:157" ht="9.75" customHeight="1">
      <c r="B207" s="845">
        <v>1</v>
      </c>
      <c r="C207" s="1344"/>
      <c r="D207" s="1344"/>
      <c r="E207" s="1344"/>
      <c r="F207" s="857"/>
      <c r="G207" s="857"/>
      <c r="H207" s="875" t="str">
        <f t="shared" ref="H207:H215" si="9">IF(G207=0,"",(F207/(G207+0.00000000001)))</f>
        <v/>
      </c>
      <c r="J207" s="101"/>
      <c r="K207" s="101"/>
      <c r="L207" s="101"/>
      <c r="Z207" s="86"/>
      <c r="AA207" s="86"/>
      <c r="AB207" s="86"/>
      <c r="AC207" s="86"/>
      <c r="AD207" s="86"/>
      <c r="AE207" s="86"/>
      <c r="AF207" s="86"/>
      <c r="AG207" s="86"/>
      <c r="AH207" s="86"/>
      <c r="AI207" s="86"/>
      <c r="AJ207" s="86"/>
      <c r="AK207" s="86"/>
      <c r="AL207" s="86"/>
      <c r="AM207" s="86"/>
      <c r="AN207" s="86"/>
      <c r="AO207" s="86"/>
      <c r="AP207" s="86"/>
      <c r="AQ207" s="86"/>
      <c r="AR207" s="86"/>
      <c r="AS207" s="86"/>
      <c r="AT207" s="86"/>
      <c r="AU207" s="86"/>
      <c r="AV207" s="86"/>
      <c r="AW207" s="86"/>
      <c r="AX207" s="86"/>
      <c r="AY207" s="86"/>
      <c r="AZ207" s="86"/>
      <c r="BA207" s="86"/>
      <c r="BB207" s="86"/>
      <c r="BC207" s="86"/>
      <c r="BD207" s="86"/>
      <c r="BE207" s="86"/>
      <c r="BF207" s="86"/>
      <c r="BG207" s="86"/>
      <c r="BH207" s="86"/>
      <c r="BI207" s="86"/>
      <c r="BJ207" s="86"/>
      <c r="BK207" s="86"/>
      <c r="BL207" s="86"/>
      <c r="BM207" s="86"/>
      <c r="BN207" s="86"/>
      <c r="BO207" s="86"/>
      <c r="BP207" s="86"/>
      <c r="BQ207" s="86"/>
      <c r="BR207" s="86"/>
      <c r="BS207" s="86"/>
      <c r="BT207" s="86"/>
      <c r="BU207" s="86"/>
      <c r="BV207" s="86"/>
      <c r="BW207" s="86"/>
      <c r="BX207" s="86"/>
      <c r="BY207" s="86"/>
      <c r="BZ207" s="86"/>
      <c r="CA207" s="86"/>
      <c r="CB207" s="86"/>
      <c r="CC207" s="86"/>
      <c r="CD207" s="86"/>
      <c r="CE207" s="86"/>
      <c r="CF207" s="86"/>
      <c r="CG207" s="86"/>
      <c r="CH207" s="86"/>
      <c r="CI207" s="86"/>
      <c r="CJ207" s="86"/>
      <c r="CK207" s="86"/>
      <c r="CL207" s="86"/>
      <c r="CM207" s="86"/>
      <c r="CN207" s="86"/>
      <c r="CO207" s="86"/>
      <c r="CP207" s="86"/>
      <c r="CQ207" s="86"/>
      <c r="CR207" s="86"/>
      <c r="CS207" s="86"/>
      <c r="CT207" s="86"/>
      <c r="CU207" s="86"/>
      <c r="CV207" s="86"/>
      <c r="CW207" s="86"/>
      <c r="CX207" s="86"/>
      <c r="CY207" s="86"/>
      <c r="CZ207" s="86"/>
      <c r="DA207" s="86"/>
      <c r="DB207" s="86"/>
      <c r="DC207" s="86"/>
      <c r="DD207" s="86"/>
      <c r="DE207" s="86"/>
      <c r="DF207" s="86"/>
      <c r="DG207" s="86"/>
      <c r="DH207" s="86"/>
      <c r="DI207" s="86"/>
      <c r="DJ207" s="86"/>
      <c r="DK207" s="86"/>
      <c r="DL207" s="86"/>
      <c r="DM207" s="86"/>
      <c r="DN207" s="86"/>
      <c r="DO207" s="86"/>
      <c r="DP207" s="86"/>
      <c r="DQ207" s="86"/>
      <c r="DR207" s="86"/>
      <c r="DS207" s="86"/>
      <c r="DT207" s="86"/>
      <c r="DU207" s="86"/>
      <c r="DV207" s="86"/>
      <c r="DW207" s="86"/>
      <c r="DX207" s="86"/>
      <c r="DY207" s="86"/>
      <c r="DZ207" s="86"/>
      <c r="EA207" s="86"/>
      <c r="EB207" s="86"/>
      <c r="EC207" s="86"/>
      <c r="ED207" s="86"/>
      <c r="EE207" s="86"/>
      <c r="EF207" s="86"/>
      <c r="EG207" s="86"/>
      <c r="EH207" s="86"/>
      <c r="EI207" s="86"/>
      <c r="EJ207" s="86"/>
      <c r="EK207" s="86"/>
      <c r="EL207" s="86"/>
      <c r="EM207" s="86"/>
      <c r="EN207" s="86"/>
      <c r="EO207" s="86"/>
      <c r="EP207" s="86"/>
      <c r="EQ207" s="86"/>
      <c r="ER207" s="86"/>
      <c r="ES207" s="86"/>
      <c r="ET207" s="86"/>
      <c r="EU207" s="86"/>
      <c r="EV207" s="86"/>
      <c r="EW207" s="86"/>
      <c r="EX207" s="86"/>
      <c r="EY207" s="86"/>
      <c r="EZ207" s="86"/>
      <c r="FA207" s="86"/>
    </row>
    <row r="208" spans="2:157" ht="9.75" customHeight="1">
      <c r="B208" s="845">
        <v>2</v>
      </c>
      <c r="C208" s="1344"/>
      <c r="D208" s="1344"/>
      <c r="E208" s="1344"/>
      <c r="F208" s="857"/>
      <c r="G208" s="857"/>
      <c r="H208" s="875" t="str">
        <f t="shared" si="9"/>
        <v/>
      </c>
      <c r="J208" s="101"/>
      <c r="K208" s="101"/>
      <c r="L208" s="101"/>
      <c r="Z208" s="86"/>
      <c r="AA208" s="86"/>
      <c r="AB208" s="86"/>
      <c r="AC208" s="86"/>
      <c r="AD208" s="86"/>
      <c r="AE208" s="86"/>
      <c r="AF208" s="86"/>
      <c r="AG208" s="86"/>
      <c r="AH208" s="86"/>
      <c r="AI208" s="86"/>
      <c r="AJ208" s="86"/>
      <c r="AK208" s="86"/>
      <c r="AL208" s="86"/>
      <c r="AM208" s="86"/>
      <c r="AN208" s="86"/>
      <c r="AO208" s="86"/>
      <c r="AP208" s="86"/>
      <c r="AQ208" s="86"/>
      <c r="AR208" s="86"/>
      <c r="AS208" s="86"/>
      <c r="AT208" s="86"/>
      <c r="AU208" s="86"/>
      <c r="AV208" s="86"/>
      <c r="AW208" s="86"/>
      <c r="AX208" s="86"/>
      <c r="AY208" s="86"/>
      <c r="AZ208" s="86"/>
      <c r="BA208" s="86"/>
      <c r="BB208" s="86"/>
      <c r="BC208" s="86"/>
      <c r="BD208" s="86"/>
      <c r="BE208" s="86"/>
      <c r="BF208" s="86"/>
      <c r="BG208" s="86"/>
      <c r="BH208" s="86"/>
      <c r="BI208" s="86"/>
      <c r="BJ208" s="86"/>
      <c r="BK208" s="86"/>
      <c r="BL208" s="86"/>
      <c r="BM208" s="86"/>
      <c r="BN208" s="86"/>
      <c r="BO208" s="86"/>
      <c r="BP208" s="86"/>
      <c r="BQ208" s="86"/>
      <c r="BR208" s="86"/>
      <c r="BS208" s="86"/>
      <c r="BT208" s="86"/>
      <c r="BU208" s="86"/>
      <c r="BV208" s="86"/>
      <c r="BW208" s="86"/>
      <c r="BX208" s="86"/>
      <c r="BY208" s="86"/>
      <c r="BZ208" s="86"/>
      <c r="CA208" s="86"/>
      <c r="CB208" s="86"/>
      <c r="CC208" s="86"/>
      <c r="CD208" s="86"/>
      <c r="CE208" s="86"/>
      <c r="CF208" s="86"/>
      <c r="CG208" s="86"/>
      <c r="CH208" s="86"/>
      <c r="CI208" s="86"/>
      <c r="CJ208" s="86"/>
      <c r="CK208" s="86"/>
      <c r="CL208" s="86"/>
      <c r="CM208" s="86"/>
      <c r="CN208" s="86"/>
      <c r="CO208" s="86"/>
      <c r="CP208" s="86"/>
      <c r="CQ208" s="86"/>
      <c r="CR208" s="86"/>
      <c r="CS208" s="86"/>
      <c r="CT208" s="86"/>
      <c r="CU208" s="86"/>
      <c r="CV208" s="86"/>
      <c r="CW208" s="86"/>
      <c r="CX208" s="86"/>
      <c r="CY208" s="86"/>
      <c r="CZ208" s="86"/>
      <c r="DA208" s="86"/>
      <c r="DB208" s="86"/>
      <c r="DC208" s="86"/>
      <c r="DD208" s="86"/>
      <c r="DE208" s="86"/>
      <c r="DF208" s="86"/>
      <c r="DG208" s="86"/>
      <c r="DH208" s="86"/>
      <c r="DI208" s="86"/>
      <c r="DJ208" s="86"/>
      <c r="DK208" s="86"/>
      <c r="DL208" s="86"/>
      <c r="DM208" s="86"/>
      <c r="DN208" s="86"/>
      <c r="DO208" s="86"/>
      <c r="DP208" s="86"/>
      <c r="DQ208" s="86"/>
      <c r="DR208" s="86"/>
      <c r="DS208" s="86"/>
      <c r="DT208" s="86"/>
      <c r="DU208" s="86"/>
      <c r="DV208" s="86"/>
      <c r="DW208" s="86"/>
      <c r="DX208" s="86"/>
      <c r="DY208" s="86"/>
      <c r="DZ208" s="86"/>
      <c r="EA208" s="86"/>
      <c r="EB208" s="86"/>
      <c r="EC208" s="86"/>
      <c r="ED208" s="86"/>
      <c r="EE208" s="86"/>
      <c r="EF208" s="86"/>
      <c r="EG208" s="86"/>
      <c r="EH208" s="86"/>
      <c r="EI208" s="86"/>
      <c r="EJ208" s="86"/>
      <c r="EK208" s="86"/>
      <c r="EL208" s="86"/>
      <c r="EM208" s="86"/>
      <c r="EN208" s="86"/>
      <c r="EO208" s="86"/>
      <c r="EP208" s="86"/>
      <c r="EQ208" s="86"/>
      <c r="ER208" s="86"/>
      <c r="ES208" s="86"/>
      <c r="ET208" s="86"/>
      <c r="EU208" s="86"/>
      <c r="EV208" s="86"/>
      <c r="EW208" s="86"/>
      <c r="EX208" s="86"/>
      <c r="EY208" s="86"/>
      <c r="EZ208" s="86"/>
      <c r="FA208" s="86"/>
    </row>
    <row r="209" spans="2:157" ht="9.75" customHeight="1">
      <c r="B209" s="845">
        <v>3</v>
      </c>
      <c r="C209" s="1344"/>
      <c r="D209" s="1344"/>
      <c r="E209" s="1344"/>
      <c r="F209" s="857"/>
      <c r="G209" s="857"/>
      <c r="H209" s="875" t="str">
        <f t="shared" si="9"/>
        <v/>
      </c>
      <c r="J209" s="101"/>
      <c r="K209" s="101"/>
      <c r="L209" s="101"/>
      <c r="Z209" s="86"/>
      <c r="AA209" s="86"/>
      <c r="AB209" s="86"/>
      <c r="AC209" s="86"/>
      <c r="AD209" s="86"/>
      <c r="AE209" s="86"/>
      <c r="AF209" s="86"/>
      <c r="AG209" s="86"/>
      <c r="AH209" s="86"/>
      <c r="AI209" s="86"/>
      <c r="AJ209" s="86"/>
      <c r="AK209" s="86"/>
      <c r="AL209" s="86"/>
      <c r="AM209" s="86"/>
      <c r="AN209" s="86"/>
      <c r="AO209" s="86"/>
      <c r="AP209" s="86"/>
      <c r="AQ209" s="86"/>
      <c r="AR209" s="86"/>
      <c r="AS209" s="86"/>
      <c r="AT209" s="86"/>
      <c r="AU209" s="86"/>
      <c r="AV209" s="86"/>
      <c r="AW209" s="86"/>
      <c r="AX209" s="86"/>
      <c r="AY209" s="86"/>
      <c r="AZ209" s="86"/>
      <c r="BA209" s="86"/>
      <c r="BB209" s="86"/>
      <c r="BC209" s="86"/>
      <c r="BD209" s="86"/>
      <c r="BE209" s="86"/>
      <c r="BF209" s="86"/>
      <c r="BG209" s="86"/>
      <c r="BH209" s="86"/>
      <c r="BI209" s="86"/>
      <c r="BJ209" s="86"/>
      <c r="BK209" s="86"/>
      <c r="BL209" s="86"/>
      <c r="BM209" s="86"/>
      <c r="BN209" s="86"/>
      <c r="BO209" s="86"/>
      <c r="BP209" s="86"/>
      <c r="BQ209" s="86"/>
      <c r="BR209" s="86"/>
      <c r="BS209" s="86"/>
      <c r="BT209" s="86"/>
      <c r="BU209" s="86"/>
      <c r="BV209" s="86"/>
      <c r="BW209" s="86"/>
      <c r="BX209" s="86"/>
      <c r="BY209" s="86"/>
      <c r="BZ209" s="86"/>
      <c r="CA209" s="86"/>
      <c r="CB209" s="86"/>
      <c r="CC209" s="86"/>
      <c r="CD209" s="86"/>
      <c r="CE209" s="86"/>
      <c r="CF209" s="86"/>
      <c r="CG209" s="86"/>
      <c r="CH209" s="86"/>
      <c r="CI209" s="86"/>
      <c r="CJ209" s="86"/>
      <c r="CK209" s="86"/>
      <c r="CL209" s="86"/>
      <c r="CM209" s="86"/>
      <c r="CN209" s="86"/>
      <c r="CO209" s="86"/>
      <c r="CP209" s="86"/>
      <c r="CQ209" s="86"/>
      <c r="CR209" s="86"/>
      <c r="CS209" s="86"/>
      <c r="CT209" s="86"/>
      <c r="CU209" s="86"/>
      <c r="CV209" s="86"/>
      <c r="CW209" s="86"/>
      <c r="CX209" s="86"/>
      <c r="CY209" s="86"/>
      <c r="CZ209" s="86"/>
      <c r="DA209" s="86"/>
      <c r="DB209" s="86"/>
      <c r="DC209" s="86"/>
      <c r="DD209" s="86"/>
      <c r="DE209" s="86"/>
      <c r="DF209" s="86"/>
      <c r="DG209" s="86"/>
      <c r="DH209" s="86"/>
      <c r="DI209" s="86"/>
      <c r="DJ209" s="86"/>
      <c r="DK209" s="86"/>
      <c r="DL209" s="86"/>
      <c r="DM209" s="86"/>
      <c r="DN209" s="86"/>
      <c r="DO209" s="86"/>
      <c r="DP209" s="86"/>
      <c r="DQ209" s="86"/>
      <c r="DR209" s="86"/>
      <c r="DS209" s="86"/>
      <c r="DT209" s="86"/>
      <c r="DU209" s="86"/>
      <c r="DV209" s="86"/>
      <c r="DW209" s="86"/>
      <c r="DX209" s="86"/>
      <c r="DY209" s="86"/>
      <c r="DZ209" s="86"/>
      <c r="EA209" s="86"/>
      <c r="EB209" s="86"/>
      <c r="EC209" s="86"/>
      <c r="ED209" s="86"/>
      <c r="EE209" s="86"/>
      <c r="EF209" s="86"/>
      <c r="EG209" s="86"/>
      <c r="EH209" s="86"/>
      <c r="EI209" s="86"/>
      <c r="EJ209" s="86"/>
      <c r="EK209" s="86"/>
      <c r="EL209" s="86"/>
      <c r="EM209" s="86"/>
      <c r="EN209" s="86"/>
      <c r="EO209" s="86"/>
      <c r="EP209" s="86"/>
      <c r="EQ209" s="86"/>
      <c r="ER209" s="86"/>
      <c r="ES209" s="86"/>
      <c r="ET209" s="86"/>
      <c r="EU209" s="86"/>
      <c r="EV209" s="86"/>
      <c r="EW209" s="86"/>
      <c r="EX209" s="86"/>
      <c r="EY209" s="86"/>
      <c r="EZ209" s="86"/>
      <c r="FA209" s="86"/>
    </row>
    <row r="210" spans="2:157" ht="9.75" customHeight="1">
      <c r="B210" s="845">
        <v>4</v>
      </c>
      <c r="C210" s="1344"/>
      <c r="D210" s="1344"/>
      <c r="E210" s="1344"/>
      <c r="F210" s="857"/>
      <c r="G210" s="857"/>
      <c r="H210" s="875" t="str">
        <f t="shared" si="9"/>
        <v/>
      </c>
      <c r="J210" s="101"/>
      <c r="K210" s="101"/>
      <c r="L210" s="101"/>
      <c r="Z210" s="86"/>
      <c r="AA210" s="86"/>
      <c r="AB210" s="86"/>
      <c r="AC210" s="86"/>
      <c r="AD210" s="86"/>
      <c r="AE210" s="86"/>
      <c r="AF210" s="86"/>
      <c r="AG210" s="86"/>
      <c r="AH210" s="86"/>
      <c r="AI210" s="86"/>
      <c r="AJ210" s="86"/>
      <c r="AK210" s="86"/>
      <c r="AL210" s="86"/>
      <c r="AM210" s="86"/>
      <c r="AN210" s="86"/>
      <c r="AO210" s="86"/>
      <c r="AP210" s="86"/>
      <c r="AQ210" s="86"/>
      <c r="AR210" s="86"/>
      <c r="AS210" s="86"/>
      <c r="AT210" s="86"/>
      <c r="AU210" s="86"/>
      <c r="AV210" s="86"/>
      <c r="AW210" s="86"/>
      <c r="AX210" s="86"/>
      <c r="AY210" s="86"/>
      <c r="AZ210" s="86"/>
      <c r="BA210" s="86"/>
      <c r="BB210" s="86"/>
      <c r="BC210" s="86"/>
      <c r="BD210" s="86"/>
      <c r="BE210" s="86"/>
      <c r="BF210" s="86"/>
      <c r="BG210" s="86"/>
      <c r="BH210" s="86"/>
      <c r="BI210" s="86"/>
      <c r="BJ210" s="86"/>
      <c r="BK210" s="86"/>
      <c r="BL210" s="86"/>
      <c r="BM210" s="86"/>
      <c r="BN210" s="86"/>
      <c r="BO210" s="86"/>
      <c r="BP210" s="86"/>
      <c r="BQ210" s="86"/>
      <c r="BR210" s="86"/>
      <c r="BS210" s="86"/>
      <c r="BT210" s="86"/>
      <c r="BU210" s="86"/>
      <c r="BV210" s="86"/>
      <c r="BW210" s="86"/>
      <c r="BX210" s="86"/>
      <c r="BY210" s="86"/>
      <c r="BZ210" s="86"/>
      <c r="CA210" s="86"/>
      <c r="CB210" s="86"/>
      <c r="CC210" s="86"/>
      <c r="CD210" s="86"/>
      <c r="CE210" s="86"/>
      <c r="CF210" s="86"/>
      <c r="CG210" s="86"/>
      <c r="CH210" s="86"/>
      <c r="CI210" s="86"/>
      <c r="CJ210" s="86"/>
      <c r="CK210" s="86"/>
      <c r="CL210" s="86"/>
      <c r="CM210" s="86"/>
      <c r="CN210" s="86"/>
      <c r="CO210" s="86"/>
      <c r="CP210" s="86"/>
      <c r="CQ210" s="86"/>
      <c r="CR210" s="86"/>
      <c r="CS210" s="86"/>
      <c r="CT210" s="86"/>
      <c r="CU210" s="86"/>
      <c r="CV210" s="86"/>
      <c r="CW210" s="86"/>
      <c r="CX210" s="86"/>
      <c r="CY210" s="86"/>
      <c r="CZ210" s="86"/>
      <c r="DA210" s="86"/>
      <c r="DB210" s="86"/>
      <c r="DC210" s="86"/>
      <c r="DD210" s="86"/>
      <c r="DE210" s="86"/>
      <c r="DF210" s="86"/>
      <c r="DG210" s="86"/>
      <c r="DH210" s="86"/>
      <c r="DI210" s="86"/>
      <c r="DJ210" s="86"/>
      <c r="DK210" s="86"/>
      <c r="DL210" s="86"/>
      <c r="DM210" s="86"/>
      <c r="DN210" s="86"/>
      <c r="DO210" s="86"/>
      <c r="DP210" s="86"/>
      <c r="DQ210" s="86"/>
      <c r="DR210" s="86"/>
      <c r="DS210" s="86"/>
      <c r="DT210" s="86"/>
      <c r="DU210" s="86"/>
      <c r="DV210" s="86"/>
      <c r="DW210" s="86"/>
      <c r="DX210" s="86"/>
      <c r="DY210" s="86"/>
      <c r="DZ210" s="86"/>
      <c r="EA210" s="86"/>
      <c r="EB210" s="86"/>
      <c r="EC210" s="86"/>
      <c r="ED210" s="86"/>
      <c r="EE210" s="86"/>
      <c r="EF210" s="86"/>
      <c r="EG210" s="86"/>
      <c r="EH210" s="86"/>
      <c r="EI210" s="86"/>
      <c r="EJ210" s="86"/>
      <c r="EK210" s="86"/>
      <c r="EL210" s="86"/>
      <c r="EM210" s="86"/>
      <c r="EN210" s="86"/>
      <c r="EO210" s="86"/>
      <c r="EP210" s="86"/>
      <c r="EQ210" s="86"/>
      <c r="ER210" s="86"/>
      <c r="ES210" s="86"/>
      <c r="ET210" s="86"/>
      <c r="EU210" s="86"/>
      <c r="EV210" s="86"/>
      <c r="EW210" s="86"/>
      <c r="EX210" s="86"/>
      <c r="EY210" s="86"/>
      <c r="EZ210" s="86"/>
      <c r="FA210" s="86"/>
    </row>
    <row r="211" spans="2:157" ht="9.75" customHeight="1">
      <c r="B211" s="845">
        <v>5</v>
      </c>
      <c r="C211" s="1344"/>
      <c r="D211" s="1344"/>
      <c r="E211" s="1344"/>
      <c r="F211" s="857"/>
      <c r="G211" s="857"/>
      <c r="H211" s="875" t="str">
        <f t="shared" si="9"/>
        <v/>
      </c>
      <c r="J211" s="101"/>
      <c r="K211" s="101"/>
      <c r="L211" s="101"/>
      <c r="Z211" s="86"/>
      <c r="AA211" s="86"/>
      <c r="AB211" s="86"/>
      <c r="AC211" s="86"/>
      <c r="AD211" s="86"/>
      <c r="AE211" s="86"/>
      <c r="AF211" s="86"/>
      <c r="AG211" s="86"/>
      <c r="AH211" s="86"/>
      <c r="AI211" s="86"/>
      <c r="AJ211" s="86"/>
      <c r="AK211" s="86"/>
      <c r="AL211" s="86"/>
      <c r="AM211" s="86"/>
      <c r="AN211" s="86"/>
      <c r="AO211" s="86"/>
      <c r="AP211" s="86"/>
      <c r="AQ211" s="86"/>
      <c r="AR211" s="86"/>
      <c r="AS211" s="86"/>
      <c r="AT211" s="86"/>
      <c r="AU211" s="86"/>
      <c r="AV211" s="86"/>
      <c r="AW211" s="86"/>
      <c r="AX211" s="86"/>
      <c r="AY211" s="86"/>
      <c r="AZ211" s="86"/>
      <c r="BA211" s="86"/>
      <c r="BB211" s="86"/>
      <c r="BC211" s="86"/>
      <c r="BD211" s="86"/>
      <c r="BE211" s="86"/>
      <c r="BF211" s="86"/>
      <c r="BG211" s="86"/>
      <c r="BH211" s="86"/>
      <c r="BI211" s="86"/>
      <c r="BJ211" s="86"/>
      <c r="BK211" s="86"/>
      <c r="BL211" s="86"/>
      <c r="BM211" s="86"/>
      <c r="BN211" s="86"/>
      <c r="BO211" s="86"/>
      <c r="BP211" s="86"/>
      <c r="BQ211" s="86"/>
      <c r="BR211" s="86"/>
      <c r="BS211" s="86"/>
      <c r="BT211" s="86"/>
      <c r="BU211" s="86"/>
      <c r="BV211" s="86"/>
      <c r="BW211" s="86"/>
      <c r="BX211" s="86"/>
      <c r="BY211" s="86"/>
      <c r="BZ211" s="86"/>
      <c r="CA211" s="86"/>
      <c r="CB211" s="86"/>
      <c r="CC211" s="86"/>
      <c r="CD211" s="86"/>
      <c r="CE211" s="86"/>
      <c r="CF211" s="86"/>
      <c r="CG211" s="86"/>
      <c r="CH211" s="86"/>
      <c r="CI211" s="86"/>
      <c r="CJ211" s="86"/>
      <c r="CK211" s="86"/>
      <c r="CL211" s="86"/>
      <c r="CM211" s="86"/>
      <c r="CN211" s="86"/>
      <c r="CO211" s="86"/>
      <c r="CP211" s="86"/>
      <c r="CQ211" s="86"/>
      <c r="CR211" s="86"/>
      <c r="CS211" s="86"/>
      <c r="CT211" s="86"/>
      <c r="CU211" s="86"/>
      <c r="CV211" s="86"/>
      <c r="CW211" s="86"/>
      <c r="CX211" s="86"/>
      <c r="CY211" s="86"/>
      <c r="CZ211" s="86"/>
      <c r="DA211" s="86"/>
      <c r="DB211" s="86"/>
      <c r="DC211" s="86"/>
      <c r="DD211" s="86"/>
      <c r="DE211" s="86"/>
      <c r="DF211" s="86"/>
      <c r="DG211" s="86"/>
      <c r="DH211" s="86"/>
      <c r="DI211" s="86"/>
      <c r="DJ211" s="86"/>
      <c r="DK211" s="86"/>
      <c r="DL211" s="86"/>
      <c r="DM211" s="86"/>
      <c r="DN211" s="86"/>
      <c r="DO211" s="86"/>
      <c r="DP211" s="86"/>
      <c r="DQ211" s="86"/>
      <c r="DR211" s="86"/>
      <c r="DS211" s="86"/>
      <c r="DT211" s="86"/>
      <c r="DU211" s="86"/>
      <c r="DV211" s="86"/>
      <c r="DW211" s="86"/>
      <c r="DX211" s="86"/>
      <c r="DY211" s="86"/>
      <c r="DZ211" s="86"/>
      <c r="EA211" s="86"/>
      <c r="EB211" s="86"/>
      <c r="EC211" s="86"/>
      <c r="ED211" s="86"/>
      <c r="EE211" s="86"/>
      <c r="EF211" s="86"/>
      <c r="EG211" s="86"/>
      <c r="EH211" s="86"/>
      <c r="EI211" s="86"/>
      <c r="EJ211" s="86"/>
      <c r="EK211" s="86"/>
      <c r="EL211" s="86"/>
      <c r="EM211" s="86"/>
      <c r="EN211" s="86"/>
      <c r="EO211" s="86"/>
      <c r="EP211" s="86"/>
      <c r="EQ211" s="86"/>
      <c r="ER211" s="86"/>
      <c r="ES211" s="86"/>
      <c r="ET211" s="86"/>
      <c r="EU211" s="86"/>
      <c r="EV211" s="86"/>
      <c r="EW211" s="86"/>
      <c r="EX211" s="86"/>
      <c r="EY211" s="86"/>
      <c r="EZ211" s="86"/>
      <c r="FA211" s="86"/>
    </row>
    <row r="212" spans="2:157" ht="9.75" customHeight="1">
      <c r="B212" s="845">
        <v>6</v>
      </c>
      <c r="C212" s="1344"/>
      <c r="D212" s="1344"/>
      <c r="E212" s="1344"/>
      <c r="F212" s="857"/>
      <c r="G212" s="857"/>
      <c r="H212" s="875" t="str">
        <f t="shared" si="9"/>
        <v/>
      </c>
      <c r="J212" s="101"/>
      <c r="K212" s="101"/>
      <c r="L212" s="101"/>
      <c r="Z212" s="86"/>
      <c r="AA212" s="86"/>
      <c r="AB212" s="86"/>
      <c r="AC212" s="86"/>
      <c r="AD212" s="86"/>
      <c r="AE212" s="86"/>
      <c r="AF212" s="86"/>
      <c r="AG212" s="86"/>
      <c r="AH212" s="86"/>
      <c r="AI212" s="86"/>
      <c r="AJ212" s="86"/>
      <c r="AK212" s="86"/>
      <c r="AL212" s="86"/>
      <c r="AM212" s="86"/>
      <c r="AN212" s="86"/>
      <c r="AO212" s="86"/>
      <c r="AP212" s="86"/>
      <c r="AQ212" s="86"/>
      <c r="AR212" s="86"/>
      <c r="AS212" s="86"/>
      <c r="AT212" s="86"/>
      <c r="AU212" s="86"/>
      <c r="AV212" s="86"/>
      <c r="AW212" s="86"/>
      <c r="AX212" s="86"/>
      <c r="AY212" s="86"/>
      <c r="AZ212" s="86"/>
      <c r="BA212" s="86"/>
      <c r="BB212" s="86"/>
      <c r="BC212" s="86"/>
      <c r="BD212" s="86"/>
      <c r="BE212" s="86"/>
      <c r="BF212" s="86"/>
      <c r="BG212" s="86"/>
      <c r="BH212" s="86"/>
      <c r="BI212" s="86"/>
      <c r="BJ212" s="86"/>
      <c r="BK212" s="86"/>
      <c r="BL212" s="86"/>
      <c r="BM212" s="86"/>
      <c r="BN212" s="86"/>
      <c r="BO212" s="86"/>
      <c r="BP212" s="86"/>
      <c r="BQ212" s="86"/>
      <c r="BR212" s="86"/>
      <c r="BS212" s="86"/>
      <c r="BT212" s="86"/>
      <c r="BU212" s="86"/>
      <c r="BV212" s="86"/>
      <c r="BW212" s="86"/>
      <c r="BX212" s="86"/>
      <c r="BY212" s="86"/>
      <c r="BZ212" s="86"/>
      <c r="CA212" s="86"/>
      <c r="CB212" s="86"/>
      <c r="CC212" s="86"/>
      <c r="CD212" s="86"/>
      <c r="CE212" s="86"/>
      <c r="CF212" s="86"/>
      <c r="CG212" s="86"/>
      <c r="CH212" s="86"/>
      <c r="CI212" s="86"/>
      <c r="CJ212" s="86"/>
      <c r="CK212" s="86"/>
      <c r="CL212" s="86"/>
      <c r="CM212" s="86"/>
      <c r="CN212" s="86"/>
      <c r="CO212" s="86"/>
      <c r="CP212" s="86"/>
      <c r="CQ212" s="86"/>
      <c r="CR212" s="86"/>
      <c r="CS212" s="86"/>
      <c r="CT212" s="86"/>
      <c r="CU212" s="86"/>
      <c r="CV212" s="86"/>
      <c r="CW212" s="86"/>
      <c r="CX212" s="86"/>
      <c r="CY212" s="86"/>
      <c r="CZ212" s="86"/>
      <c r="DA212" s="86"/>
      <c r="DB212" s="86"/>
      <c r="DC212" s="86"/>
      <c r="DD212" s="86"/>
      <c r="DE212" s="86"/>
      <c r="DF212" s="86"/>
      <c r="DG212" s="86"/>
      <c r="DH212" s="86"/>
      <c r="DI212" s="86"/>
      <c r="DJ212" s="86"/>
      <c r="DK212" s="86"/>
      <c r="DL212" s="86"/>
      <c r="DM212" s="86"/>
      <c r="DN212" s="86"/>
      <c r="DO212" s="86"/>
      <c r="DP212" s="86"/>
      <c r="DQ212" s="86"/>
      <c r="DR212" s="86"/>
      <c r="DS212" s="86"/>
      <c r="DT212" s="86"/>
      <c r="DU212" s="86"/>
      <c r="DV212" s="86"/>
      <c r="DW212" s="86"/>
      <c r="DX212" s="86"/>
      <c r="DY212" s="86"/>
      <c r="DZ212" s="86"/>
      <c r="EA212" s="86"/>
      <c r="EB212" s="86"/>
      <c r="EC212" s="86"/>
      <c r="ED212" s="86"/>
      <c r="EE212" s="86"/>
      <c r="EF212" s="86"/>
      <c r="EG212" s="86"/>
      <c r="EH212" s="86"/>
      <c r="EI212" s="86"/>
      <c r="EJ212" s="86"/>
      <c r="EK212" s="86"/>
      <c r="EL212" s="86"/>
      <c r="EM212" s="86"/>
      <c r="EN212" s="86"/>
      <c r="EO212" s="86"/>
      <c r="EP212" s="86"/>
      <c r="EQ212" s="86"/>
      <c r="ER212" s="86"/>
      <c r="ES212" s="86"/>
      <c r="ET212" s="86"/>
      <c r="EU212" s="86"/>
      <c r="EV212" s="86"/>
      <c r="EW212" s="86"/>
      <c r="EX212" s="86"/>
      <c r="EY212" s="86"/>
      <c r="EZ212" s="86"/>
      <c r="FA212" s="86"/>
    </row>
    <row r="213" spans="2:157" ht="9.75" customHeight="1">
      <c r="B213" s="845">
        <v>7</v>
      </c>
      <c r="C213" s="1344"/>
      <c r="D213" s="1344"/>
      <c r="E213" s="1344"/>
      <c r="F213" s="857"/>
      <c r="G213" s="857"/>
      <c r="H213" s="875" t="str">
        <f t="shared" si="9"/>
        <v/>
      </c>
      <c r="J213" s="101"/>
      <c r="K213" s="101"/>
      <c r="L213" s="101"/>
      <c r="Z213" s="86"/>
      <c r="AA213" s="86"/>
      <c r="AB213" s="86"/>
      <c r="AC213" s="86"/>
      <c r="AD213" s="86"/>
      <c r="AE213" s="86"/>
      <c r="AF213" s="86"/>
      <c r="AG213" s="86"/>
      <c r="AH213" s="86"/>
      <c r="AI213" s="86"/>
      <c r="AJ213" s="86"/>
      <c r="AK213" s="86"/>
      <c r="AL213" s="86"/>
      <c r="AM213" s="86"/>
      <c r="AN213" s="86"/>
      <c r="AO213" s="86"/>
      <c r="AP213" s="86"/>
      <c r="AQ213" s="86"/>
      <c r="AR213" s="86"/>
      <c r="AS213" s="86"/>
      <c r="AT213" s="86"/>
      <c r="AU213" s="86"/>
      <c r="AV213" s="86"/>
      <c r="AW213" s="86"/>
      <c r="AX213" s="86"/>
      <c r="AY213" s="86"/>
      <c r="AZ213" s="86"/>
      <c r="BA213" s="86"/>
      <c r="BB213" s="86"/>
      <c r="BC213" s="86"/>
      <c r="BD213" s="86"/>
      <c r="BE213" s="86"/>
      <c r="BF213" s="86"/>
      <c r="BG213" s="86"/>
      <c r="BH213" s="86"/>
      <c r="BI213" s="86"/>
      <c r="BJ213" s="86"/>
      <c r="BK213" s="86"/>
      <c r="BL213" s="86"/>
      <c r="BM213" s="86"/>
      <c r="BN213" s="86"/>
      <c r="BO213" s="86"/>
      <c r="BP213" s="86"/>
      <c r="BQ213" s="86"/>
      <c r="BR213" s="86"/>
      <c r="BS213" s="86"/>
      <c r="BT213" s="86"/>
      <c r="BU213" s="86"/>
      <c r="BV213" s="86"/>
      <c r="BW213" s="86"/>
      <c r="BX213" s="86"/>
      <c r="BY213" s="86"/>
      <c r="BZ213" s="86"/>
      <c r="CA213" s="86"/>
      <c r="CB213" s="86"/>
      <c r="CC213" s="86"/>
      <c r="CD213" s="86"/>
      <c r="CE213" s="86"/>
      <c r="CF213" s="86"/>
      <c r="CG213" s="86"/>
      <c r="CH213" s="86"/>
      <c r="CI213" s="86"/>
      <c r="CJ213" s="86"/>
      <c r="CK213" s="86"/>
      <c r="CL213" s="86"/>
      <c r="CM213" s="86"/>
      <c r="CN213" s="86"/>
      <c r="CO213" s="86"/>
      <c r="CP213" s="86"/>
      <c r="CQ213" s="86"/>
      <c r="CR213" s="86"/>
      <c r="CS213" s="86"/>
      <c r="CT213" s="86"/>
      <c r="CU213" s="86"/>
      <c r="CV213" s="86"/>
      <c r="CW213" s="86"/>
      <c r="CX213" s="86"/>
      <c r="CY213" s="86"/>
      <c r="CZ213" s="86"/>
      <c r="DA213" s="86"/>
      <c r="DB213" s="86"/>
      <c r="DC213" s="86"/>
      <c r="DD213" s="86"/>
      <c r="DE213" s="86"/>
      <c r="DF213" s="86"/>
      <c r="DG213" s="86"/>
      <c r="DH213" s="86"/>
      <c r="DI213" s="86"/>
      <c r="DJ213" s="86"/>
      <c r="DK213" s="86"/>
      <c r="DL213" s="86"/>
      <c r="DM213" s="86"/>
      <c r="DN213" s="86"/>
      <c r="DO213" s="86"/>
      <c r="DP213" s="86"/>
      <c r="DQ213" s="86"/>
      <c r="DR213" s="86"/>
      <c r="DS213" s="86"/>
      <c r="DT213" s="86"/>
      <c r="DU213" s="86"/>
      <c r="DV213" s="86"/>
      <c r="DW213" s="86"/>
      <c r="DX213" s="86"/>
      <c r="DY213" s="86"/>
      <c r="DZ213" s="86"/>
      <c r="EA213" s="86"/>
      <c r="EB213" s="86"/>
      <c r="EC213" s="86"/>
      <c r="ED213" s="86"/>
      <c r="EE213" s="86"/>
      <c r="EF213" s="86"/>
      <c r="EG213" s="86"/>
      <c r="EH213" s="86"/>
      <c r="EI213" s="86"/>
      <c r="EJ213" s="86"/>
      <c r="EK213" s="86"/>
      <c r="EL213" s="86"/>
      <c r="EM213" s="86"/>
      <c r="EN213" s="86"/>
      <c r="EO213" s="86"/>
      <c r="EP213" s="86"/>
      <c r="EQ213" s="86"/>
      <c r="ER213" s="86"/>
      <c r="ES213" s="86"/>
      <c r="ET213" s="86"/>
      <c r="EU213" s="86"/>
      <c r="EV213" s="86"/>
      <c r="EW213" s="86"/>
      <c r="EX213" s="86"/>
      <c r="EY213" s="86"/>
      <c r="EZ213" s="86"/>
      <c r="FA213" s="86"/>
    </row>
    <row r="214" spans="2:157" ht="9.75" customHeight="1">
      <c r="B214" s="845">
        <v>8</v>
      </c>
      <c r="C214" s="1344"/>
      <c r="D214" s="1344"/>
      <c r="E214" s="1344"/>
      <c r="F214" s="857"/>
      <c r="G214" s="857"/>
      <c r="H214" s="875" t="str">
        <f t="shared" si="9"/>
        <v/>
      </c>
      <c r="J214" s="101"/>
      <c r="K214" s="101"/>
      <c r="L214" s="101"/>
      <c r="Z214" s="86"/>
      <c r="AA214" s="86"/>
      <c r="AB214" s="86"/>
      <c r="AC214" s="86"/>
      <c r="AD214" s="86"/>
      <c r="AE214" s="86"/>
      <c r="AF214" s="86"/>
      <c r="AG214" s="86"/>
      <c r="AH214" s="86"/>
      <c r="AI214" s="86"/>
      <c r="AJ214" s="86"/>
      <c r="AK214" s="86"/>
      <c r="AL214" s="86"/>
      <c r="AM214" s="86"/>
      <c r="AN214" s="86"/>
      <c r="AO214" s="86"/>
      <c r="AP214" s="86"/>
      <c r="AQ214" s="86"/>
      <c r="AR214" s="86"/>
      <c r="AS214" s="86"/>
      <c r="AT214" s="86"/>
      <c r="AU214" s="86"/>
      <c r="AV214" s="86"/>
      <c r="AW214" s="86"/>
      <c r="AX214" s="86"/>
      <c r="AY214" s="86"/>
      <c r="AZ214" s="86"/>
      <c r="BA214" s="86"/>
      <c r="BB214" s="86"/>
      <c r="BC214" s="86"/>
      <c r="BD214" s="86"/>
      <c r="BE214" s="86"/>
      <c r="BF214" s="86"/>
      <c r="BG214" s="86"/>
      <c r="BH214" s="86"/>
      <c r="BI214" s="86"/>
      <c r="BJ214" s="86"/>
      <c r="BK214" s="86"/>
      <c r="BL214" s="86"/>
      <c r="BM214" s="86"/>
      <c r="BN214" s="86"/>
      <c r="BO214" s="86"/>
      <c r="BP214" s="86"/>
      <c r="BQ214" s="86"/>
      <c r="BR214" s="86"/>
      <c r="BS214" s="86"/>
      <c r="BT214" s="86"/>
      <c r="BU214" s="86"/>
      <c r="BV214" s="86"/>
      <c r="BW214" s="86"/>
      <c r="BX214" s="86"/>
      <c r="BY214" s="86"/>
      <c r="BZ214" s="86"/>
      <c r="CA214" s="86"/>
      <c r="CB214" s="86"/>
      <c r="CC214" s="86"/>
      <c r="CD214" s="86"/>
      <c r="CE214" s="86"/>
      <c r="CF214" s="86"/>
      <c r="CG214" s="86"/>
      <c r="CH214" s="86"/>
      <c r="CI214" s="86"/>
      <c r="CJ214" s="86"/>
      <c r="CK214" s="86"/>
      <c r="CL214" s="86"/>
      <c r="CM214" s="86"/>
      <c r="CN214" s="86"/>
      <c r="CO214" s="86"/>
      <c r="CP214" s="86"/>
      <c r="CQ214" s="86"/>
      <c r="CR214" s="86"/>
      <c r="CS214" s="86"/>
      <c r="CT214" s="86"/>
      <c r="CU214" s="86"/>
      <c r="CV214" s="86"/>
      <c r="CW214" s="86"/>
      <c r="CX214" s="86"/>
      <c r="CY214" s="86"/>
      <c r="CZ214" s="86"/>
      <c r="DA214" s="86"/>
      <c r="DB214" s="86"/>
      <c r="DC214" s="86"/>
      <c r="DD214" s="86"/>
      <c r="DE214" s="86"/>
      <c r="DF214" s="86"/>
      <c r="DG214" s="86"/>
      <c r="DH214" s="86"/>
      <c r="DI214" s="86"/>
      <c r="DJ214" s="86"/>
      <c r="DK214" s="86"/>
      <c r="DL214" s="86"/>
      <c r="DM214" s="86"/>
      <c r="DN214" s="86"/>
      <c r="DO214" s="86"/>
      <c r="DP214" s="86"/>
      <c r="DQ214" s="86"/>
      <c r="DR214" s="86"/>
      <c r="DS214" s="86"/>
      <c r="DT214" s="86"/>
      <c r="DU214" s="86"/>
      <c r="DV214" s="86"/>
      <c r="DW214" s="86"/>
      <c r="DX214" s="86"/>
      <c r="DY214" s="86"/>
      <c r="DZ214" s="86"/>
      <c r="EA214" s="86"/>
      <c r="EB214" s="86"/>
      <c r="EC214" s="86"/>
      <c r="ED214" s="86"/>
      <c r="EE214" s="86"/>
      <c r="EF214" s="86"/>
      <c r="EG214" s="86"/>
      <c r="EH214" s="86"/>
      <c r="EI214" s="86"/>
      <c r="EJ214" s="86"/>
      <c r="EK214" s="86"/>
      <c r="EL214" s="86"/>
      <c r="EM214" s="86"/>
      <c r="EN214" s="86"/>
      <c r="EO214" s="86"/>
      <c r="EP214" s="86"/>
      <c r="EQ214" s="86"/>
      <c r="ER214" s="86"/>
      <c r="ES214" s="86"/>
      <c r="ET214" s="86"/>
      <c r="EU214" s="86"/>
      <c r="EV214" s="86"/>
      <c r="EW214" s="86"/>
      <c r="EX214" s="86"/>
      <c r="EY214" s="86"/>
      <c r="EZ214" s="86"/>
      <c r="FA214" s="86"/>
    </row>
    <row r="215" spans="2:157" ht="9.75" customHeight="1">
      <c r="B215" s="845">
        <v>9</v>
      </c>
      <c r="C215" s="1344"/>
      <c r="D215" s="1344"/>
      <c r="E215" s="1344"/>
      <c r="F215" s="857"/>
      <c r="G215" s="857"/>
      <c r="H215" s="875" t="str">
        <f t="shared" si="9"/>
        <v/>
      </c>
      <c r="J215" s="101"/>
      <c r="K215" s="101"/>
      <c r="L215" s="101"/>
      <c r="Z215" s="86"/>
      <c r="AA215" s="86"/>
      <c r="AB215" s="86"/>
      <c r="AC215" s="86"/>
      <c r="AD215" s="86"/>
      <c r="AE215" s="86"/>
      <c r="AF215" s="86"/>
      <c r="AG215" s="86"/>
      <c r="AH215" s="86"/>
      <c r="AI215" s="86"/>
      <c r="AJ215" s="86"/>
      <c r="AK215" s="86"/>
      <c r="AL215" s="86"/>
      <c r="AM215" s="86"/>
      <c r="AN215" s="86"/>
      <c r="AO215" s="86"/>
      <c r="AP215" s="86"/>
      <c r="AQ215" s="86"/>
      <c r="AR215" s="86"/>
      <c r="AS215" s="86"/>
      <c r="AT215" s="86"/>
      <c r="AU215" s="86"/>
      <c r="AV215" s="86"/>
      <c r="AW215" s="86"/>
      <c r="AX215" s="86"/>
      <c r="AY215" s="86"/>
      <c r="AZ215" s="86"/>
      <c r="BA215" s="86"/>
      <c r="BB215" s="86"/>
      <c r="BC215" s="86"/>
      <c r="BD215" s="86"/>
      <c r="BE215" s="86"/>
      <c r="BF215" s="86"/>
      <c r="BG215" s="86"/>
      <c r="BH215" s="86"/>
      <c r="BI215" s="86"/>
      <c r="BJ215" s="86"/>
      <c r="BK215" s="86"/>
      <c r="BL215" s="86"/>
      <c r="BM215" s="86"/>
      <c r="BN215" s="86"/>
      <c r="BO215" s="86"/>
      <c r="BP215" s="86"/>
      <c r="BQ215" s="86"/>
      <c r="BR215" s="86"/>
      <c r="BS215" s="86"/>
      <c r="BT215" s="86"/>
      <c r="BU215" s="86"/>
      <c r="BV215" s="86"/>
      <c r="BW215" s="86"/>
      <c r="BX215" s="86"/>
      <c r="BY215" s="86"/>
      <c r="BZ215" s="86"/>
      <c r="CA215" s="86"/>
      <c r="CB215" s="86"/>
      <c r="CC215" s="86"/>
      <c r="CD215" s="86"/>
      <c r="CE215" s="86"/>
      <c r="CF215" s="86"/>
      <c r="CG215" s="86"/>
      <c r="CH215" s="86"/>
      <c r="CI215" s="86"/>
      <c r="CJ215" s="86"/>
      <c r="CK215" s="86"/>
      <c r="CL215" s="86"/>
      <c r="CM215" s="86"/>
      <c r="CN215" s="86"/>
      <c r="CO215" s="86"/>
      <c r="CP215" s="86"/>
      <c r="CQ215" s="86"/>
      <c r="CR215" s="86"/>
      <c r="CS215" s="86"/>
      <c r="CT215" s="86"/>
      <c r="CU215" s="86"/>
      <c r="CV215" s="86"/>
      <c r="CW215" s="86"/>
      <c r="CX215" s="86"/>
      <c r="CY215" s="86"/>
      <c r="CZ215" s="86"/>
      <c r="DA215" s="86"/>
      <c r="DB215" s="86"/>
      <c r="DC215" s="86"/>
      <c r="DD215" s="86"/>
      <c r="DE215" s="86"/>
      <c r="DF215" s="86"/>
      <c r="DG215" s="86"/>
      <c r="DH215" s="86"/>
      <c r="DI215" s="86"/>
      <c r="DJ215" s="86"/>
      <c r="DK215" s="86"/>
      <c r="DL215" s="86"/>
      <c r="DM215" s="86"/>
      <c r="DN215" s="86"/>
      <c r="DO215" s="86"/>
      <c r="DP215" s="86"/>
      <c r="DQ215" s="86"/>
      <c r="DR215" s="86"/>
      <c r="DS215" s="86"/>
      <c r="DT215" s="86"/>
      <c r="DU215" s="86"/>
      <c r="DV215" s="86"/>
      <c r="DW215" s="86"/>
      <c r="DX215" s="86"/>
      <c r="DY215" s="86"/>
      <c r="DZ215" s="86"/>
      <c r="EA215" s="86"/>
      <c r="EB215" s="86"/>
      <c r="EC215" s="86"/>
      <c r="ED215" s="86"/>
      <c r="EE215" s="86"/>
      <c r="EF215" s="86"/>
      <c r="EG215" s="86"/>
      <c r="EH215" s="86"/>
      <c r="EI215" s="86"/>
      <c r="EJ215" s="86"/>
      <c r="EK215" s="86"/>
      <c r="EL215" s="86"/>
      <c r="EM215" s="86"/>
      <c r="EN215" s="86"/>
      <c r="EO215" s="86"/>
      <c r="EP215" s="86"/>
      <c r="EQ215" s="86"/>
      <c r="ER215" s="86"/>
      <c r="ES215" s="86"/>
      <c r="ET215" s="86"/>
      <c r="EU215" s="86"/>
      <c r="EV215" s="86"/>
      <c r="EW215" s="86"/>
      <c r="EX215" s="86"/>
      <c r="EY215" s="86"/>
      <c r="EZ215" s="86"/>
      <c r="FA215" s="86"/>
    </row>
    <row r="216" spans="2:157" ht="10.050000000000001" customHeight="1">
      <c r="B216" s="845" t="s">
        <v>546</v>
      </c>
      <c r="C216" s="836" t="s">
        <v>73</v>
      </c>
      <c r="D216" s="839"/>
      <c r="E216" s="86"/>
      <c r="F216" s="848" t="s">
        <v>546</v>
      </c>
      <c r="G216" s="848" t="s">
        <v>546</v>
      </c>
      <c r="H216" s="858">
        <v>0.04</v>
      </c>
      <c r="J216" s="101"/>
      <c r="K216" s="101"/>
      <c r="L216" s="101"/>
      <c r="Z216" s="86"/>
      <c r="AA216" s="86"/>
      <c r="AB216" s="86"/>
      <c r="AC216" s="86"/>
      <c r="AD216" s="86"/>
      <c r="AE216" s="86"/>
      <c r="AF216" s="86"/>
      <c r="AG216" s="86"/>
      <c r="AH216" s="86"/>
      <c r="AI216" s="86"/>
      <c r="AJ216" s="86"/>
      <c r="AK216" s="86"/>
      <c r="AL216" s="86"/>
      <c r="AM216" s="86"/>
      <c r="AN216" s="86"/>
      <c r="AO216" s="86"/>
      <c r="AP216" s="86"/>
      <c r="AQ216" s="86"/>
      <c r="AR216" s="86"/>
      <c r="AS216" s="86"/>
      <c r="AT216" s="86"/>
      <c r="AU216" s="86"/>
      <c r="AV216" s="86"/>
      <c r="AW216" s="86"/>
      <c r="AX216" s="86"/>
      <c r="AY216" s="86"/>
      <c r="AZ216" s="86"/>
      <c r="BA216" s="86"/>
      <c r="BB216" s="86"/>
      <c r="BC216" s="86"/>
      <c r="BD216" s="86"/>
      <c r="BE216" s="86"/>
      <c r="BF216" s="86"/>
      <c r="BG216" s="86"/>
      <c r="BH216" s="86"/>
      <c r="BI216" s="86"/>
      <c r="BJ216" s="86"/>
      <c r="BK216" s="86"/>
      <c r="BL216" s="86"/>
      <c r="BM216" s="86"/>
      <c r="BN216" s="86"/>
      <c r="BO216" s="86"/>
      <c r="BP216" s="86"/>
      <c r="BQ216" s="86"/>
      <c r="BR216" s="86"/>
      <c r="BS216" s="86"/>
      <c r="BT216" s="86"/>
      <c r="BU216" s="86"/>
      <c r="BV216" s="86"/>
      <c r="BW216" s="86"/>
      <c r="BX216" s="86"/>
      <c r="BY216" s="86"/>
      <c r="BZ216" s="86"/>
      <c r="CA216" s="86"/>
      <c r="CB216" s="86"/>
      <c r="CC216" s="86"/>
      <c r="CD216" s="86"/>
      <c r="CE216" s="86"/>
      <c r="CF216" s="86"/>
      <c r="CG216" s="86"/>
      <c r="CH216" s="86"/>
      <c r="CI216" s="86"/>
      <c r="CJ216" s="86"/>
      <c r="CK216" s="86"/>
      <c r="CL216" s="86"/>
      <c r="CM216" s="86"/>
      <c r="CN216" s="86"/>
      <c r="CO216" s="86"/>
      <c r="CP216" s="86"/>
      <c r="CQ216" s="86"/>
      <c r="CR216" s="86"/>
      <c r="CS216" s="86"/>
      <c r="CT216" s="86"/>
      <c r="CU216" s="86"/>
      <c r="CV216" s="86"/>
      <c r="CW216" s="86"/>
      <c r="CX216" s="86"/>
      <c r="CY216" s="86"/>
      <c r="CZ216" s="86"/>
      <c r="DA216" s="86"/>
      <c r="DB216" s="86"/>
      <c r="DC216" s="86"/>
      <c r="DD216" s="86"/>
      <c r="DE216" s="86"/>
      <c r="DF216" s="86"/>
      <c r="DG216" s="86"/>
      <c r="DH216" s="86"/>
      <c r="DI216" s="86"/>
      <c r="DJ216" s="86"/>
      <c r="DK216" s="86"/>
      <c r="DL216" s="86"/>
      <c r="DM216" s="86"/>
      <c r="DN216" s="86"/>
      <c r="DO216" s="86"/>
      <c r="DP216" s="86"/>
      <c r="DQ216" s="86"/>
      <c r="DR216" s="86"/>
      <c r="DS216" s="86"/>
      <c r="DT216" s="86"/>
      <c r="DU216" s="86"/>
      <c r="DV216" s="86"/>
      <c r="DW216" s="86"/>
      <c r="DX216" s="86"/>
      <c r="DY216" s="86"/>
      <c r="DZ216" s="86"/>
      <c r="EA216" s="86"/>
      <c r="EB216" s="86"/>
      <c r="EC216" s="86"/>
      <c r="ED216" s="86"/>
      <c r="EE216" s="86"/>
      <c r="EF216" s="86"/>
      <c r="EG216" s="86"/>
      <c r="EH216" s="86"/>
      <c r="EI216" s="86"/>
      <c r="EJ216" s="86"/>
      <c r="EK216" s="86"/>
      <c r="EL216" s="86"/>
      <c r="EM216" s="86"/>
      <c r="EN216" s="86"/>
      <c r="EO216" s="86"/>
      <c r="EP216" s="86"/>
      <c r="EQ216" s="86"/>
      <c r="ER216" s="86"/>
      <c r="ES216" s="86"/>
      <c r="ET216" s="86"/>
      <c r="EU216" s="86"/>
      <c r="EV216" s="86"/>
      <c r="EW216" s="86"/>
      <c r="EX216" s="86"/>
      <c r="EY216" s="86"/>
      <c r="EZ216" s="86"/>
      <c r="FA216" s="86"/>
    </row>
    <row r="217" spans="2:157" ht="9.75" customHeight="1">
      <c r="B217" s="849"/>
      <c r="C217" s="849"/>
      <c r="D217" s="849"/>
      <c r="E217" s="849"/>
      <c r="F217" s="849"/>
      <c r="G217" s="849"/>
      <c r="H217" s="855"/>
      <c r="J217" s="101"/>
      <c r="K217" s="101"/>
      <c r="L217" s="101"/>
      <c r="Z217" s="86"/>
      <c r="AA217" s="86"/>
      <c r="AB217" s="86"/>
      <c r="AC217" s="86"/>
      <c r="AD217" s="86"/>
      <c r="AE217" s="86"/>
      <c r="AF217" s="86"/>
      <c r="AG217" s="86"/>
      <c r="AH217" s="86"/>
      <c r="AI217" s="86"/>
      <c r="AJ217" s="86"/>
      <c r="AK217" s="86"/>
      <c r="AL217" s="86"/>
      <c r="AM217" s="86"/>
      <c r="AN217" s="86"/>
      <c r="AO217" s="86"/>
      <c r="AP217" s="86"/>
      <c r="AQ217" s="86"/>
      <c r="AR217" s="86"/>
      <c r="AS217" s="86"/>
      <c r="AT217" s="86"/>
      <c r="AU217" s="86"/>
      <c r="AV217" s="86"/>
      <c r="AW217" s="86"/>
      <c r="AX217" s="86"/>
      <c r="AY217" s="86"/>
      <c r="AZ217" s="86"/>
      <c r="BA217" s="86"/>
      <c r="BB217" s="86"/>
      <c r="BC217" s="86"/>
      <c r="BD217" s="86"/>
      <c r="BE217" s="86"/>
      <c r="BF217" s="86"/>
      <c r="BG217" s="86"/>
      <c r="BH217" s="86"/>
      <c r="BI217" s="86"/>
      <c r="BJ217" s="86"/>
      <c r="BK217" s="86"/>
      <c r="BL217" s="86"/>
      <c r="BM217" s="86"/>
      <c r="BN217" s="86"/>
      <c r="BO217" s="86"/>
      <c r="BP217" s="86"/>
      <c r="BQ217" s="86"/>
      <c r="BR217" s="86"/>
      <c r="BS217" s="86"/>
      <c r="BT217" s="86"/>
      <c r="BU217" s="86"/>
      <c r="BV217" s="86"/>
      <c r="BW217" s="86"/>
      <c r="BX217" s="86"/>
      <c r="BY217" s="86"/>
      <c r="BZ217" s="86"/>
      <c r="CA217" s="86"/>
      <c r="CB217" s="86"/>
      <c r="CC217" s="86"/>
      <c r="CD217" s="86"/>
      <c r="CE217" s="86"/>
      <c r="CF217" s="86"/>
      <c r="CG217" s="86"/>
      <c r="CH217" s="86"/>
      <c r="CI217" s="86"/>
      <c r="CJ217" s="86"/>
      <c r="CK217" s="86"/>
      <c r="CL217" s="86"/>
      <c r="CM217" s="86"/>
      <c r="CN217" s="86"/>
      <c r="CO217" s="86"/>
      <c r="CP217" s="86"/>
      <c r="CQ217" s="86"/>
      <c r="CR217" s="86"/>
      <c r="CS217" s="86"/>
      <c r="CT217" s="86"/>
      <c r="CU217" s="86"/>
      <c r="CV217" s="86"/>
      <c r="CW217" s="86"/>
      <c r="CX217" s="86"/>
      <c r="CY217" s="86"/>
      <c r="CZ217" s="86"/>
      <c r="DA217" s="86"/>
      <c r="DB217" s="86"/>
      <c r="DC217" s="86"/>
      <c r="DD217" s="86"/>
      <c r="DE217" s="86"/>
      <c r="DF217" s="86"/>
      <c r="DG217" s="86"/>
      <c r="DH217" s="86"/>
      <c r="DI217" s="86"/>
      <c r="DJ217" s="86"/>
      <c r="DK217" s="86"/>
      <c r="DL217" s="86"/>
      <c r="DM217" s="86"/>
      <c r="DN217" s="86"/>
      <c r="DO217" s="86"/>
      <c r="DP217" s="86"/>
      <c r="DQ217" s="86"/>
      <c r="DR217" s="86"/>
      <c r="DS217" s="86"/>
      <c r="DT217" s="86"/>
      <c r="DU217" s="86"/>
      <c r="DV217" s="86"/>
      <c r="DW217" s="86"/>
      <c r="DX217" s="86"/>
      <c r="DY217" s="86"/>
      <c r="DZ217" s="86"/>
      <c r="EA217" s="86"/>
      <c r="EB217" s="86"/>
      <c r="EC217" s="86"/>
      <c r="ED217" s="86"/>
      <c r="EE217" s="86"/>
      <c r="EF217" s="86"/>
      <c r="EG217" s="86"/>
      <c r="EH217" s="86"/>
      <c r="EI217" s="86"/>
      <c r="EJ217" s="86"/>
      <c r="EK217" s="86"/>
      <c r="EL217" s="86"/>
      <c r="EM217" s="86"/>
      <c r="EN217" s="86"/>
      <c r="EO217" s="86"/>
      <c r="EP217" s="86"/>
      <c r="EQ217" s="86"/>
      <c r="ER217" s="86"/>
      <c r="ES217" s="86"/>
      <c r="ET217" s="86"/>
      <c r="EU217" s="86"/>
      <c r="EV217" s="86"/>
      <c r="EW217" s="86"/>
      <c r="EX217" s="86"/>
      <c r="EY217" s="86"/>
      <c r="EZ217" s="86"/>
      <c r="FA217" s="86"/>
    </row>
    <row r="218" spans="2:157" ht="9.75" customHeight="1">
      <c r="B218" s="27"/>
      <c r="C218" s="27"/>
      <c r="D218" s="27"/>
      <c r="E218" s="91"/>
      <c r="F218" s="171"/>
      <c r="G218" s="29"/>
      <c r="H218" s="27"/>
      <c r="J218" s="101"/>
      <c r="K218" s="101"/>
      <c r="L218" s="101"/>
      <c r="Z218" s="86"/>
      <c r="AA218" s="86"/>
      <c r="AB218" s="86"/>
      <c r="AC218" s="86"/>
      <c r="AD218" s="86"/>
      <c r="AE218" s="86"/>
      <c r="AF218" s="86"/>
      <c r="AG218" s="86"/>
      <c r="AH218" s="86"/>
      <c r="AI218" s="86"/>
      <c r="AJ218" s="86"/>
      <c r="AK218" s="86"/>
      <c r="AL218" s="86"/>
      <c r="AM218" s="86"/>
      <c r="AN218" s="86"/>
      <c r="AO218" s="86"/>
      <c r="AP218" s="86"/>
      <c r="AQ218" s="86"/>
      <c r="AR218" s="86"/>
      <c r="AS218" s="86"/>
      <c r="AT218" s="86"/>
      <c r="AU218" s="86"/>
      <c r="AV218" s="86"/>
      <c r="AW218" s="86"/>
      <c r="AX218" s="86"/>
      <c r="AY218" s="86"/>
      <c r="AZ218" s="86"/>
      <c r="BA218" s="86"/>
      <c r="BB218" s="86"/>
      <c r="BC218" s="86"/>
      <c r="BD218" s="86"/>
      <c r="BE218" s="86"/>
      <c r="BF218" s="86"/>
      <c r="BG218" s="86"/>
      <c r="BH218" s="86"/>
      <c r="BI218" s="86"/>
      <c r="BJ218" s="86"/>
      <c r="BK218" s="86"/>
      <c r="BL218" s="86"/>
      <c r="BM218" s="86"/>
      <c r="BN218" s="86"/>
      <c r="BO218" s="86"/>
      <c r="BP218" s="86"/>
      <c r="BQ218" s="86"/>
      <c r="BR218" s="86"/>
      <c r="BS218" s="86"/>
      <c r="BT218" s="86"/>
      <c r="BU218" s="86"/>
      <c r="BV218" s="86"/>
      <c r="BW218" s="86"/>
      <c r="BX218" s="86"/>
      <c r="BY218" s="86"/>
      <c r="BZ218" s="86"/>
      <c r="CA218" s="86"/>
      <c r="CB218" s="86"/>
      <c r="CC218" s="86"/>
      <c r="CD218" s="86"/>
      <c r="CE218" s="86"/>
      <c r="CF218" s="86"/>
      <c r="CG218" s="86"/>
      <c r="CH218" s="86"/>
      <c r="CI218" s="86"/>
      <c r="CJ218" s="86"/>
      <c r="CK218" s="86"/>
      <c r="CL218" s="86"/>
      <c r="CM218" s="86"/>
      <c r="CN218" s="86"/>
      <c r="CO218" s="86"/>
      <c r="CP218" s="86"/>
      <c r="CQ218" s="86"/>
      <c r="CR218" s="86"/>
      <c r="CS218" s="86"/>
      <c r="CT218" s="86"/>
      <c r="CU218" s="86"/>
      <c r="CV218" s="86"/>
      <c r="CW218" s="86"/>
      <c r="CX218" s="86"/>
      <c r="CY218" s="86"/>
      <c r="CZ218" s="86"/>
      <c r="DA218" s="86"/>
      <c r="DB218" s="86"/>
      <c r="DC218" s="86"/>
      <c r="DD218" s="86"/>
      <c r="DE218" s="86"/>
      <c r="DF218" s="86"/>
      <c r="DG218" s="86"/>
      <c r="DH218" s="86"/>
      <c r="DI218" s="86"/>
      <c r="DJ218" s="86"/>
      <c r="DK218" s="86"/>
      <c r="DL218" s="86"/>
      <c r="DM218" s="86"/>
      <c r="DN218" s="86"/>
      <c r="DO218" s="86"/>
      <c r="DP218" s="86"/>
      <c r="DQ218" s="86"/>
      <c r="DR218" s="86"/>
      <c r="DS218" s="86"/>
      <c r="DT218" s="86"/>
      <c r="DU218" s="86"/>
      <c r="DV218" s="86"/>
      <c r="DW218" s="86"/>
      <c r="DX218" s="86"/>
      <c r="DY218" s="86"/>
      <c r="DZ218" s="86"/>
      <c r="EA218" s="86"/>
      <c r="EB218" s="86"/>
      <c r="EC218" s="86"/>
      <c r="ED218" s="86"/>
      <c r="EE218" s="86"/>
      <c r="EF218" s="86"/>
      <c r="EG218" s="86"/>
      <c r="EH218" s="86"/>
      <c r="EI218" s="86"/>
      <c r="EJ218" s="86"/>
      <c r="EK218" s="86"/>
      <c r="EL218" s="86"/>
      <c r="EM218" s="86"/>
      <c r="EN218" s="86"/>
      <c r="EO218" s="86"/>
      <c r="EP218" s="86"/>
      <c r="EQ218" s="86"/>
      <c r="ER218" s="86"/>
      <c r="ES218" s="86"/>
      <c r="ET218" s="86"/>
      <c r="EU218" s="86"/>
      <c r="EV218" s="86"/>
      <c r="EW218" s="86"/>
      <c r="EX218" s="86"/>
      <c r="EY218" s="86"/>
      <c r="EZ218" s="86"/>
      <c r="FA218" s="86"/>
    </row>
    <row r="219" spans="2:157" ht="9.75" customHeight="1">
      <c r="B219" s="27"/>
      <c r="C219" s="27"/>
      <c r="D219" s="27"/>
      <c r="E219" s="27"/>
      <c r="F219" s="27"/>
      <c r="G219" s="27"/>
      <c r="H219" s="27"/>
      <c r="J219" s="101"/>
      <c r="K219" s="101"/>
      <c r="L219" s="101"/>
      <c r="Z219" s="86"/>
      <c r="AA219" s="86"/>
      <c r="AB219" s="86"/>
      <c r="AC219" s="86"/>
      <c r="AD219" s="86"/>
      <c r="AE219" s="86"/>
      <c r="AF219" s="86"/>
      <c r="AG219" s="86"/>
      <c r="AH219" s="86"/>
      <c r="AI219" s="86"/>
      <c r="AJ219" s="86"/>
      <c r="AK219" s="86"/>
      <c r="AL219" s="86"/>
      <c r="AM219" s="86"/>
      <c r="AN219" s="86"/>
      <c r="AO219" s="86"/>
      <c r="AP219" s="86"/>
      <c r="AQ219" s="86"/>
      <c r="AR219" s="86"/>
      <c r="AS219" s="86"/>
      <c r="AT219" s="86"/>
      <c r="AU219" s="86"/>
      <c r="AV219" s="86"/>
      <c r="AW219" s="86"/>
      <c r="AX219" s="86"/>
      <c r="AY219" s="86"/>
      <c r="AZ219" s="86"/>
      <c r="BA219" s="86"/>
      <c r="BB219" s="86"/>
      <c r="BC219" s="86"/>
      <c r="BD219" s="86"/>
      <c r="BE219" s="86"/>
      <c r="BF219" s="86"/>
      <c r="BG219" s="86"/>
      <c r="BH219" s="86"/>
      <c r="BI219" s="86"/>
      <c r="BJ219" s="86"/>
      <c r="BK219" s="86"/>
      <c r="BL219" s="86"/>
      <c r="BM219" s="86"/>
      <c r="BN219" s="86"/>
      <c r="BO219" s="86"/>
      <c r="BP219" s="86"/>
      <c r="BQ219" s="86"/>
      <c r="BR219" s="86"/>
      <c r="BS219" s="86"/>
      <c r="BT219" s="86"/>
      <c r="BU219" s="86"/>
      <c r="BV219" s="86"/>
      <c r="BW219" s="86"/>
      <c r="BX219" s="86"/>
      <c r="BY219" s="86"/>
      <c r="BZ219" s="86"/>
      <c r="CA219" s="86"/>
      <c r="CB219" s="86"/>
      <c r="CC219" s="86"/>
      <c r="CD219" s="86"/>
      <c r="CE219" s="86"/>
      <c r="CF219" s="86"/>
      <c r="CG219" s="86"/>
      <c r="CH219" s="86"/>
      <c r="CI219" s="86"/>
      <c r="CJ219" s="86"/>
      <c r="CK219" s="86"/>
      <c r="CL219" s="86"/>
      <c r="CM219" s="86"/>
      <c r="CN219" s="86"/>
      <c r="CO219" s="86"/>
      <c r="CP219" s="86"/>
      <c r="CQ219" s="86"/>
      <c r="CR219" s="86"/>
      <c r="CS219" s="86"/>
      <c r="CT219" s="86"/>
      <c r="CU219" s="86"/>
      <c r="CV219" s="86"/>
      <c r="CW219" s="86"/>
      <c r="CX219" s="86"/>
      <c r="CY219" s="86"/>
      <c r="CZ219" s="86"/>
      <c r="DA219" s="86"/>
      <c r="DB219" s="86"/>
      <c r="DC219" s="86"/>
      <c r="DD219" s="86"/>
      <c r="DE219" s="86"/>
      <c r="DF219" s="86"/>
      <c r="DG219" s="86"/>
      <c r="DH219" s="86"/>
      <c r="DI219" s="86"/>
      <c r="DJ219" s="86"/>
      <c r="DK219" s="86"/>
      <c r="DL219" s="86"/>
      <c r="DM219" s="86"/>
      <c r="DN219" s="86"/>
      <c r="DO219" s="86"/>
      <c r="DP219" s="86"/>
      <c r="DQ219" s="86"/>
      <c r="DR219" s="86"/>
      <c r="DS219" s="86"/>
      <c r="DT219" s="86"/>
      <c r="DU219" s="86"/>
      <c r="DV219" s="86"/>
      <c r="DW219" s="86"/>
      <c r="DX219" s="86"/>
      <c r="DY219" s="86"/>
      <c r="DZ219" s="86"/>
      <c r="EA219" s="86"/>
      <c r="EB219" s="86"/>
      <c r="EC219" s="86"/>
      <c r="ED219" s="86"/>
      <c r="EE219" s="86"/>
      <c r="EF219" s="86"/>
      <c r="EG219" s="86"/>
      <c r="EH219" s="86"/>
      <c r="EI219" s="86"/>
      <c r="EJ219" s="86"/>
      <c r="EK219" s="86"/>
      <c r="EL219" s="86"/>
      <c r="EM219" s="86"/>
      <c r="EN219" s="86"/>
      <c r="EO219" s="86"/>
      <c r="EP219" s="86"/>
      <c r="EQ219" s="86"/>
      <c r="ER219" s="86"/>
      <c r="ES219" s="86"/>
      <c r="ET219" s="86"/>
      <c r="EU219" s="86"/>
      <c r="EV219" s="86"/>
      <c r="EW219" s="86"/>
      <c r="EX219" s="86"/>
      <c r="EY219" s="86"/>
      <c r="EZ219" s="86"/>
      <c r="FA219" s="86"/>
    </row>
    <row r="220" spans="2:157" ht="9.75" customHeight="1">
      <c r="B220" s="27"/>
      <c r="C220" s="27"/>
      <c r="D220" s="27"/>
      <c r="E220" s="27"/>
      <c r="F220" s="27"/>
      <c r="G220" s="27"/>
      <c r="H220" s="27"/>
      <c r="J220" s="101"/>
      <c r="K220" s="101"/>
      <c r="L220" s="101"/>
      <c r="Z220" s="86"/>
      <c r="AA220" s="86"/>
      <c r="AB220" s="86"/>
      <c r="AC220" s="86"/>
      <c r="AD220" s="86"/>
      <c r="AE220" s="86"/>
      <c r="AF220" s="86"/>
      <c r="AG220" s="86"/>
      <c r="AH220" s="86"/>
      <c r="AI220" s="86"/>
      <c r="AJ220" s="86"/>
      <c r="AK220" s="86"/>
      <c r="AL220" s="86"/>
      <c r="AM220" s="86"/>
      <c r="AN220" s="86"/>
      <c r="AO220" s="86"/>
      <c r="AP220" s="86"/>
      <c r="AQ220" s="86"/>
      <c r="AR220" s="86"/>
      <c r="AS220" s="86"/>
      <c r="AT220" s="86"/>
      <c r="AU220" s="86"/>
      <c r="AV220" s="86"/>
      <c r="AW220" s="86"/>
      <c r="AX220" s="86"/>
      <c r="AY220" s="86"/>
      <c r="AZ220" s="86"/>
      <c r="BA220" s="86"/>
      <c r="BB220" s="86"/>
      <c r="BC220" s="86"/>
      <c r="BD220" s="86"/>
      <c r="BE220" s="86"/>
      <c r="BF220" s="86"/>
      <c r="BG220" s="86"/>
      <c r="BH220" s="86"/>
      <c r="BI220" s="86"/>
      <c r="BJ220" s="86"/>
      <c r="BK220" s="86"/>
      <c r="BL220" s="86"/>
      <c r="BM220" s="86"/>
      <c r="BN220" s="86"/>
      <c r="BO220" s="86"/>
      <c r="BP220" s="86"/>
      <c r="BQ220" s="86"/>
      <c r="BR220" s="86"/>
      <c r="BS220" s="86"/>
      <c r="BT220" s="86"/>
      <c r="BU220" s="86"/>
      <c r="BV220" s="86"/>
      <c r="BW220" s="86"/>
      <c r="BX220" s="86"/>
      <c r="BY220" s="86"/>
      <c r="BZ220" s="86"/>
      <c r="CA220" s="86"/>
      <c r="CB220" s="86"/>
      <c r="CC220" s="86"/>
      <c r="CD220" s="86"/>
      <c r="CE220" s="86"/>
      <c r="CF220" s="86"/>
      <c r="CG220" s="86"/>
      <c r="CH220" s="86"/>
      <c r="CI220" s="86"/>
      <c r="CJ220" s="86"/>
      <c r="CK220" s="86"/>
      <c r="CL220" s="86"/>
      <c r="CM220" s="86"/>
      <c r="CN220" s="86"/>
      <c r="CO220" s="86"/>
      <c r="CP220" s="86"/>
      <c r="CQ220" s="86"/>
      <c r="CR220" s="86"/>
      <c r="CS220" s="86"/>
      <c r="CT220" s="86"/>
      <c r="CU220" s="86"/>
      <c r="CV220" s="86"/>
      <c r="CW220" s="86"/>
      <c r="CX220" s="86"/>
      <c r="CY220" s="86"/>
      <c r="CZ220" s="86"/>
      <c r="DA220" s="86"/>
      <c r="DB220" s="86"/>
      <c r="DC220" s="86"/>
      <c r="DD220" s="86"/>
      <c r="DE220" s="86"/>
      <c r="DF220" s="86"/>
      <c r="DG220" s="86"/>
      <c r="DH220" s="86"/>
      <c r="DI220" s="86"/>
      <c r="DJ220" s="86"/>
      <c r="DK220" s="86"/>
      <c r="DL220" s="86"/>
      <c r="DM220" s="86"/>
      <c r="DN220" s="86"/>
      <c r="DO220" s="86"/>
      <c r="DP220" s="86"/>
      <c r="DQ220" s="86"/>
      <c r="DR220" s="86"/>
      <c r="DS220" s="86"/>
      <c r="DT220" s="86"/>
      <c r="DU220" s="86"/>
      <c r="DV220" s="86"/>
      <c r="DW220" s="86"/>
      <c r="DX220" s="86"/>
      <c r="DY220" s="86"/>
      <c r="DZ220" s="86"/>
      <c r="EA220" s="86"/>
      <c r="EB220" s="86"/>
      <c r="EC220" s="86"/>
      <c r="ED220" s="86"/>
      <c r="EE220" s="86"/>
      <c r="EF220" s="86"/>
      <c r="EG220" s="86"/>
      <c r="EH220" s="86"/>
      <c r="EI220" s="86"/>
      <c r="EJ220" s="86"/>
      <c r="EK220" s="86"/>
      <c r="EL220" s="86"/>
      <c r="EM220" s="86"/>
      <c r="EN220" s="86"/>
      <c r="EO220" s="86"/>
      <c r="EP220" s="86"/>
      <c r="EQ220" s="86"/>
      <c r="ER220" s="86"/>
      <c r="ES220" s="86"/>
      <c r="ET220" s="86"/>
      <c r="EU220" s="86"/>
      <c r="EV220" s="86"/>
      <c r="EW220" s="86"/>
      <c r="EX220" s="86"/>
      <c r="EY220" s="86"/>
      <c r="EZ220" s="86"/>
      <c r="FA220" s="86"/>
    </row>
    <row r="221" spans="2:157" ht="9.75" customHeight="1">
      <c r="B221" s="31"/>
      <c r="C221" s="31"/>
      <c r="D221" s="31"/>
      <c r="E221" s="31"/>
      <c r="F221" s="31"/>
      <c r="G221" s="31"/>
      <c r="H221" s="31"/>
      <c r="J221" s="101"/>
      <c r="K221" s="101"/>
      <c r="L221" s="101"/>
      <c r="Z221" s="86"/>
      <c r="AA221" s="86"/>
      <c r="AB221" s="86"/>
      <c r="AC221" s="86"/>
      <c r="AD221" s="86"/>
      <c r="AE221" s="86"/>
      <c r="AF221" s="86"/>
      <c r="AG221" s="86"/>
      <c r="AH221" s="86"/>
      <c r="AI221" s="86"/>
      <c r="AJ221" s="86"/>
      <c r="AK221" s="86"/>
      <c r="AL221" s="86"/>
      <c r="AM221" s="86"/>
      <c r="AN221" s="86"/>
      <c r="AO221" s="86"/>
      <c r="AP221" s="86"/>
      <c r="AQ221" s="86"/>
      <c r="AR221" s="86"/>
      <c r="AS221" s="86"/>
      <c r="AT221" s="86"/>
      <c r="AU221" s="86"/>
      <c r="AV221" s="86"/>
      <c r="AW221" s="86"/>
      <c r="AX221" s="86"/>
      <c r="AY221" s="86"/>
      <c r="AZ221" s="86"/>
      <c r="BA221" s="86"/>
      <c r="BB221" s="86"/>
      <c r="BC221" s="86"/>
      <c r="BD221" s="86"/>
      <c r="BE221" s="86"/>
      <c r="BF221" s="86"/>
      <c r="BG221" s="86"/>
      <c r="BH221" s="86"/>
      <c r="BI221" s="86"/>
      <c r="BJ221" s="86"/>
      <c r="BK221" s="86"/>
      <c r="BL221" s="86"/>
      <c r="BM221" s="86"/>
      <c r="BN221" s="86"/>
      <c r="BO221" s="86"/>
      <c r="BP221" s="86"/>
      <c r="BQ221" s="86"/>
      <c r="BR221" s="86"/>
      <c r="BS221" s="86"/>
      <c r="BT221" s="86"/>
      <c r="BU221" s="86"/>
      <c r="BV221" s="86"/>
      <c r="BW221" s="86"/>
      <c r="BX221" s="86"/>
      <c r="BY221" s="86"/>
      <c r="BZ221" s="86"/>
      <c r="CA221" s="86"/>
      <c r="CB221" s="86"/>
      <c r="CC221" s="86"/>
      <c r="CD221" s="86"/>
      <c r="CE221" s="86"/>
      <c r="CF221" s="86"/>
      <c r="CG221" s="86"/>
      <c r="CH221" s="86"/>
      <c r="CI221" s="86"/>
      <c r="CJ221" s="86"/>
      <c r="CK221" s="86"/>
      <c r="CL221" s="86"/>
      <c r="CM221" s="86"/>
      <c r="CN221" s="86"/>
      <c r="CO221" s="86"/>
      <c r="CP221" s="86"/>
      <c r="CQ221" s="86"/>
      <c r="CR221" s="86"/>
      <c r="CS221" s="86"/>
      <c r="CT221" s="86"/>
      <c r="CU221" s="86"/>
      <c r="CV221" s="86"/>
      <c r="CW221" s="86"/>
      <c r="CX221" s="86"/>
      <c r="CY221" s="86"/>
      <c r="CZ221" s="86"/>
      <c r="DA221" s="86"/>
      <c r="DB221" s="86"/>
      <c r="DC221" s="86"/>
      <c r="DD221" s="86"/>
      <c r="DE221" s="86"/>
      <c r="DF221" s="86"/>
      <c r="DG221" s="86"/>
      <c r="DH221" s="86"/>
      <c r="DI221" s="86"/>
      <c r="DJ221" s="86"/>
      <c r="DK221" s="86"/>
      <c r="DL221" s="86"/>
      <c r="DM221" s="86"/>
      <c r="DN221" s="86"/>
      <c r="DO221" s="86"/>
      <c r="DP221" s="86"/>
      <c r="DQ221" s="86"/>
      <c r="DR221" s="86"/>
      <c r="DS221" s="86"/>
      <c r="DT221" s="86"/>
      <c r="DU221" s="86"/>
      <c r="DV221" s="86"/>
      <c r="DW221" s="86"/>
      <c r="DX221" s="86"/>
      <c r="DY221" s="86"/>
      <c r="DZ221" s="86"/>
      <c r="EA221" s="86"/>
      <c r="EB221" s="86"/>
      <c r="EC221" s="86"/>
      <c r="ED221" s="86"/>
      <c r="EE221" s="86"/>
      <c r="EF221" s="86"/>
      <c r="EG221" s="86"/>
      <c r="EH221" s="86"/>
      <c r="EI221" s="86"/>
      <c r="EJ221" s="86"/>
      <c r="EK221" s="86"/>
      <c r="EL221" s="86"/>
      <c r="EM221" s="86"/>
      <c r="EN221" s="86"/>
      <c r="EO221" s="86"/>
      <c r="EP221" s="86"/>
      <c r="EQ221" s="86"/>
      <c r="ER221" s="86"/>
      <c r="ES221" s="86"/>
      <c r="ET221" s="86"/>
      <c r="EU221" s="86"/>
      <c r="EV221" s="86"/>
      <c r="EW221" s="86"/>
      <c r="EX221" s="86"/>
      <c r="EY221" s="86"/>
      <c r="EZ221" s="86"/>
      <c r="FA221" s="86"/>
    </row>
    <row r="222" spans="2:157" ht="10.95" customHeight="1">
      <c r="B222" s="1347" t="s">
        <v>510</v>
      </c>
      <c r="C222" s="1348"/>
      <c r="D222" s="1345"/>
      <c r="E222" s="1346"/>
      <c r="F222" s="842"/>
      <c r="G222" s="837" t="s">
        <v>4</v>
      </c>
      <c r="H222" s="856"/>
      <c r="J222" s="101"/>
      <c r="K222" s="101"/>
      <c r="L222" s="101"/>
      <c r="Z222" s="86"/>
      <c r="AA222" s="86"/>
      <c r="AB222" s="86"/>
      <c r="AC222" s="86"/>
      <c r="AD222" s="86"/>
      <c r="AE222" s="86"/>
      <c r="AF222" s="86"/>
      <c r="AG222" s="86"/>
      <c r="AH222" s="86"/>
      <c r="AI222" s="86"/>
      <c r="AJ222" s="86"/>
      <c r="AK222" s="86"/>
      <c r="AL222" s="86"/>
      <c r="AM222" s="86"/>
      <c r="AN222" s="86"/>
      <c r="AO222" s="86"/>
      <c r="AP222" s="86"/>
      <c r="AQ222" s="86"/>
      <c r="AR222" s="86"/>
      <c r="AS222" s="86"/>
      <c r="AT222" s="86"/>
      <c r="AU222" s="86"/>
      <c r="AV222" s="86"/>
      <c r="AW222" s="86"/>
      <c r="AX222" s="86"/>
      <c r="AY222" s="86"/>
      <c r="AZ222" s="86"/>
      <c r="BA222" s="86"/>
      <c r="BB222" s="86"/>
      <c r="BC222" s="86"/>
      <c r="BD222" s="86"/>
      <c r="BE222" s="86"/>
      <c r="BF222" s="86"/>
      <c r="BG222" s="86"/>
      <c r="BH222" s="86"/>
      <c r="BI222" s="86"/>
      <c r="BJ222" s="86"/>
      <c r="BK222" s="86"/>
      <c r="BL222" s="86"/>
      <c r="BM222" s="86"/>
      <c r="BN222" s="86"/>
      <c r="BO222" s="86"/>
      <c r="BP222" s="86"/>
      <c r="BQ222" s="86"/>
      <c r="BR222" s="86"/>
      <c r="BS222" s="86"/>
      <c r="BT222" s="86"/>
      <c r="BU222" s="86"/>
      <c r="BV222" s="86"/>
      <c r="BW222" s="86"/>
      <c r="BX222" s="86"/>
      <c r="BY222" s="86"/>
      <c r="BZ222" s="86"/>
      <c r="CA222" s="86"/>
      <c r="CB222" s="86"/>
      <c r="CC222" s="86"/>
      <c r="CD222" s="86"/>
      <c r="CE222" s="86"/>
      <c r="CF222" s="86"/>
      <c r="CG222" s="86"/>
      <c r="CH222" s="86"/>
      <c r="CI222" s="86"/>
      <c r="CJ222" s="86"/>
      <c r="CK222" s="86"/>
      <c r="CL222" s="86"/>
      <c r="CM222" s="86"/>
      <c r="CN222" s="86"/>
      <c r="CO222" s="86"/>
      <c r="CP222" s="86"/>
      <c r="CQ222" s="86"/>
      <c r="CR222" s="86"/>
      <c r="CS222" s="86"/>
      <c r="CT222" s="86"/>
      <c r="CU222" s="86"/>
      <c r="CV222" s="86"/>
      <c r="CW222" s="86"/>
      <c r="CX222" s="86"/>
      <c r="CY222" s="86"/>
      <c r="CZ222" s="86"/>
      <c r="DA222" s="86"/>
      <c r="DB222" s="86"/>
      <c r="DC222" s="86"/>
      <c r="DD222" s="86"/>
      <c r="DE222" s="86"/>
      <c r="DF222" s="86"/>
      <c r="DG222" s="86"/>
      <c r="DH222" s="86"/>
      <c r="DI222" s="86"/>
      <c r="DJ222" s="86"/>
      <c r="DK222" s="86"/>
      <c r="DL222" s="86"/>
      <c r="DM222" s="86"/>
      <c r="DN222" s="86"/>
      <c r="DO222" s="86"/>
      <c r="DP222" s="86"/>
      <c r="DQ222" s="86"/>
      <c r="DR222" s="86"/>
      <c r="DS222" s="86"/>
      <c r="DT222" s="86"/>
      <c r="DU222" s="86"/>
      <c r="DV222" s="86"/>
      <c r="DW222" s="86"/>
      <c r="DX222" s="86"/>
      <c r="DY222" s="86"/>
      <c r="DZ222" s="86"/>
      <c r="EA222" s="86"/>
      <c r="EB222" s="86"/>
      <c r="EC222" s="86"/>
      <c r="ED222" s="86"/>
      <c r="EE222" s="86"/>
      <c r="EF222" s="86"/>
      <c r="EG222" s="86"/>
      <c r="EH222" s="86"/>
      <c r="EI222" s="86"/>
      <c r="EJ222" s="86"/>
      <c r="EK222" s="86"/>
      <c r="EL222" s="86"/>
      <c r="EM222" s="86"/>
      <c r="EN222" s="86"/>
      <c r="EO222" s="86"/>
      <c r="EP222" s="86"/>
      <c r="EQ222" s="86"/>
      <c r="ER222" s="86"/>
      <c r="ES222" s="86"/>
      <c r="ET222" s="86"/>
      <c r="EU222" s="86"/>
      <c r="EV222" s="86"/>
      <c r="EW222" s="86"/>
      <c r="EX222" s="86"/>
      <c r="EY222" s="86"/>
      <c r="EZ222" s="86"/>
      <c r="FA222" s="86"/>
    </row>
    <row r="223" spans="2:157" ht="10.95" customHeight="1">
      <c r="B223" s="1347" t="s">
        <v>582</v>
      </c>
      <c r="C223" s="1349"/>
      <c r="D223" s="1345"/>
      <c r="E223" s="1346"/>
      <c r="F223" s="839"/>
      <c r="G223" s="853" t="s">
        <v>345</v>
      </c>
      <c r="H223" s="854">
        <f>ROUND(1/(SUM(H226:H236)),2)</f>
        <v>5.88</v>
      </c>
      <c r="J223" s="101"/>
      <c r="K223" s="101"/>
      <c r="L223" s="101"/>
      <c r="Z223" s="86"/>
      <c r="AA223" s="86"/>
      <c r="AB223" s="86"/>
      <c r="AC223" s="86"/>
      <c r="AD223" s="86"/>
      <c r="AE223" s="86"/>
      <c r="AF223" s="86"/>
      <c r="AG223" s="86"/>
      <c r="AH223" s="86"/>
      <c r="AI223" s="86"/>
      <c r="AJ223" s="86"/>
      <c r="AK223" s="86"/>
      <c r="AL223" s="86"/>
      <c r="AM223" s="86"/>
      <c r="AN223" s="86"/>
      <c r="AO223" s="86"/>
      <c r="AP223" s="86"/>
      <c r="AQ223" s="86"/>
      <c r="AR223" s="86"/>
      <c r="AS223" s="86"/>
      <c r="AT223" s="86"/>
      <c r="AU223" s="86"/>
      <c r="AV223" s="86"/>
      <c r="AW223" s="86"/>
      <c r="AX223" s="86"/>
      <c r="AY223" s="86"/>
      <c r="AZ223" s="86"/>
      <c r="BA223" s="86"/>
      <c r="BB223" s="86"/>
      <c r="BC223" s="86"/>
      <c r="BD223" s="86"/>
      <c r="BE223" s="86"/>
      <c r="BF223" s="86"/>
      <c r="BG223" s="86"/>
      <c r="BH223" s="86"/>
      <c r="BI223" s="86"/>
      <c r="BJ223" s="86"/>
      <c r="BK223" s="86"/>
      <c r="BL223" s="86"/>
      <c r="BM223" s="86"/>
      <c r="BN223" s="86"/>
      <c r="BO223" s="86"/>
      <c r="BP223" s="86"/>
      <c r="BQ223" s="86"/>
      <c r="BR223" s="86"/>
      <c r="BS223" s="86"/>
      <c r="BT223" s="86"/>
      <c r="BU223" s="86"/>
      <c r="BV223" s="86"/>
      <c r="BW223" s="86"/>
      <c r="BX223" s="86"/>
      <c r="BY223" s="86"/>
      <c r="BZ223" s="86"/>
      <c r="CA223" s="86"/>
      <c r="CB223" s="86"/>
      <c r="CC223" s="86"/>
      <c r="CD223" s="86"/>
      <c r="CE223" s="86"/>
      <c r="CF223" s="86"/>
      <c r="CG223" s="86"/>
      <c r="CH223" s="86"/>
      <c r="CI223" s="86"/>
      <c r="CJ223" s="86"/>
      <c r="CK223" s="86"/>
      <c r="CL223" s="86"/>
      <c r="CM223" s="86"/>
      <c r="CN223" s="86"/>
      <c r="CO223" s="86"/>
      <c r="CP223" s="86"/>
      <c r="CQ223" s="86"/>
      <c r="CR223" s="86"/>
      <c r="CS223" s="86"/>
      <c r="CT223" s="86"/>
      <c r="CU223" s="86"/>
      <c r="CV223" s="86"/>
      <c r="CW223" s="86"/>
      <c r="CX223" s="86"/>
      <c r="CY223" s="86"/>
      <c r="CZ223" s="86"/>
      <c r="DA223" s="86"/>
      <c r="DB223" s="86"/>
      <c r="DC223" s="86"/>
      <c r="DD223" s="86"/>
      <c r="DE223" s="86"/>
      <c r="DF223" s="86"/>
      <c r="DG223" s="86"/>
      <c r="DH223" s="86"/>
      <c r="DI223" s="86"/>
      <c r="DJ223" s="86"/>
      <c r="DK223" s="86"/>
      <c r="DL223" s="86"/>
      <c r="DM223" s="86"/>
      <c r="DN223" s="86"/>
      <c r="DO223" s="86"/>
      <c r="DP223" s="86"/>
      <c r="DQ223" s="86"/>
      <c r="DR223" s="86"/>
      <c r="DS223" s="86"/>
      <c r="DT223" s="86"/>
      <c r="DU223" s="86"/>
      <c r="DV223" s="86"/>
      <c r="DW223" s="86"/>
      <c r="DX223" s="86"/>
      <c r="DY223" s="86"/>
      <c r="DZ223" s="86"/>
      <c r="EA223" s="86"/>
      <c r="EB223" s="86"/>
      <c r="EC223" s="86"/>
      <c r="ED223" s="86"/>
      <c r="EE223" s="86"/>
      <c r="EF223" s="86"/>
      <c r="EG223" s="86"/>
      <c r="EH223" s="86"/>
      <c r="EI223" s="86"/>
      <c r="EJ223" s="86"/>
      <c r="EK223" s="86"/>
      <c r="EL223" s="86"/>
      <c r="EM223" s="86"/>
      <c r="EN223" s="86"/>
      <c r="EO223" s="86"/>
      <c r="EP223" s="86"/>
      <c r="EQ223" s="86"/>
      <c r="ER223" s="86"/>
      <c r="ES223" s="86"/>
      <c r="ET223" s="86"/>
      <c r="EU223" s="86"/>
      <c r="EV223" s="86"/>
      <c r="EW223" s="86"/>
      <c r="EX223" s="86"/>
      <c r="EY223" s="86"/>
      <c r="EZ223" s="86"/>
      <c r="FA223" s="86"/>
    </row>
    <row r="224" spans="2:157" ht="9.75" customHeight="1">
      <c r="B224" s="839"/>
      <c r="C224" s="839"/>
      <c r="D224" s="844"/>
      <c r="E224" s="839"/>
      <c r="F224" s="839"/>
      <c r="G224" s="852"/>
      <c r="H224" s="850"/>
      <c r="J224" s="101"/>
      <c r="K224" s="101"/>
      <c r="L224" s="101"/>
      <c r="Z224" s="86"/>
      <c r="AA224" s="86"/>
      <c r="AB224" s="86"/>
      <c r="AC224" s="86"/>
      <c r="AD224" s="86"/>
      <c r="AE224" s="86"/>
      <c r="AF224" s="86"/>
      <c r="AG224" s="86"/>
      <c r="AH224" s="86"/>
      <c r="AI224" s="86"/>
      <c r="AJ224" s="86"/>
      <c r="AK224" s="86"/>
      <c r="AL224" s="86"/>
      <c r="AM224" s="86"/>
      <c r="AN224" s="86"/>
      <c r="AO224" s="86"/>
      <c r="AP224" s="86"/>
      <c r="AQ224" s="86"/>
      <c r="AR224" s="86"/>
      <c r="AS224" s="86"/>
      <c r="AT224" s="86"/>
      <c r="AU224" s="86"/>
      <c r="AV224" s="86"/>
      <c r="AW224" s="86"/>
      <c r="AX224" s="86"/>
      <c r="AY224" s="86"/>
      <c r="AZ224" s="86"/>
      <c r="BA224" s="86"/>
      <c r="BB224" s="86"/>
      <c r="BC224" s="86"/>
      <c r="BD224" s="86"/>
      <c r="BE224" s="86"/>
      <c r="BF224" s="86"/>
      <c r="BG224" s="86"/>
      <c r="BH224" s="86"/>
      <c r="BI224" s="86"/>
      <c r="BJ224" s="86"/>
      <c r="BK224" s="86"/>
      <c r="BL224" s="86"/>
      <c r="BM224" s="86"/>
      <c r="BN224" s="86"/>
      <c r="BO224" s="86"/>
      <c r="BP224" s="86"/>
      <c r="BQ224" s="86"/>
      <c r="BR224" s="86"/>
      <c r="BS224" s="86"/>
      <c r="BT224" s="86"/>
      <c r="BU224" s="86"/>
      <c r="BV224" s="86"/>
      <c r="BW224" s="86"/>
      <c r="BX224" s="86"/>
      <c r="BY224" s="86"/>
      <c r="BZ224" s="86"/>
      <c r="CA224" s="86"/>
      <c r="CB224" s="86"/>
      <c r="CC224" s="86"/>
      <c r="CD224" s="86"/>
      <c r="CE224" s="86"/>
      <c r="CF224" s="86"/>
      <c r="CG224" s="86"/>
      <c r="CH224" s="86"/>
      <c r="CI224" s="86"/>
      <c r="CJ224" s="86"/>
      <c r="CK224" s="86"/>
      <c r="CL224" s="86"/>
      <c r="CM224" s="86"/>
      <c r="CN224" s="86"/>
      <c r="CO224" s="86"/>
      <c r="CP224" s="86"/>
      <c r="CQ224" s="86"/>
      <c r="CR224" s="86"/>
      <c r="CS224" s="86"/>
      <c r="CT224" s="86"/>
      <c r="CU224" s="86"/>
      <c r="CV224" s="86"/>
      <c r="CW224" s="86"/>
      <c r="CX224" s="86"/>
      <c r="CY224" s="86"/>
      <c r="CZ224" s="86"/>
      <c r="DA224" s="86"/>
      <c r="DB224" s="86"/>
      <c r="DC224" s="86"/>
      <c r="DD224" s="86"/>
      <c r="DE224" s="86"/>
      <c r="DF224" s="86"/>
      <c r="DG224" s="86"/>
      <c r="DH224" s="86"/>
      <c r="DI224" s="86"/>
      <c r="DJ224" s="86"/>
      <c r="DK224" s="86"/>
      <c r="DL224" s="86"/>
      <c r="DM224" s="86"/>
      <c r="DN224" s="86"/>
      <c r="DO224" s="86"/>
      <c r="DP224" s="86"/>
      <c r="DQ224" s="86"/>
      <c r="DR224" s="86"/>
      <c r="DS224" s="86"/>
      <c r="DT224" s="86"/>
      <c r="DU224" s="86"/>
      <c r="DV224" s="86"/>
      <c r="DW224" s="86"/>
      <c r="DX224" s="86"/>
      <c r="DY224" s="86"/>
      <c r="DZ224" s="86"/>
      <c r="EA224" s="86"/>
      <c r="EB224" s="86"/>
      <c r="EC224" s="86"/>
      <c r="ED224" s="86"/>
      <c r="EE224" s="86"/>
      <c r="EF224" s="86"/>
      <c r="EG224" s="86"/>
      <c r="EH224" s="86"/>
      <c r="EI224" s="86"/>
      <c r="EJ224" s="86"/>
      <c r="EK224" s="86"/>
      <c r="EL224" s="86"/>
      <c r="EM224" s="86"/>
      <c r="EN224" s="86"/>
      <c r="EO224" s="86"/>
      <c r="EP224" s="86"/>
      <c r="EQ224" s="86"/>
      <c r="ER224" s="86"/>
      <c r="ES224" s="86"/>
      <c r="ET224" s="86"/>
      <c r="EU224" s="86"/>
      <c r="EV224" s="86"/>
      <c r="EW224" s="86"/>
      <c r="EX224" s="86"/>
      <c r="EY224" s="86"/>
      <c r="EZ224" s="86"/>
      <c r="FA224" s="86"/>
    </row>
    <row r="225" spans="2:157" ht="9.75" customHeight="1">
      <c r="B225" s="844" t="s">
        <v>349</v>
      </c>
      <c r="C225" s="1352" t="s">
        <v>344</v>
      </c>
      <c r="D225" s="1352"/>
      <c r="E225" s="87"/>
      <c r="F225" s="846" t="s">
        <v>170</v>
      </c>
      <c r="G225" s="847" t="s">
        <v>361</v>
      </c>
      <c r="H225" s="846" t="s">
        <v>281</v>
      </c>
      <c r="J225" s="101"/>
      <c r="K225" s="101"/>
      <c r="L225" s="101"/>
      <c r="Z225" s="86"/>
      <c r="AA225" s="86"/>
      <c r="AB225" s="86"/>
      <c r="AC225" s="86"/>
      <c r="AD225" s="86"/>
      <c r="AE225" s="86"/>
      <c r="AF225" s="86"/>
      <c r="AG225" s="86"/>
      <c r="AH225" s="86"/>
      <c r="AI225" s="86"/>
      <c r="AJ225" s="86"/>
      <c r="AK225" s="86"/>
      <c r="AL225" s="86"/>
      <c r="AM225" s="86"/>
      <c r="AN225" s="86"/>
      <c r="AO225" s="86"/>
      <c r="AP225" s="86"/>
      <c r="AQ225" s="86"/>
      <c r="AR225" s="86"/>
      <c r="AS225" s="86"/>
      <c r="AT225" s="86"/>
      <c r="AU225" s="86"/>
      <c r="AV225" s="86"/>
      <c r="AW225" s="86"/>
      <c r="AX225" s="86"/>
      <c r="AY225" s="86"/>
      <c r="AZ225" s="86"/>
      <c r="BA225" s="86"/>
      <c r="BB225" s="86"/>
      <c r="BC225" s="86"/>
      <c r="BD225" s="86"/>
      <c r="BE225" s="86"/>
      <c r="BF225" s="86"/>
      <c r="BG225" s="86"/>
      <c r="BH225" s="86"/>
      <c r="BI225" s="86"/>
      <c r="BJ225" s="86"/>
      <c r="BK225" s="86"/>
      <c r="BL225" s="86"/>
      <c r="BM225" s="86"/>
      <c r="BN225" s="86"/>
      <c r="BO225" s="86"/>
      <c r="BP225" s="86"/>
      <c r="BQ225" s="86"/>
      <c r="BR225" s="86"/>
      <c r="BS225" s="86"/>
      <c r="BT225" s="86"/>
      <c r="BU225" s="86"/>
      <c r="BV225" s="86"/>
      <c r="BW225" s="86"/>
      <c r="BX225" s="86"/>
      <c r="BY225" s="86"/>
      <c r="BZ225" s="86"/>
      <c r="CA225" s="86"/>
      <c r="CB225" s="86"/>
      <c r="CC225" s="86"/>
      <c r="CD225" s="86"/>
      <c r="CE225" s="86"/>
      <c r="CF225" s="86"/>
      <c r="CG225" s="86"/>
      <c r="CH225" s="86"/>
      <c r="CI225" s="86"/>
      <c r="CJ225" s="86"/>
      <c r="CK225" s="86"/>
      <c r="CL225" s="86"/>
      <c r="CM225" s="86"/>
      <c r="CN225" s="86"/>
      <c r="CO225" s="86"/>
      <c r="CP225" s="86"/>
      <c r="CQ225" s="86"/>
      <c r="CR225" s="86"/>
      <c r="CS225" s="86"/>
      <c r="CT225" s="86"/>
      <c r="CU225" s="86"/>
      <c r="CV225" s="86"/>
      <c r="CW225" s="86"/>
      <c r="CX225" s="86"/>
      <c r="CY225" s="86"/>
      <c r="CZ225" s="86"/>
      <c r="DA225" s="86"/>
      <c r="DB225" s="86"/>
      <c r="DC225" s="86"/>
      <c r="DD225" s="86"/>
      <c r="DE225" s="86"/>
      <c r="DF225" s="86"/>
      <c r="DG225" s="86"/>
      <c r="DH225" s="86"/>
      <c r="DI225" s="86"/>
      <c r="DJ225" s="86"/>
      <c r="DK225" s="86"/>
      <c r="DL225" s="86"/>
      <c r="DM225" s="86"/>
      <c r="DN225" s="86"/>
      <c r="DO225" s="86"/>
      <c r="DP225" s="86"/>
      <c r="DQ225" s="86"/>
      <c r="DR225" s="86"/>
      <c r="DS225" s="86"/>
      <c r="DT225" s="86"/>
      <c r="DU225" s="86"/>
      <c r="DV225" s="86"/>
      <c r="DW225" s="86"/>
      <c r="DX225" s="86"/>
      <c r="DY225" s="86"/>
      <c r="DZ225" s="86"/>
      <c r="EA225" s="86"/>
      <c r="EB225" s="86"/>
      <c r="EC225" s="86"/>
      <c r="ED225" s="86"/>
      <c r="EE225" s="86"/>
      <c r="EF225" s="86"/>
      <c r="EG225" s="86"/>
      <c r="EH225" s="86"/>
      <c r="EI225" s="86"/>
      <c r="EJ225" s="86"/>
      <c r="EK225" s="86"/>
      <c r="EL225" s="86"/>
      <c r="EM225" s="86"/>
      <c r="EN225" s="86"/>
      <c r="EO225" s="86"/>
      <c r="EP225" s="86"/>
      <c r="EQ225" s="86"/>
      <c r="ER225" s="86"/>
      <c r="ES225" s="86"/>
      <c r="ET225" s="86"/>
      <c r="EU225" s="86"/>
      <c r="EV225" s="86"/>
      <c r="EW225" s="86"/>
      <c r="EX225" s="86"/>
      <c r="EY225" s="86"/>
      <c r="EZ225" s="86"/>
      <c r="FA225" s="86"/>
    </row>
    <row r="226" spans="2:157" ht="10.050000000000001" customHeight="1">
      <c r="B226" s="845" t="s">
        <v>546</v>
      </c>
      <c r="C226" s="1350" t="s">
        <v>106</v>
      </c>
      <c r="D226" s="1350"/>
      <c r="E226" s="87"/>
      <c r="F226" s="848" t="s">
        <v>546</v>
      </c>
      <c r="G226" s="848" t="s">
        <v>546</v>
      </c>
      <c r="H226" s="1016">
        <v>0.13</v>
      </c>
      <c r="J226" s="101"/>
      <c r="K226" s="101"/>
      <c r="L226" s="101"/>
      <c r="Z226" s="86"/>
      <c r="AA226" s="86"/>
      <c r="AB226" s="86"/>
      <c r="AC226" s="86"/>
      <c r="AD226" s="86"/>
      <c r="AE226" s="86"/>
      <c r="AF226" s="86"/>
      <c r="AG226" s="86"/>
      <c r="AH226" s="86"/>
      <c r="AI226" s="86"/>
      <c r="AJ226" s="86"/>
      <c r="AK226" s="86"/>
      <c r="AL226" s="86"/>
      <c r="AM226" s="86"/>
      <c r="AN226" s="86"/>
      <c r="AO226" s="86"/>
      <c r="AP226" s="86"/>
      <c r="AQ226" s="86"/>
      <c r="AR226" s="86"/>
      <c r="AS226" s="86"/>
      <c r="AT226" s="86"/>
      <c r="AU226" s="86"/>
      <c r="AV226" s="86"/>
      <c r="AW226" s="86"/>
      <c r="AX226" s="86"/>
      <c r="AY226" s="86"/>
      <c r="AZ226" s="86"/>
      <c r="BA226" s="86"/>
      <c r="BB226" s="86"/>
      <c r="BC226" s="86"/>
      <c r="BD226" s="86"/>
      <c r="BE226" s="86"/>
      <c r="BF226" s="86"/>
      <c r="BG226" s="86"/>
      <c r="BH226" s="86"/>
      <c r="BI226" s="86"/>
      <c r="BJ226" s="86"/>
      <c r="BK226" s="86"/>
      <c r="BL226" s="86"/>
      <c r="BM226" s="86"/>
      <c r="BN226" s="86"/>
      <c r="BO226" s="86"/>
      <c r="BP226" s="86"/>
      <c r="BQ226" s="86"/>
      <c r="BR226" s="86"/>
      <c r="BS226" s="86"/>
      <c r="BT226" s="86"/>
      <c r="BU226" s="86"/>
      <c r="BV226" s="86"/>
      <c r="BW226" s="86"/>
      <c r="BX226" s="86"/>
      <c r="BY226" s="86"/>
      <c r="BZ226" s="86"/>
      <c r="CA226" s="86"/>
      <c r="CB226" s="86"/>
      <c r="CC226" s="86"/>
      <c r="CD226" s="86"/>
      <c r="CE226" s="86"/>
      <c r="CF226" s="86"/>
      <c r="CG226" s="86"/>
      <c r="CH226" s="86"/>
      <c r="CI226" s="86"/>
      <c r="CJ226" s="86"/>
      <c r="CK226" s="86"/>
      <c r="CL226" s="86"/>
      <c r="CM226" s="86"/>
      <c r="CN226" s="86"/>
      <c r="CO226" s="86"/>
      <c r="CP226" s="86"/>
      <c r="CQ226" s="86"/>
      <c r="CR226" s="86"/>
      <c r="CS226" s="86"/>
      <c r="CT226" s="86"/>
      <c r="CU226" s="86"/>
      <c r="CV226" s="86"/>
      <c r="CW226" s="86"/>
      <c r="CX226" s="86"/>
      <c r="CY226" s="86"/>
      <c r="CZ226" s="86"/>
      <c r="DA226" s="86"/>
      <c r="DB226" s="86"/>
      <c r="DC226" s="86"/>
      <c r="DD226" s="86"/>
      <c r="DE226" s="86"/>
      <c r="DF226" s="86"/>
      <c r="DG226" s="86"/>
      <c r="DH226" s="86"/>
      <c r="DI226" s="86"/>
      <c r="DJ226" s="86"/>
      <c r="DK226" s="86"/>
      <c r="DL226" s="86"/>
      <c r="DM226" s="86"/>
      <c r="DN226" s="86"/>
      <c r="DO226" s="86"/>
      <c r="DP226" s="86"/>
      <c r="DQ226" s="86"/>
      <c r="DR226" s="86"/>
      <c r="DS226" s="86"/>
      <c r="DT226" s="86"/>
      <c r="DU226" s="86"/>
      <c r="DV226" s="86"/>
      <c r="DW226" s="86"/>
      <c r="DX226" s="86"/>
      <c r="DY226" s="86"/>
      <c r="DZ226" s="86"/>
      <c r="EA226" s="86"/>
      <c r="EB226" s="86"/>
      <c r="EC226" s="86"/>
      <c r="ED226" s="86"/>
      <c r="EE226" s="86"/>
      <c r="EF226" s="86"/>
      <c r="EG226" s="86"/>
      <c r="EH226" s="86"/>
      <c r="EI226" s="86"/>
      <c r="EJ226" s="86"/>
      <c r="EK226" s="86"/>
      <c r="EL226" s="86"/>
      <c r="EM226" s="86"/>
      <c r="EN226" s="86"/>
      <c r="EO226" s="86"/>
      <c r="EP226" s="86"/>
      <c r="EQ226" s="86"/>
      <c r="ER226" s="86"/>
      <c r="ES226" s="86"/>
      <c r="ET226" s="86"/>
      <c r="EU226" s="86"/>
      <c r="EV226" s="86"/>
      <c r="EW226" s="86"/>
      <c r="EX226" s="86"/>
      <c r="EY226" s="86"/>
      <c r="EZ226" s="86"/>
      <c r="FA226" s="86"/>
    </row>
    <row r="227" spans="2:157" ht="9.75" customHeight="1">
      <c r="B227" s="845">
        <v>1</v>
      </c>
      <c r="C227" s="1344"/>
      <c r="D227" s="1344"/>
      <c r="E227" s="1344"/>
      <c r="F227" s="857"/>
      <c r="G227" s="857"/>
      <c r="H227" s="875" t="str">
        <f t="shared" ref="H227:H235" si="10">IF(G227=0,"",(F227/(G227+0.00000000001)))</f>
        <v/>
      </c>
      <c r="J227" s="101"/>
      <c r="K227" s="101"/>
      <c r="L227" s="101"/>
      <c r="Z227" s="86"/>
      <c r="AA227" s="86"/>
      <c r="AB227" s="86"/>
      <c r="AC227" s="86"/>
      <c r="AD227" s="86"/>
      <c r="AE227" s="86"/>
      <c r="AF227" s="86"/>
      <c r="AG227" s="86"/>
      <c r="AH227" s="86"/>
      <c r="AI227" s="86"/>
      <c r="AJ227" s="86"/>
      <c r="AK227" s="86"/>
      <c r="AL227" s="86"/>
      <c r="AM227" s="86"/>
      <c r="AN227" s="86"/>
      <c r="AO227" s="86"/>
      <c r="AP227" s="86"/>
      <c r="AQ227" s="86"/>
      <c r="AR227" s="86"/>
      <c r="AS227" s="86"/>
      <c r="AT227" s="86"/>
      <c r="AU227" s="86"/>
      <c r="AV227" s="86"/>
      <c r="AW227" s="86"/>
      <c r="AX227" s="86"/>
      <c r="AY227" s="86"/>
      <c r="AZ227" s="86"/>
      <c r="BA227" s="86"/>
      <c r="BB227" s="86"/>
      <c r="BC227" s="86"/>
      <c r="BD227" s="86"/>
      <c r="BE227" s="86"/>
      <c r="BF227" s="86"/>
      <c r="BG227" s="86"/>
      <c r="BH227" s="86"/>
      <c r="BI227" s="86"/>
      <c r="BJ227" s="86"/>
      <c r="BK227" s="86"/>
      <c r="BL227" s="86"/>
      <c r="BM227" s="86"/>
      <c r="BN227" s="86"/>
      <c r="BO227" s="86"/>
      <c r="BP227" s="86"/>
      <c r="BQ227" s="86"/>
      <c r="BR227" s="86"/>
      <c r="BS227" s="86"/>
      <c r="BT227" s="86"/>
      <c r="BU227" s="86"/>
      <c r="BV227" s="86"/>
      <c r="BW227" s="86"/>
      <c r="BX227" s="86"/>
      <c r="BY227" s="86"/>
      <c r="BZ227" s="86"/>
      <c r="CA227" s="86"/>
      <c r="CB227" s="86"/>
      <c r="CC227" s="86"/>
      <c r="CD227" s="86"/>
      <c r="CE227" s="86"/>
      <c r="CF227" s="86"/>
      <c r="CG227" s="86"/>
      <c r="CH227" s="86"/>
      <c r="CI227" s="86"/>
      <c r="CJ227" s="86"/>
      <c r="CK227" s="86"/>
      <c r="CL227" s="86"/>
      <c r="CM227" s="86"/>
      <c r="CN227" s="86"/>
      <c r="CO227" s="86"/>
      <c r="CP227" s="86"/>
      <c r="CQ227" s="86"/>
      <c r="CR227" s="86"/>
      <c r="CS227" s="86"/>
      <c r="CT227" s="86"/>
      <c r="CU227" s="86"/>
      <c r="CV227" s="86"/>
      <c r="CW227" s="86"/>
      <c r="CX227" s="86"/>
      <c r="CY227" s="86"/>
      <c r="CZ227" s="86"/>
      <c r="DA227" s="86"/>
      <c r="DB227" s="86"/>
      <c r="DC227" s="86"/>
      <c r="DD227" s="86"/>
      <c r="DE227" s="86"/>
      <c r="DF227" s="86"/>
      <c r="DG227" s="86"/>
      <c r="DH227" s="86"/>
      <c r="DI227" s="86"/>
      <c r="DJ227" s="86"/>
      <c r="DK227" s="86"/>
      <c r="DL227" s="86"/>
      <c r="DM227" s="86"/>
      <c r="DN227" s="86"/>
      <c r="DO227" s="86"/>
      <c r="DP227" s="86"/>
      <c r="DQ227" s="86"/>
      <c r="DR227" s="86"/>
      <c r="DS227" s="86"/>
      <c r="DT227" s="86"/>
      <c r="DU227" s="86"/>
      <c r="DV227" s="86"/>
      <c r="DW227" s="86"/>
      <c r="DX227" s="86"/>
      <c r="DY227" s="86"/>
      <c r="DZ227" s="86"/>
      <c r="EA227" s="86"/>
      <c r="EB227" s="86"/>
      <c r="EC227" s="86"/>
      <c r="ED227" s="86"/>
      <c r="EE227" s="86"/>
      <c r="EF227" s="86"/>
      <c r="EG227" s="86"/>
      <c r="EH227" s="86"/>
      <c r="EI227" s="86"/>
      <c r="EJ227" s="86"/>
      <c r="EK227" s="86"/>
      <c r="EL227" s="86"/>
      <c r="EM227" s="86"/>
      <c r="EN227" s="86"/>
      <c r="EO227" s="86"/>
      <c r="EP227" s="86"/>
      <c r="EQ227" s="86"/>
      <c r="ER227" s="86"/>
      <c r="ES227" s="86"/>
      <c r="ET227" s="86"/>
      <c r="EU227" s="86"/>
      <c r="EV227" s="86"/>
      <c r="EW227" s="86"/>
      <c r="EX227" s="86"/>
      <c r="EY227" s="86"/>
      <c r="EZ227" s="86"/>
      <c r="FA227" s="86"/>
    </row>
    <row r="228" spans="2:157" ht="9.75" customHeight="1">
      <c r="B228" s="845">
        <v>2</v>
      </c>
      <c r="C228" s="1344"/>
      <c r="D228" s="1344"/>
      <c r="E228" s="1344"/>
      <c r="F228" s="857"/>
      <c r="G228" s="857"/>
      <c r="H228" s="875" t="str">
        <f t="shared" si="10"/>
        <v/>
      </c>
      <c r="J228" s="101"/>
      <c r="K228" s="101"/>
      <c r="L228" s="101"/>
      <c r="Z228" s="86"/>
      <c r="AA228" s="86"/>
      <c r="AB228" s="86"/>
      <c r="AC228" s="86"/>
      <c r="AD228" s="86"/>
      <c r="AE228" s="86"/>
      <c r="AF228" s="86"/>
      <c r="AG228" s="86"/>
      <c r="AH228" s="86"/>
      <c r="AI228" s="86"/>
      <c r="AJ228" s="86"/>
      <c r="AK228" s="86"/>
      <c r="AL228" s="86"/>
      <c r="AM228" s="86"/>
      <c r="AN228" s="86"/>
      <c r="AO228" s="86"/>
      <c r="AP228" s="86"/>
      <c r="AQ228" s="86"/>
      <c r="AR228" s="86"/>
      <c r="AS228" s="86"/>
      <c r="AT228" s="86"/>
      <c r="AU228" s="86"/>
      <c r="AV228" s="86"/>
      <c r="AW228" s="86"/>
      <c r="AX228" s="86"/>
      <c r="AY228" s="86"/>
      <c r="AZ228" s="86"/>
      <c r="BA228" s="86"/>
      <c r="BB228" s="86"/>
      <c r="BC228" s="86"/>
      <c r="BD228" s="86"/>
      <c r="BE228" s="86"/>
      <c r="BF228" s="86"/>
      <c r="BG228" s="86"/>
      <c r="BH228" s="86"/>
      <c r="BI228" s="86"/>
      <c r="BJ228" s="86"/>
      <c r="BK228" s="86"/>
      <c r="BL228" s="86"/>
      <c r="BM228" s="86"/>
      <c r="BN228" s="86"/>
      <c r="BO228" s="86"/>
      <c r="BP228" s="86"/>
      <c r="BQ228" s="86"/>
      <c r="BR228" s="86"/>
      <c r="BS228" s="86"/>
      <c r="BT228" s="86"/>
      <c r="BU228" s="86"/>
      <c r="BV228" s="86"/>
      <c r="BW228" s="86"/>
      <c r="BX228" s="86"/>
      <c r="BY228" s="86"/>
      <c r="BZ228" s="86"/>
      <c r="CA228" s="86"/>
      <c r="CB228" s="86"/>
      <c r="CC228" s="86"/>
      <c r="CD228" s="86"/>
      <c r="CE228" s="86"/>
      <c r="CF228" s="86"/>
      <c r="CG228" s="86"/>
      <c r="CH228" s="86"/>
      <c r="CI228" s="86"/>
      <c r="CJ228" s="86"/>
      <c r="CK228" s="86"/>
      <c r="CL228" s="86"/>
      <c r="CM228" s="86"/>
      <c r="CN228" s="86"/>
      <c r="CO228" s="86"/>
      <c r="CP228" s="86"/>
      <c r="CQ228" s="86"/>
      <c r="CR228" s="86"/>
      <c r="CS228" s="86"/>
      <c r="CT228" s="86"/>
      <c r="CU228" s="86"/>
      <c r="CV228" s="86"/>
      <c r="CW228" s="86"/>
      <c r="CX228" s="86"/>
      <c r="CY228" s="86"/>
      <c r="CZ228" s="86"/>
      <c r="DA228" s="86"/>
      <c r="DB228" s="86"/>
      <c r="DC228" s="86"/>
      <c r="DD228" s="86"/>
      <c r="DE228" s="86"/>
      <c r="DF228" s="86"/>
      <c r="DG228" s="86"/>
      <c r="DH228" s="86"/>
      <c r="DI228" s="86"/>
      <c r="DJ228" s="86"/>
      <c r="DK228" s="86"/>
      <c r="DL228" s="86"/>
      <c r="DM228" s="86"/>
      <c r="DN228" s="86"/>
      <c r="DO228" s="86"/>
      <c r="DP228" s="86"/>
      <c r="DQ228" s="86"/>
      <c r="DR228" s="86"/>
      <c r="DS228" s="86"/>
      <c r="DT228" s="86"/>
      <c r="DU228" s="86"/>
      <c r="DV228" s="86"/>
      <c r="DW228" s="86"/>
      <c r="DX228" s="86"/>
      <c r="DY228" s="86"/>
      <c r="DZ228" s="86"/>
      <c r="EA228" s="86"/>
      <c r="EB228" s="86"/>
      <c r="EC228" s="86"/>
      <c r="ED228" s="86"/>
      <c r="EE228" s="86"/>
      <c r="EF228" s="86"/>
      <c r="EG228" s="86"/>
      <c r="EH228" s="86"/>
      <c r="EI228" s="86"/>
      <c r="EJ228" s="86"/>
      <c r="EK228" s="86"/>
      <c r="EL228" s="86"/>
      <c r="EM228" s="86"/>
      <c r="EN228" s="86"/>
      <c r="EO228" s="86"/>
      <c r="EP228" s="86"/>
      <c r="EQ228" s="86"/>
      <c r="ER228" s="86"/>
      <c r="ES228" s="86"/>
      <c r="ET228" s="86"/>
      <c r="EU228" s="86"/>
      <c r="EV228" s="86"/>
      <c r="EW228" s="86"/>
      <c r="EX228" s="86"/>
      <c r="EY228" s="86"/>
      <c r="EZ228" s="86"/>
      <c r="FA228" s="86"/>
    </row>
    <row r="229" spans="2:157" ht="9.75" customHeight="1">
      <c r="B229" s="845">
        <v>3</v>
      </c>
      <c r="C229" s="1344"/>
      <c r="D229" s="1344"/>
      <c r="E229" s="1344"/>
      <c r="F229" s="857"/>
      <c r="G229" s="857"/>
      <c r="H229" s="875" t="str">
        <f t="shared" si="10"/>
        <v/>
      </c>
      <c r="J229" s="101"/>
      <c r="K229" s="101"/>
      <c r="L229" s="101"/>
      <c r="Z229" s="86"/>
      <c r="AA229" s="86"/>
      <c r="AB229" s="86"/>
      <c r="AC229" s="86"/>
      <c r="AD229" s="86"/>
      <c r="AE229" s="86"/>
      <c r="AF229" s="86"/>
      <c r="AG229" s="86"/>
      <c r="AH229" s="86"/>
      <c r="AI229" s="86"/>
      <c r="AJ229" s="86"/>
      <c r="AK229" s="86"/>
      <c r="AL229" s="86"/>
      <c r="AM229" s="86"/>
      <c r="AN229" s="86"/>
      <c r="AO229" s="86"/>
      <c r="AP229" s="86"/>
      <c r="AQ229" s="86"/>
      <c r="AR229" s="86"/>
      <c r="AS229" s="86"/>
      <c r="AT229" s="86"/>
      <c r="AU229" s="86"/>
      <c r="AV229" s="86"/>
      <c r="AW229" s="86"/>
      <c r="AX229" s="86"/>
      <c r="AY229" s="86"/>
      <c r="AZ229" s="86"/>
      <c r="BA229" s="86"/>
      <c r="BB229" s="86"/>
      <c r="BC229" s="86"/>
      <c r="BD229" s="86"/>
      <c r="BE229" s="86"/>
      <c r="BF229" s="86"/>
      <c r="BG229" s="86"/>
      <c r="BH229" s="86"/>
      <c r="BI229" s="86"/>
      <c r="BJ229" s="86"/>
      <c r="BK229" s="86"/>
      <c r="BL229" s="86"/>
      <c r="BM229" s="86"/>
      <c r="BN229" s="86"/>
      <c r="BO229" s="86"/>
      <c r="BP229" s="86"/>
      <c r="BQ229" s="86"/>
      <c r="BR229" s="86"/>
      <c r="BS229" s="86"/>
      <c r="BT229" s="86"/>
      <c r="BU229" s="86"/>
      <c r="BV229" s="86"/>
      <c r="BW229" s="86"/>
      <c r="BX229" s="86"/>
      <c r="BY229" s="86"/>
      <c r="BZ229" s="86"/>
      <c r="CA229" s="86"/>
      <c r="CB229" s="86"/>
      <c r="CC229" s="86"/>
      <c r="CD229" s="86"/>
      <c r="CE229" s="86"/>
      <c r="CF229" s="86"/>
      <c r="CG229" s="86"/>
      <c r="CH229" s="86"/>
      <c r="CI229" s="86"/>
      <c r="CJ229" s="86"/>
      <c r="CK229" s="86"/>
      <c r="CL229" s="86"/>
      <c r="CM229" s="86"/>
      <c r="CN229" s="86"/>
      <c r="CO229" s="86"/>
      <c r="CP229" s="86"/>
      <c r="CQ229" s="86"/>
      <c r="CR229" s="86"/>
      <c r="CS229" s="86"/>
      <c r="CT229" s="86"/>
      <c r="CU229" s="86"/>
      <c r="CV229" s="86"/>
      <c r="CW229" s="86"/>
      <c r="CX229" s="86"/>
      <c r="CY229" s="86"/>
      <c r="CZ229" s="86"/>
      <c r="DA229" s="86"/>
      <c r="DB229" s="86"/>
      <c r="DC229" s="86"/>
      <c r="DD229" s="86"/>
      <c r="DE229" s="86"/>
      <c r="DF229" s="86"/>
      <c r="DG229" s="86"/>
      <c r="DH229" s="86"/>
      <c r="DI229" s="86"/>
      <c r="DJ229" s="86"/>
      <c r="DK229" s="86"/>
      <c r="DL229" s="86"/>
      <c r="DM229" s="86"/>
      <c r="DN229" s="86"/>
      <c r="DO229" s="86"/>
      <c r="DP229" s="86"/>
      <c r="DQ229" s="86"/>
      <c r="DR229" s="86"/>
      <c r="DS229" s="86"/>
      <c r="DT229" s="86"/>
      <c r="DU229" s="86"/>
      <c r="DV229" s="86"/>
      <c r="DW229" s="86"/>
      <c r="DX229" s="86"/>
      <c r="DY229" s="86"/>
      <c r="DZ229" s="86"/>
      <c r="EA229" s="86"/>
      <c r="EB229" s="86"/>
      <c r="EC229" s="86"/>
      <c r="ED229" s="86"/>
      <c r="EE229" s="86"/>
      <c r="EF229" s="86"/>
      <c r="EG229" s="86"/>
      <c r="EH229" s="86"/>
      <c r="EI229" s="86"/>
      <c r="EJ229" s="86"/>
      <c r="EK229" s="86"/>
      <c r="EL229" s="86"/>
      <c r="EM229" s="86"/>
      <c r="EN229" s="86"/>
      <c r="EO229" s="86"/>
      <c r="EP229" s="86"/>
      <c r="EQ229" s="86"/>
      <c r="ER229" s="86"/>
      <c r="ES229" s="86"/>
      <c r="ET229" s="86"/>
      <c r="EU229" s="86"/>
      <c r="EV229" s="86"/>
      <c r="EW229" s="86"/>
      <c r="EX229" s="86"/>
      <c r="EY229" s="86"/>
      <c r="EZ229" s="86"/>
      <c r="FA229" s="86"/>
    </row>
    <row r="230" spans="2:157" ht="9.75" customHeight="1">
      <c r="B230" s="845">
        <v>4</v>
      </c>
      <c r="C230" s="1344"/>
      <c r="D230" s="1344"/>
      <c r="E230" s="1344"/>
      <c r="F230" s="857"/>
      <c r="G230" s="857"/>
      <c r="H230" s="875" t="str">
        <f t="shared" si="10"/>
        <v/>
      </c>
      <c r="J230" s="101"/>
      <c r="K230" s="101"/>
      <c r="L230" s="101"/>
      <c r="Z230" s="86"/>
      <c r="AA230" s="86"/>
      <c r="AB230" s="86"/>
      <c r="AC230" s="86"/>
      <c r="AD230" s="86"/>
      <c r="AE230" s="86"/>
      <c r="AF230" s="86"/>
      <c r="AG230" s="86"/>
      <c r="AH230" s="86"/>
      <c r="AI230" s="86"/>
      <c r="AJ230" s="86"/>
      <c r="AK230" s="86"/>
      <c r="AL230" s="86"/>
      <c r="AM230" s="86"/>
      <c r="AN230" s="86"/>
      <c r="AO230" s="86"/>
      <c r="AP230" s="86"/>
      <c r="AQ230" s="86"/>
      <c r="AR230" s="86"/>
      <c r="AS230" s="86"/>
      <c r="AT230" s="86"/>
      <c r="AU230" s="86"/>
      <c r="AV230" s="86"/>
      <c r="AW230" s="86"/>
      <c r="AX230" s="86"/>
      <c r="AY230" s="86"/>
      <c r="AZ230" s="86"/>
      <c r="BA230" s="86"/>
      <c r="BB230" s="86"/>
      <c r="BC230" s="86"/>
      <c r="BD230" s="86"/>
      <c r="BE230" s="86"/>
      <c r="BF230" s="86"/>
      <c r="BG230" s="86"/>
      <c r="BH230" s="86"/>
      <c r="BI230" s="86"/>
      <c r="BJ230" s="86"/>
      <c r="BK230" s="86"/>
      <c r="BL230" s="86"/>
      <c r="BM230" s="86"/>
      <c r="BN230" s="86"/>
      <c r="BO230" s="86"/>
      <c r="BP230" s="86"/>
      <c r="BQ230" s="86"/>
      <c r="BR230" s="86"/>
      <c r="BS230" s="86"/>
      <c r="BT230" s="86"/>
      <c r="BU230" s="86"/>
      <c r="BV230" s="86"/>
      <c r="BW230" s="86"/>
      <c r="BX230" s="86"/>
      <c r="BY230" s="86"/>
      <c r="BZ230" s="86"/>
      <c r="CA230" s="86"/>
      <c r="CB230" s="86"/>
      <c r="CC230" s="86"/>
      <c r="CD230" s="86"/>
      <c r="CE230" s="86"/>
      <c r="CF230" s="86"/>
      <c r="CG230" s="86"/>
      <c r="CH230" s="86"/>
      <c r="CI230" s="86"/>
      <c r="CJ230" s="86"/>
      <c r="CK230" s="86"/>
      <c r="CL230" s="86"/>
      <c r="CM230" s="86"/>
      <c r="CN230" s="86"/>
      <c r="CO230" s="86"/>
      <c r="CP230" s="86"/>
      <c r="CQ230" s="86"/>
      <c r="CR230" s="86"/>
      <c r="CS230" s="86"/>
      <c r="CT230" s="86"/>
      <c r="CU230" s="86"/>
      <c r="CV230" s="86"/>
      <c r="CW230" s="86"/>
      <c r="CX230" s="86"/>
      <c r="CY230" s="86"/>
      <c r="CZ230" s="86"/>
      <c r="DA230" s="86"/>
      <c r="DB230" s="86"/>
      <c r="DC230" s="86"/>
      <c r="DD230" s="86"/>
      <c r="DE230" s="86"/>
      <c r="DF230" s="86"/>
      <c r="DG230" s="86"/>
      <c r="DH230" s="86"/>
      <c r="DI230" s="86"/>
      <c r="DJ230" s="86"/>
      <c r="DK230" s="86"/>
      <c r="DL230" s="86"/>
      <c r="DM230" s="86"/>
      <c r="DN230" s="86"/>
      <c r="DO230" s="86"/>
      <c r="DP230" s="86"/>
      <c r="DQ230" s="86"/>
      <c r="DR230" s="86"/>
      <c r="DS230" s="86"/>
      <c r="DT230" s="86"/>
      <c r="DU230" s="86"/>
      <c r="DV230" s="86"/>
      <c r="DW230" s="86"/>
      <c r="DX230" s="86"/>
      <c r="DY230" s="86"/>
      <c r="DZ230" s="86"/>
      <c r="EA230" s="86"/>
      <c r="EB230" s="86"/>
      <c r="EC230" s="86"/>
      <c r="ED230" s="86"/>
      <c r="EE230" s="86"/>
      <c r="EF230" s="86"/>
      <c r="EG230" s="86"/>
      <c r="EH230" s="86"/>
      <c r="EI230" s="86"/>
      <c r="EJ230" s="86"/>
      <c r="EK230" s="86"/>
      <c r="EL230" s="86"/>
      <c r="EM230" s="86"/>
      <c r="EN230" s="86"/>
      <c r="EO230" s="86"/>
      <c r="EP230" s="86"/>
      <c r="EQ230" s="86"/>
      <c r="ER230" s="86"/>
      <c r="ES230" s="86"/>
      <c r="ET230" s="86"/>
      <c r="EU230" s="86"/>
      <c r="EV230" s="86"/>
      <c r="EW230" s="86"/>
      <c r="EX230" s="86"/>
      <c r="EY230" s="86"/>
      <c r="EZ230" s="86"/>
      <c r="FA230" s="86"/>
    </row>
    <row r="231" spans="2:157" ht="9.75" customHeight="1">
      <c r="B231" s="845">
        <v>5</v>
      </c>
      <c r="C231" s="1344"/>
      <c r="D231" s="1344"/>
      <c r="E231" s="1344"/>
      <c r="F231" s="857"/>
      <c r="G231" s="857"/>
      <c r="H231" s="875" t="str">
        <f t="shared" si="10"/>
        <v/>
      </c>
      <c r="J231" s="101"/>
      <c r="K231" s="101"/>
      <c r="L231" s="101"/>
      <c r="Z231" s="86"/>
      <c r="AA231" s="86"/>
      <c r="AB231" s="86"/>
      <c r="AC231" s="86"/>
      <c r="AD231" s="86"/>
      <c r="AE231" s="86"/>
      <c r="AF231" s="86"/>
      <c r="AG231" s="86"/>
      <c r="AH231" s="86"/>
      <c r="AI231" s="86"/>
      <c r="AJ231" s="86"/>
      <c r="AK231" s="86"/>
      <c r="AL231" s="86"/>
      <c r="AM231" s="86"/>
      <c r="AN231" s="86"/>
      <c r="AO231" s="86"/>
      <c r="AP231" s="86"/>
      <c r="AQ231" s="86"/>
      <c r="AR231" s="86"/>
      <c r="AS231" s="86"/>
      <c r="AT231" s="86"/>
      <c r="AU231" s="86"/>
      <c r="AV231" s="86"/>
      <c r="AW231" s="86"/>
      <c r="AX231" s="86"/>
      <c r="AY231" s="86"/>
      <c r="AZ231" s="86"/>
      <c r="BA231" s="86"/>
      <c r="BB231" s="86"/>
      <c r="BC231" s="86"/>
      <c r="BD231" s="86"/>
      <c r="BE231" s="86"/>
      <c r="BF231" s="86"/>
      <c r="BG231" s="86"/>
      <c r="BH231" s="86"/>
      <c r="BI231" s="86"/>
      <c r="BJ231" s="86"/>
      <c r="BK231" s="86"/>
      <c r="BL231" s="86"/>
      <c r="BM231" s="86"/>
      <c r="BN231" s="86"/>
      <c r="BO231" s="86"/>
      <c r="BP231" s="86"/>
      <c r="BQ231" s="86"/>
      <c r="BR231" s="86"/>
      <c r="BS231" s="86"/>
      <c r="BT231" s="86"/>
      <c r="BU231" s="86"/>
      <c r="BV231" s="86"/>
      <c r="BW231" s="86"/>
      <c r="BX231" s="86"/>
      <c r="BY231" s="86"/>
      <c r="BZ231" s="86"/>
      <c r="CA231" s="86"/>
      <c r="CB231" s="86"/>
      <c r="CC231" s="86"/>
      <c r="CD231" s="86"/>
      <c r="CE231" s="86"/>
      <c r="CF231" s="86"/>
      <c r="CG231" s="86"/>
      <c r="CH231" s="86"/>
      <c r="CI231" s="86"/>
      <c r="CJ231" s="86"/>
      <c r="CK231" s="86"/>
      <c r="CL231" s="86"/>
      <c r="CM231" s="86"/>
      <c r="CN231" s="86"/>
      <c r="CO231" s="86"/>
      <c r="CP231" s="86"/>
      <c r="CQ231" s="86"/>
      <c r="CR231" s="86"/>
      <c r="CS231" s="86"/>
      <c r="CT231" s="86"/>
      <c r="CU231" s="86"/>
      <c r="CV231" s="86"/>
      <c r="CW231" s="86"/>
      <c r="CX231" s="86"/>
      <c r="CY231" s="86"/>
      <c r="CZ231" s="86"/>
      <c r="DA231" s="86"/>
      <c r="DB231" s="86"/>
      <c r="DC231" s="86"/>
      <c r="DD231" s="86"/>
      <c r="DE231" s="86"/>
      <c r="DF231" s="86"/>
      <c r="DG231" s="86"/>
      <c r="DH231" s="86"/>
      <c r="DI231" s="86"/>
      <c r="DJ231" s="86"/>
      <c r="DK231" s="86"/>
      <c r="DL231" s="86"/>
      <c r="DM231" s="86"/>
      <c r="DN231" s="86"/>
      <c r="DO231" s="86"/>
      <c r="DP231" s="86"/>
      <c r="DQ231" s="86"/>
      <c r="DR231" s="86"/>
      <c r="DS231" s="86"/>
      <c r="DT231" s="86"/>
      <c r="DU231" s="86"/>
      <c r="DV231" s="86"/>
      <c r="DW231" s="86"/>
      <c r="DX231" s="86"/>
      <c r="DY231" s="86"/>
      <c r="DZ231" s="86"/>
      <c r="EA231" s="86"/>
      <c r="EB231" s="86"/>
      <c r="EC231" s="86"/>
      <c r="ED231" s="86"/>
      <c r="EE231" s="86"/>
      <c r="EF231" s="86"/>
      <c r="EG231" s="86"/>
      <c r="EH231" s="86"/>
      <c r="EI231" s="86"/>
      <c r="EJ231" s="86"/>
      <c r="EK231" s="86"/>
      <c r="EL231" s="86"/>
      <c r="EM231" s="86"/>
      <c r="EN231" s="86"/>
      <c r="EO231" s="86"/>
      <c r="EP231" s="86"/>
      <c r="EQ231" s="86"/>
      <c r="ER231" s="86"/>
      <c r="ES231" s="86"/>
      <c r="ET231" s="86"/>
      <c r="EU231" s="86"/>
      <c r="EV231" s="86"/>
      <c r="EW231" s="86"/>
      <c r="EX231" s="86"/>
      <c r="EY231" s="86"/>
      <c r="EZ231" s="86"/>
      <c r="FA231" s="86"/>
    </row>
    <row r="232" spans="2:157" ht="9.75" customHeight="1">
      <c r="B232" s="845">
        <v>6</v>
      </c>
      <c r="C232" s="1344"/>
      <c r="D232" s="1344"/>
      <c r="E232" s="1344"/>
      <c r="F232" s="857"/>
      <c r="G232" s="857"/>
      <c r="H232" s="875" t="str">
        <f t="shared" si="10"/>
        <v/>
      </c>
      <c r="J232" s="101"/>
      <c r="K232" s="101"/>
      <c r="L232" s="101"/>
      <c r="Z232" s="86"/>
      <c r="AA232" s="86"/>
      <c r="AB232" s="86"/>
      <c r="AC232" s="86"/>
      <c r="AD232" s="86"/>
      <c r="AE232" s="86"/>
      <c r="AF232" s="86"/>
      <c r="AG232" s="86"/>
      <c r="AH232" s="86"/>
      <c r="AI232" s="86"/>
      <c r="AJ232" s="86"/>
      <c r="AK232" s="86"/>
      <c r="AL232" s="86"/>
      <c r="AM232" s="86"/>
      <c r="AN232" s="86"/>
      <c r="AO232" s="86"/>
      <c r="AP232" s="86"/>
      <c r="AQ232" s="86"/>
      <c r="AR232" s="86"/>
      <c r="AS232" s="86"/>
      <c r="AT232" s="86"/>
      <c r="AU232" s="86"/>
      <c r="AV232" s="86"/>
      <c r="AW232" s="86"/>
      <c r="AX232" s="86"/>
      <c r="AY232" s="86"/>
      <c r="AZ232" s="86"/>
      <c r="BA232" s="86"/>
      <c r="BB232" s="86"/>
      <c r="BC232" s="86"/>
      <c r="BD232" s="86"/>
      <c r="BE232" s="86"/>
      <c r="BF232" s="86"/>
      <c r="BG232" s="86"/>
      <c r="BH232" s="86"/>
      <c r="BI232" s="86"/>
      <c r="BJ232" s="86"/>
      <c r="BK232" s="86"/>
      <c r="BL232" s="86"/>
      <c r="BM232" s="86"/>
      <c r="BN232" s="86"/>
      <c r="BO232" s="86"/>
      <c r="BP232" s="86"/>
      <c r="BQ232" s="86"/>
      <c r="BR232" s="86"/>
      <c r="BS232" s="86"/>
      <c r="BT232" s="86"/>
      <c r="BU232" s="86"/>
      <c r="BV232" s="86"/>
      <c r="BW232" s="86"/>
      <c r="BX232" s="86"/>
      <c r="BY232" s="86"/>
      <c r="BZ232" s="86"/>
      <c r="CA232" s="86"/>
      <c r="CB232" s="86"/>
      <c r="CC232" s="86"/>
      <c r="CD232" s="86"/>
      <c r="CE232" s="86"/>
      <c r="CF232" s="86"/>
      <c r="CG232" s="86"/>
      <c r="CH232" s="86"/>
      <c r="CI232" s="86"/>
      <c r="CJ232" s="86"/>
      <c r="CK232" s="86"/>
      <c r="CL232" s="86"/>
      <c r="CM232" s="86"/>
      <c r="CN232" s="86"/>
      <c r="CO232" s="86"/>
      <c r="CP232" s="86"/>
      <c r="CQ232" s="86"/>
      <c r="CR232" s="86"/>
      <c r="CS232" s="86"/>
      <c r="CT232" s="86"/>
      <c r="CU232" s="86"/>
      <c r="CV232" s="86"/>
      <c r="CW232" s="86"/>
      <c r="CX232" s="86"/>
      <c r="CY232" s="86"/>
      <c r="CZ232" s="86"/>
      <c r="DA232" s="86"/>
      <c r="DB232" s="86"/>
      <c r="DC232" s="86"/>
      <c r="DD232" s="86"/>
      <c r="DE232" s="86"/>
      <c r="DF232" s="86"/>
      <c r="DG232" s="86"/>
      <c r="DH232" s="86"/>
      <c r="DI232" s="86"/>
      <c r="DJ232" s="86"/>
      <c r="DK232" s="86"/>
      <c r="DL232" s="86"/>
      <c r="DM232" s="86"/>
      <c r="DN232" s="86"/>
      <c r="DO232" s="86"/>
      <c r="DP232" s="86"/>
      <c r="DQ232" s="86"/>
      <c r="DR232" s="86"/>
      <c r="DS232" s="86"/>
      <c r="DT232" s="86"/>
      <c r="DU232" s="86"/>
      <c r="DV232" s="86"/>
      <c r="DW232" s="86"/>
      <c r="DX232" s="86"/>
      <c r="DY232" s="86"/>
      <c r="DZ232" s="86"/>
      <c r="EA232" s="86"/>
      <c r="EB232" s="86"/>
      <c r="EC232" s="86"/>
      <c r="ED232" s="86"/>
      <c r="EE232" s="86"/>
      <c r="EF232" s="86"/>
      <c r="EG232" s="86"/>
      <c r="EH232" s="86"/>
      <c r="EI232" s="86"/>
      <c r="EJ232" s="86"/>
      <c r="EK232" s="86"/>
      <c r="EL232" s="86"/>
      <c r="EM232" s="86"/>
      <c r="EN232" s="86"/>
      <c r="EO232" s="86"/>
      <c r="EP232" s="86"/>
      <c r="EQ232" s="86"/>
      <c r="ER232" s="86"/>
      <c r="ES232" s="86"/>
      <c r="ET232" s="86"/>
      <c r="EU232" s="86"/>
      <c r="EV232" s="86"/>
      <c r="EW232" s="86"/>
      <c r="EX232" s="86"/>
      <c r="EY232" s="86"/>
      <c r="EZ232" s="86"/>
      <c r="FA232" s="86"/>
    </row>
    <row r="233" spans="2:157" ht="9.75" customHeight="1">
      <c r="B233" s="845">
        <v>7</v>
      </c>
      <c r="C233" s="1344"/>
      <c r="D233" s="1344"/>
      <c r="E233" s="1344"/>
      <c r="F233" s="857"/>
      <c r="G233" s="857"/>
      <c r="H233" s="875" t="str">
        <f t="shared" si="10"/>
        <v/>
      </c>
      <c r="J233" s="101"/>
      <c r="K233" s="101"/>
      <c r="L233" s="101"/>
      <c r="Z233" s="86"/>
      <c r="AA233" s="86"/>
      <c r="AB233" s="86"/>
      <c r="AC233" s="86"/>
      <c r="AD233" s="86"/>
      <c r="AE233" s="86"/>
      <c r="AF233" s="86"/>
      <c r="AG233" s="86"/>
      <c r="AH233" s="86"/>
      <c r="AI233" s="86"/>
      <c r="AJ233" s="86"/>
      <c r="AK233" s="86"/>
      <c r="AL233" s="86"/>
      <c r="AM233" s="86"/>
      <c r="AN233" s="86"/>
      <c r="AO233" s="86"/>
      <c r="AP233" s="86"/>
      <c r="AQ233" s="86"/>
      <c r="AR233" s="86"/>
      <c r="AS233" s="86"/>
      <c r="AT233" s="86"/>
      <c r="AU233" s="86"/>
      <c r="AV233" s="86"/>
      <c r="AW233" s="86"/>
      <c r="AX233" s="86"/>
      <c r="AY233" s="86"/>
      <c r="AZ233" s="86"/>
      <c r="BA233" s="86"/>
      <c r="BB233" s="86"/>
      <c r="BC233" s="86"/>
      <c r="BD233" s="86"/>
      <c r="BE233" s="86"/>
      <c r="BF233" s="86"/>
      <c r="BG233" s="86"/>
      <c r="BH233" s="86"/>
      <c r="BI233" s="86"/>
      <c r="BJ233" s="86"/>
      <c r="BK233" s="86"/>
      <c r="BL233" s="86"/>
      <c r="BM233" s="86"/>
      <c r="BN233" s="86"/>
      <c r="BO233" s="86"/>
      <c r="BP233" s="86"/>
      <c r="BQ233" s="86"/>
      <c r="BR233" s="86"/>
      <c r="BS233" s="86"/>
      <c r="BT233" s="86"/>
      <c r="BU233" s="86"/>
      <c r="BV233" s="86"/>
      <c r="BW233" s="86"/>
      <c r="BX233" s="86"/>
      <c r="BY233" s="86"/>
      <c r="BZ233" s="86"/>
      <c r="CA233" s="86"/>
      <c r="CB233" s="86"/>
      <c r="CC233" s="86"/>
      <c r="CD233" s="86"/>
      <c r="CE233" s="86"/>
      <c r="CF233" s="86"/>
      <c r="CG233" s="86"/>
      <c r="CH233" s="86"/>
      <c r="CI233" s="86"/>
      <c r="CJ233" s="86"/>
      <c r="CK233" s="86"/>
      <c r="CL233" s="86"/>
      <c r="CM233" s="86"/>
      <c r="CN233" s="86"/>
      <c r="CO233" s="86"/>
      <c r="CP233" s="86"/>
      <c r="CQ233" s="86"/>
      <c r="CR233" s="86"/>
      <c r="CS233" s="86"/>
      <c r="CT233" s="86"/>
      <c r="CU233" s="86"/>
      <c r="CV233" s="86"/>
      <c r="CW233" s="86"/>
      <c r="CX233" s="86"/>
      <c r="CY233" s="86"/>
      <c r="CZ233" s="86"/>
      <c r="DA233" s="86"/>
      <c r="DB233" s="86"/>
      <c r="DC233" s="86"/>
      <c r="DD233" s="86"/>
      <c r="DE233" s="86"/>
      <c r="DF233" s="86"/>
      <c r="DG233" s="86"/>
      <c r="DH233" s="86"/>
      <c r="DI233" s="86"/>
      <c r="DJ233" s="86"/>
      <c r="DK233" s="86"/>
      <c r="DL233" s="86"/>
      <c r="DM233" s="86"/>
      <c r="DN233" s="86"/>
      <c r="DO233" s="86"/>
      <c r="DP233" s="86"/>
      <c r="DQ233" s="86"/>
      <c r="DR233" s="86"/>
      <c r="DS233" s="86"/>
      <c r="DT233" s="86"/>
      <c r="DU233" s="86"/>
      <c r="DV233" s="86"/>
      <c r="DW233" s="86"/>
      <c r="DX233" s="86"/>
      <c r="DY233" s="86"/>
      <c r="DZ233" s="86"/>
      <c r="EA233" s="86"/>
      <c r="EB233" s="86"/>
      <c r="EC233" s="86"/>
      <c r="ED233" s="86"/>
      <c r="EE233" s="86"/>
      <c r="EF233" s="86"/>
      <c r="EG233" s="86"/>
      <c r="EH233" s="86"/>
      <c r="EI233" s="86"/>
      <c r="EJ233" s="86"/>
      <c r="EK233" s="86"/>
      <c r="EL233" s="86"/>
      <c r="EM233" s="86"/>
      <c r="EN233" s="86"/>
      <c r="EO233" s="86"/>
      <c r="EP233" s="86"/>
      <c r="EQ233" s="86"/>
      <c r="ER233" s="86"/>
      <c r="ES233" s="86"/>
      <c r="ET233" s="86"/>
      <c r="EU233" s="86"/>
      <c r="EV233" s="86"/>
      <c r="EW233" s="86"/>
      <c r="EX233" s="86"/>
      <c r="EY233" s="86"/>
      <c r="EZ233" s="86"/>
      <c r="FA233" s="86"/>
    </row>
    <row r="234" spans="2:157" ht="9.75" customHeight="1">
      <c r="B234" s="845">
        <v>8</v>
      </c>
      <c r="C234" s="1344"/>
      <c r="D234" s="1344"/>
      <c r="E234" s="1344"/>
      <c r="F234" s="857"/>
      <c r="G234" s="857"/>
      <c r="H234" s="875" t="str">
        <f t="shared" si="10"/>
        <v/>
      </c>
      <c r="J234" s="101"/>
      <c r="K234" s="101"/>
      <c r="L234" s="101"/>
      <c r="Z234" s="86"/>
      <c r="AA234" s="86"/>
      <c r="AB234" s="86"/>
      <c r="AC234" s="86"/>
      <c r="AD234" s="86"/>
      <c r="AE234" s="86"/>
      <c r="AF234" s="86"/>
      <c r="AG234" s="86"/>
      <c r="AH234" s="86"/>
      <c r="AI234" s="86"/>
      <c r="AJ234" s="86"/>
      <c r="AK234" s="86"/>
      <c r="AL234" s="86"/>
      <c r="AM234" s="86"/>
      <c r="AN234" s="86"/>
      <c r="AO234" s="86"/>
      <c r="AP234" s="86"/>
      <c r="AQ234" s="86"/>
      <c r="AR234" s="86"/>
      <c r="AS234" s="86"/>
      <c r="AT234" s="86"/>
      <c r="AU234" s="86"/>
      <c r="AV234" s="86"/>
      <c r="AW234" s="86"/>
      <c r="AX234" s="86"/>
      <c r="AY234" s="86"/>
      <c r="AZ234" s="86"/>
      <c r="BA234" s="86"/>
      <c r="BB234" s="86"/>
      <c r="BC234" s="86"/>
      <c r="BD234" s="86"/>
      <c r="BE234" s="86"/>
      <c r="BF234" s="86"/>
      <c r="BG234" s="86"/>
      <c r="BH234" s="86"/>
      <c r="BI234" s="86"/>
      <c r="BJ234" s="86"/>
      <c r="BK234" s="86"/>
      <c r="BL234" s="86"/>
      <c r="BM234" s="86"/>
      <c r="BN234" s="86"/>
      <c r="BO234" s="86"/>
      <c r="BP234" s="86"/>
      <c r="BQ234" s="86"/>
      <c r="BR234" s="86"/>
      <c r="BS234" s="86"/>
      <c r="BT234" s="86"/>
      <c r="BU234" s="86"/>
      <c r="BV234" s="86"/>
      <c r="BW234" s="86"/>
      <c r="BX234" s="86"/>
      <c r="BY234" s="86"/>
      <c r="BZ234" s="86"/>
      <c r="CA234" s="86"/>
      <c r="CB234" s="86"/>
      <c r="CC234" s="86"/>
      <c r="CD234" s="86"/>
      <c r="CE234" s="86"/>
      <c r="CF234" s="86"/>
      <c r="CG234" s="86"/>
      <c r="CH234" s="86"/>
      <c r="CI234" s="86"/>
      <c r="CJ234" s="86"/>
      <c r="CK234" s="86"/>
      <c r="CL234" s="86"/>
      <c r="CM234" s="86"/>
      <c r="CN234" s="86"/>
      <c r="CO234" s="86"/>
      <c r="CP234" s="86"/>
      <c r="CQ234" s="86"/>
      <c r="CR234" s="86"/>
      <c r="CS234" s="86"/>
      <c r="CT234" s="86"/>
      <c r="CU234" s="86"/>
      <c r="CV234" s="86"/>
      <c r="CW234" s="86"/>
      <c r="CX234" s="86"/>
      <c r="CY234" s="86"/>
      <c r="CZ234" s="86"/>
      <c r="DA234" s="86"/>
      <c r="DB234" s="86"/>
      <c r="DC234" s="86"/>
      <c r="DD234" s="86"/>
      <c r="DE234" s="86"/>
      <c r="DF234" s="86"/>
      <c r="DG234" s="86"/>
      <c r="DH234" s="86"/>
      <c r="DI234" s="86"/>
      <c r="DJ234" s="86"/>
      <c r="DK234" s="86"/>
      <c r="DL234" s="86"/>
      <c r="DM234" s="86"/>
      <c r="DN234" s="86"/>
      <c r="DO234" s="86"/>
      <c r="DP234" s="86"/>
      <c r="DQ234" s="86"/>
      <c r="DR234" s="86"/>
      <c r="DS234" s="86"/>
      <c r="DT234" s="86"/>
      <c r="DU234" s="86"/>
      <c r="DV234" s="86"/>
      <c r="DW234" s="86"/>
      <c r="DX234" s="86"/>
      <c r="DY234" s="86"/>
      <c r="DZ234" s="86"/>
      <c r="EA234" s="86"/>
      <c r="EB234" s="86"/>
      <c r="EC234" s="86"/>
      <c r="ED234" s="86"/>
      <c r="EE234" s="86"/>
      <c r="EF234" s="86"/>
      <c r="EG234" s="86"/>
      <c r="EH234" s="86"/>
      <c r="EI234" s="86"/>
      <c r="EJ234" s="86"/>
      <c r="EK234" s="86"/>
      <c r="EL234" s="86"/>
      <c r="EM234" s="86"/>
      <c r="EN234" s="86"/>
      <c r="EO234" s="86"/>
      <c r="EP234" s="86"/>
      <c r="EQ234" s="86"/>
      <c r="ER234" s="86"/>
      <c r="ES234" s="86"/>
      <c r="ET234" s="86"/>
      <c r="EU234" s="86"/>
      <c r="EV234" s="86"/>
      <c r="EW234" s="86"/>
      <c r="EX234" s="86"/>
      <c r="EY234" s="86"/>
      <c r="EZ234" s="86"/>
      <c r="FA234" s="86"/>
    </row>
    <row r="235" spans="2:157" ht="9.75" customHeight="1">
      <c r="B235" s="845">
        <v>9</v>
      </c>
      <c r="C235" s="1344"/>
      <c r="D235" s="1344"/>
      <c r="E235" s="1344"/>
      <c r="F235" s="857"/>
      <c r="G235" s="857"/>
      <c r="H235" s="875" t="str">
        <f t="shared" si="10"/>
        <v/>
      </c>
      <c r="J235" s="101"/>
      <c r="K235" s="101"/>
      <c r="L235" s="101"/>
      <c r="Z235" s="86"/>
      <c r="AA235" s="86"/>
      <c r="AB235" s="86"/>
      <c r="AC235" s="86"/>
      <c r="AD235" s="86"/>
      <c r="AE235" s="86"/>
      <c r="AF235" s="86"/>
      <c r="AG235" s="86"/>
      <c r="AH235" s="86"/>
      <c r="AI235" s="86"/>
      <c r="AJ235" s="86"/>
      <c r="AK235" s="86"/>
      <c r="AL235" s="86"/>
      <c r="AM235" s="86"/>
      <c r="AN235" s="86"/>
      <c r="AO235" s="86"/>
      <c r="AP235" s="86"/>
      <c r="AQ235" s="86"/>
      <c r="AR235" s="86"/>
      <c r="AS235" s="86"/>
      <c r="AT235" s="86"/>
      <c r="AU235" s="86"/>
      <c r="AV235" s="86"/>
      <c r="AW235" s="86"/>
      <c r="AX235" s="86"/>
      <c r="AY235" s="86"/>
      <c r="AZ235" s="86"/>
      <c r="BA235" s="86"/>
      <c r="BB235" s="86"/>
      <c r="BC235" s="86"/>
      <c r="BD235" s="86"/>
      <c r="BE235" s="86"/>
      <c r="BF235" s="86"/>
      <c r="BG235" s="86"/>
      <c r="BH235" s="86"/>
      <c r="BI235" s="86"/>
      <c r="BJ235" s="86"/>
      <c r="BK235" s="86"/>
      <c r="BL235" s="86"/>
      <c r="BM235" s="86"/>
      <c r="BN235" s="86"/>
      <c r="BO235" s="86"/>
      <c r="BP235" s="86"/>
      <c r="BQ235" s="86"/>
      <c r="BR235" s="86"/>
      <c r="BS235" s="86"/>
      <c r="BT235" s="86"/>
      <c r="BU235" s="86"/>
      <c r="BV235" s="86"/>
      <c r="BW235" s="86"/>
      <c r="BX235" s="86"/>
      <c r="BY235" s="86"/>
      <c r="BZ235" s="86"/>
      <c r="CA235" s="86"/>
      <c r="CB235" s="86"/>
      <c r="CC235" s="86"/>
      <c r="CD235" s="86"/>
      <c r="CE235" s="86"/>
      <c r="CF235" s="86"/>
      <c r="CG235" s="86"/>
      <c r="CH235" s="86"/>
      <c r="CI235" s="86"/>
      <c r="CJ235" s="86"/>
      <c r="CK235" s="86"/>
      <c r="CL235" s="86"/>
      <c r="CM235" s="86"/>
      <c r="CN235" s="86"/>
      <c r="CO235" s="86"/>
      <c r="CP235" s="86"/>
      <c r="CQ235" s="86"/>
      <c r="CR235" s="86"/>
      <c r="CS235" s="86"/>
      <c r="CT235" s="86"/>
      <c r="CU235" s="86"/>
      <c r="CV235" s="86"/>
      <c r="CW235" s="86"/>
      <c r="CX235" s="86"/>
      <c r="CY235" s="86"/>
      <c r="CZ235" s="86"/>
      <c r="DA235" s="86"/>
      <c r="DB235" s="86"/>
      <c r="DC235" s="86"/>
      <c r="DD235" s="86"/>
      <c r="DE235" s="86"/>
      <c r="DF235" s="86"/>
      <c r="DG235" s="86"/>
      <c r="DH235" s="86"/>
      <c r="DI235" s="86"/>
      <c r="DJ235" s="86"/>
      <c r="DK235" s="86"/>
      <c r="DL235" s="86"/>
      <c r="DM235" s="86"/>
      <c r="DN235" s="86"/>
      <c r="DO235" s="86"/>
      <c r="DP235" s="86"/>
      <c r="DQ235" s="86"/>
      <c r="DR235" s="86"/>
      <c r="DS235" s="86"/>
      <c r="DT235" s="86"/>
      <c r="DU235" s="86"/>
      <c r="DV235" s="86"/>
      <c r="DW235" s="86"/>
      <c r="DX235" s="86"/>
      <c r="DY235" s="86"/>
      <c r="DZ235" s="86"/>
      <c r="EA235" s="86"/>
      <c r="EB235" s="86"/>
      <c r="EC235" s="86"/>
      <c r="ED235" s="86"/>
      <c r="EE235" s="86"/>
      <c r="EF235" s="86"/>
      <c r="EG235" s="86"/>
      <c r="EH235" s="86"/>
      <c r="EI235" s="86"/>
      <c r="EJ235" s="86"/>
      <c r="EK235" s="86"/>
      <c r="EL235" s="86"/>
      <c r="EM235" s="86"/>
      <c r="EN235" s="86"/>
      <c r="EO235" s="86"/>
      <c r="EP235" s="86"/>
      <c r="EQ235" s="86"/>
      <c r="ER235" s="86"/>
      <c r="ES235" s="86"/>
      <c r="ET235" s="86"/>
      <c r="EU235" s="86"/>
      <c r="EV235" s="86"/>
      <c r="EW235" s="86"/>
      <c r="EX235" s="86"/>
      <c r="EY235" s="86"/>
      <c r="EZ235" s="86"/>
      <c r="FA235" s="86"/>
    </row>
    <row r="236" spans="2:157" ht="10.050000000000001" customHeight="1">
      <c r="B236" s="845" t="s">
        <v>546</v>
      </c>
      <c r="C236" s="836" t="s">
        <v>73</v>
      </c>
      <c r="D236" s="839"/>
      <c r="E236" s="86"/>
      <c r="F236" s="848" t="s">
        <v>546</v>
      </c>
      <c r="G236" s="848" t="s">
        <v>546</v>
      </c>
      <c r="H236" s="858">
        <v>0.04</v>
      </c>
      <c r="J236" s="101"/>
      <c r="K236" s="101"/>
      <c r="L236" s="101"/>
      <c r="Z236" s="86"/>
      <c r="AA236" s="86"/>
      <c r="AB236" s="86"/>
      <c r="AC236" s="86"/>
      <c r="AD236" s="86"/>
      <c r="AE236" s="86"/>
      <c r="AF236" s="86"/>
      <c r="AG236" s="86"/>
      <c r="AH236" s="86"/>
      <c r="AI236" s="86"/>
      <c r="AJ236" s="86"/>
      <c r="AK236" s="86"/>
      <c r="AL236" s="86"/>
      <c r="AM236" s="86"/>
      <c r="AN236" s="86"/>
      <c r="AO236" s="86"/>
      <c r="AP236" s="86"/>
      <c r="AQ236" s="86"/>
      <c r="AR236" s="86"/>
      <c r="AS236" s="86"/>
      <c r="AT236" s="86"/>
      <c r="AU236" s="86"/>
      <c r="AV236" s="86"/>
      <c r="AW236" s="86"/>
      <c r="AX236" s="86"/>
      <c r="AY236" s="86"/>
      <c r="AZ236" s="86"/>
      <c r="BA236" s="86"/>
      <c r="BB236" s="86"/>
      <c r="BC236" s="86"/>
      <c r="BD236" s="86"/>
      <c r="BE236" s="86"/>
      <c r="BF236" s="86"/>
      <c r="BG236" s="86"/>
      <c r="BH236" s="86"/>
      <c r="BI236" s="86"/>
      <c r="BJ236" s="86"/>
      <c r="BK236" s="86"/>
      <c r="BL236" s="86"/>
      <c r="BM236" s="86"/>
      <c r="BN236" s="86"/>
      <c r="BO236" s="86"/>
      <c r="BP236" s="86"/>
      <c r="BQ236" s="86"/>
      <c r="BR236" s="86"/>
      <c r="BS236" s="86"/>
      <c r="BT236" s="86"/>
      <c r="BU236" s="86"/>
      <c r="BV236" s="86"/>
      <c r="BW236" s="86"/>
      <c r="BX236" s="86"/>
      <c r="BY236" s="86"/>
      <c r="BZ236" s="86"/>
      <c r="CA236" s="86"/>
      <c r="CB236" s="86"/>
      <c r="CC236" s="86"/>
      <c r="CD236" s="86"/>
      <c r="CE236" s="86"/>
      <c r="CF236" s="86"/>
      <c r="CG236" s="86"/>
      <c r="CH236" s="86"/>
      <c r="CI236" s="86"/>
      <c r="CJ236" s="86"/>
      <c r="CK236" s="86"/>
      <c r="CL236" s="86"/>
      <c r="CM236" s="86"/>
      <c r="CN236" s="86"/>
      <c r="CO236" s="86"/>
      <c r="CP236" s="86"/>
      <c r="CQ236" s="86"/>
      <c r="CR236" s="86"/>
      <c r="CS236" s="86"/>
      <c r="CT236" s="86"/>
      <c r="CU236" s="86"/>
      <c r="CV236" s="86"/>
      <c r="CW236" s="86"/>
      <c r="CX236" s="86"/>
      <c r="CY236" s="86"/>
      <c r="CZ236" s="86"/>
      <c r="DA236" s="86"/>
      <c r="DB236" s="86"/>
      <c r="DC236" s="86"/>
      <c r="DD236" s="86"/>
      <c r="DE236" s="86"/>
      <c r="DF236" s="86"/>
      <c r="DG236" s="86"/>
      <c r="DH236" s="86"/>
      <c r="DI236" s="86"/>
      <c r="DJ236" s="86"/>
      <c r="DK236" s="86"/>
      <c r="DL236" s="86"/>
      <c r="DM236" s="86"/>
      <c r="DN236" s="86"/>
      <c r="DO236" s="86"/>
      <c r="DP236" s="86"/>
      <c r="DQ236" s="86"/>
      <c r="DR236" s="86"/>
      <c r="DS236" s="86"/>
      <c r="DT236" s="86"/>
      <c r="DU236" s="86"/>
      <c r="DV236" s="86"/>
      <c r="DW236" s="86"/>
      <c r="DX236" s="86"/>
      <c r="DY236" s="86"/>
      <c r="DZ236" s="86"/>
      <c r="EA236" s="86"/>
      <c r="EB236" s="86"/>
      <c r="EC236" s="86"/>
      <c r="ED236" s="86"/>
      <c r="EE236" s="86"/>
      <c r="EF236" s="86"/>
      <c r="EG236" s="86"/>
      <c r="EH236" s="86"/>
      <c r="EI236" s="86"/>
      <c r="EJ236" s="86"/>
      <c r="EK236" s="86"/>
      <c r="EL236" s="86"/>
      <c r="EM236" s="86"/>
      <c r="EN236" s="86"/>
      <c r="EO236" s="86"/>
      <c r="EP236" s="86"/>
      <c r="EQ236" s="86"/>
      <c r="ER236" s="86"/>
      <c r="ES236" s="86"/>
      <c r="ET236" s="86"/>
      <c r="EU236" s="86"/>
      <c r="EV236" s="86"/>
      <c r="EW236" s="86"/>
      <c r="EX236" s="86"/>
      <c r="EY236" s="86"/>
      <c r="EZ236" s="86"/>
      <c r="FA236" s="86"/>
    </row>
    <row r="237" spans="2:157" ht="9.75" customHeight="1">
      <c r="B237" s="849"/>
      <c r="C237" s="849"/>
      <c r="D237" s="849"/>
      <c r="E237" s="849"/>
      <c r="F237" s="849"/>
      <c r="G237" s="849"/>
      <c r="H237" s="855"/>
      <c r="J237" s="101"/>
      <c r="K237" s="101"/>
      <c r="L237" s="101"/>
      <c r="Z237" s="86"/>
      <c r="AA237" s="86"/>
      <c r="AB237" s="86"/>
      <c r="AC237" s="86"/>
      <c r="AD237" s="86"/>
      <c r="AE237" s="86"/>
      <c r="AF237" s="86"/>
      <c r="AG237" s="86"/>
      <c r="AH237" s="86"/>
      <c r="AI237" s="86"/>
      <c r="AJ237" s="86"/>
      <c r="AK237" s="86"/>
      <c r="AL237" s="86"/>
      <c r="AM237" s="86"/>
      <c r="AN237" s="86"/>
      <c r="AO237" s="86"/>
      <c r="AP237" s="86"/>
      <c r="AQ237" s="86"/>
      <c r="AR237" s="86"/>
      <c r="AS237" s="86"/>
      <c r="AT237" s="86"/>
      <c r="AU237" s="86"/>
      <c r="AV237" s="86"/>
      <c r="AW237" s="86"/>
      <c r="AX237" s="86"/>
      <c r="AY237" s="86"/>
      <c r="AZ237" s="86"/>
      <c r="BA237" s="86"/>
      <c r="BB237" s="86"/>
      <c r="BC237" s="86"/>
      <c r="BD237" s="86"/>
      <c r="BE237" s="86"/>
      <c r="BF237" s="86"/>
      <c r="BG237" s="86"/>
      <c r="BH237" s="86"/>
      <c r="BI237" s="86"/>
      <c r="BJ237" s="86"/>
      <c r="BK237" s="86"/>
      <c r="BL237" s="86"/>
      <c r="BM237" s="86"/>
      <c r="BN237" s="86"/>
      <c r="BO237" s="86"/>
      <c r="BP237" s="86"/>
      <c r="BQ237" s="86"/>
      <c r="BR237" s="86"/>
      <c r="BS237" s="86"/>
      <c r="BT237" s="86"/>
      <c r="BU237" s="86"/>
      <c r="BV237" s="86"/>
      <c r="BW237" s="86"/>
      <c r="BX237" s="86"/>
      <c r="BY237" s="86"/>
      <c r="BZ237" s="86"/>
      <c r="CA237" s="86"/>
      <c r="CB237" s="86"/>
      <c r="CC237" s="86"/>
      <c r="CD237" s="86"/>
      <c r="CE237" s="86"/>
      <c r="CF237" s="86"/>
      <c r="CG237" s="86"/>
      <c r="CH237" s="86"/>
      <c r="CI237" s="86"/>
      <c r="CJ237" s="86"/>
      <c r="CK237" s="86"/>
      <c r="CL237" s="86"/>
      <c r="CM237" s="86"/>
      <c r="CN237" s="86"/>
      <c r="CO237" s="86"/>
      <c r="CP237" s="86"/>
      <c r="CQ237" s="86"/>
      <c r="CR237" s="86"/>
      <c r="CS237" s="86"/>
      <c r="CT237" s="86"/>
      <c r="CU237" s="86"/>
      <c r="CV237" s="86"/>
      <c r="CW237" s="86"/>
      <c r="CX237" s="86"/>
      <c r="CY237" s="86"/>
      <c r="CZ237" s="86"/>
      <c r="DA237" s="86"/>
      <c r="DB237" s="86"/>
      <c r="DC237" s="86"/>
      <c r="DD237" s="86"/>
      <c r="DE237" s="86"/>
      <c r="DF237" s="86"/>
      <c r="DG237" s="86"/>
      <c r="DH237" s="86"/>
      <c r="DI237" s="86"/>
      <c r="DJ237" s="86"/>
      <c r="DK237" s="86"/>
      <c r="DL237" s="86"/>
      <c r="DM237" s="86"/>
      <c r="DN237" s="86"/>
      <c r="DO237" s="86"/>
      <c r="DP237" s="86"/>
      <c r="DQ237" s="86"/>
      <c r="DR237" s="86"/>
      <c r="DS237" s="86"/>
      <c r="DT237" s="86"/>
      <c r="DU237" s="86"/>
      <c r="DV237" s="86"/>
      <c r="DW237" s="86"/>
      <c r="DX237" s="86"/>
      <c r="DY237" s="86"/>
      <c r="DZ237" s="86"/>
      <c r="EA237" s="86"/>
      <c r="EB237" s="86"/>
      <c r="EC237" s="86"/>
      <c r="ED237" s="86"/>
      <c r="EE237" s="86"/>
      <c r="EF237" s="86"/>
      <c r="EG237" s="86"/>
      <c r="EH237" s="86"/>
      <c r="EI237" s="86"/>
      <c r="EJ237" s="86"/>
      <c r="EK237" s="86"/>
      <c r="EL237" s="86"/>
      <c r="EM237" s="86"/>
      <c r="EN237" s="86"/>
      <c r="EO237" s="86"/>
      <c r="EP237" s="86"/>
      <c r="EQ237" s="86"/>
      <c r="ER237" s="86"/>
      <c r="ES237" s="86"/>
      <c r="ET237" s="86"/>
      <c r="EU237" s="86"/>
      <c r="EV237" s="86"/>
      <c r="EW237" s="86"/>
      <c r="EX237" s="86"/>
      <c r="EY237" s="86"/>
      <c r="EZ237" s="86"/>
      <c r="FA237" s="86"/>
    </row>
    <row r="238" spans="2:157" ht="9.75" customHeight="1">
      <c r="B238" s="27"/>
      <c r="C238" s="27"/>
      <c r="D238" s="27"/>
      <c r="E238" s="91"/>
      <c r="F238" s="171"/>
      <c r="G238" s="29"/>
      <c r="H238" s="27"/>
      <c r="J238" s="101"/>
      <c r="K238" s="101"/>
      <c r="L238" s="101"/>
      <c r="Z238" s="86"/>
      <c r="AA238" s="86"/>
      <c r="AB238" s="86"/>
      <c r="AC238" s="86"/>
      <c r="AD238" s="86"/>
      <c r="AE238" s="86"/>
      <c r="AF238" s="86"/>
      <c r="AG238" s="86"/>
      <c r="AH238" s="86"/>
      <c r="AI238" s="86"/>
      <c r="AJ238" s="86"/>
      <c r="AK238" s="86"/>
      <c r="AL238" s="86"/>
      <c r="AM238" s="86"/>
      <c r="AN238" s="86"/>
      <c r="AO238" s="86"/>
      <c r="AP238" s="86"/>
      <c r="AQ238" s="86"/>
      <c r="AR238" s="86"/>
      <c r="AS238" s="86"/>
      <c r="AT238" s="86"/>
      <c r="AU238" s="86"/>
      <c r="AV238" s="86"/>
      <c r="AW238" s="86"/>
      <c r="AX238" s="86"/>
      <c r="AY238" s="86"/>
      <c r="AZ238" s="86"/>
      <c r="BA238" s="86"/>
      <c r="BB238" s="86"/>
      <c r="BC238" s="86"/>
      <c r="BD238" s="86"/>
      <c r="BE238" s="86"/>
      <c r="BF238" s="86"/>
      <c r="BG238" s="86"/>
      <c r="BH238" s="86"/>
      <c r="BI238" s="86"/>
      <c r="BJ238" s="86"/>
      <c r="BK238" s="86"/>
      <c r="BL238" s="86"/>
      <c r="BM238" s="86"/>
      <c r="BN238" s="86"/>
      <c r="BO238" s="86"/>
      <c r="BP238" s="86"/>
      <c r="BQ238" s="86"/>
      <c r="BR238" s="86"/>
      <c r="BS238" s="86"/>
      <c r="BT238" s="86"/>
      <c r="BU238" s="86"/>
      <c r="BV238" s="86"/>
      <c r="BW238" s="86"/>
      <c r="BX238" s="86"/>
      <c r="BY238" s="86"/>
      <c r="BZ238" s="86"/>
      <c r="CA238" s="86"/>
      <c r="CB238" s="86"/>
      <c r="CC238" s="86"/>
      <c r="CD238" s="86"/>
      <c r="CE238" s="86"/>
      <c r="CF238" s="86"/>
      <c r="CG238" s="86"/>
      <c r="CH238" s="86"/>
      <c r="CI238" s="86"/>
      <c r="CJ238" s="86"/>
      <c r="CK238" s="86"/>
      <c r="CL238" s="86"/>
      <c r="CM238" s="86"/>
      <c r="CN238" s="86"/>
      <c r="CO238" s="86"/>
      <c r="CP238" s="86"/>
      <c r="CQ238" s="86"/>
      <c r="CR238" s="86"/>
      <c r="CS238" s="86"/>
      <c r="CT238" s="86"/>
      <c r="CU238" s="86"/>
      <c r="CV238" s="86"/>
      <c r="CW238" s="86"/>
      <c r="CX238" s="86"/>
      <c r="CY238" s="86"/>
      <c r="CZ238" s="86"/>
      <c r="DA238" s="86"/>
      <c r="DB238" s="86"/>
      <c r="DC238" s="86"/>
      <c r="DD238" s="86"/>
      <c r="DE238" s="86"/>
      <c r="DF238" s="86"/>
      <c r="DG238" s="86"/>
      <c r="DH238" s="86"/>
      <c r="DI238" s="86"/>
      <c r="DJ238" s="86"/>
      <c r="DK238" s="86"/>
      <c r="DL238" s="86"/>
      <c r="DM238" s="86"/>
      <c r="DN238" s="86"/>
      <c r="DO238" s="86"/>
      <c r="DP238" s="86"/>
      <c r="DQ238" s="86"/>
      <c r="DR238" s="86"/>
      <c r="DS238" s="86"/>
      <c r="DT238" s="86"/>
      <c r="DU238" s="86"/>
      <c r="DV238" s="86"/>
      <c r="DW238" s="86"/>
      <c r="DX238" s="86"/>
      <c r="DY238" s="86"/>
      <c r="DZ238" s="86"/>
      <c r="EA238" s="86"/>
      <c r="EB238" s="86"/>
      <c r="EC238" s="86"/>
      <c r="ED238" s="86"/>
      <c r="EE238" s="86"/>
      <c r="EF238" s="86"/>
      <c r="EG238" s="86"/>
      <c r="EH238" s="86"/>
      <c r="EI238" s="86"/>
      <c r="EJ238" s="86"/>
      <c r="EK238" s="86"/>
      <c r="EL238" s="86"/>
      <c r="EM238" s="86"/>
      <c r="EN238" s="86"/>
      <c r="EO238" s="86"/>
      <c r="EP238" s="86"/>
      <c r="EQ238" s="86"/>
      <c r="ER238" s="86"/>
      <c r="ES238" s="86"/>
      <c r="ET238" s="86"/>
      <c r="EU238" s="86"/>
      <c r="EV238" s="86"/>
      <c r="EW238" s="86"/>
      <c r="EX238" s="86"/>
      <c r="EY238" s="86"/>
      <c r="EZ238" s="86"/>
      <c r="FA238" s="86"/>
    </row>
    <row r="239" spans="2:157" ht="9.75" customHeight="1">
      <c r="B239" s="27"/>
      <c r="C239" s="27"/>
      <c r="D239" s="27"/>
      <c r="E239" s="27"/>
      <c r="F239" s="27"/>
      <c r="G239" s="27"/>
      <c r="H239" s="27"/>
      <c r="J239" s="101"/>
      <c r="K239" s="101"/>
      <c r="L239" s="101"/>
      <c r="Z239" s="86"/>
      <c r="AA239" s="86"/>
      <c r="AB239" s="86"/>
      <c r="AC239" s="86"/>
      <c r="AD239" s="86"/>
      <c r="AE239" s="86"/>
      <c r="AF239" s="86"/>
      <c r="AG239" s="86"/>
      <c r="AH239" s="86"/>
      <c r="AI239" s="86"/>
      <c r="AJ239" s="86"/>
      <c r="AK239" s="86"/>
      <c r="AL239" s="86"/>
      <c r="AM239" s="86"/>
      <c r="AN239" s="86"/>
      <c r="AO239" s="86"/>
      <c r="AP239" s="86"/>
      <c r="AQ239" s="86"/>
      <c r="AR239" s="86"/>
      <c r="AS239" s="86"/>
      <c r="AT239" s="86"/>
      <c r="AU239" s="86"/>
      <c r="AV239" s="86"/>
      <c r="AW239" s="86"/>
      <c r="AX239" s="86"/>
      <c r="AY239" s="86"/>
      <c r="AZ239" s="86"/>
      <c r="BA239" s="86"/>
      <c r="BB239" s="86"/>
      <c r="BC239" s="86"/>
      <c r="BD239" s="86"/>
      <c r="BE239" s="86"/>
      <c r="BF239" s="86"/>
      <c r="BG239" s="86"/>
      <c r="BH239" s="86"/>
      <c r="BI239" s="86"/>
      <c r="BJ239" s="86"/>
      <c r="BK239" s="86"/>
      <c r="BL239" s="86"/>
      <c r="BM239" s="86"/>
      <c r="BN239" s="86"/>
      <c r="BO239" s="86"/>
      <c r="BP239" s="86"/>
      <c r="BQ239" s="86"/>
      <c r="BR239" s="86"/>
      <c r="BS239" s="86"/>
      <c r="BT239" s="86"/>
      <c r="BU239" s="86"/>
      <c r="BV239" s="86"/>
      <c r="BW239" s="86"/>
      <c r="BX239" s="86"/>
      <c r="BY239" s="86"/>
      <c r="BZ239" s="86"/>
      <c r="CA239" s="86"/>
      <c r="CB239" s="86"/>
      <c r="CC239" s="86"/>
      <c r="CD239" s="86"/>
      <c r="CE239" s="86"/>
      <c r="CF239" s="86"/>
      <c r="CG239" s="86"/>
      <c r="CH239" s="86"/>
      <c r="CI239" s="86"/>
      <c r="CJ239" s="86"/>
      <c r="CK239" s="86"/>
      <c r="CL239" s="86"/>
      <c r="CM239" s="86"/>
      <c r="CN239" s="86"/>
      <c r="CO239" s="86"/>
      <c r="CP239" s="86"/>
      <c r="CQ239" s="86"/>
      <c r="CR239" s="86"/>
      <c r="CS239" s="86"/>
      <c r="CT239" s="86"/>
      <c r="CU239" s="86"/>
      <c r="CV239" s="86"/>
      <c r="CW239" s="86"/>
      <c r="CX239" s="86"/>
      <c r="CY239" s="86"/>
      <c r="CZ239" s="86"/>
      <c r="DA239" s="86"/>
      <c r="DB239" s="86"/>
      <c r="DC239" s="86"/>
      <c r="DD239" s="86"/>
      <c r="DE239" s="86"/>
      <c r="DF239" s="86"/>
      <c r="DG239" s="86"/>
      <c r="DH239" s="86"/>
      <c r="DI239" s="86"/>
      <c r="DJ239" s="86"/>
      <c r="DK239" s="86"/>
      <c r="DL239" s="86"/>
      <c r="DM239" s="86"/>
      <c r="DN239" s="86"/>
      <c r="DO239" s="86"/>
      <c r="DP239" s="86"/>
      <c r="DQ239" s="86"/>
      <c r="DR239" s="86"/>
      <c r="DS239" s="86"/>
      <c r="DT239" s="86"/>
      <c r="DU239" s="86"/>
      <c r="DV239" s="86"/>
      <c r="DW239" s="86"/>
      <c r="DX239" s="86"/>
      <c r="DY239" s="86"/>
      <c r="DZ239" s="86"/>
      <c r="EA239" s="86"/>
      <c r="EB239" s="86"/>
      <c r="EC239" s="86"/>
      <c r="ED239" s="86"/>
      <c r="EE239" s="86"/>
      <c r="EF239" s="86"/>
      <c r="EG239" s="86"/>
      <c r="EH239" s="86"/>
      <c r="EI239" s="86"/>
      <c r="EJ239" s="86"/>
      <c r="EK239" s="86"/>
      <c r="EL239" s="86"/>
      <c r="EM239" s="86"/>
      <c r="EN239" s="86"/>
      <c r="EO239" s="86"/>
      <c r="EP239" s="86"/>
      <c r="EQ239" s="86"/>
      <c r="ER239" s="86"/>
      <c r="ES239" s="86"/>
      <c r="ET239" s="86"/>
      <c r="EU239" s="86"/>
      <c r="EV239" s="86"/>
      <c r="EW239" s="86"/>
      <c r="EX239" s="86"/>
      <c r="EY239" s="86"/>
      <c r="EZ239" s="86"/>
      <c r="FA239" s="86"/>
    </row>
    <row r="240" spans="2:157" ht="9.75" customHeight="1">
      <c r="B240" s="27"/>
      <c r="C240" s="27"/>
      <c r="D240" s="27"/>
      <c r="E240" s="27"/>
      <c r="F240" s="27"/>
      <c r="G240" s="27"/>
      <c r="H240" s="27"/>
      <c r="J240" s="101"/>
      <c r="K240" s="101"/>
      <c r="L240" s="101"/>
      <c r="Z240" s="86"/>
      <c r="AA240" s="86"/>
      <c r="AB240" s="86"/>
      <c r="AC240" s="86"/>
      <c r="AD240" s="86"/>
      <c r="AE240" s="86"/>
      <c r="AF240" s="86"/>
      <c r="AG240" s="86"/>
      <c r="AH240" s="86"/>
      <c r="AI240" s="86"/>
      <c r="AJ240" s="86"/>
      <c r="AK240" s="86"/>
      <c r="AL240" s="86"/>
      <c r="AM240" s="86"/>
      <c r="AN240" s="86"/>
      <c r="AO240" s="86"/>
      <c r="AP240" s="86"/>
      <c r="AQ240" s="86"/>
      <c r="AR240" s="86"/>
      <c r="AS240" s="86"/>
      <c r="AT240" s="86"/>
      <c r="AU240" s="86"/>
      <c r="AV240" s="86"/>
      <c r="AW240" s="86"/>
      <c r="AX240" s="86"/>
      <c r="AY240" s="86"/>
      <c r="AZ240" s="86"/>
      <c r="BA240" s="86"/>
      <c r="BB240" s="86"/>
      <c r="BC240" s="86"/>
      <c r="BD240" s="86"/>
      <c r="BE240" s="86"/>
      <c r="BF240" s="86"/>
      <c r="BG240" s="86"/>
      <c r="BH240" s="86"/>
      <c r="BI240" s="86"/>
      <c r="BJ240" s="86"/>
      <c r="BK240" s="86"/>
      <c r="BL240" s="86"/>
      <c r="BM240" s="86"/>
      <c r="BN240" s="86"/>
      <c r="BO240" s="86"/>
      <c r="BP240" s="86"/>
      <c r="BQ240" s="86"/>
      <c r="BR240" s="86"/>
      <c r="BS240" s="86"/>
      <c r="BT240" s="86"/>
      <c r="BU240" s="86"/>
      <c r="BV240" s="86"/>
      <c r="BW240" s="86"/>
      <c r="BX240" s="86"/>
      <c r="BY240" s="86"/>
      <c r="BZ240" s="86"/>
      <c r="CA240" s="86"/>
      <c r="CB240" s="86"/>
      <c r="CC240" s="86"/>
      <c r="CD240" s="86"/>
      <c r="CE240" s="86"/>
      <c r="CF240" s="86"/>
      <c r="CG240" s="86"/>
      <c r="CH240" s="86"/>
      <c r="CI240" s="86"/>
      <c r="CJ240" s="86"/>
      <c r="CK240" s="86"/>
      <c r="CL240" s="86"/>
      <c r="CM240" s="86"/>
      <c r="CN240" s="86"/>
      <c r="CO240" s="86"/>
      <c r="CP240" s="86"/>
      <c r="CQ240" s="86"/>
      <c r="CR240" s="86"/>
      <c r="CS240" s="86"/>
      <c r="CT240" s="86"/>
      <c r="CU240" s="86"/>
      <c r="CV240" s="86"/>
      <c r="CW240" s="86"/>
      <c r="CX240" s="86"/>
      <c r="CY240" s="86"/>
      <c r="CZ240" s="86"/>
      <c r="DA240" s="86"/>
      <c r="DB240" s="86"/>
      <c r="DC240" s="86"/>
      <c r="DD240" s="86"/>
      <c r="DE240" s="86"/>
      <c r="DF240" s="86"/>
      <c r="DG240" s="86"/>
      <c r="DH240" s="86"/>
      <c r="DI240" s="86"/>
      <c r="DJ240" s="86"/>
      <c r="DK240" s="86"/>
      <c r="DL240" s="86"/>
      <c r="DM240" s="86"/>
      <c r="DN240" s="86"/>
      <c r="DO240" s="86"/>
      <c r="DP240" s="86"/>
      <c r="DQ240" s="86"/>
      <c r="DR240" s="86"/>
      <c r="DS240" s="86"/>
      <c r="DT240" s="86"/>
      <c r="DU240" s="86"/>
      <c r="DV240" s="86"/>
      <c r="DW240" s="86"/>
      <c r="DX240" s="86"/>
      <c r="DY240" s="86"/>
      <c r="DZ240" s="86"/>
      <c r="EA240" s="86"/>
      <c r="EB240" s="86"/>
      <c r="EC240" s="86"/>
      <c r="ED240" s="86"/>
      <c r="EE240" s="86"/>
      <c r="EF240" s="86"/>
      <c r="EG240" s="86"/>
      <c r="EH240" s="86"/>
      <c r="EI240" s="86"/>
      <c r="EJ240" s="86"/>
      <c r="EK240" s="86"/>
      <c r="EL240" s="86"/>
      <c r="EM240" s="86"/>
      <c r="EN240" s="86"/>
      <c r="EO240" s="86"/>
      <c r="EP240" s="86"/>
      <c r="EQ240" s="86"/>
      <c r="ER240" s="86"/>
      <c r="ES240" s="86"/>
      <c r="ET240" s="86"/>
      <c r="EU240" s="86"/>
      <c r="EV240" s="86"/>
      <c r="EW240" s="86"/>
      <c r="EX240" s="86"/>
      <c r="EY240" s="86"/>
      <c r="EZ240" s="86"/>
      <c r="FA240" s="86"/>
    </row>
    <row r="241" spans="2:157" ht="9.75" customHeight="1">
      <c r="B241" s="31"/>
      <c r="C241" s="31"/>
      <c r="D241" s="31"/>
      <c r="E241" s="31"/>
      <c r="F241" s="31"/>
      <c r="G241" s="31"/>
      <c r="H241" s="31"/>
      <c r="J241" s="101"/>
      <c r="K241" s="101"/>
      <c r="L241" s="101"/>
      <c r="Z241" s="86"/>
      <c r="AA241" s="86"/>
      <c r="AB241" s="86"/>
      <c r="AC241" s="86"/>
      <c r="AD241" s="86"/>
      <c r="AE241" s="86"/>
      <c r="AF241" s="86"/>
      <c r="AG241" s="86"/>
      <c r="AH241" s="86"/>
      <c r="AI241" s="86"/>
      <c r="AJ241" s="86"/>
      <c r="AK241" s="86"/>
      <c r="AL241" s="86"/>
      <c r="AM241" s="86"/>
      <c r="AN241" s="86"/>
      <c r="AO241" s="86"/>
      <c r="AP241" s="86"/>
      <c r="AQ241" s="86"/>
      <c r="AR241" s="86"/>
      <c r="AS241" s="86"/>
      <c r="AT241" s="86"/>
      <c r="AU241" s="86"/>
      <c r="AV241" s="86"/>
      <c r="AW241" s="86"/>
      <c r="AX241" s="86"/>
      <c r="AY241" s="86"/>
      <c r="AZ241" s="86"/>
      <c r="BA241" s="86"/>
      <c r="BB241" s="86"/>
      <c r="BC241" s="86"/>
      <c r="BD241" s="86"/>
      <c r="BE241" s="86"/>
      <c r="BF241" s="86"/>
      <c r="BG241" s="86"/>
      <c r="BH241" s="86"/>
      <c r="BI241" s="86"/>
      <c r="BJ241" s="86"/>
      <c r="BK241" s="86"/>
      <c r="BL241" s="86"/>
      <c r="BM241" s="86"/>
      <c r="BN241" s="86"/>
      <c r="BO241" s="86"/>
      <c r="BP241" s="86"/>
      <c r="BQ241" s="86"/>
      <c r="BR241" s="86"/>
      <c r="BS241" s="86"/>
      <c r="BT241" s="86"/>
      <c r="BU241" s="86"/>
      <c r="BV241" s="86"/>
      <c r="BW241" s="86"/>
      <c r="BX241" s="86"/>
      <c r="BY241" s="86"/>
      <c r="BZ241" s="86"/>
      <c r="CA241" s="86"/>
      <c r="CB241" s="86"/>
      <c r="CC241" s="86"/>
      <c r="CD241" s="86"/>
      <c r="CE241" s="86"/>
      <c r="CF241" s="86"/>
      <c r="CG241" s="86"/>
      <c r="CH241" s="86"/>
      <c r="CI241" s="86"/>
      <c r="CJ241" s="86"/>
      <c r="CK241" s="86"/>
      <c r="CL241" s="86"/>
      <c r="CM241" s="86"/>
      <c r="CN241" s="86"/>
      <c r="CO241" s="86"/>
      <c r="CP241" s="86"/>
      <c r="CQ241" s="86"/>
      <c r="CR241" s="86"/>
      <c r="CS241" s="86"/>
      <c r="CT241" s="86"/>
      <c r="CU241" s="86"/>
      <c r="CV241" s="86"/>
      <c r="CW241" s="86"/>
      <c r="CX241" s="86"/>
      <c r="CY241" s="86"/>
      <c r="CZ241" s="86"/>
      <c r="DA241" s="86"/>
      <c r="DB241" s="86"/>
      <c r="DC241" s="86"/>
      <c r="DD241" s="86"/>
      <c r="DE241" s="86"/>
      <c r="DF241" s="86"/>
      <c r="DG241" s="86"/>
      <c r="DH241" s="86"/>
      <c r="DI241" s="86"/>
      <c r="DJ241" s="86"/>
      <c r="DK241" s="86"/>
      <c r="DL241" s="86"/>
      <c r="DM241" s="86"/>
      <c r="DN241" s="86"/>
      <c r="DO241" s="86"/>
      <c r="DP241" s="86"/>
      <c r="DQ241" s="86"/>
      <c r="DR241" s="86"/>
      <c r="DS241" s="86"/>
      <c r="DT241" s="86"/>
      <c r="DU241" s="86"/>
      <c r="DV241" s="86"/>
      <c r="DW241" s="86"/>
      <c r="DX241" s="86"/>
      <c r="DY241" s="86"/>
      <c r="DZ241" s="86"/>
      <c r="EA241" s="86"/>
      <c r="EB241" s="86"/>
      <c r="EC241" s="86"/>
      <c r="ED241" s="86"/>
      <c r="EE241" s="86"/>
      <c r="EF241" s="86"/>
      <c r="EG241" s="86"/>
      <c r="EH241" s="86"/>
      <c r="EI241" s="86"/>
      <c r="EJ241" s="86"/>
      <c r="EK241" s="86"/>
      <c r="EL241" s="86"/>
      <c r="EM241" s="86"/>
      <c r="EN241" s="86"/>
      <c r="EO241" s="86"/>
      <c r="EP241" s="86"/>
      <c r="EQ241" s="86"/>
      <c r="ER241" s="86"/>
      <c r="ES241" s="86"/>
      <c r="ET241" s="86"/>
      <c r="EU241" s="86"/>
      <c r="EV241" s="86"/>
      <c r="EW241" s="86"/>
      <c r="EX241" s="86"/>
      <c r="EY241" s="86"/>
      <c r="EZ241" s="86"/>
      <c r="FA241" s="86"/>
    </row>
    <row r="242" spans="2:157" ht="10.95" customHeight="1">
      <c r="B242" s="1347" t="s">
        <v>510</v>
      </c>
      <c r="C242" s="1348"/>
      <c r="D242" s="1345"/>
      <c r="E242" s="1346"/>
      <c r="F242" s="842"/>
      <c r="G242" s="837" t="s">
        <v>4</v>
      </c>
      <c r="H242" s="856"/>
      <c r="J242" s="101"/>
      <c r="K242" s="101"/>
      <c r="L242" s="101"/>
      <c r="Z242" s="86"/>
      <c r="AA242" s="86"/>
      <c r="AB242" s="86"/>
      <c r="AC242" s="86"/>
      <c r="AD242" s="86"/>
      <c r="AE242" s="86"/>
      <c r="AF242" s="86"/>
      <c r="AG242" s="86"/>
      <c r="AH242" s="86"/>
      <c r="AI242" s="86"/>
      <c r="AJ242" s="86"/>
      <c r="AK242" s="86"/>
      <c r="AL242" s="86"/>
      <c r="AM242" s="86"/>
      <c r="AN242" s="86"/>
      <c r="AO242" s="86"/>
      <c r="AP242" s="86"/>
      <c r="AQ242" s="86"/>
      <c r="AR242" s="86"/>
      <c r="AS242" s="86"/>
      <c r="AT242" s="86"/>
      <c r="AU242" s="86"/>
      <c r="AV242" s="86"/>
      <c r="AW242" s="86"/>
      <c r="AX242" s="86"/>
      <c r="AY242" s="86"/>
      <c r="AZ242" s="86"/>
      <c r="BA242" s="86"/>
      <c r="BB242" s="86"/>
      <c r="BC242" s="86"/>
      <c r="BD242" s="86"/>
      <c r="BE242" s="86"/>
      <c r="BF242" s="86"/>
      <c r="BG242" s="86"/>
      <c r="BH242" s="86"/>
      <c r="BI242" s="86"/>
      <c r="BJ242" s="86"/>
      <c r="BK242" s="86"/>
      <c r="BL242" s="86"/>
      <c r="BM242" s="86"/>
      <c r="BN242" s="86"/>
      <c r="BO242" s="86"/>
      <c r="BP242" s="86"/>
      <c r="BQ242" s="86"/>
      <c r="BR242" s="86"/>
      <c r="BS242" s="86"/>
      <c r="BT242" s="86"/>
      <c r="BU242" s="86"/>
      <c r="BV242" s="86"/>
      <c r="BW242" s="86"/>
      <c r="BX242" s="86"/>
      <c r="BY242" s="86"/>
      <c r="BZ242" s="86"/>
      <c r="CA242" s="86"/>
      <c r="CB242" s="86"/>
      <c r="CC242" s="86"/>
      <c r="CD242" s="86"/>
      <c r="CE242" s="86"/>
      <c r="CF242" s="86"/>
      <c r="CG242" s="86"/>
      <c r="CH242" s="86"/>
      <c r="CI242" s="86"/>
      <c r="CJ242" s="86"/>
      <c r="CK242" s="86"/>
      <c r="CL242" s="86"/>
      <c r="CM242" s="86"/>
      <c r="CN242" s="86"/>
      <c r="CO242" s="86"/>
      <c r="CP242" s="86"/>
      <c r="CQ242" s="86"/>
      <c r="CR242" s="86"/>
      <c r="CS242" s="86"/>
      <c r="CT242" s="86"/>
      <c r="CU242" s="86"/>
      <c r="CV242" s="86"/>
      <c r="CW242" s="86"/>
      <c r="CX242" s="86"/>
      <c r="CY242" s="86"/>
      <c r="CZ242" s="86"/>
      <c r="DA242" s="86"/>
      <c r="DB242" s="86"/>
      <c r="DC242" s="86"/>
      <c r="DD242" s="86"/>
      <c r="DE242" s="86"/>
      <c r="DF242" s="86"/>
      <c r="DG242" s="86"/>
      <c r="DH242" s="86"/>
      <c r="DI242" s="86"/>
      <c r="DJ242" s="86"/>
      <c r="DK242" s="86"/>
      <c r="DL242" s="86"/>
      <c r="DM242" s="86"/>
      <c r="DN242" s="86"/>
      <c r="DO242" s="86"/>
      <c r="DP242" s="86"/>
      <c r="DQ242" s="86"/>
      <c r="DR242" s="86"/>
      <c r="DS242" s="86"/>
      <c r="DT242" s="86"/>
      <c r="DU242" s="86"/>
      <c r="DV242" s="86"/>
      <c r="DW242" s="86"/>
      <c r="DX242" s="86"/>
      <c r="DY242" s="86"/>
      <c r="DZ242" s="86"/>
      <c r="EA242" s="86"/>
      <c r="EB242" s="86"/>
      <c r="EC242" s="86"/>
      <c r="ED242" s="86"/>
      <c r="EE242" s="86"/>
      <c r="EF242" s="86"/>
      <c r="EG242" s="86"/>
      <c r="EH242" s="86"/>
      <c r="EI242" s="86"/>
      <c r="EJ242" s="86"/>
      <c r="EK242" s="86"/>
      <c r="EL242" s="86"/>
      <c r="EM242" s="86"/>
      <c r="EN242" s="86"/>
      <c r="EO242" s="86"/>
      <c r="EP242" s="86"/>
      <c r="EQ242" s="86"/>
      <c r="ER242" s="86"/>
      <c r="ES242" s="86"/>
      <c r="ET242" s="86"/>
      <c r="EU242" s="86"/>
      <c r="EV242" s="86"/>
      <c r="EW242" s="86"/>
      <c r="EX242" s="86"/>
      <c r="EY242" s="86"/>
      <c r="EZ242" s="86"/>
      <c r="FA242" s="86"/>
    </row>
    <row r="243" spans="2:157" ht="10.95" customHeight="1">
      <c r="B243" s="1347" t="s">
        <v>582</v>
      </c>
      <c r="C243" s="1349"/>
      <c r="D243" s="1345"/>
      <c r="E243" s="1346"/>
      <c r="F243" s="839"/>
      <c r="G243" s="853" t="s">
        <v>345</v>
      </c>
      <c r="H243" s="854">
        <f>ROUND(1/(SUM(H246:H256)),2)</f>
        <v>5.88</v>
      </c>
      <c r="J243" s="101"/>
      <c r="K243" s="101"/>
      <c r="L243" s="101"/>
      <c r="Z243" s="86"/>
      <c r="AA243" s="86"/>
      <c r="AB243" s="86"/>
      <c r="AC243" s="86"/>
      <c r="AD243" s="86"/>
      <c r="AE243" s="86"/>
      <c r="AF243" s="86"/>
      <c r="AG243" s="86"/>
      <c r="AH243" s="86"/>
      <c r="AI243" s="86"/>
      <c r="AJ243" s="86"/>
      <c r="AK243" s="86"/>
      <c r="AL243" s="86"/>
      <c r="AM243" s="86"/>
      <c r="AN243" s="86"/>
      <c r="AO243" s="86"/>
      <c r="AP243" s="86"/>
      <c r="AQ243" s="86"/>
      <c r="AR243" s="86"/>
      <c r="AS243" s="86"/>
      <c r="AT243" s="86"/>
      <c r="AU243" s="86"/>
      <c r="AV243" s="86"/>
      <c r="AW243" s="86"/>
      <c r="AX243" s="86"/>
      <c r="AY243" s="86"/>
      <c r="AZ243" s="86"/>
      <c r="BA243" s="86"/>
      <c r="BB243" s="86"/>
      <c r="BC243" s="86"/>
      <c r="BD243" s="86"/>
      <c r="BE243" s="86"/>
      <c r="BF243" s="86"/>
      <c r="BG243" s="86"/>
      <c r="BH243" s="86"/>
      <c r="BI243" s="86"/>
      <c r="BJ243" s="86"/>
      <c r="BK243" s="86"/>
      <c r="BL243" s="86"/>
      <c r="BM243" s="86"/>
      <c r="BN243" s="86"/>
      <c r="BO243" s="86"/>
      <c r="BP243" s="86"/>
      <c r="BQ243" s="86"/>
      <c r="BR243" s="86"/>
      <c r="BS243" s="86"/>
      <c r="BT243" s="86"/>
      <c r="BU243" s="86"/>
      <c r="BV243" s="86"/>
      <c r="BW243" s="86"/>
      <c r="BX243" s="86"/>
      <c r="BY243" s="86"/>
      <c r="BZ243" s="86"/>
      <c r="CA243" s="86"/>
      <c r="CB243" s="86"/>
      <c r="CC243" s="86"/>
      <c r="CD243" s="86"/>
      <c r="CE243" s="86"/>
      <c r="CF243" s="86"/>
      <c r="CG243" s="86"/>
      <c r="CH243" s="86"/>
      <c r="CI243" s="86"/>
      <c r="CJ243" s="86"/>
      <c r="CK243" s="86"/>
      <c r="CL243" s="86"/>
      <c r="CM243" s="86"/>
      <c r="CN243" s="86"/>
      <c r="CO243" s="86"/>
      <c r="CP243" s="86"/>
      <c r="CQ243" s="86"/>
      <c r="CR243" s="86"/>
      <c r="CS243" s="86"/>
      <c r="CT243" s="86"/>
      <c r="CU243" s="86"/>
      <c r="CV243" s="86"/>
      <c r="CW243" s="86"/>
      <c r="CX243" s="86"/>
      <c r="CY243" s="86"/>
      <c r="CZ243" s="86"/>
      <c r="DA243" s="86"/>
      <c r="DB243" s="86"/>
      <c r="DC243" s="86"/>
      <c r="DD243" s="86"/>
      <c r="DE243" s="86"/>
      <c r="DF243" s="86"/>
      <c r="DG243" s="86"/>
      <c r="DH243" s="86"/>
      <c r="DI243" s="86"/>
      <c r="DJ243" s="86"/>
      <c r="DK243" s="86"/>
      <c r="DL243" s="86"/>
      <c r="DM243" s="86"/>
      <c r="DN243" s="86"/>
      <c r="DO243" s="86"/>
      <c r="DP243" s="86"/>
      <c r="DQ243" s="86"/>
      <c r="DR243" s="86"/>
      <c r="DS243" s="86"/>
      <c r="DT243" s="86"/>
      <c r="DU243" s="86"/>
      <c r="DV243" s="86"/>
      <c r="DW243" s="86"/>
      <c r="DX243" s="86"/>
      <c r="DY243" s="86"/>
      <c r="DZ243" s="86"/>
      <c r="EA243" s="86"/>
      <c r="EB243" s="86"/>
      <c r="EC243" s="86"/>
      <c r="ED243" s="86"/>
      <c r="EE243" s="86"/>
      <c r="EF243" s="86"/>
      <c r="EG243" s="86"/>
      <c r="EH243" s="86"/>
      <c r="EI243" s="86"/>
      <c r="EJ243" s="86"/>
      <c r="EK243" s="86"/>
      <c r="EL243" s="86"/>
      <c r="EM243" s="86"/>
      <c r="EN243" s="86"/>
      <c r="EO243" s="86"/>
      <c r="EP243" s="86"/>
      <c r="EQ243" s="86"/>
      <c r="ER243" s="86"/>
      <c r="ES243" s="86"/>
      <c r="ET243" s="86"/>
      <c r="EU243" s="86"/>
      <c r="EV243" s="86"/>
      <c r="EW243" s="86"/>
      <c r="EX243" s="86"/>
      <c r="EY243" s="86"/>
      <c r="EZ243" s="86"/>
      <c r="FA243" s="86"/>
    </row>
    <row r="244" spans="2:157" ht="9.75" customHeight="1">
      <c r="B244" s="839"/>
      <c r="C244" s="839"/>
      <c r="D244" s="844"/>
      <c r="E244" s="839"/>
      <c r="F244" s="839"/>
      <c r="G244" s="852"/>
      <c r="H244" s="850"/>
      <c r="J244" s="101"/>
      <c r="K244" s="101"/>
      <c r="L244" s="101"/>
      <c r="Z244" s="86"/>
      <c r="AA244" s="86"/>
      <c r="AB244" s="86"/>
      <c r="AC244" s="86"/>
      <c r="AD244" s="86"/>
      <c r="AE244" s="86"/>
      <c r="AF244" s="86"/>
      <c r="AG244" s="86"/>
      <c r="AH244" s="86"/>
      <c r="AI244" s="86"/>
      <c r="AJ244" s="86"/>
      <c r="AK244" s="86"/>
      <c r="AL244" s="86"/>
      <c r="AM244" s="86"/>
      <c r="AN244" s="86"/>
      <c r="AO244" s="86"/>
      <c r="AP244" s="86"/>
      <c r="AQ244" s="86"/>
      <c r="AR244" s="86"/>
      <c r="AS244" s="86"/>
      <c r="AT244" s="86"/>
      <c r="AU244" s="86"/>
      <c r="AV244" s="86"/>
      <c r="AW244" s="86"/>
      <c r="AX244" s="86"/>
      <c r="AY244" s="86"/>
      <c r="AZ244" s="86"/>
      <c r="BA244" s="86"/>
      <c r="BB244" s="86"/>
      <c r="BC244" s="86"/>
      <c r="BD244" s="86"/>
      <c r="BE244" s="86"/>
      <c r="BF244" s="86"/>
      <c r="BG244" s="86"/>
      <c r="BH244" s="86"/>
      <c r="BI244" s="86"/>
      <c r="BJ244" s="86"/>
      <c r="BK244" s="86"/>
      <c r="BL244" s="86"/>
      <c r="BM244" s="86"/>
      <c r="BN244" s="86"/>
      <c r="BO244" s="86"/>
      <c r="BP244" s="86"/>
      <c r="BQ244" s="86"/>
      <c r="BR244" s="86"/>
      <c r="BS244" s="86"/>
      <c r="BT244" s="86"/>
      <c r="BU244" s="86"/>
      <c r="BV244" s="86"/>
      <c r="BW244" s="86"/>
      <c r="BX244" s="86"/>
      <c r="BY244" s="86"/>
      <c r="BZ244" s="86"/>
      <c r="CA244" s="86"/>
      <c r="CB244" s="86"/>
      <c r="CC244" s="86"/>
      <c r="CD244" s="86"/>
      <c r="CE244" s="86"/>
      <c r="CF244" s="86"/>
      <c r="CG244" s="86"/>
      <c r="CH244" s="86"/>
      <c r="CI244" s="86"/>
      <c r="CJ244" s="86"/>
      <c r="CK244" s="86"/>
      <c r="CL244" s="86"/>
      <c r="CM244" s="86"/>
      <c r="CN244" s="86"/>
      <c r="CO244" s="86"/>
      <c r="CP244" s="86"/>
      <c r="CQ244" s="86"/>
      <c r="CR244" s="86"/>
      <c r="CS244" s="86"/>
      <c r="CT244" s="86"/>
      <c r="CU244" s="86"/>
      <c r="CV244" s="86"/>
      <c r="CW244" s="86"/>
      <c r="CX244" s="86"/>
      <c r="CY244" s="86"/>
      <c r="CZ244" s="86"/>
      <c r="DA244" s="86"/>
      <c r="DB244" s="86"/>
      <c r="DC244" s="86"/>
      <c r="DD244" s="86"/>
      <c r="DE244" s="86"/>
      <c r="DF244" s="86"/>
      <c r="DG244" s="86"/>
      <c r="DH244" s="86"/>
      <c r="DI244" s="86"/>
      <c r="DJ244" s="86"/>
      <c r="DK244" s="86"/>
      <c r="DL244" s="86"/>
      <c r="DM244" s="86"/>
      <c r="DN244" s="86"/>
      <c r="DO244" s="86"/>
      <c r="DP244" s="86"/>
      <c r="DQ244" s="86"/>
      <c r="DR244" s="86"/>
      <c r="DS244" s="86"/>
      <c r="DT244" s="86"/>
      <c r="DU244" s="86"/>
      <c r="DV244" s="86"/>
      <c r="DW244" s="86"/>
      <c r="DX244" s="86"/>
      <c r="DY244" s="86"/>
      <c r="DZ244" s="86"/>
      <c r="EA244" s="86"/>
      <c r="EB244" s="86"/>
      <c r="EC244" s="86"/>
      <c r="ED244" s="86"/>
      <c r="EE244" s="86"/>
      <c r="EF244" s="86"/>
      <c r="EG244" s="86"/>
      <c r="EH244" s="86"/>
      <c r="EI244" s="86"/>
      <c r="EJ244" s="86"/>
      <c r="EK244" s="86"/>
      <c r="EL244" s="86"/>
      <c r="EM244" s="86"/>
      <c r="EN244" s="86"/>
      <c r="EO244" s="86"/>
      <c r="EP244" s="86"/>
      <c r="EQ244" s="86"/>
      <c r="ER244" s="86"/>
      <c r="ES244" s="86"/>
      <c r="ET244" s="86"/>
      <c r="EU244" s="86"/>
      <c r="EV244" s="86"/>
      <c r="EW244" s="86"/>
      <c r="EX244" s="86"/>
      <c r="EY244" s="86"/>
      <c r="EZ244" s="86"/>
      <c r="FA244" s="86"/>
    </row>
    <row r="245" spans="2:157" ht="9.75" customHeight="1">
      <c r="B245" s="844" t="s">
        <v>349</v>
      </c>
      <c r="C245" s="1352" t="s">
        <v>344</v>
      </c>
      <c r="D245" s="1352"/>
      <c r="E245" s="87"/>
      <c r="F245" s="846" t="s">
        <v>170</v>
      </c>
      <c r="G245" s="847" t="s">
        <v>361</v>
      </c>
      <c r="H245" s="846" t="s">
        <v>281</v>
      </c>
      <c r="J245" s="101"/>
      <c r="K245" s="101"/>
      <c r="L245" s="101"/>
      <c r="Z245" s="86"/>
      <c r="AA245" s="86"/>
      <c r="AB245" s="86"/>
      <c r="AC245" s="86"/>
      <c r="AD245" s="86"/>
      <c r="AE245" s="86"/>
      <c r="AF245" s="86"/>
      <c r="AG245" s="86"/>
      <c r="AH245" s="86"/>
      <c r="AI245" s="86"/>
      <c r="AJ245" s="86"/>
      <c r="AK245" s="86"/>
      <c r="AL245" s="86"/>
      <c r="AM245" s="86"/>
      <c r="AN245" s="86"/>
      <c r="AO245" s="86"/>
      <c r="AP245" s="86"/>
      <c r="AQ245" s="86"/>
      <c r="AR245" s="86"/>
      <c r="AS245" s="86"/>
      <c r="AT245" s="86"/>
      <c r="AU245" s="86"/>
      <c r="AV245" s="86"/>
      <c r="AW245" s="86"/>
      <c r="AX245" s="86"/>
      <c r="AY245" s="86"/>
      <c r="AZ245" s="86"/>
      <c r="BA245" s="86"/>
      <c r="BB245" s="86"/>
      <c r="BC245" s="86"/>
      <c r="BD245" s="86"/>
      <c r="BE245" s="86"/>
      <c r="BF245" s="86"/>
      <c r="BG245" s="86"/>
      <c r="BH245" s="86"/>
      <c r="BI245" s="86"/>
      <c r="BJ245" s="86"/>
      <c r="BK245" s="86"/>
      <c r="BL245" s="86"/>
      <c r="BM245" s="86"/>
      <c r="BN245" s="86"/>
      <c r="BO245" s="86"/>
      <c r="BP245" s="86"/>
      <c r="BQ245" s="86"/>
      <c r="BR245" s="86"/>
      <c r="BS245" s="86"/>
      <c r="BT245" s="86"/>
      <c r="BU245" s="86"/>
      <c r="BV245" s="86"/>
      <c r="BW245" s="86"/>
      <c r="BX245" s="86"/>
      <c r="BY245" s="86"/>
      <c r="BZ245" s="86"/>
      <c r="CA245" s="86"/>
      <c r="CB245" s="86"/>
      <c r="CC245" s="86"/>
      <c r="CD245" s="86"/>
      <c r="CE245" s="86"/>
      <c r="CF245" s="86"/>
      <c r="CG245" s="86"/>
      <c r="CH245" s="86"/>
      <c r="CI245" s="86"/>
      <c r="CJ245" s="86"/>
      <c r="CK245" s="86"/>
      <c r="CL245" s="86"/>
      <c r="CM245" s="86"/>
      <c r="CN245" s="86"/>
      <c r="CO245" s="86"/>
      <c r="CP245" s="86"/>
      <c r="CQ245" s="86"/>
      <c r="CR245" s="86"/>
      <c r="CS245" s="86"/>
      <c r="CT245" s="86"/>
      <c r="CU245" s="86"/>
      <c r="CV245" s="86"/>
      <c r="CW245" s="86"/>
      <c r="CX245" s="86"/>
      <c r="CY245" s="86"/>
      <c r="CZ245" s="86"/>
      <c r="DA245" s="86"/>
      <c r="DB245" s="86"/>
      <c r="DC245" s="86"/>
      <c r="DD245" s="86"/>
      <c r="DE245" s="86"/>
      <c r="DF245" s="86"/>
      <c r="DG245" s="86"/>
      <c r="DH245" s="86"/>
      <c r="DI245" s="86"/>
      <c r="DJ245" s="86"/>
      <c r="DK245" s="86"/>
      <c r="DL245" s="86"/>
      <c r="DM245" s="86"/>
      <c r="DN245" s="86"/>
      <c r="DO245" s="86"/>
      <c r="DP245" s="86"/>
      <c r="DQ245" s="86"/>
      <c r="DR245" s="86"/>
      <c r="DS245" s="86"/>
      <c r="DT245" s="86"/>
      <c r="DU245" s="86"/>
      <c r="DV245" s="86"/>
      <c r="DW245" s="86"/>
      <c r="DX245" s="86"/>
      <c r="DY245" s="86"/>
      <c r="DZ245" s="86"/>
      <c r="EA245" s="86"/>
      <c r="EB245" s="86"/>
      <c r="EC245" s="86"/>
      <c r="ED245" s="86"/>
      <c r="EE245" s="86"/>
      <c r="EF245" s="86"/>
      <c r="EG245" s="86"/>
      <c r="EH245" s="86"/>
      <c r="EI245" s="86"/>
      <c r="EJ245" s="86"/>
      <c r="EK245" s="86"/>
      <c r="EL245" s="86"/>
      <c r="EM245" s="86"/>
      <c r="EN245" s="86"/>
      <c r="EO245" s="86"/>
      <c r="EP245" s="86"/>
      <c r="EQ245" s="86"/>
      <c r="ER245" s="86"/>
      <c r="ES245" s="86"/>
      <c r="ET245" s="86"/>
      <c r="EU245" s="86"/>
      <c r="EV245" s="86"/>
      <c r="EW245" s="86"/>
      <c r="EX245" s="86"/>
      <c r="EY245" s="86"/>
      <c r="EZ245" s="86"/>
      <c r="FA245" s="86"/>
    </row>
    <row r="246" spans="2:157" ht="10.050000000000001" customHeight="1">
      <c r="B246" s="845" t="s">
        <v>546</v>
      </c>
      <c r="C246" s="1350" t="s">
        <v>106</v>
      </c>
      <c r="D246" s="1350"/>
      <c r="E246" s="87"/>
      <c r="F246" s="848" t="s">
        <v>546</v>
      </c>
      <c r="G246" s="848" t="s">
        <v>546</v>
      </c>
      <c r="H246" s="1016">
        <v>0.13</v>
      </c>
      <c r="J246" s="101"/>
      <c r="K246" s="101"/>
      <c r="L246" s="101"/>
      <c r="Z246" s="86"/>
      <c r="AA246" s="86"/>
      <c r="AB246" s="86"/>
      <c r="AC246" s="86"/>
      <c r="AD246" s="86"/>
      <c r="AE246" s="86"/>
      <c r="AF246" s="86"/>
      <c r="AG246" s="86"/>
      <c r="AH246" s="86"/>
      <c r="AI246" s="86"/>
      <c r="AJ246" s="86"/>
      <c r="AK246" s="86"/>
      <c r="AL246" s="86"/>
      <c r="AM246" s="86"/>
      <c r="AN246" s="86"/>
      <c r="AO246" s="86"/>
      <c r="AP246" s="86"/>
      <c r="AQ246" s="86"/>
      <c r="AR246" s="86"/>
      <c r="AS246" s="86"/>
      <c r="AT246" s="86"/>
      <c r="AU246" s="86"/>
      <c r="AV246" s="86"/>
      <c r="AW246" s="86"/>
      <c r="AX246" s="86"/>
      <c r="AY246" s="86"/>
      <c r="AZ246" s="86"/>
      <c r="BA246" s="86"/>
      <c r="BB246" s="86"/>
      <c r="BC246" s="86"/>
      <c r="BD246" s="86"/>
      <c r="BE246" s="86"/>
      <c r="BF246" s="86"/>
      <c r="BG246" s="86"/>
      <c r="BH246" s="86"/>
      <c r="BI246" s="86"/>
      <c r="BJ246" s="86"/>
      <c r="BK246" s="86"/>
      <c r="BL246" s="86"/>
      <c r="BM246" s="86"/>
      <c r="BN246" s="86"/>
      <c r="BO246" s="86"/>
      <c r="BP246" s="86"/>
      <c r="BQ246" s="86"/>
      <c r="BR246" s="86"/>
      <c r="BS246" s="86"/>
      <c r="BT246" s="86"/>
      <c r="BU246" s="86"/>
      <c r="BV246" s="86"/>
      <c r="BW246" s="86"/>
      <c r="BX246" s="86"/>
      <c r="BY246" s="86"/>
      <c r="BZ246" s="86"/>
      <c r="CA246" s="86"/>
      <c r="CB246" s="86"/>
      <c r="CC246" s="86"/>
      <c r="CD246" s="86"/>
      <c r="CE246" s="86"/>
      <c r="CF246" s="86"/>
      <c r="CG246" s="86"/>
      <c r="CH246" s="86"/>
      <c r="CI246" s="86"/>
      <c r="CJ246" s="86"/>
      <c r="CK246" s="86"/>
      <c r="CL246" s="86"/>
      <c r="CM246" s="86"/>
      <c r="CN246" s="86"/>
      <c r="CO246" s="86"/>
      <c r="CP246" s="86"/>
      <c r="CQ246" s="86"/>
      <c r="CR246" s="86"/>
      <c r="CS246" s="86"/>
      <c r="CT246" s="86"/>
      <c r="CU246" s="86"/>
      <c r="CV246" s="86"/>
      <c r="CW246" s="86"/>
      <c r="CX246" s="86"/>
      <c r="CY246" s="86"/>
      <c r="CZ246" s="86"/>
      <c r="DA246" s="86"/>
      <c r="DB246" s="86"/>
      <c r="DC246" s="86"/>
      <c r="DD246" s="86"/>
      <c r="DE246" s="86"/>
      <c r="DF246" s="86"/>
      <c r="DG246" s="86"/>
      <c r="DH246" s="86"/>
      <c r="DI246" s="86"/>
      <c r="DJ246" s="86"/>
      <c r="DK246" s="86"/>
      <c r="DL246" s="86"/>
      <c r="DM246" s="86"/>
      <c r="DN246" s="86"/>
      <c r="DO246" s="86"/>
      <c r="DP246" s="86"/>
      <c r="DQ246" s="86"/>
      <c r="DR246" s="86"/>
      <c r="DS246" s="86"/>
      <c r="DT246" s="86"/>
      <c r="DU246" s="86"/>
      <c r="DV246" s="86"/>
      <c r="DW246" s="86"/>
      <c r="DX246" s="86"/>
      <c r="DY246" s="86"/>
      <c r="DZ246" s="86"/>
      <c r="EA246" s="86"/>
      <c r="EB246" s="86"/>
      <c r="EC246" s="86"/>
      <c r="ED246" s="86"/>
      <c r="EE246" s="86"/>
      <c r="EF246" s="86"/>
      <c r="EG246" s="86"/>
      <c r="EH246" s="86"/>
      <c r="EI246" s="86"/>
      <c r="EJ246" s="86"/>
      <c r="EK246" s="86"/>
      <c r="EL246" s="86"/>
      <c r="EM246" s="86"/>
      <c r="EN246" s="86"/>
      <c r="EO246" s="86"/>
      <c r="EP246" s="86"/>
      <c r="EQ246" s="86"/>
      <c r="ER246" s="86"/>
      <c r="ES246" s="86"/>
      <c r="ET246" s="86"/>
      <c r="EU246" s="86"/>
      <c r="EV246" s="86"/>
      <c r="EW246" s="86"/>
      <c r="EX246" s="86"/>
      <c r="EY246" s="86"/>
      <c r="EZ246" s="86"/>
      <c r="FA246" s="86"/>
    </row>
    <row r="247" spans="2:157" ht="9.75" customHeight="1">
      <c r="B247" s="845">
        <v>1</v>
      </c>
      <c r="C247" s="1344"/>
      <c r="D247" s="1344"/>
      <c r="E247" s="1344"/>
      <c r="F247" s="857"/>
      <c r="G247" s="857"/>
      <c r="H247" s="875" t="str">
        <f t="shared" ref="H247:H255" si="11">IF(G247=0,"",(F247/(G247+0.00000000001)))</f>
        <v/>
      </c>
      <c r="J247" s="101"/>
      <c r="K247" s="101"/>
      <c r="L247" s="101"/>
      <c r="Z247" s="86"/>
      <c r="AA247" s="86"/>
      <c r="AB247" s="86"/>
      <c r="AC247" s="86"/>
      <c r="AD247" s="86"/>
      <c r="AE247" s="86"/>
      <c r="AF247" s="86"/>
      <c r="AG247" s="86"/>
      <c r="AH247" s="86"/>
      <c r="AI247" s="86"/>
      <c r="AJ247" s="86"/>
      <c r="AK247" s="86"/>
      <c r="AL247" s="86"/>
      <c r="AM247" s="86"/>
      <c r="AN247" s="86"/>
      <c r="AO247" s="86"/>
      <c r="AP247" s="86"/>
      <c r="AQ247" s="86"/>
      <c r="AR247" s="86"/>
      <c r="AS247" s="86"/>
      <c r="AT247" s="86"/>
      <c r="AU247" s="86"/>
      <c r="AV247" s="86"/>
      <c r="AW247" s="86"/>
      <c r="AX247" s="86"/>
      <c r="AY247" s="86"/>
      <c r="AZ247" s="86"/>
      <c r="BA247" s="86"/>
      <c r="BB247" s="86"/>
      <c r="BC247" s="86"/>
      <c r="BD247" s="86"/>
      <c r="BE247" s="86"/>
      <c r="BF247" s="86"/>
      <c r="BG247" s="86"/>
      <c r="BH247" s="86"/>
      <c r="BI247" s="86"/>
      <c r="BJ247" s="86"/>
      <c r="BK247" s="86"/>
      <c r="BL247" s="86"/>
      <c r="BM247" s="86"/>
      <c r="BN247" s="86"/>
      <c r="BO247" s="86"/>
      <c r="BP247" s="86"/>
      <c r="BQ247" s="86"/>
      <c r="BR247" s="86"/>
      <c r="BS247" s="86"/>
      <c r="BT247" s="86"/>
      <c r="BU247" s="86"/>
      <c r="BV247" s="86"/>
      <c r="BW247" s="86"/>
      <c r="BX247" s="86"/>
      <c r="BY247" s="86"/>
      <c r="BZ247" s="86"/>
      <c r="CA247" s="86"/>
      <c r="CB247" s="86"/>
      <c r="CC247" s="86"/>
      <c r="CD247" s="86"/>
      <c r="CE247" s="86"/>
      <c r="CF247" s="86"/>
      <c r="CG247" s="86"/>
      <c r="CH247" s="86"/>
      <c r="CI247" s="86"/>
      <c r="CJ247" s="86"/>
      <c r="CK247" s="86"/>
      <c r="CL247" s="86"/>
      <c r="CM247" s="86"/>
      <c r="CN247" s="86"/>
      <c r="CO247" s="86"/>
      <c r="CP247" s="86"/>
      <c r="CQ247" s="86"/>
      <c r="CR247" s="86"/>
      <c r="CS247" s="86"/>
      <c r="CT247" s="86"/>
      <c r="CU247" s="86"/>
      <c r="CV247" s="86"/>
      <c r="CW247" s="86"/>
      <c r="CX247" s="86"/>
      <c r="CY247" s="86"/>
      <c r="CZ247" s="86"/>
      <c r="DA247" s="86"/>
      <c r="DB247" s="86"/>
      <c r="DC247" s="86"/>
      <c r="DD247" s="86"/>
      <c r="DE247" s="86"/>
      <c r="DF247" s="86"/>
      <c r="DG247" s="86"/>
      <c r="DH247" s="86"/>
      <c r="DI247" s="86"/>
      <c r="DJ247" s="86"/>
      <c r="DK247" s="86"/>
      <c r="DL247" s="86"/>
      <c r="DM247" s="86"/>
      <c r="DN247" s="86"/>
      <c r="DO247" s="86"/>
      <c r="DP247" s="86"/>
      <c r="DQ247" s="86"/>
      <c r="DR247" s="86"/>
      <c r="DS247" s="86"/>
      <c r="DT247" s="86"/>
      <c r="DU247" s="86"/>
      <c r="DV247" s="86"/>
      <c r="DW247" s="86"/>
      <c r="DX247" s="86"/>
      <c r="DY247" s="86"/>
      <c r="DZ247" s="86"/>
      <c r="EA247" s="86"/>
      <c r="EB247" s="86"/>
      <c r="EC247" s="86"/>
      <c r="ED247" s="86"/>
      <c r="EE247" s="86"/>
      <c r="EF247" s="86"/>
      <c r="EG247" s="86"/>
      <c r="EH247" s="86"/>
      <c r="EI247" s="86"/>
      <c r="EJ247" s="86"/>
      <c r="EK247" s="86"/>
      <c r="EL247" s="86"/>
      <c r="EM247" s="86"/>
      <c r="EN247" s="86"/>
      <c r="EO247" s="86"/>
      <c r="EP247" s="86"/>
      <c r="EQ247" s="86"/>
      <c r="ER247" s="86"/>
      <c r="ES247" s="86"/>
      <c r="ET247" s="86"/>
      <c r="EU247" s="86"/>
      <c r="EV247" s="86"/>
      <c r="EW247" s="86"/>
      <c r="EX247" s="86"/>
      <c r="EY247" s="86"/>
      <c r="EZ247" s="86"/>
      <c r="FA247" s="86"/>
    </row>
    <row r="248" spans="2:157" ht="9.75" customHeight="1">
      <c r="B248" s="845">
        <v>2</v>
      </c>
      <c r="C248" s="1344"/>
      <c r="D248" s="1344"/>
      <c r="E248" s="1344"/>
      <c r="F248" s="857"/>
      <c r="G248" s="857"/>
      <c r="H248" s="875" t="str">
        <f t="shared" si="11"/>
        <v/>
      </c>
      <c r="J248" s="101"/>
      <c r="K248" s="101"/>
      <c r="L248" s="101"/>
      <c r="Z248" s="86"/>
      <c r="AA248" s="86"/>
      <c r="AB248" s="86"/>
      <c r="AC248" s="86"/>
      <c r="AD248" s="86"/>
      <c r="AE248" s="86"/>
      <c r="AF248" s="86"/>
      <c r="AG248" s="86"/>
      <c r="AH248" s="86"/>
      <c r="AI248" s="86"/>
      <c r="AJ248" s="86"/>
      <c r="AK248" s="86"/>
      <c r="AL248" s="86"/>
      <c r="AM248" s="86"/>
      <c r="AN248" s="86"/>
      <c r="AO248" s="86"/>
      <c r="AP248" s="86"/>
      <c r="AQ248" s="86"/>
      <c r="AR248" s="86"/>
      <c r="AS248" s="86"/>
      <c r="AT248" s="86"/>
      <c r="AU248" s="86"/>
      <c r="AV248" s="86"/>
      <c r="AW248" s="86"/>
      <c r="AX248" s="86"/>
      <c r="AY248" s="86"/>
      <c r="AZ248" s="86"/>
      <c r="BA248" s="86"/>
      <c r="BB248" s="86"/>
      <c r="BC248" s="86"/>
      <c r="BD248" s="86"/>
      <c r="BE248" s="86"/>
      <c r="BF248" s="86"/>
      <c r="BG248" s="86"/>
      <c r="BH248" s="86"/>
      <c r="BI248" s="86"/>
      <c r="BJ248" s="86"/>
      <c r="BK248" s="86"/>
      <c r="BL248" s="86"/>
      <c r="BM248" s="86"/>
      <c r="BN248" s="86"/>
      <c r="BO248" s="86"/>
      <c r="BP248" s="86"/>
      <c r="BQ248" s="86"/>
      <c r="BR248" s="86"/>
      <c r="BS248" s="86"/>
      <c r="BT248" s="86"/>
      <c r="BU248" s="86"/>
      <c r="BV248" s="86"/>
      <c r="BW248" s="86"/>
      <c r="BX248" s="86"/>
      <c r="BY248" s="86"/>
      <c r="BZ248" s="86"/>
      <c r="CA248" s="86"/>
      <c r="CB248" s="86"/>
      <c r="CC248" s="86"/>
      <c r="CD248" s="86"/>
      <c r="CE248" s="86"/>
      <c r="CF248" s="86"/>
      <c r="CG248" s="86"/>
      <c r="CH248" s="86"/>
      <c r="CI248" s="86"/>
      <c r="CJ248" s="86"/>
      <c r="CK248" s="86"/>
      <c r="CL248" s="86"/>
      <c r="CM248" s="86"/>
      <c r="CN248" s="86"/>
      <c r="CO248" s="86"/>
      <c r="CP248" s="86"/>
      <c r="CQ248" s="86"/>
      <c r="CR248" s="86"/>
      <c r="CS248" s="86"/>
      <c r="CT248" s="86"/>
      <c r="CU248" s="86"/>
      <c r="CV248" s="86"/>
      <c r="CW248" s="86"/>
      <c r="CX248" s="86"/>
      <c r="CY248" s="86"/>
      <c r="CZ248" s="86"/>
      <c r="DA248" s="86"/>
      <c r="DB248" s="86"/>
      <c r="DC248" s="86"/>
      <c r="DD248" s="86"/>
      <c r="DE248" s="86"/>
      <c r="DF248" s="86"/>
      <c r="DG248" s="86"/>
      <c r="DH248" s="86"/>
      <c r="DI248" s="86"/>
      <c r="DJ248" s="86"/>
      <c r="DK248" s="86"/>
      <c r="DL248" s="86"/>
      <c r="DM248" s="86"/>
      <c r="DN248" s="86"/>
      <c r="DO248" s="86"/>
      <c r="DP248" s="86"/>
      <c r="DQ248" s="86"/>
      <c r="DR248" s="86"/>
      <c r="DS248" s="86"/>
      <c r="DT248" s="86"/>
      <c r="DU248" s="86"/>
      <c r="DV248" s="86"/>
      <c r="DW248" s="86"/>
      <c r="DX248" s="86"/>
      <c r="DY248" s="86"/>
      <c r="DZ248" s="86"/>
      <c r="EA248" s="86"/>
      <c r="EB248" s="86"/>
      <c r="EC248" s="86"/>
      <c r="ED248" s="86"/>
      <c r="EE248" s="86"/>
      <c r="EF248" s="86"/>
      <c r="EG248" s="86"/>
      <c r="EH248" s="86"/>
      <c r="EI248" s="86"/>
      <c r="EJ248" s="86"/>
      <c r="EK248" s="86"/>
      <c r="EL248" s="86"/>
      <c r="EM248" s="86"/>
      <c r="EN248" s="86"/>
      <c r="EO248" s="86"/>
      <c r="EP248" s="86"/>
      <c r="EQ248" s="86"/>
      <c r="ER248" s="86"/>
      <c r="ES248" s="86"/>
      <c r="ET248" s="86"/>
      <c r="EU248" s="86"/>
      <c r="EV248" s="86"/>
      <c r="EW248" s="86"/>
      <c r="EX248" s="86"/>
      <c r="EY248" s="86"/>
      <c r="EZ248" s="86"/>
      <c r="FA248" s="86"/>
    </row>
    <row r="249" spans="2:157" ht="9.75" customHeight="1">
      <c r="B249" s="845">
        <v>3</v>
      </c>
      <c r="C249" s="1344"/>
      <c r="D249" s="1344"/>
      <c r="E249" s="1344"/>
      <c r="F249" s="857"/>
      <c r="G249" s="857"/>
      <c r="H249" s="875" t="str">
        <f t="shared" si="11"/>
        <v/>
      </c>
      <c r="J249" s="101"/>
      <c r="K249" s="101"/>
      <c r="L249" s="101"/>
      <c r="Z249" s="86"/>
      <c r="AA249" s="86"/>
      <c r="AB249" s="86"/>
      <c r="AC249" s="86"/>
      <c r="AD249" s="86"/>
      <c r="AE249" s="86"/>
      <c r="AF249" s="86"/>
      <c r="AG249" s="86"/>
      <c r="AH249" s="86"/>
      <c r="AI249" s="86"/>
      <c r="AJ249" s="86"/>
      <c r="AK249" s="86"/>
      <c r="AL249" s="86"/>
      <c r="AM249" s="86"/>
      <c r="AN249" s="86"/>
      <c r="AO249" s="86"/>
      <c r="AP249" s="86"/>
      <c r="AQ249" s="86"/>
      <c r="AR249" s="86"/>
      <c r="AS249" s="86"/>
      <c r="AT249" s="86"/>
      <c r="AU249" s="86"/>
      <c r="AV249" s="86"/>
      <c r="AW249" s="86"/>
      <c r="AX249" s="86"/>
      <c r="AY249" s="86"/>
      <c r="AZ249" s="86"/>
      <c r="BA249" s="86"/>
      <c r="BB249" s="86"/>
      <c r="BC249" s="86"/>
      <c r="BD249" s="86"/>
      <c r="BE249" s="86"/>
      <c r="BF249" s="86"/>
      <c r="BG249" s="86"/>
      <c r="BH249" s="86"/>
      <c r="BI249" s="86"/>
      <c r="BJ249" s="86"/>
      <c r="BK249" s="86"/>
      <c r="BL249" s="86"/>
      <c r="BM249" s="86"/>
      <c r="BN249" s="86"/>
      <c r="BO249" s="86"/>
      <c r="BP249" s="86"/>
      <c r="BQ249" s="86"/>
      <c r="BR249" s="86"/>
      <c r="BS249" s="86"/>
      <c r="BT249" s="86"/>
      <c r="BU249" s="86"/>
      <c r="BV249" s="86"/>
      <c r="BW249" s="86"/>
      <c r="BX249" s="86"/>
      <c r="BY249" s="86"/>
      <c r="BZ249" s="86"/>
      <c r="CA249" s="86"/>
      <c r="CB249" s="86"/>
      <c r="CC249" s="86"/>
      <c r="CD249" s="86"/>
      <c r="CE249" s="86"/>
      <c r="CF249" s="86"/>
      <c r="CG249" s="86"/>
      <c r="CH249" s="86"/>
      <c r="CI249" s="86"/>
      <c r="CJ249" s="86"/>
      <c r="CK249" s="86"/>
      <c r="CL249" s="86"/>
      <c r="CM249" s="86"/>
      <c r="CN249" s="86"/>
      <c r="CO249" s="86"/>
      <c r="CP249" s="86"/>
      <c r="CQ249" s="86"/>
      <c r="CR249" s="86"/>
      <c r="CS249" s="86"/>
      <c r="CT249" s="86"/>
      <c r="CU249" s="86"/>
      <c r="CV249" s="86"/>
      <c r="CW249" s="86"/>
      <c r="CX249" s="86"/>
      <c r="CY249" s="86"/>
      <c r="CZ249" s="86"/>
      <c r="DA249" s="86"/>
      <c r="DB249" s="86"/>
      <c r="DC249" s="86"/>
      <c r="DD249" s="86"/>
      <c r="DE249" s="86"/>
      <c r="DF249" s="86"/>
      <c r="DG249" s="86"/>
      <c r="DH249" s="86"/>
      <c r="DI249" s="86"/>
      <c r="DJ249" s="86"/>
      <c r="DK249" s="86"/>
      <c r="DL249" s="86"/>
      <c r="DM249" s="86"/>
      <c r="DN249" s="86"/>
      <c r="DO249" s="86"/>
      <c r="DP249" s="86"/>
      <c r="DQ249" s="86"/>
      <c r="DR249" s="86"/>
      <c r="DS249" s="86"/>
      <c r="DT249" s="86"/>
      <c r="DU249" s="86"/>
      <c r="DV249" s="86"/>
      <c r="DW249" s="86"/>
      <c r="DX249" s="86"/>
      <c r="DY249" s="86"/>
      <c r="DZ249" s="86"/>
      <c r="EA249" s="86"/>
      <c r="EB249" s="86"/>
      <c r="EC249" s="86"/>
      <c r="ED249" s="86"/>
      <c r="EE249" s="86"/>
      <c r="EF249" s="86"/>
      <c r="EG249" s="86"/>
      <c r="EH249" s="86"/>
      <c r="EI249" s="86"/>
      <c r="EJ249" s="86"/>
      <c r="EK249" s="86"/>
      <c r="EL249" s="86"/>
      <c r="EM249" s="86"/>
      <c r="EN249" s="86"/>
      <c r="EO249" s="86"/>
      <c r="EP249" s="86"/>
      <c r="EQ249" s="86"/>
      <c r="ER249" s="86"/>
      <c r="ES249" s="86"/>
      <c r="ET249" s="86"/>
      <c r="EU249" s="86"/>
      <c r="EV249" s="86"/>
      <c r="EW249" s="86"/>
      <c r="EX249" s="86"/>
      <c r="EY249" s="86"/>
      <c r="EZ249" s="86"/>
      <c r="FA249" s="86"/>
    </row>
    <row r="250" spans="2:157" ht="9.75" customHeight="1">
      <c r="B250" s="845">
        <v>4</v>
      </c>
      <c r="C250" s="1344"/>
      <c r="D250" s="1344"/>
      <c r="E250" s="1344"/>
      <c r="F250" s="857"/>
      <c r="G250" s="857"/>
      <c r="H250" s="875" t="str">
        <f t="shared" si="11"/>
        <v/>
      </c>
      <c r="J250" s="101"/>
      <c r="K250" s="101"/>
      <c r="L250" s="101"/>
      <c r="Z250" s="86"/>
      <c r="AA250" s="86"/>
      <c r="AB250" s="86"/>
      <c r="AC250" s="86"/>
      <c r="AD250" s="86"/>
      <c r="AE250" s="86"/>
      <c r="AF250" s="86"/>
      <c r="AG250" s="86"/>
      <c r="AH250" s="86"/>
      <c r="AI250" s="86"/>
      <c r="AJ250" s="86"/>
      <c r="AK250" s="86"/>
      <c r="AL250" s="86"/>
      <c r="AM250" s="86"/>
      <c r="AN250" s="86"/>
      <c r="AO250" s="86"/>
      <c r="AP250" s="86"/>
      <c r="AQ250" s="86"/>
      <c r="AR250" s="86"/>
      <c r="AS250" s="86"/>
      <c r="AT250" s="86"/>
      <c r="AU250" s="86"/>
      <c r="AV250" s="86"/>
      <c r="AW250" s="86"/>
      <c r="AX250" s="86"/>
      <c r="AY250" s="86"/>
      <c r="AZ250" s="86"/>
      <c r="BA250" s="86"/>
      <c r="BB250" s="86"/>
      <c r="BC250" s="86"/>
      <c r="BD250" s="86"/>
      <c r="BE250" s="86"/>
      <c r="BF250" s="86"/>
      <c r="BG250" s="86"/>
      <c r="BH250" s="86"/>
      <c r="BI250" s="86"/>
      <c r="BJ250" s="86"/>
      <c r="BK250" s="86"/>
      <c r="BL250" s="86"/>
      <c r="BM250" s="86"/>
      <c r="BN250" s="86"/>
      <c r="BO250" s="86"/>
      <c r="BP250" s="86"/>
      <c r="BQ250" s="86"/>
      <c r="BR250" s="86"/>
      <c r="BS250" s="86"/>
      <c r="BT250" s="86"/>
      <c r="BU250" s="86"/>
      <c r="BV250" s="86"/>
      <c r="BW250" s="86"/>
      <c r="BX250" s="86"/>
      <c r="BY250" s="86"/>
      <c r="BZ250" s="86"/>
      <c r="CA250" s="86"/>
      <c r="CB250" s="86"/>
      <c r="CC250" s="86"/>
      <c r="CD250" s="86"/>
      <c r="CE250" s="86"/>
      <c r="CF250" s="86"/>
      <c r="CG250" s="86"/>
      <c r="CH250" s="86"/>
      <c r="CI250" s="86"/>
      <c r="CJ250" s="86"/>
      <c r="CK250" s="86"/>
      <c r="CL250" s="86"/>
      <c r="CM250" s="86"/>
      <c r="CN250" s="86"/>
      <c r="CO250" s="86"/>
      <c r="CP250" s="86"/>
      <c r="CQ250" s="86"/>
      <c r="CR250" s="86"/>
      <c r="CS250" s="86"/>
      <c r="CT250" s="86"/>
      <c r="CU250" s="86"/>
      <c r="CV250" s="86"/>
      <c r="CW250" s="86"/>
      <c r="CX250" s="86"/>
      <c r="CY250" s="86"/>
      <c r="CZ250" s="86"/>
      <c r="DA250" s="86"/>
      <c r="DB250" s="86"/>
      <c r="DC250" s="86"/>
      <c r="DD250" s="86"/>
      <c r="DE250" s="86"/>
      <c r="DF250" s="86"/>
      <c r="DG250" s="86"/>
      <c r="DH250" s="86"/>
      <c r="DI250" s="86"/>
      <c r="DJ250" s="86"/>
      <c r="DK250" s="86"/>
      <c r="DL250" s="86"/>
      <c r="DM250" s="86"/>
      <c r="DN250" s="86"/>
      <c r="DO250" s="86"/>
      <c r="DP250" s="86"/>
      <c r="DQ250" s="86"/>
      <c r="DR250" s="86"/>
      <c r="DS250" s="86"/>
      <c r="DT250" s="86"/>
      <c r="DU250" s="86"/>
      <c r="DV250" s="86"/>
      <c r="DW250" s="86"/>
      <c r="DX250" s="86"/>
      <c r="DY250" s="86"/>
      <c r="DZ250" s="86"/>
      <c r="EA250" s="86"/>
      <c r="EB250" s="86"/>
      <c r="EC250" s="86"/>
      <c r="ED250" s="86"/>
      <c r="EE250" s="86"/>
      <c r="EF250" s="86"/>
      <c r="EG250" s="86"/>
      <c r="EH250" s="86"/>
      <c r="EI250" s="86"/>
      <c r="EJ250" s="86"/>
      <c r="EK250" s="86"/>
      <c r="EL250" s="86"/>
      <c r="EM250" s="86"/>
      <c r="EN250" s="86"/>
      <c r="EO250" s="86"/>
      <c r="EP250" s="86"/>
      <c r="EQ250" s="86"/>
      <c r="ER250" s="86"/>
      <c r="ES250" s="86"/>
      <c r="ET250" s="86"/>
      <c r="EU250" s="86"/>
      <c r="EV250" s="86"/>
      <c r="EW250" s="86"/>
      <c r="EX250" s="86"/>
      <c r="EY250" s="86"/>
      <c r="EZ250" s="86"/>
      <c r="FA250" s="86"/>
    </row>
    <row r="251" spans="2:157" ht="9.75" customHeight="1">
      <c r="B251" s="845">
        <v>5</v>
      </c>
      <c r="C251" s="1344"/>
      <c r="D251" s="1344"/>
      <c r="E251" s="1344"/>
      <c r="F251" s="857"/>
      <c r="G251" s="857"/>
      <c r="H251" s="875" t="str">
        <f t="shared" si="11"/>
        <v/>
      </c>
      <c r="J251" s="101"/>
      <c r="K251" s="101"/>
      <c r="L251" s="101"/>
      <c r="Z251" s="86"/>
      <c r="AA251" s="86"/>
      <c r="AB251" s="86"/>
      <c r="AC251" s="86"/>
      <c r="AD251" s="86"/>
      <c r="AE251" s="86"/>
      <c r="AF251" s="86"/>
      <c r="AG251" s="86"/>
      <c r="AH251" s="86"/>
      <c r="AI251" s="86"/>
      <c r="AJ251" s="86"/>
      <c r="AK251" s="86"/>
      <c r="AL251" s="86"/>
      <c r="AM251" s="86"/>
      <c r="AN251" s="86"/>
      <c r="AO251" s="86"/>
      <c r="AP251" s="86"/>
      <c r="AQ251" s="86"/>
      <c r="AR251" s="86"/>
      <c r="AS251" s="86"/>
      <c r="AT251" s="86"/>
      <c r="AU251" s="86"/>
      <c r="AV251" s="86"/>
      <c r="AW251" s="86"/>
      <c r="AX251" s="86"/>
      <c r="AY251" s="86"/>
      <c r="AZ251" s="86"/>
      <c r="BA251" s="86"/>
      <c r="BB251" s="86"/>
      <c r="BC251" s="86"/>
      <c r="BD251" s="86"/>
      <c r="BE251" s="86"/>
      <c r="BF251" s="86"/>
      <c r="BG251" s="86"/>
      <c r="BH251" s="86"/>
      <c r="BI251" s="86"/>
      <c r="BJ251" s="86"/>
      <c r="BK251" s="86"/>
      <c r="BL251" s="86"/>
      <c r="BM251" s="86"/>
      <c r="BN251" s="86"/>
      <c r="BO251" s="86"/>
      <c r="BP251" s="86"/>
      <c r="BQ251" s="86"/>
      <c r="BR251" s="86"/>
      <c r="BS251" s="86"/>
      <c r="BT251" s="86"/>
      <c r="BU251" s="86"/>
      <c r="BV251" s="86"/>
      <c r="BW251" s="86"/>
      <c r="BX251" s="86"/>
      <c r="BY251" s="86"/>
      <c r="BZ251" s="86"/>
      <c r="CA251" s="86"/>
      <c r="CB251" s="86"/>
      <c r="CC251" s="86"/>
      <c r="CD251" s="86"/>
      <c r="CE251" s="86"/>
      <c r="CF251" s="86"/>
      <c r="CG251" s="86"/>
      <c r="CH251" s="86"/>
      <c r="CI251" s="86"/>
      <c r="CJ251" s="86"/>
      <c r="CK251" s="86"/>
      <c r="CL251" s="86"/>
      <c r="CM251" s="86"/>
      <c r="CN251" s="86"/>
      <c r="CO251" s="86"/>
      <c r="CP251" s="86"/>
      <c r="CQ251" s="86"/>
      <c r="CR251" s="86"/>
      <c r="CS251" s="86"/>
      <c r="CT251" s="86"/>
      <c r="CU251" s="86"/>
      <c r="CV251" s="86"/>
      <c r="CW251" s="86"/>
      <c r="CX251" s="86"/>
      <c r="CY251" s="86"/>
      <c r="CZ251" s="86"/>
      <c r="DA251" s="86"/>
      <c r="DB251" s="86"/>
      <c r="DC251" s="86"/>
      <c r="DD251" s="86"/>
      <c r="DE251" s="86"/>
      <c r="DF251" s="86"/>
      <c r="DG251" s="86"/>
      <c r="DH251" s="86"/>
      <c r="DI251" s="86"/>
      <c r="DJ251" s="86"/>
      <c r="DK251" s="86"/>
      <c r="DL251" s="86"/>
      <c r="DM251" s="86"/>
      <c r="DN251" s="86"/>
      <c r="DO251" s="86"/>
      <c r="DP251" s="86"/>
      <c r="DQ251" s="86"/>
      <c r="DR251" s="86"/>
      <c r="DS251" s="86"/>
      <c r="DT251" s="86"/>
      <c r="DU251" s="86"/>
      <c r="DV251" s="86"/>
      <c r="DW251" s="86"/>
      <c r="DX251" s="86"/>
      <c r="DY251" s="86"/>
      <c r="DZ251" s="86"/>
      <c r="EA251" s="86"/>
      <c r="EB251" s="86"/>
      <c r="EC251" s="86"/>
      <c r="ED251" s="86"/>
      <c r="EE251" s="86"/>
      <c r="EF251" s="86"/>
      <c r="EG251" s="86"/>
      <c r="EH251" s="86"/>
      <c r="EI251" s="86"/>
      <c r="EJ251" s="86"/>
      <c r="EK251" s="86"/>
      <c r="EL251" s="86"/>
      <c r="EM251" s="86"/>
      <c r="EN251" s="86"/>
      <c r="EO251" s="86"/>
      <c r="EP251" s="86"/>
      <c r="EQ251" s="86"/>
      <c r="ER251" s="86"/>
      <c r="ES251" s="86"/>
      <c r="ET251" s="86"/>
      <c r="EU251" s="86"/>
      <c r="EV251" s="86"/>
      <c r="EW251" s="86"/>
      <c r="EX251" s="86"/>
      <c r="EY251" s="86"/>
      <c r="EZ251" s="86"/>
      <c r="FA251" s="86"/>
    </row>
    <row r="252" spans="2:157" ht="9.75" customHeight="1">
      <c r="B252" s="845">
        <v>6</v>
      </c>
      <c r="C252" s="1344"/>
      <c r="D252" s="1344"/>
      <c r="E252" s="1344"/>
      <c r="F252" s="857"/>
      <c r="G252" s="857"/>
      <c r="H252" s="875" t="str">
        <f t="shared" si="11"/>
        <v/>
      </c>
      <c r="J252" s="101"/>
      <c r="K252" s="101"/>
      <c r="L252" s="101"/>
      <c r="Z252" s="86"/>
      <c r="AA252" s="86"/>
      <c r="AB252" s="86"/>
      <c r="AC252" s="86"/>
      <c r="AD252" s="86"/>
      <c r="AE252" s="86"/>
      <c r="AF252" s="86"/>
      <c r="AG252" s="86"/>
      <c r="AH252" s="86"/>
      <c r="AI252" s="86"/>
      <c r="AJ252" s="86"/>
      <c r="AK252" s="86"/>
      <c r="AL252" s="86"/>
      <c r="AM252" s="86"/>
      <c r="AN252" s="86"/>
      <c r="AO252" s="86"/>
      <c r="AP252" s="86"/>
      <c r="AQ252" s="86"/>
      <c r="AR252" s="86"/>
      <c r="AS252" s="86"/>
      <c r="AT252" s="86"/>
      <c r="AU252" s="86"/>
      <c r="AV252" s="86"/>
      <c r="AW252" s="86"/>
      <c r="AX252" s="86"/>
      <c r="AY252" s="86"/>
      <c r="AZ252" s="86"/>
      <c r="BA252" s="86"/>
      <c r="BB252" s="86"/>
      <c r="BC252" s="86"/>
      <c r="BD252" s="86"/>
      <c r="BE252" s="86"/>
      <c r="BF252" s="86"/>
      <c r="BG252" s="86"/>
      <c r="BH252" s="86"/>
      <c r="BI252" s="86"/>
      <c r="BJ252" s="86"/>
      <c r="BK252" s="86"/>
      <c r="BL252" s="86"/>
      <c r="BM252" s="86"/>
      <c r="BN252" s="86"/>
      <c r="BO252" s="86"/>
      <c r="BP252" s="86"/>
      <c r="BQ252" s="86"/>
      <c r="BR252" s="86"/>
      <c r="BS252" s="86"/>
      <c r="BT252" s="86"/>
      <c r="BU252" s="86"/>
      <c r="BV252" s="86"/>
      <c r="BW252" s="86"/>
      <c r="BX252" s="86"/>
      <c r="BY252" s="86"/>
      <c r="BZ252" s="86"/>
      <c r="CA252" s="86"/>
      <c r="CB252" s="86"/>
      <c r="CC252" s="86"/>
      <c r="CD252" s="86"/>
      <c r="CE252" s="86"/>
      <c r="CF252" s="86"/>
      <c r="CG252" s="86"/>
      <c r="CH252" s="86"/>
      <c r="CI252" s="86"/>
      <c r="CJ252" s="86"/>
      <c r="CK252" s="86"/>
      <c r="CL252" s="86"/>
      <c r="CM252" s="86"/>
      <c r="CN252" s="86"/>
      <c r="CO252" s="86"/>
      <c r="CP252" s="86"/>
      <c r="CQ252" s="86"/>
      <c r="CR252" s="86"/>
      <c r="CS252" s="86"/>
      <c r="CT252" s="86"/>
      <c r="CU252" s="86"/>
      <c r="CV252" s="86"/>
      <c r="CW252" s="86"/>
      <c r="CX252" s="86"/>
      <c r="CY252" s="86"/>
      <c r="CZ252" s="86"/>
      <c r="DA252" s="86"/>
      <c r="DB252" s="86"/>
      <c r="DC252" s="86"/>
      <c r="DD252" s="86"/>
      <c r="DE252" s="86"/>
      <c r="DF252" s="86"/>
      <c r="DG252" s="86"/>
      <c r="DH252" s="86"/>
      <c r="DI252" s="86"/>
      <c r="DJ252" s="86"/>
      <c r="DK252" s="86"/>
      <c r="DL252" s="86"/>
      <c r="DM252" s="86"/>
      <c r="DN252" s="86"/>
      <c r="DO252" s="86"/>
      <c r="DP252" s="86"/>
      <c r="DQ252" s="86"/>
      <c r="DR252" s="86"/>
      <c r="DS252" s="86"/>
      <c r="DT252" s="86"/>
      <c r="DU252" s="86"/>
      <c r="DV252" s="86"/>
      <c r="DW252" s="86"/>
      <c r="DX252" s="86"/>
      <c r="DY252" s="86"/>
      <c r="DZ252" s="86"/>
      <c r="EA252" s="86"/>
      <c r="EB252" s="86"/>
      <c r="EC252" s="86"/>
      <c r="ED252" s="86"/>
      <c r="EE252" s="86"/>
      <c r="EF252" s="86"/>
      <c r="EG252" s="86"/>
      <c r="EH252" s="86"/>
      <c r="EI252" s="86"/>
      <c r="EJ252" s="86"/>
      <c r="EK252" s="86"/>
      <c r="EL252" s="86"/>
      <c r="EM252" s="86"/>
      <c r="EN252" s="86"/>
      <c r="EO252" s="86"/>
      <c r="EP252" s="86"/>
      <c r="EQ252" s="86"/>
      <c r="ER252" s="86"/>
      <c r="ES252" s="86"/>
      <c r="ET252" s="86"/>
      <c r="EU252" s="86"/>
      <c r="EV252" s="86"/>
      <c r="EW252" s="86"/>
      <c r="EX252" s="86"/>
      <c r="EY252" s="86"/>
      <c r="EZ252" s="86"/>
      <c r="FA252" s="86"/>
    </row>
    <row r="253" spans="2:157" ht="9.75" customHeight="1">
      <c r="B253" s="845">
        <v>7</v>
      </c>
      <c r="C253" s="1344"/>
      <c r="D253" s="1344"/>
      <c r="E253" s="1344"/>
      <c r="F253" s="857"/>
      <c r="G253" s="857"/>
      <c r="H253" s="875" t="str">
        <f t="shared" si="11"/>
        <v/>
      </c>
      <c r="J253" s="101"/>
      <c r="K253" s="101"/>
      <c r="L253" s="101"/>
      <c r="Z253" s="86"/>
      <c r="AA253" s="86"/>
      <c r="AB253" s="86"/>
      <c r="AC253" s="86"/>
      <c r="AD253" s="86"/>
      <c r="AE253" s="86"/>
      <c r="AF253" s="86"/>
      <c r="AG253" s="86"/>
      <c r="AH253" s="86"/>
      <c r="AI253" s="86"/>
      <c r="AJ253" s="86"/>
      <c r="AK253" s="86"/>
      <c r="AL253" s="86"/>
      <c r="AM253" s="86"/>
      <c r="AN253" s="86"/>
      <c r="AO253" s="86"/>
      <c r="AP253" s="86"/>
      <c r="AQ253" s="86"/>
      <c r="AR253" s="86"/>
      <c r="AS253" s="86"/>
      <c r="AT253" s="86"/>
      <c r="AU253" s="86"/>
      <c r="AV253" s="86"/>
      <c r="AW253" s="86"/>
      <c r="AX253" s="86"/>
      <c r="AY253" s="86"/>
      <c r="AZ253" s="86"/>
      <c r="BA253" s="86"/>
      <c r="BB253" s="86"/>
      <c r="BC253" s="86"/>
      <c r="BD253" s="86"/>
      <c r="BE253" s="86"/>
      <c r="BF253" s="86"/>
      <c r="BG253" s="86"/>
      <c r="BH253" s="86"/>
      <c r="BI253" s="86"/>
      <c r="BJ253" s="86"/>
      <c r="BK253" s="86"/>
      <c r="BL253" s="86"/>
      <c r="BM253" s="86"/>
      <c r="BN253" s="86"/>
      <c r="BO253" s="86"/>
      <c r="BP253" s="86"/>
      <c r="BQ253" s="86"/>
      <c r="BR253" s="86"/>
      <c r="BS253" s="86"/>
      <c r="BT253" s="86"/>
      <c r="BU253" s="86"/>
      <c r="BV253" s="86"/>
      <c r="BW253" s="86"/>
      <c r="BX253" s="86"/>
      <c r="BY253" s="86"/>
      <c r="BZ253" s="86"/>
      <c r="CA253" s="86"/>
      <c r="CB253" s="86"/>
      <c r="CC253" s="86"/>
      <c r="CD253" s="86"/>
      <c r="CE253" s="86"/>
      <c r="CF253" s="86"/>
      <c r="CG253" s="86"/>
      <c r="CH253" s="86"/>
      <c r="CI253" s="86"/>
      <c r="CJ253" s="86"/>
      <c r="CK253" s="86"/>
      <c r="CL253" s="86"/>
      <c r="CM253" s="86"/>
      <c r="CN253" s="86"/>
      <c r="CO253" s="86"/>
      <c r="CP253" s="86"/>
      <c r="CQ253" s="86"/>
      <c r="CR253" s="86"/>
      <c r="CS253" s="86"/>
      <c r="CT253" s="86"/>
      <c r="CU253" s="86"/>
      <c r="CV253" s="86"/>
      <c r="CW253" s="86"/>
      <c r="CX253" s="86"/>
      <c r="CY253" s="86"/>
      <c r="CZ253" s="86"/>
      <c r="DA253" s="86"/>
      <c r="DB253" s="86"/>
      <c r="DC253" s="86"/>
      <c r="DD253" s="86"/>
      <c r="DE253" s="86"/>
      <c r="DF253" s="86"/>
      <c r="DG253" s="86"/>
      <c r="DH253" s="86"/>
      <c r="DI253" s="86"/>
      <c r="DJ253" s="86"/>
      <c r="DK253" s="86"/>
      <c r="DL253" s="86"/>
      <c r="DM253" s="86"/>
      <c r="DN253" s="86"/>
      <c r="DO253" s="86"/>
      <c r="DP253" s="86"/>
      <c r="DQ253" s="86"/>
      <c r="DR253" s="86"/>
      <c r="DS253" s="86"/>
      <c r="DT253" s="86"/>
      <c r="DU253" s="86"/>
      <c r="DV253" s="86"/>
      <c r="DW253" s="86"/>
      <c r="DX253" s="86"/>
      <c r="DY253" s="86"/>
      <c r="DZ253" s="86"/>
      <c r="EA253" s="86"/>
      <c r="EB253" s="86"/>
      <c r="EC253" s="86"/>
      <c r="ED253" s="86"/>
      <c r="EE253" s="86"/>
      <c r="EF253" s="86"/>
      <c r="EG253" s="86"/>
      <c r="EH253" s="86"/>
      <c r="EI253" s="86"/>
      <c r="EJ253" s="86"/>
      <c r="EK253" s="86"/>
      <c r="EL253" s="86"/>
      <c r="EM253" s="86"/>
      <c r="EN253" s="86"/>
      <c r="EO253" s="86"/>
      <c r="EP253" s="86"/>
      <c r="EQ253" s="86"/>
      <c r="ER253" s="86"/>
      <c r="ES253" s="86"/>
      <c r="ET253" s="86"/>
      <c r="EU253" s="86"/>
      <c r="EV253" s="86"/>
      <c r="EW253" s="86"/>
      <c r="EX253" s="86"/>
      <c r="EY253" s="86"/>
      <c r="EZ253" s="86"/>
      <c r="FA253" s="86"/>
    </row>
    <row r="254" spans="2:157" ht="9.75" customHeight="1">
      <c r="B254" s="845">
        <v>8</v>
      </c>
      <c r="C254" s="1344"/>
      <c r="D254" s="1344"/>
      <c r="E254" s="1344"/>
      <c r="F254" s="857"/>
      <c r="G254" s="857"/>
      <c r="H254" s="875" t="str">
        <f t="shared" si="11"/>
        <v/>
      </c>
      <c r="J254" s="101"/>
      <c r="K254" s="101"/>
      <c r="L254" s="101"/>
      <c r="Z254" s="86"/>
      <c r="AA254" s="86"/>
      <c r="AB254" s="86"/>
      <c r="AC254" s="86"/>
      <c r="AD254" s="86"/>
      <c r="AE254" s="86"/>
      <c r="AF254" s="86"/>
      <c r="AG254" s="86"/>
      <c r="AH254" s="86"/>
      <c r="AI254" s="86"/>
      <c r="AJ254" s="86"/>
      <c r="AK254" s="86"/>
      <c r="AL254" s="86"/>
      <c r="AM254" s="86"/>
      <c r="AN254" s="86"/>
      <c r="AO254" s="86"/>
      <c r="AP254" s="86"/>
      <c r="AQ254" s="86"/>
      <c r="AR254" s="86"/>
      <c r="AS254" s="86"/>
      <c r="AT254" s="86"/>
      <c r="AU254" s="86"/>
      <c r="AV254" s="86"/>
      <c r="AW254" s="86"/>
      <c r="AX254" s="86"/>
      <c r="AY254" s="86"/>
      <c r="AZ254" s="86"/>
      <c r="BA254" s="86"/>
      <c r="BB254" s="86"/>
      <c r="BC254" s="86"/>
      <c r="BD254" s="86"/>
      <c r="BE254" s="86"/>
      <c r="BF254" s="86"/>
      <c r="BG254" s="86"/>
      <c r="BH254" s="86"/>
      <c r="BI254" s="86"/>
      <c r="BJ254" s="86"/>
      <c r="BK254" s="86"/>
      <c r="BL254" s="86"/>
      <c r="BM254" s="86"/>
      <c r="BN254" s="86"/>
      <c r="BO254" s="86"/>
      <c r="BP254" s="86"/>
      <c r="BQ254" s="86"/>
      <c r="BR254" s="86"/>
      <c r="BS254" s="86"/>
      <c r="BT254" s="86"/>
      <c r="BU254" s="86"/>
      <c r="BV254" s="86"/>
      <c r="BW254" s="86"/>
      <c r="BX254" s="86"/>
      <c r="BY254" s="86"/>
      <c r="BZ254" s="86"/>
      <c r="CA254" s="86"/>
      <c r="CB254" s="86"/>
      <c r="CC254" s="86"/>
      <c r="CD254" s="86"/>
      <c r="CE254" s="86"/>
      <c r="CF254" s="86"/>
      <c r="CG254" s="86"/>
      <c r="CH254" s="86"/>
      <c r="CI254" s="86"/>
      <c r="CJ254" s="86"/>
      <c r="CK254" s="86"/>
      <c r="CL254" s="86"/>
      <c r="CM254" s="86"/>
      <c r="CN254" s="86"/>
      <c r="CO254" s="86"/>
      <c r="CP254" s="86"/>
      <c r="CQ254" s="86"/>
      <c r="CR254" s="86"/>
      <c r="CS254" s="86"/>
      <c r="CT254" s="86"/>
      <c r="CU254" s="86"/>
      <c r="CV254" s="86"/>
      <c r="CW254" s="86"/>
      <c r="CX254" s="86"/>
      <c r="CY254" s="86"/>
      <c r="CZ254" s="86"/>
      <c r="DA254" s="86"/>
      <c r="DB254" s="86"/>
      <c r="DC254" s="86"/>
      <c r="DD254" s="86"/>
      <c r="DE254" s="86"/>
      <c r="DF254" s="86"/>
      <c r="DG254" s="86"/>
      <c r="DH254" s="86"/>
      <c r="DI254" s="86"/>
      <c r="DJ254" s="86"/>
      <c r="DK254" s="86"/>
      <c r="DL254" s="86"/>
      <c r="DM254" s="86"/>
      <c r="DN254" s="86"/>
      <c r="DO254" s="86"/>
      <c r="DP254" s="86"/>
      <c r="DQ254" s="86"/>
      <c r="DR254" s="86"/>
      <c r="DS254" s="86"/>
      <c r="DT254" s="86"/>
      <c r="DU254" s="86"/>
      <c r="DV254" s="86"/>
      <c r="DW254" s="86"/>
      <c r="DX254" s="86"/>
      <c r="DY254" s="86"/>
      <c r="DZ254" s="86"/>
      <c r="EA254" s="86"/>
      <c r="EB254" s="86"/>
      <c r="EC254" s="86"/>
      <c r="ED254" s="86"/>
      <c r="EE254" s="86"/>
      <c r="EF254" s="86"/>
      <c r="EG254" s="86"/>
      <c r="EH254" s="86"/>
      <c r="EI254" s="86"/>
      <c r="EJ254" s="86"/>
      <c r="EK254" s="86"/>
      <c r="EL254" s="86"/>
      <c r="EM254" s="86"/>
      <c r="EN254" s="86"/>
      <c r="EO254" s="86"/>
      <c r="EP254" s="86"/>
      <c r="EQ254" s="86"/>
      <c r="ER254" s="86"/>
      <c r="ES254" s="86"/>
      <c r="ET254" s="86"/>
      <c r="EU254" s="86"/>
      <c r="EV254" s="86"/>
      <c r="EW254" s="86"/>
      <c r="EX254" s="86"/>
      <c r="EY254" s="86"/>
      <c r="EZ254" s="86"/>
      <c r="FA254" s="86"/>
    </row>
    <row r="255" spans="2:157" ht="9.75" customHeight="1">
      <c r="B255" s="845">
        <v>9</v>
      </c>
      <c r="C255" s="1344"/>
      <c r="D255" s="1344"/>
      <c r="E255" s="1344"/>
      <c r="F255" s="857"/>
      <c r="G255" s="857"/>
      <c r="H255" s="875" t="str">
        <f t="shared" si="11"/>
        <v/>
      </c>
      <c r="J255" s="101"/>
      <c r="K255" s="101"/>
      <c r="L255" s="101"/>
      <c r="Z255" s="86"/>
      <c r="AA255" s="86"/>
      <c r="AB255" s="86"/>
      <c r="AC255" s="86"/>
      <c r="AD255" s="86"/>
      <c r="AE255" s="86"/>
      <c r="AF255" s="86"/>
      <c r="AG255" s="86"/>
      <c r="AH255" s="86"/>
      <c r="AI255" s="86"/>
      <c r="AJ255" s="86"/>
      <c r="AK255" s="86"/>
      <c r="AL255" s="86"/>
      <c r="AM255" s="86"/>
      <c r="AN255" s="86"/>
      <c r="AO255" s="86"/>
      <c r="AP255" s="86"/>
      <c r="AQ255" s="86"/>
      <c r="AR255" s="86"/>
      <c r="AS255" s="86"/>
      <c r="AT255" s="86"/>
      <c r="AU255" s="86"/>
      <c r="AV255" s="86"/>
      <c r="AW255" s="86"/>
      <c r="AX255" s="86"/>
      <c r="AY255" s="86"/>
      <c r="AZ255" s="86"/>
      <c r="BA255" s="86"/>
      <c r="BB255" s="86"/>
      <c r="BC255" s="86"/>
      <c r="BD255" s="86"/>
      <c r="BE255" s="86"/>
      <c r="BF255" s="86"/>
      <c r="BG255" s="86"/>
      <c r="BH255" s="86"/>
      <c r="BI255" s="86"/>
      <c r="BJ255" s="86"/>
      <c r="BK255" s="86"/>
      <c r="BL255" s="86"/>
      <c r="BM255" s="86"/>
      <c r="BN255" s="86"/>
      <c r="BO255" s="86"/>
      <c r="BP255" s="86"/>
      <c r="BQ255" s="86"/>
      <c r="BR255" s="86"/>
      <c r="BS255" s="86"/>
      <c r="BT255" s="86"/>
      <c r="BU255" s="86"/>
      <c r="BV255" s="86"/>
      <c r="BW255" s="86"/>
      <c r="BX255" s="86"/>
      <c r="BY255" s="86"/>
      <c r="BZ255" s="86"/>
      <c r="CA255" s="86"/>
      <c r="CB255" s="86"/>
      <c r="CC255" s="86"/>
      <c r="CD255" s="86"/>
      <c r="CE255" s="86"/>
      <c r="CF255" s="86"/>
      <c r="CG255" s="86"/>
      <c r="CH255" s="86"/>
      <c r="CI255" s="86"/>
      <c r="CJ255" s="86"/>
      <c r="CK255" s="86"/>
      <c r="CL255" s="86"/>
      <c r="CM255" s="86"/>
      <c r="CN255" s="86"/>
      <c r="CO255" s="86"/>
      <c r="CP255" s="86"/>
      <c r="CQ255" s="86"/>
      <c r="CR255" s="86"/>
      <c r="CS255" s="86"/>
      <c r="CT255" s="86"/>
      <c r="CU255" s="86"/>
      <c r="CV255" s="86"/>
      <c r="CW255" s="86"/>
      <c r="CX255" s="86"/>
      <c r="CY255" s="86"/>
      <c r="CZ255" s="86"/>
      <c r="DA255" s="86"/>
      <c r="DB255" s="86"/>
      <c r="DC255" s="86"/>
      <c r="DD255" s="86"/>
      <c r="DE255" s="86"/>
      <c r="DF255" s="86"/>
      <c r="DG255" s="86"/>
      <c r="DH255" s="86"/>
      <c r="DI255" s="86"/>
      <c r="DJ255" s="86"/>
      <c r="DK255" s="86"/>
      <c r="DL255" s="86"/>
      <c r="DM255" s="86"/>
      <c r="DN255" s="86"/>
      <c r="DO255" s="86"/>
      <c r="DP255" s="86"/>
      <c r="DQ255" s="86"/>
      <c r="DR255" s="86"/>
      <c r="DS255" s="86"/>
      <c r="DT255" s="86"/>
      <c r="DU255" s="86"/>
      <c r="DV255" s="86"/>
      <c r="DW255" s="86"/>
      <c r="DX255" s="86"/>
      <c r="DY255" s="86"/>
      <c r="DZ255" s="86"/>
      <c r="EA255" s="86"/>
      <c r="EB255" s="86"/>
      <c r="EC255" s="86"/>
      <c r="ED255" s="86"/>
      <c r="EE255" s="86"/>
      <c r="EF255" s="86"/>
      <c r="EG255" s="86"/>
      <c r="EH255" s="86"/>
      <c r="EI255" s="86"/>
      <c r="EJ255" s="86"/>
      <c r="EK255" s="86"/>
      <c r="EL255" s="86"/>
      <c r="EM255" s="86"/>
      <c r="EN255" s="86"/>
      <c r="EO255" s="86"/>
      <c r="EP255" s="86"/>
      <c r="EQ255" s="86"/>
      <c r="ER255" s="86"/>
      <c r="ES255" s="86"/>
      <c r="ET255" s="86"/>
      <c r="EU255" s="86"/>
      <c r="EV255" s="86"/>
      <c r="EW255" s="86"/>
      <c r="EX255" s="86"/>
      <c r="EY255" s="86"/>
      <c r="EZ255" s="86"/>
      <c r="FA255" s="86"/>
    </row>
    <row r="256" spans="2:157" ht="10.050000000000001" customHeight="1">
      <c r="B256" s="845" t="s">
        <v>546</v>
      </c>
      <c r="C256" s="836" t="s">
        <v>73</v>
      </c>
      <c r="D256" s="839"/>
      <c r="E256" s="86"/>
      <c r="F256" s="848" t="s">
        <v>546</v>
      </c>
      <c r="G256" s="848" t="s">
        <v>546</v>
      </c>
      <c r="H256" s="858">
        <v>0.04</v>
      </c>
      <c r="J256" s="101"/>
      <c r="K256" s="101"/>
      <c r="L256" s="101"/>
      <c r="Z256" s="86"/>
      <c r="AA256" s="86"/>
      <c r="AB256" s="86"/>
      <c r="AC256" s="86"/>
      <c r="AD256" s="86"/>
      <c r="AE256" s="86"/>
      <c r="AF256" s="86"/>
      <c r="AG256" s="86"/>
      <c r="AH256" s="86"/>
      <c r="AI256" s="86"/>
      <c r="AJ256" s="86"/>
      <c r="AK256" s="86"/>
      <c r="AL256" s="86"/>
      <c r="AM256" s="86"/>
      <c r="AN256" s="86"/>
      <c r="AO256" s="86"/>
      <c r="AP256" s="86"/>
      <c r="AQ256" s="86"/>
      <c r="AR256" s="86"/>
      <c r="AS256" s="86"/>
      <c r="AT256" s="86"/>
      <c r="AU256" s="86"/>
      <c r="AV256" s="86"/>
      <c r="AW256" s="86"/>
      <c r="AX256" s="86"/>
      <c r="AY256" s="86"/>
      <c r="AZ256" s="86"/>
      <c r="BA256" s="86"/>
      <c r="BB256" s="86"/>
      <c r="BC256" s="86"/>
      <c r="BD256" s="86"/>
      <c r="BE256" s="86"/>
      <c r="BF256" s="86"/>
      <c r="BG256" s="86"/>
      <c r="BH256" s="86"/>
      <c r="BI256" s="86"/>
      <c r="BJ256" s="86"/>
      <c r="BK256" s="86"/>
      <c r="BL256" s="86"/>
      <c r="BM256" s="86"/>
      <c r="BN256" s="86"/>
      <c r="BO256" s="86"/>
      <c r="BP256" s="86"/>
      <c r="BQ256" s="86"/>
      <c r="BR256" s="86"/>
      <c r="BS256" s="86"/>
      <c r="BT256" s="86"/>
      <c r="BU256" s="86"/>
      <c r="BV256" s="86"/>
      <c r="BW256" s="86"/>
      <c r="BX256" s="86"/>
      <c r="BY256" s="86"/>
      <c r="BZ256" s="86"/>
      <c r="CA256" s="86"/>
      <c r="CB256" s="86"/>
      <c r="CC256" s="86"/>
      <c r="CD256" s="86"/>
      <c r="CE256" s="86"/>
      <c r="CF256" s="86"/>
      <c r="CG256" s="86"/>
      <c r="CH256" s="86"/>
      <c r="CI256" s="86"/>
      <c r="CJ256" s="86"/>
      <c r="CK256" s="86"/>
      <c r="CL256" s="86"/>
      <c r="CM256" s="86"/>
      <c r="CN256" s="86"/>
      <c r="CO256" s="86"/>
      <c r="CP256" s="86"/>
      <c r="CQ256" s="86"/>
      <c r="CR256" s="86"/>
      <c r="CS256" s="86"/>
      <c r="CT256" s="86"/>
      <c r="CU256" s="86"/>
      <c r="CV256" s="86"/>
      <c r="CW256" s="86"/>
      <c r="CX256" s="86"/>
      <c r="CY256" s="86"/>
      <c r="CZ256" s="86"/>
      <c r="DA256" s="86"/>
      <c r="DB256" s="86"/>
      <c r="DC256" s="86"/>
      <c r="DD256" s="86"/>
      <c r="DE256" s="86"/>
      <c r="DF256" s="86"/>
      <c r="DG256" s="86"/>
      <c r="DH256" s="86"/>
      <c r="DI256" s="86"/>
      <c r="DJ256" s="86"/>
      <c r="DK256" s="86"/>
      <c r="DL256" s="86"/>
      <c r="DM256" s="86"/>
      <c r="DN256" s="86"/>
      <c r="DO256" s="86"/>
      <c r="DP256" s="86"/>
      <c r="DQ256" s="86"/>
      <c r="DR256" s="86"/>
      <c r="DS256" s="86"/>
      <c r="DT256" s="86"/>
      <c r="DU256" s="86"/>
      <c r="DV256" s="86"/>
      <c r="DW256" s="86"/>
      <c r="DX256" s="86"/>
      <c r="DY256" s="86"/>
      <c r="DZ256" s="86"/>
      <c r="EA256" s="86"/>
      <c r="EB256" s="86"/>
      <c r="EC256" s="86"/>
      <c r="ED256" s="86"/>
      <c r="EE256" s="86"/>
      <c r="EF256" s="86"/>
      <c r="EG256" s="86"/>
      <c r="EH256" s="86"/>
      <c r="EI256" s="86"/>
      <c r="EJ256" s="86"/>
      <c r="EK256" s="86"/>
      <c r="EL256" s="86"/>
      <c r="EM256" s="86"/>
      <c r="EN256" s="86"/>
      <c r="EO256" s="86"/>
      <c r="EP256" s="86"/>
      <c r="EQ256" s="86"/>
      <c r="ER256" s="86"/>
      <c r="ES256" s="86"/>
      <c r="ET256" s="86"/>
      <c r="EU256" s="86"/>
      <c r="EV256" s="86"/>
      <c r="EW256" s="86"/>
      <c r="EX256" s="86"/>
      <c r="EY256" s="86"/>
      <c r="EZ256" s="86"/>
      <c r="FA256" s="86"/>
    </row>
    <row r="257" spans="2:157" ht="9.75" customHeight="1">
      <c r="B257" s="849"/>
      <c r="C257" s="849"/>
      <c r="D257" s="849"/>
      <c r="E257" s="849"/>
      <c r="F257" s="849"/>
      <c r="G257" s="849"/>
      <c r="H257" s="855"/>
      <c r="J257" s="101"/>
      <c r="K257" s="101"/>
      <c r="L257" s="101"/>
      <c r="Z257" s="86"/>
      <c r="AA257" s="86"/>
      <c r="AB257" s="86"/>
      <c r="AC257" s="86"/>
      <c r="AD257" s="86"/>
      <c r="AE257" s="86"/>
      <c r="AF257" s="86"/>
      <c r="AG257" s="86"/>
      <c r="AH257" s="86"/>
      <c r="AI257" s="86"/>
      <c r="AJ257" s="86"/>
      <c r="AK257" s="86"/>
      <c r="AL257" s="86"/>
      <c r="AM257" s="86"/>
      <c r="AN257" s="86"/>
      <c r="AO257" s="86"/>
      <c r="AP257" s="86"/>
      <c r="AQ257" s="86"/>
      <c r="AR257" s="86"/>
      <c r="AS257" s="86"/>
      <c r="AT257" s="86"/>
      <c r="AU257" s="86"/>
      <c r="AV257" s="86"/>
      <c r="AW257" s="86"/>
      <c r="AX257" s="86"/>
      <c r="AY257" s="86"/>
      <c r="AZ257" s="86"/>
      <c r="BA257" s="86"/>
      <c r="BB257" s="86"/>
      <c r="BC257" s="86"/>
      <c r="BD257" s="86"/>
      <c r="BE257" s="86"/>
      <c r="BF257" s="86"/>
      <c r="BG257" s="86"/>
      <c r="BH257" s="86"/>
      <c r="BI257" s="86"/>
      <c r="BJ257" s="86"/>
      <c r="BK257" s="86"/>
      <c r="BL257" s="86"/>
      <c r="BM257" s="86"/>
      <c r="BN257" s="86"/>
      <c r="BO257" s="86"/>
      <c r="BP257" s="86"/>
      <c r="BQ257" s="86"/>
      <c r="BR257" s="86"/>
      <c r="BS257" s="86"/>
      <c r="BT257" s="86"/>
      <c r="BU257" s="86"/>
      <c r="BV257" s="86"/>
      <c r="BW257" s="86"/>
      <c r="BX257" s="86"/>
      <c r="BY257" s="86"/>
      <c r="BZ257" s="86"/>
      <c r="CA257" s="86"/>
      <c r="CB257" s="86"/>
      <c r="CC257" s="86"/>
      <c r="CD257" s="86"/>
      <c r="CE257" s="86"/>
      <c r="CF257" s="86"/>
      <c r="CG257" s="86"/>
      <c r="CH257" s="86"/>
      <c r="CI257" s="86"/>
      <c r="CJ257" s="86"/>
      <c r="CK257" s="86"/>
      <c r="CL257" s="86"/>
      <c r="CM257" s="86"/>
      <c r="CN257" s="86"/>
      <c r="CO257" s="86"/>
      <c r="CP257" s="86"/>
      <c r="CQ257" s="86"/>
      <c r="CR257" s="86"/>
      <c r="CS257" s="86"/>
      <c r="CT257" s="86"/>
      <c r="CU257" s="86"/>
      <c r="CV257" s="86"/>
      <c r="CW257" s="86"/>
      <c r="CX257" s="86"/>
      <c r="CY257" s="86"/>
      <c r="CZ257" s="86"/>
      <c r="DA257" s="86"/>
      <c r="DB257" s="86"/>
      <c r="DC257" s="86"/>
      <c r="DD257" s="86"/>
      <c r="DE257" s="86"/>
      <c r="DF257" s="86"/>
      <c r="DG257" s="86"/>
      <c r="DH257" s="86"/>
      <c r="DI257" s="86"/>
      <c r="DJ257" s="86"/>
      <c r="DK257" s="86"/>
      <c r="DL257" s="86"/>
      <c r="DM257" s="86"/>
      <c r="DN257" s="86"/>
      <c r="DO257" s="86"/>
      <c r="DP257" s="86"/>
      <c r="DQ257" s="86"/>
      <c r="DR257" s="86"/>
      <c r="DS257" s="86"/>
      <c r="DT257" s="86"/>
      <c r="DU257" s="86"/>
      <c r="DV257" s="86"/>
      <c r="DW257" s="86"/>
      <c r="DX257" s="86"/>
      <c r="DY257" s="86"/>
      <c r="DZ257" s="86"/>
      <c r="EA257" s="86"/>
      <c r="EB257" s="86"/>
      <c r="EC257" s="86"/>
      <c r="ED257" s="86"/>
      <c r="EE257" s="86"/>
      <c r="EF257" s="86"/>
      <c r="EG257" s="86"/>
      <c r="EH257" s="86"/>
      <c r="EI257" s="86"/>
      <c r="EJ257" s="86"/>
      <c r="EK257" s="86"/>
      <c r="EL257" s="86"/>
      <c r="EM257" s="86"/>
      <c r="EN257" s="86"/>
      <c r="EO257" s="86"/>
      <c r="EP257" s="86"/>
      <c r="EQ257" s="86"/>
      <c r="ER257" s="86"/>
      <c r="ES257" s="86"/>
      <c r="ET257" s="86"/>
      <c r="EU257" s="86"/>
      <c r="EV257" s="86"/>
      <c r="EW257" s="86"/>
      <c r="EX257" s="86"/>
      <c r="EY257" s="86"/>
      <c r="EZ257" s="86"/>
      <c r="FA257" s="86"/>
    </row>
    <row r="258" spans="2:157" ht="10.050000000000001" customHeight="1">
      <c r="B258" s="27"/>
      <c r="C258" s="27"/>
      <c r="D258" s="27"/>
      <c r="E258" s="91"/>
      <c r="F258" s="171"/>
      <c r="G258" s="29"/>
      <c r="H258" s="27"/>
      <c r="J258" s="101"/>
      <c r="K258" s="101"/>
      <c r="L258" s="101"/>
      <c r="Z258" s="86"/>
      <c r="AA258" s="86"/>
      <c r="AB258" s="86"/>
      <c r="AC258" s="86"/>
      <c r="AD258" s="86"/>
      <c r="AE258" s="86"/>
      <c r="AF258" s="86"/>
      <c r="AG258" s="86"/>
      <c r="AH258" s="86"/>
      <c r="AI258" s="86"/>
      <c r="AJ258" s="86"/>
      <c r="AK258" s="86"/>
      <c r="AL258" s="86"/>
      <c r="AM258" s="86"/>
      <c r="AN258" s="86"/>
      <c r="AO258" s="86"/>
      <c r="AP258" s="86"/>
      <c r="AQ258" s="86"/>
      <c r="AR258" s="86"/>
      <c r="AS258" s="86"/>
      <c r="AT258" s="86"/>
      <c r="AU258" s="86"/>
      <c r="AV258" s="86"/>
      <c r="AW258" s="86"/>
      <c r="AX258" s="86"/>
      <c r="AY258" s="86"/>
      <c r="AZ258" s="86"/>
      <c r="BA258" s="86"/>
      <c r="BB258" s="86"/>
      <c r="BC258" s="86"/>
      <c r="BD258" s="86"/>
      <c r="BE258" s="86"/>
      <c r="BF258" s="86"/>
      <c r="BG258" s="86"/>
      <c r="BH258" s="86"/>
      <c r="BI258" s="86"/>
      <c r="BJ258" s="86"/>
      <c r="BK258" s="86"/>
      <c r="BL258" s="86"/>
      <c r="BM258" s="86"/>
      <c r="BN258" s="86"/>
      <c r="BO258" s="86"/>
      <c r="BP258" s="86"/>
      <c r="BQ258" s="86"/>
      <c r="BR258" s="86"/>
      <c r="BS258" s="86"/>
      <c r="BT258" s="86"/>
      <c r="BU258" s="86"/>
      <c r="BV258" s="86"/>
      <c r="BW258" s="86"/>
      <c r="BX258" s="86"/>
      <c r="BY258" s="86"/>
      <c r="BZ258" s="86"/>
      <c r="CA258" s="86"/>
      <c r="CB258" s="86"/>
      <c r="CC258" s="86"/>
      <c r="CD258" s="86"/>
      <c r="CE258" s="86"/>
      <c r="CF258" s="86"/>
      <c r="CG258" s="86"/>
      <c r="CH258" s="86"/>
      <c r="CI258" s="86"/>
      <c r="CJ258" s="86"/>
      <c r="CK258" s="86"/>
      <c r="CL258" s="86"/>
      <c r="CM258" s="86"/>
      <c r="CN258" s="86"/>
      <c r="CO258" s="86"/>
      <c r="CP258" s="86"/>
      <c r="CQ258" s="86"/>
      <c r="CR258" s="86"/>
      <c r="CS258" s="86"/>
      <c r="CT258" s="86"/>
      <c r="CU258" s="86"/>
      <c r="CV258" s="86"/>
      <c r="CW258" s="86"/>
      <c r="CX258" s="86"/>
      <c r="CY258" s="86"/>
      <c r="CZ258" s="86"/>
      <c r="DA258" s="86"/>
      <c r="DB258" s="86"/>
      <c r="DC258" s="86"/>
      <c r="DD258" s="86"/>
      <c r="DE258" s="86"/>
      <c r="DF258" s="86"/>
      <c r="DG258" s="86"/>
      <c r="DH258" s="86"/>
      <c r="DI258" s="86"/>
      <c r="DJ258" s="86"/>
      <c r="DK258" s="86"/>
      <c r="DL258" s="86"/>
      <c r="DM258" s="86"/>
      <c r="DN258" s="86"/>
      <c r="DO258" s="86"/>
      <c r="DP258" s="86"/>
      <c r="DQ258" s="86"/>
      <c r="DR258" s="86"/>
      <c r="DS258" s="86"/>
      <c r="DT258" s="86"/>
      <c r="DU258" s="86"/>
      <c r="DV258" s="86"/>
      <c r="DW258" s="86"/>
      <c r="DX258" s="86"/>
      <c r="DY258" s="86"/>
      <c r="DZ258" s="86"/>
      <c r="EA258" s="86"/>
      <c r="EB258" s="86"/>
      <c r="EC258" s="86"/>
      <c r="ED258" s="86"/>
      <c r="EE258" s="86"/>
      <c r="EF258" s="86"/>
      <c r="EG258" s="86"/>
      <c r="EH258" s="86"/>
      <c r="EI258" s="86"/>
      <c r="EJ258" s="86"/>
      <c r="EK258" s="86"/>
      <c r="EL258" s="86"/>
      <c r="EM258" s="86"/>
      <c r="EN258" s="86"/>
      <c r="EO258" s="86"/>
      <c r="EP258" s="86"/>
      <c r="EQ258" s="86"/>
      <c r="ER258" s="86"/>
      <c r="ES258" s="86"/>
      <c r="ET258" s="86"/>
      <c r="EU258" s="86"/>
      <c r="EV258" s="86"/>
      <c r="EW258" s="86"/>
      <c r="EX258" s="86"/>
      <c r="EY258" s="86"/>
      <c r="EZ258" s="86"/>
      <c r="FA258" s="86"/>
    </row>
    <row r="259" spans="2:157" ht="10.050000000000001" customHeight="1">
      <c r="B259" s="27"/>
      <c r="C259" s="27"/>
      <c r="D259" s="27"/>
      <c r="E259" s="91"/>
      <c r="F259" s="171"/>
      <c r="G259" s="29"/>
      <c r="H259" s="27"/>
      <c r="J259" s="101"/>
      <c r="K259" s="101"/>
      <c r="L259" s="101"/>
      <c r="Z259" s="86"/>
      <c r="AA259" s="86"/>
      <c r="AB259" s="86"/>
      <c r="AC259" s="86"/>
      <c r="AD259" s="86"/>
      <c r="AE259" s="86"/>
      <c r="AF259" s="86"/>
      <c r="AG259" s="86"/>
      <c r="AH259" s="86"/>
      <c r="AI259" s="86"/>
      <c r="AJ259" s="86"/>
      <c r="AK259" s="86"/>
      <c r="AL259" s="86"/>
      <c r="AM259" s="86"/>
      <c r="AN259" s="86"/>
      <c r="AO259" s="86"/>
      <c r="AP259" s="86"/>
      <c r="AQ259" s="86"/>
      <c r="AR259" s="86"/>
      <c r="AS259" s="86"/>
      <c r="AT259" s="86"/>
      <c r="AU259" s="86"/>
      <c r="AV259" s="86"/>
      <c r="AW259" s="86"/>
      <c r="AX259" s="86"/>
      <c r="AY259" s="86"/>
      <c r="AZ259" s="86"/>
      <c r="BA259" s="86"/>
      <c r="BB259" s="86"/>
      <c r="BC259" s="86"/>
      <c r="BD259" s="86"/>
      <c r="BE259" s="86"/>
      <c r="BF259" s="86"/>
      <c r="BG259" s="86"/>
      <c r="BH259" s="86"/>
      <c r="BI259" s="86"/>
      <c r="BJ259" s="86"/>
      <c r="BK259" s="86"/>
      <c r="BL259" s="86"/>
      <c r="BM259" s="86"/>
      <c r="BN259" s="86"/>
      <c r="BO259" s="86"/>
      <c r="BP259" s="86"/>
      <c r="BQ259" s="86"/>
      <c r="BR259" s="86"/>
      <c r="BS259" s="86"/>
      <c r="BT259" s="86"/>
      <c r="BU259" s="86"/>
      <c r="BV259" s="86"/>
      <c r="BW259" s="86"/>
      <c r="BX259" s="86"/>
      <c r="BY259" s="86"/>
      <c r="BZ259" s="86"/>
      <c r="CA259" s="86"/>
      <c r="CB259" s="86"/>
      <c r="CC259" s="86"/>
      <c r="CD259" s="86"/>
      <c r="CE259" s="86"/>
      <c r="CF259" s="86"/>
      <c r="CG259" s="86"/>
      <c r="CH259" s="86"/>
      <c r="CI259" s="86"/>
      <c r="CJ259" s="86"/>
      <c r="CK259" s="86"/>
      <c r="CL259" s="86"/>
      <c r="CM259" s="86"/>
      <c r="CN259" s="86"/>
      <c r="CO259" s="86"/>
      <c r="CP259" s="86"/>
      <c r="CQ259" s="86"/>
      <c r="CR259" s="86"/>
      <c r="CS259" s="86"/>
      <c r="CT259" s="86"/>
      <c r="CU259" s="86"/>
      <c r="CV259" s="86"/>
      <c r="CW259" s="86"/>
      <c r="CX259" s="86"/>
      <c r="CY259" s="86"/>
      <c r="CZ259" s="86"/>
      <c r="DA259" s="86"/>
      <c r="DB259" s="86"/>
      <c r="DC259" s="86"/>
      <c r="DD259" s="86"/>
      <c r="DE259" s="86"/>
      <c r="DF259" s="86"/>
      <c r="DG259" s="86"/>
      <c r="DH259" s="86"/>
      <c r="DI259" s="86"/>
      <c r="DJ259" s="86"/>
      <c r="DK259" s="86"/>
      <c r="DL259" s="86"/>
      <c r="DM259" s="86"/>
      <c r="DN259" s="86"/>
      <c r="DO259" s="86"/>
      <c r="DP259" s="86"/>
      <c r="DQ259" s="86"/>
      <c r="DR259" s="86"/>
      <c r="DS259" s="86"/>
      <c r="DT259" s="86"/>
      <c r="DU259" s="86"/>
      <c r="DV259" s="86"/>
      <c r="DW259" s="86"/>
      <c r="DX259" s="86"/>
      <c r="DY259" s="86"/>
      <c r="DZ259" s="86"/>
      <c r="EA259" s="86"/>
      <c r="EB259" s="86"/>
      <c r="EC259" s="86"/>
      <c r="ED259" s="86"/>
      <c r="EE259" s="86"/>
      <c r="EF259" s="86"/>
      <c r="EG259" s="86"/>
      <c r="EH259" s="86"/>
      <c r="EI259" s="86"/>
      <c r="EJ259" s="86"/>
      <c r="EK259" s="86"/>
      <c r="EL259" s="86"/>
      <c r="EM259" s="86"/>
      <c r="EN259" s="86"/>
      <c r="EO259" s="86"/>
      <c r="EP259" s="86"/>
      <c r="EQ259" s="86"/>
      <c r="ER259" s="86"/>
      <c r="ES259" s="86"/>
      <c r="ET259" s="86"/>
      <c r="EU259" s="86"/>
      <c r="EV259" s="86"/>
      <c r="EW259" s="86"/>
      <c r="EX259" s="86"/>
      <c r="EY259" s="86"/>
      <c r="EZ259" s="86"/>
      <c r="FA259" s="86"/>
    </row>
    <row r="260" spans="2:157" ht="10.050000000000001" customHeight="1">
      <c r="B260" s="27"/>
      <c r="C260" s="27"/>
      <c r="D260" s="27"/>
      <c r="E260" s="91"/>
      <c r="F260" s="171"/>
      <c r="G260" s="29"/>
      <c r="H260" s="27"/>
      <c r="J260" s="101"/>
      <c r="K260" s="101"/>
      <c r="L260" s="101"/>
      <c r="Z260" s="86"/>
      <c r="AA260" s="86"/>
      <c r="AB260" s="86"/>
      <c r="AC260" s="86"/>
      <c r="AD260" s="86"/>
      <c r="AE260" s="86"/>
      <c r="AF260" s="86"/>
      <c r="AG260" s="86"/>
      <c r="AH260" s="86"/>
      <c r="AI260" s="86"/>
      <c r="AJ260" s="86"/>
      <c r="AK260" s="86"/>
      <c r="AL260" s="86"/>
      <c r="AM260" s="86"/>
      <c r="AN260" s="86"/>
      <c r="AO260" s="86"/>
      <c r="AP260" s="86"/>
      <c r="AQ260" s="86"/>
      <c r="AR260" s="86"/>
      <c r="AS260" s="86"/>
      <c r="AT260" s="86"/>
      <c r="AU260" s="86"/>
      <c r="AV260" s="86"/>
      <c r="AW260" s="86"/>
      <c r="AX260" s="86"/>
      <c r="AY260" s="86"/>
      <c r="AZ260" s="86"/>
      <c r="BA260" s="86"/>
      <c r="BB260" s="86"/>
      <c r="BC260" s="86"/>
      <c r="BD260" s="86"/>
      <c r="BE260" s="86"/>
      <c r="BF260" s="86"/>
      <c r="BG260" s="86"/>
      <c r="BH260" s="86"/>
      <c r="BI260" s="86"/>
      <c r="BJ260" s="86"/>
      <c r="BK260" s="86"/>
      <c r="BL260" s="86"/>
      <c r="BM260" s="86"/>
      <c r="BN260" s="86"/>
      <c r="BO260" s="86"/>
      <c r="BP260" s="86"/>
      <c r="BQ260" s="86"/>
      <c r="BR260" s="86"/>
      <c r="BS260" s="86"/>
      <c r="BT260" s="86"/>
      <c r="BU260" s="86"/>
      <c r="BV260" s="86"/>
      <c r="BW260" s="86"/>
      <c r="BX260" s="86"/>
      <c r="BY260" s="86"/>
      <c r="BZ260" s="86"/>
      <c r="CA260" s="86"/>
      <c r="CB260" s="86"/>
      <c r="CC260" s="86"/>
      <c r="CD260" s="86"/>
      <c r="CE260" s="86"/>
      <c r="CF260" s="86"/>
      <c r="CG260" s="86"/>
      <c r="CH260" s="86"/>
      <c r="CI260" s="86"/>
      <c r="CJ260" s="86"/>
      <c r="CK260" s="86"/>
      <c r="CL260" s="86"/>
      <c r="CM260" s="86"/>
      <c r="CN260" s="86"/>
      <c r="CO260" s="86"/>
      <c r="CP260" s="86"/>
      <c r="CQ260" s="86"/>
      <c r="CR260" s="86"/>
      <c r="CS260" s="86"/>
      <c r="CT260" s="86"/>
      <c r="CU260" s="86"/>
      <c r="CV260" s="86"/>
      <c r="CW260" s="86"/>
      <c r="CX260" s="86"/>
      <c r="CY260" s="86"/>
      <c r="CZ260" s="86"/>
      <c r="DA260" s="86"/>
      <c r="DB260" s="86"/>
      <c r="DC260" s="86"/>
      <c r="DD260" s="86"/>
      <c r="DE260" s="86"/>
      <c r="DF260" s="86"/>
      <c r="DG260" s="86"/>
      <c r="DH260" s="86"/>
      <c r="DI260" s="86"/>
      <c r="DJ260" s="86"/>
      <c r="DK260" s="86"/>
      <c r="DL260" s="86"/>
      <c r="DM260" s="86"/>
      <c r="DN260" s="86"/>
      <c r="DO260" s="86"/>
      <c r="DP260" s="86"/>
      <c r="DQ260" s="86"/>
      <c r="DR260" s="86"/>
      <c r="DS260" s="86"/>
      <c r="DT260" s="86"/>
      <c r="DU260" s="86"/>
      <c r="DV260" s="86"/>
      <c r="DW260" s="86"/>
      <c r="DX260" s="86"/>
      <c r="DY260" s="86"/>
      <c r="DZ260" s="86"/>
      <c r="EA260" s="86"/>
      <c r="EB260" s="86"/>
      <c r="EC260" s="86"/>
      <c r="ED260" s="86"/>
      <c r="EE260" s="86"/>
      <c r="EF260" s="86"/>
      <c r="EG260" s="86"/>
      <c r="EH260" s="86"/>
      <c r="EI260" s="86"/>
      <c r="EJ260" s="86"/>
      <c r="EK260" s="86"/>
      <c r="EL260" s="86"/>
      <c r="EM260" s="86"/>
      <c r="EN260" s="86"/>
      <c r="EO260" s="86"/>
      <c r="EP260" s="86"/>
      <c r="EQ260" s="86"/>
      <c r="ER260" s="86"/>
      <c r="ES260" s="86"/>
      <c r="ET260" s="86"/>
      <c r="EU260" s="86"/>
      <c r="EV260" s="86"/>
      <c r="EW260" s="86"/>
      <c r="EX260" s="86"/>
      <c r="EY260" s="86"/>
      <c r="EZ260" s="86"/>
      <c r="FA260" s="86"/>
    </row>
    <row r="261" spans="2:157" ht="10.050000000000001" customHeight="1">
      <c r="B261" s="27"/>
      <c r="C261" s="27"/>
      <c r="D261" s="27"/>
      <c r="E261" s="91"/>
      <c r="F261" s="171"/>
      <c r="G261" s="29"/>
      <c r="H261" s="27"/>
      <c r="J261" s="101"/>
      <c r="K261" s="101"/>
      <c r="L261" s="101"/>
      <c r="Z261" s="86"/>
      <c r="AA261" s="86"/>
      <c r="AB261" s="86"/>
      <c r="AC261" s="86"/>
      <c r="AD261" s="86"/>
      <c r="AE261" s="86"/>
      <c r="AF261" s="86"/>
      <c r="AG261" s="86"/>
      <c r="AH261" s="86"/>
      <c r="AI261" s="86"/>
      <c r="AJ261" s="86"/>
      <c r="AK261" s="86"/>
      <c r="AL261" s="86"/>
      <c r="AM261" s="86"/>
      <c r="AN261" s="86"/>
      <c r="AO261" s="86"/>
      <c r="AP261" s="86"/>
      <c r="AQ261" s="86"/>
      <c r="AR261" s="86"/>
      <c r="AS261" s="86"/>
      <c r="AT261" s="86"/>
      <c r="AU261" s="86"/>
      <c r="AV261" s="86"/>
      <c r="AW261" s="86"/>
      <c r="AX261" s="86"/>
      <c r="AY261" s="86"/>
      <c r="AZ261" s="86"/>
      <c r="BA261" s="86"/>
      <c r="BB261" s="86"/>
      <c r="BC261" s="86"/>
      <c r="BD261" s="86"/>
      <c r="BE261" s="86"/>
      <c r="BF261" s="86"/>
      <c r="BG261" s="86"/>
      <c r="BH261" s="86"/>
      <c r="BI261" s="86"/>
      <c r="BJ261" s="86"/>
      <c r="BK261" s="86"/>
      <c r="BL261" s="86"/>
      <c r="BM261" s="86"/>
      <c r="BN261" s="86"/>
      <c r="BO261" s="86"/>
      <c r="BP261" s="86"/>
      <c r="BQ261" s="86"/>
      <c r="BR261" s="86"/>
      <c r="BS261" s="86"/>
      <c r="BT261" s="86"/>
      <c r="BU261" s="86"/>
      <c r="BV261" s="86"/>
      <c r="BW261" s="86"/>
      <c r="BX261" s="86"/>
      <c r="BY261" s="86"/>
      <c r="BZ261" s="86"/>
      <c r="CA261" s="86"/>
      <c r="CB261" s="86"/>
      <c r="CC261" s="86"/>
      <c r="CD261" s="86"/>
      <c r="CE261" s="86"/>
      <c r="CF261" s="86"/>
      <c r="CG261" s="86"/>
      <c r="CH261" s="86"/>
      <c r="CI261" s="86"/>
      <c r="CJ261" s="86"/>
      <c r="CK261" s="86"/>
      <c r="CL261" s="86"/>
      <c r="CM261" s="86"/>
      <c r="CN261" s="86"/>
      <c r="CO261" s="86"/>
      <c r="CP261" s="86"/>
      <c r="CQ261" s="86"/>
      <c r="CR261" s="86"/>
      <c r="CS261" s="86"/>
      <c r="CT261" s="86"/>
      <c r="CU261" s="86"/>
      <c r="CV261" s="86"/>
      <c r="CW261" s="86"/>
      <c r="CX261" s="86"/>
      <c r="CY261" s="86"/>
      <c r="CZ261" s="86"/>
      <c r="DA261" s="86"/>
      <c r="DB261" s="86"/>
      <c r="DC261" s="86"/>
      <c r="DD261" s="86"/>
      <c r="DE261" s="86"/>
      <c r="DF261" s="86"/>
      <c r="DG261" s="86"/>
      <c r="DH261" s="86"/>
      <c r="DI261" s="86"/>
      <c r="DJ261" s="86"/>
      <c r="DK261" s="86"/>
      <c r="DL261" s="86"/>
      <c r="DM261" s="86"/>
      <c r="DN261" s="86"/>
      <c r="DO261" s="86"/>
      <c r="DP261" s="86"/>
      <c r="DQ261" s="86"/>
      <c r="DR261" s="86"/>
      <c r="DS261" s="86"/>
      <c r="DT261" s="86"/>
      <c r="DU261" s="86"/>
      <c r="DV261" s="86"/>
      <c r="DW261" s="86"/>
      <c r="DX261" s="86"/>
      <c r="DY261" s="86"/>
      <c r="DZ261" s="86"/>
      <c r="EA261" s="86"/>
      <c r="EB261" s="86"/>
      <c r="EC261" s="86"/>
      <c r="ED261" s="86"/>
      <c r="EE261" s="86"/>
      <c r="EF261" s="86"/>
      <c r="EG261" s="86"/>
      <c r="EH261" s="86"/>
      <c r="EI261" s="86"/>
      <c r="EJ261" s="86"/>
      <c r="EK261" s="86"/>
      <c r="EL261" s="86"/>
      <c r="EM261" s="86"/>
      <c r="EN261" s="86"/>
      <c r="EO261" s="86"/>
      <c r="EP261" s="86"/>
      <c r="EQ261" s="86"/>
      <c r="ER261" s="86"/>
      <c r="ES261" s="86"/>
      <c r="ET261" s="86"/>
      <c r="EU261" s="86"/>
      <c r="EV261" s="86"/>
      <c r="EW261" s="86"/>
      <c r="EX261" s="86"/>
      <c r="EY261" s="86"/>
      <c r="EZ261" s="86"/>
      <c r="FA261" s="86"/>
    </row>
    <row r="262" spans="2:157" ht="10.050000000000001" customHeight="1">
      <c r="B262" s="27"/>
      <c r="C262" s="27"/>
      <c r="D262" s="27"/>
      <c r="E262" s="27"/>
      <c r="F262" s="27"/>
      <c r="G262" s="27"/>
      <c r="H262" s="27"/>
      <c r="J262" s="101"/>
      <c r="K262" s="101"/>
      <c r="L262" s="101"/>
      <c r="Z262" s="86"/>
      <c r="AA262" s="86"/>
      <c r="AB262" s="86"/>
      <c r="AC262" s="86"/>
      <c r="AD262" s="86"/>
      <c r="AE262" s="86"/>
      <c r="AF262" s="86"/>
      <c r="AG262" s="86"/>
      <c r="AH262" s="86"/>
      <c r="AI262" s="86"/>
      <c r="AJ262" s="86"/>
      <c r="AK262" s="86"/>
      <c r="AL262" s="86"/>
      <c r="AM262" s="86"/>
      <c r="AN262" s="86"/>
      <c r="AO262" s="86"/>
      <c r="AP262" s="86"/>
      <c r="AQ262" s="86"/>
      <c r="AR262" s="86"/>
      <c r="AS262" s="86"/>
      <c r="AT262" s="86"/>
      <c r="AU262" s="86"/>
      <c r="AV262" s="86"/>
      <c r="AW262" s="86"/>
      <c r="AX262" s="86"/>
      <c r="AY262" s="86"/>
      <c r="AZ262" s="86"/>
      <c r="BA262" s="86"/>
      <c r="BB262" s="86"/>
      <c r="BC262" s="86"/>
      <c r="BD262" s="86"/>
      <c r="BE262" s="86"/>
      <c r="BF262" s="86"/>
      <c r="BG262" s="86"/>
      <c r="BH262" s="86"/>
      <c r="BI262" s="86"/>
      <c r="BJ262" s="86"/>
      <c r="BK262" s="86"/>
      <c r="BL262" s="86"/>
      <c r="BM262" s="86"/>
      <c r="BN262" s="86"/>
      <c r="BO262" s="86"/>
      <c r="BP262" s="86"/>
      <c r="BQ262" s="86"/>
      <c r="BR262" s="86"/>
      <c r="BS262" s="86"/>
      <c r="BT262" s="86"/>
      <c r="BU262" s="86"/>
      <c r="BV262" s="86"/>
      <c r="BW262" s="86"/>
      <c r="BX262" s="86"/>
      <c r="BY262" s="86"/>
      <c r="BZ262" s="86"/>
      <c r="CA262" s="86"/>
      <c r="CB262" s="86"/>
      <c r="CC262" s="86"/>
      <c r="CD262" s="86"/>
      <c r="CE262" s="86"/>
      <c r="CF262" s="86"/>
      <c r="CG262" s="86"/>
      <c r="CH262" s="86"/>
      <c r="CI262" s="86"/>
      <c r="CJ262" s="86"/>
      <c r="CK262" s="86"/>
      <c r="CL262" s="86"/>
      <c r="CM262" s="86"/>
      <c r="CN262" s="86"/>
      <c r="CO262" s="86"/>
      <c r="CP262" s="86"/>
      <c r="CQ262" s="86"/>
      <c r="CR262" s="86"/>
      <c r="CS262" s="86"/>
      <c r="CT262" s="86"/>
      <c r="CU262" s="86"/>
      <c r="CV262" s="86"/>
      <c r="CW262" s="86"/>
      <c r="CX262" s="86"/>
      <c r="CY262" s="86"/>
      <c r="CZ262" s="86"/>
      <c r="DA262" s="86"/>
      <c r="DB262" s="86"/>
      <c r="DC262" s="86"/>
      <c r="DD262" s="86"/>
      <c r="DE262" s="86"/>
      <c r="DF262" s="86"/>
      <c r="DG262" s="86"/>
      <c r="DH262" s="86"/>
      <c r="DI262" s="86"/>
      <c r="DJ262" s="86"/>
      <c r="DK262" s="86"/>
      <c r="DL262" s="86"/>
      <c r="DM262" s="86"/>
      <c r="DN262" s="86"/>
      <c r="DO262" s="86"/>
      <c r="DP262" s="86"/>
      <c r="DQ262" s="86"/>
      <c r="DR262" s="86"/>
      <c r="DS262" s="86"/>
      <c r="DT262" s="86"/>
      <c r="DU262" s="86"/>
      <c r="DV262" s="86"/>
      <c r="DW262" s="86"/>
      <c r="DX262" s="86"/>
      <c r="DY262" s="86"/>
      <c r="DZ262" s="86"/>
      <c r="EA262" s="86"/>
      <c r="EB262" s="86"/>
      <c r="EC262" s="86"/>
      <c r="ED262" s="86"/>
      <c r="EE262" s="86"/>
      <c r="EF262" s="86"/>
      <c r="EG262" s="86"/>
      <c r="EH262" s="86"/>
      <c r="EI262" s="86"/>
      <c r="EJ262" s="86"/>
      <c r="EK262" s="86"/>
      <c r="EL262" s="86"/>
      <c r="EM262" s="86"/>
      <c r="EN262" s="86"/>
      <c r="EO262" s="86"/>
      <c r="EP262" s="86"/>
      <c r="EQ262" s="86"/>
      <c r="ER262" s="86"/>
      <c r="ES262" s="86"/>
      <c r="ET262" s="86"/>
      <c r="EU262" s="86"/>
      <c r="EV262" s="86"/>
      <c r="EW262" s="86"/>
      <c r="EX262" s="86"/>
      <c r="EY262" s="86"/>
      <c r="EZ262" s="86"/>
      <c r="FA262" s="86"/>
    </row>
    <row r="263" spans="2:157" ht="10.050000000000001" customHeight="1">
      <c r="B263" s="141"/>
      <c r="C263" s="141"/>
      <c r="D263" s="31"/>
      <c r="E263" s="31"/>
      <c r="F263" s="142"/>
      <c r="G263" s="1341">
        <f ca="1">NOW()</f>
        <v>42122.346852083334</v>
      </c>
      <c r="H263" s="1341"/>
      <c r="J263" s="101"/>
      <c r="K263" s="101"/>
      <c r="L263" s="101"/>
      <c r="Z263" s="86"/>
      <c r="AA263" s="86"/>
      <c r="AB263" s="86"/>
      <c r="AC263" s="86"/>
      <c r="AD263" s="86"/>
      <c r="AE263" s="86"/>
      <c r="AF263" s="86"/>
      <c r="AG263" s="86"/>
      <c r="AH263" s="86"/>
      <c r="AI263" s="86"/>
      <c r="AJ263" s="86"/>
      <c r="AK263" s="86"/>
      <c r="AL263" s="86"/>
      <c r="AM263" s="86"/>
      <c r="AN263" s="86"/>
      <c r="AO263" s="86"/>
      <c r="AP263" s="86"/>
      <c r="AQ263" s="86"/>
      <c r="AR263" s="86"/>
      <c r="AS263" s="86"/>
      <c r="AT263" s="86"/>
      <c r="AU263" s="86"/>
      <c r="AV263" s="86"/>
      <c r="AW263" s="86"/>
      <c r="AX263" s="86"/>
      <c r="AY263" s="86"/>
      <c r="AZ263" s="86"/>
      <c r="BA263" s="86"/>
      <c r="BB263" s="86"/>
      <c r="BC263" s="86"/>
      <c r="BD263" s="86"/>
      <c r="BE263" s="86"/>
      <c r="BF263" s="86"/>
      <c r="BG263" s="86"/>
      <c r="BH263" s="86"/>
      <c r="BI263" s="86"/>
      <c r="BJ263" s="86"/>
      <c r="BK263" s="86"/>
      <c r="BL263" s="86"/>
      <c r="BM263" s="86"/>
      <c r="BN263" s="86"/>
      <c r="BO263" s="86"/>
      <c r="BP263" s="86"/>
      <c r="BQ263" s="86"/>
      <c r="BR263" s="86"/>
      <c r="BS263" s="86"/>
      <c r="BT263" s="86"/>
      <c r="BU263" s="86"/>
      <c r="BV263" s="86"/>
      <c r="BW263" s="86"/>
      <c r="BX263" s="86"/>
      <c r="BY263" s="86"/>
      <c r="BZ263" s="86"/>
      <c r="CA263" s="86"/>
      <c r="CB263" s="86"/>
      <c r="CC263" s="86"/>
      <c r="CD263" s="86"/>
      <c r="CE263" s="86"/>
      <c r="CF263" s="86"/>
      <c r="CG263" s="86"/>
      <c r="CH263" s="86"/>
      <c r="CI263" s="86"/>
      <c r="CJ263" s="86"/>
      <c r="CK263" s="86"/>
      <c r="CL263" s="86"/>
      <c r="CM263" s="86"/>
      <c r="CN263" s="86"/>
      <c r="CO263" s="86"/>
      <c r="CP263" s="86"/>
      <c r="CQ263" s="86"/>
      <c r="CR263" s="86"/>
      <c r="CS263" s="86"/>
      <c r="CT263" s="86"/>
      <c r="CU263" s="86"/>
      <c r="CV263" s="86"/>
      <c r="CW263" s="86"/>
      <c r="CX263" s="86"/>
      <c r="CY263" s="86"/>
      <c r="CZ263" s="86"/>
      <c r="DA263" s="86"/>
      <c r="DB263" s="86"/>
      <c r="DC263" s="86"/>
      <c r="DD263" s="86"/>
      <c r="DE263" s="86"/>
      <c r="DF263" s="86"/>
      <c r="DG263" s="86"/>
      <c r="DH263" s="86"/>
      <c r="DI263" s="86"/>
      <c r="DJ263" s="86"/>
      <c r="DK263" s="86"/>
      <c r="DL263" s="86"/>
      <c r="DM263" s="86"/>
      <c r="DN263" s="86"/>
      <c r="DO263" s="86"/>
      <c r="DP263" s="86"/>
      <c r="DQ263" s="86"/>
      <c r="DR263" s="86"/>
      <c r="DS263" s="86"/>
      <c r="DT263" s="86"/>
      <c r="DU263" s="86"/>
      <c r="DV263" s="86"/>
      <c r="DW263" s="86"/>
      <c r="DX263" s="86"/>
      <c r="DY263" s="86"/>
      <c r="DZ263" s="86"/>
      <c r="EA263" s="86"/>
      <c r="EB263" s="86"/>
      <c r="EC263" s="86"/>
      <c r="ED263" s="86"/>
      <c r="EE263" s="86"/>
      <c r="EF263" s="86"/>
      <c r="EG263" s="86"/>
      <c r="EH263" s="86"/>
      <c r="EI263" s="86"/>
      <c r="EJ263" s="86"/>
      <c r="EK263" s="86"/>
      <c r="EL263" s="86"/>
      <c r="EM263" s="86"/>
      <c r="EN263" s="86"/>
      <c r="EO263" s="86"/>
      <c r="EP263" s="86"/>
      <c r="EQ263" s="86"/>
      <c r="ER263" s="86"/>
      <c r="ES263" s="86"/>
      <c r="ET263" s="86"/>
      <c r="EU263" s="86"/>
      <c r="EV263" s="86"/>
      <c r="EW263" s="86"/>
      <c r="EX263" s="86"/>
      <c r="EY263" s="86"/>
      <c r="EZ263" s="86"/>
      <c r="FA263" s="86"/>
    </row>
    <row r="264" spans="2:157" ht="10.050000000000001" customHeight="1">
      <c r="B264" s="1343">
        <f>B1</f>
        <v>0</v>
      </c>
      <c r="C264" s="1343"/>
      <c r="D264" s="139" t="str">
        <f>IF(Nutzung!$E$8="","",Nutzung!$E$8)</f>
        <v/>
      </c>
      <c r="E264" s="31"/>
      <c r="F264" s="31"/>
      <c r="G264" s="27"/>
      <c r="H264" s="140" t="s">
        <v>403</v>
      </c>
      <c r="J264" s="101"/>
      <c r="K264" s="101"/>
      <c r="L264" s="101"/>
      <c r="Z264" s="86"/>
      <c r="AA264" s="86"/>
      <c r="AB264" s="86"/>
      <c r="AC264" s="86"/>
      <c r="AD264" s="86"/>
      <c r="AE264" s="86"/>
      <c r="AF264" s="86"/>
      <c r="AG264" s="86"/>
      <c r="AH264" s="86"/>
      <c r="AI264" s="86"/>
      <c r="AJ264" s="86"/>
      <c r="AK264" s="86"/>
      <c r="AL264" s="86"/>
      <c r="AM264" s="86"/>
      <c r="AN264" s="86"/>
      <c r="AO264" s="86"/>
      <c r="AP264" s="86"/>
      <c r="AQ264" s="86"/>
      <c r="AR264" s="86"/>
      <c r="AS264" s="86"/>
      <c r="AT264" s="86"/>
      <c r="AU264" s="86"/>
      <c r="AV264" s="86"/>
      <c r="AW264" s="86"/>
      <c r="AX264" s="86"/>
      <c r="AY264" s="86"/>
      <c r="AZ264" s="86"/>
      <c r="BA264" s="86"/>
      <c r="BB264" s="86"/>
      <c r="BC264" s="86"/>
      <c r="BD264" s="86"/>
      <c r="BE264" s="86"/>
      <c r="BF264" s="86"/>
      <c r="BG264" s="86"/>
      <c r="BH264" s="86"/>
      <c r="BI264" s="86"/>
      <c r="BJ264" s="86"/>
      <c r="BK264" s="86"/>
      <c r="BL264" s="86"/>
      <c r="BM264" s="86"/>
      <c r="BN264" s="86"/>
      <c r="BO264" s="86"/>
      <c r="BP264" s="86"/>
      <c r="BQ264" s="86"/>
      <c r="BR264" s="86"/>
      <c r="BS264" s="86"/>
      <c r="BT264" s="86"/>
      <c r="BU264" s="86"/>
      <c r="BV264" s="86"/>
      <c r="BW264" s="86"/>
      <c r="BX264" s="86"/>
      <c r="BY264" s="86"/>
      <c r="BZ264" s="86"/>
      <c r="CA264" s="86"/>
      <c r="CB264" s="86"/>
      <c r="CC264" s="86"/>
      <c r="CD264" s="86"/>
      <c r="CE264" s="86"/>
      <c r="CF264" s="86"/>
      <c r="CG264" s="86"/>
      <c r="CH264" s="86"/>
      <c r="CI264" s="86"/>
      <c r="CJ264" s="86"/>
      <c r="CK264" s="86"/>
      <c r="CL264" s="86"/>
      <c r="CM264" s="86"/>
      <c r="CN264" s="86"/>
      <c r="CO264" s="86"/>
      <c r="CP264" s="86"/>
      <c r="CQ264" s="86"/>
      <c r="CR264" s="86"/>
      <c r="CS264" s="86"/>
      <c r="CT264" s="86"/>
      <c r="CU264" s="86"/>
      <c r="CV264" s="86"/>
      <c r="CW264" s="86"/>
      <c r="CX264" s="86"/>
      <c r="CY264" s="86"/>
      <c r="CZ264" s="86"/>
      <c r="DA264" s="86"/>
      <c r="DB264" s="86"/>
      <c r="DC264" s="86"/>
      <c r="DD264" s="86"/>
      <c r="DE264" s="86"/>
      <c r="DF264" s="86"/>
      <c r="DG264" s="86"/>
      <c r="DH264" s="86"/>
      <c r="DI264" s="86"/>
      <c r="DJ264" s="86"/>
      <c r="DK264" s="86"/>
      <c r="DL264" s="86"/>
      <c r="DM264" s="86"/>
      <c r="DN264" s="86"/>
      <c r="DO264" s="86"/>
      <c r="DP264" s="86"/>
      <c r="DQ264" s="86"/>
      <c r="DR264" s="86"/>
      <c r="DS264" s="86"/>
      <c r="DT264" s="86"/>
      <c r="DU264" s="86"/>
      <c r="DV264" s="86"/>
      <c r="DW264" s="86"/>
      <c r="DX264" s="86"/>
      <c r="DY264" s="86"/>
      <c r="DZ264" s="86"/>
      <c r="EA264" s="86"/>
      <c r="EB264" s="86"/>
      <c r="EC264" s="86"/>
      <c r="ED264" s="86"/>
      <c r="EE264" s="86"/>
      <c r="EF264" s="86"/>
      <c r="EG264" s="86"/>
      <c r="EH264" s="86"/>
      <c r="EI264" s="86"/>
      <c r="EJ264" s="86"/>
      <c r="EK264" s="86"/>
      <c r="EL264" s="86"/>
      <c r="EM264" s="86"/>
      <c r="EN264" s="86"/>
      <c r="EO264" s="86"/>
      <c r="EP264" s="86"/>
      <c r="EQ264" s="86"/>
      <c r="ER264" s="86"/>
      <c r="ES264" s="86"/>
      <c r="ET264" s="86"/>
      <c r="EU264" s="86"/>
      <c r="EV264" s="86"/>
      <c r="EW264" s="86"/>
      <c r="EX264" s="86"/>
      <c r="EY264" s="86"/>
      <c r="EZ264" s="86"/>
      <c r="FA264" s="86"/>
    </row>
    <row r="265" spans="2:157" ht="10.050000000000001" customHeight="1">
      <c r="C265" s="31"/>
      <c r="D265" s="25"/>
      <c r="E265" s="31"/>
      <c r="F265" s="31"/>
      <c r="G265" s="27"/>
      <c r="H265" s="138"/>
      <c r="J265" s="101"/>
      <c r="K265" s="101"/>
      <c r="L265" s="101"/>
      <c r="Z265" s="86"/>
      <c r="AA265" s="86"/>
      <c r="AB265" s="86"/>
      <c r="AC265" s="86"/>
      <c r="AD265" s="86"/>
      <c r="AE265" s="86"/>
      <c r="AF265" s="86"/>
      <c r="AG265" s="86"/>
      <c r="AH265" s="86"/>
      <c r="AI265" s="86"/>
      <c r="AJ265" s="86"/>
      <c r="AK265" s="86"/>
      <c r="AL265" s="86"/>
      <c r="AM265" s="86"/>
      <c r="AN265" s="86"/>
      <c r="AO265" s="86"/>
      <c r="AP265" s="86"/>
      <c r="AQ265" s="86"/>
      <c r="AR265" s="86"/>
      <c r="AS265" s="86"/>
      <c r="AT265" s="86"/>
      <c r="AU265" s="86"/>
      <c r="AV265" s="86"/>
      <c r="AW265" s="86"/>
      <c r="AX265" s="86"/>
      <c r="AY265" s="86"/>
      <c r="AZ265" s="86"/>
      <c r="BA265" s="86"/>
      <c r="BB265" s="86"/>
      <c r="BC265" s="86"/>
      <c r="BD265" s="86"/>
      <c r="BE265" s="86"/>
      <c r="BF265" s="86"/>
      <c r="BG265" s="86"/>
      <c r="BH265" s="86"/>
      <c r="BI265" s="86"/>
      <c r="BJ265" s="86"/>
      <c r="BK265" s="86"/>
      <c r="BL265" s="86"/>
      <c r="BM265" s="86"/>
      <c r="BN265" s="86"/>
      <c r="BO265" s="86"/>
      <c r="BP265" s="86"/>
      <c r="BQ265" s="86"/>
      <c r="BR265" s="86"/>
      <c r="BS265" s="86"/>
      <c r="BT265" s="86"/>
      <c r="BU265" s="86"/>
      <c r="BV265" s="86"/>
      <c r="BW265" s="86"/>
      <c r="BX265" s="86"/>
      <c r="BY265" s="86"/>
      <c r="BZ265" s="86"/>
      <c r="CA265" s="86"/>
      <c r="CB265" s="86"/>
      <c r="CC265" s="86"/>
      <c r="CD265" s="86"/>
      <c r="CE265" s="86"/>
      <c r="CF265" s="86"/>
      <c r="CG265" s="86"/>
      <c r="CH265" s="86"/>
      <c r="CI265" s="86"/>
      <c r="CJ265" s="86"/>
      <c r="CK265" s="86"/>
      <c r="CL265" s="86"/>
      <c r="CM265" s="86"/>
      <c r="CN265" s="86"/>
      <c r="CO265" s="86"/>
      <c r="CP265" s="86"/>
      <c r="CQ265" s="86"/>
      <c r="CR265" s="86"/>
      <c r="CS265" s="86"/>
      <c r="CT265" s="86"/>
      <c r="CU265" s="86"/>
      <c r="CV265" s="86"/>
      <c r="CW265" s="86"/>
      <c r="CX265" s="86"/>
      <c r="CY265" s="86"/>
      <c r="CZ265" s="86"/>
      <c r="DA265" s="86"/>
      <c r="DB265" s="86"/>
      <c r="DC265" s="86"/>
      <c r="DD265" s="86"/>
      <c r="DE265" s="86"/>
      <c r="DF265" s="86"/>
      <c r="DG265" s="86"/>
      <c r="DH265" s="86"/>
      <c r="DI265" s="86"/>
      <c r="DJ265" s="86"/>
      <c r="DK265" s="86"/>
      <c r="DL265" s="86"/>
      <c r="DM265" s="86"/>
      <c r="DN265" s="86"/>
      <c r="DO265" s="86"/>
      <c r="DP265" s="86"/>
      <c r="DQ265" s="86"/>
      <c r="DR265" s="86"/>
      <c r="DS265" s="86"/>
      <c r="DT265" s="86"/>
      <c r="DU265" s="86"/>
      <c r="DV265" s="86"/>
      <c r="DW265" s="86"/>
      <c r="DX265" s="86"/>
      <c r="DY265" s="86"/>
      <c r="DZ265" s="86"/>
      <c r="EA265" s="86"/>
      <c r="EB265" s="86"/>
      <c r="EC265" s="86"/>
      <c r="ED265" s="86"/>
      <c r="EE265" s="86"/>
      <c r="EF265" s="86"/>
      <c r="EG265" s="86"/>
      <c r="EH265" s="86"/>
      <c r="EI265" s="86"/>
      <c r="EJ265" s="86"/>
      <c r="EK265" s="86"/>
      <c r="EL265" s="86"/>
      <c r="EM265" s="86"/>
      <c r="EN265" s="86"/>
      <c r="EO265" s="86"/>
      <c r="EP265" s="86"/>
      <c r="EQ265" s="86"/>
      <c r="ER265" s="86"/>
      <c r="ES265" s="86"/>
      <c r="ET265" s="86"/>
      <c r="EU265" s="86"/>
      <c r="EV265" s="86"/>
      <c r="EW265" s="86"/>
      <c r="EX265" s="86"/>
      <c r="EY265" s="86"/>
      <c r="EZ265" s="86"/>
      <c r="FA265" s="86"/>
    </row>
    <row r="266" spans="2:157" ht="10.050000000000001" customHeight="1">
      <c r="C266" s="31"/>
      <c r="D266" s="25"/>
      <c r="E266" s="31"/>
      <c r="F266" s="31"/>
      <c r="G266" s="27"/>
      <c r="H266" s="138"/>
      <c r="J266" s="101"/>
      <c r="K266" s="101"/>
      <c r="L266" s="101"/>
      <c r="Z266" s="86"/>
      <c r="AA266" s="86"/>
      <c r="AB266" s="86"/>
      <c r="AC266" s="86"/>
      <c r="AD266" s="86"/>
      <c r="AE266" s="86"/>
      <c r="AF266" s="86"/>
      <c r="AG266" s="86"/>
      <c r="AH266" s="86"/>
      <c r="AI266" s="86"/>
      <c r="AJ266" s="86"/>
      <c r="AK266" s="86"/>
      <c r="AL266" s="86"/>
      <c r="AM266" s="86"/>
      <c r="AN266" s="86"/>
      <c r="AO266" s="86"/>
      <c r="AP266" s="86"/>
      <c r="AQ266" s="86"/>
      <c r="AR266" s="86"/>
      <c r="AS266" s="86"/>
      <c r="AT266" s="86"/>
      <c r="AU266" s="86"/>
      <c r="AV266" s="86"/>
      <c r="AW266" s="86"/>
      <c r="AX266" s="86"/>
      <c r="AY266" s="86"/>
      <c r="AZ266" s="86"/>
      <c r="BA266" s="86"/>
      <c r="BB266" s="86"/>
      <c r="BC266" s="86"/>
      <c r="BD266" s="86"/>
      <c r="BE266" s="86"/>
      <c r="BF266" s="86"/>
      <c r="BG266" s="86"/>
      <c r="BH266" s="86"/>
      <c r="BI266" s="86"/>
      <c r="BJ266" s="86"/>
      <c r="BK266" s="86"/>
      <c r="BL266" s="86"/>
      <c r="BM266" s="86"/>
      <c r="BN266" s="86"/>
      <c r="BO266" s="86"/>
      <c r="BP266" s="86"/>
      <c r="BQ266" s="86"/>
      <c r="BR266" s="86"/>
      <c r="BS266" s="86"/>
      <c r="BT266" s="86"/>
      <c r="BU266" s="86"/>
      <c r="BV266" s="86"/>
      <c r="BW266" s="86"/>
      <c r="BX266" s="86"/>
      <c r="BY266" s="86"/>
      <c r="BZ266" s="86"/>
      <c r="CA266" s="86"/>
      <c r="CB266" s="86"/>
      <c r="CC266" s="86"/>
      <c r="CD266" s="86"/>
      <c r="CE266" s="86"/>
      <c r="CF266" s="86"/>
      <c r="CG266" s="86"/>
      <c r="CH266" s="86"/>
      <c r="CI266" s="86"/>
      <c r="CJ266" s="86"/>
      <c r="CK266" s="86"/>
      <c r="CL266" s="86"/>
      <c r="CM266" s="86"/>
      <c r="CN266" s="86"/>
      <c r="CO266" s="86"/>
      <c r="CP266" s="86"/>
      <c r="CQ266" s="86"/>
      <c r="CR266" s="86"/>
      <c r="CS266" s="86"/>
      <c r="CT266" s="86"/>
      <c r="CU266" s="86"/>
      <c r="CV266" s="86"/>
      <c r="CW266" s="86"/>
      <c r="CX266" s="86"/>
      <c r="CY266" s="86"/>
      <c r="CZ266" s="86"/>
      <c r="DA266" s="86"/>
      <c r="DB266" s="86"/>
      <c r="DC266" s="86"/>
      <c r="DD266" s="86"/>
      <c r="DE266" s="86"/>
      <c r="DF266" s="86"/>
      <c r="DG266" s="86"/>
      <c r="DH266" s="86"/>
      <c r="DI266" s="86"/>
      <c r="DJ266" s="86"/>
      <c r="DK266" s="86"/>
      <c r="DL266" s="86"/>
      <c r="DM266" s="86"/>
      <c r="DN266" s="86"/>
      <c r="DO266" s="86"/>
      <c r="DP266" s="86"/>
      <c r="DQ266" s="86"/>
      <c r="DR266" s="86"/>
      <c r="DS266" s="86"/>
      <c r="DT266" s="86"/>
      <c r="DU266" s="86"/>
      <c r="DV266" s="86"/>
      <c r="DW266" s="86"/>
      <c r="DX266" s="86"/>
      <c r="DY266" s="86"/>
      <c r="DZ266" s="86"/>
      <c r="EA266" s="86"/>
      <c r="EB266" s="86"/>
      <c r="EC266" s="86"/>
      <c r="ED266" s="86"/>
      <c r="EE266" s="86"/>
      <c r="EF266" s="86"/>
      <c r="EG266" s="86"/>
      <c r="EH266" s="86"/>
      <c r="EI266" s="86"/>
      <c r="EJ266" s="86"/>
      <c r="EK266" s="86"/>
      <c r="EL266" s="86"/>
      <c r="EM266" s="86"/>
      <c r="EN266" s="86"/>
      <c r="EO266" s="86"/>
      <c r="EP266" s="86"/>
      <c r="EQ266" s="86"/>
      <c r="ER266" s="86"/>
      <c r="ES266" s="86"/>
      <c r="ET266" s="86"/>
      <c r="EU266" s="86"/>
      <c r="EV266" s="86"/>
      <c r="EW266" s="86"/>
      <c r="EX266" s="86"/>
      <c r="EY266" s="86"/>
      <c r="EZ266" s="86"/>
      <c r="FA266" s="86"/>
    </row>
    <row r="267" spans="2:157" ht="18" customHeight="1">
      <c r="C267" s="31"/>
      <c r="D267" s="25"/>
      <c r="E267" s="31"/>
      <c r="F267" s="31"/>
      <c r="G267" s="27"/>
      <c r="H267" s="138"/>
      <c r="J267" s="101"/>
      <c r="K267" s="101"/>
      <c r="L267" s="101"/>
      <c r="Z267" s="86"/>
      <c r="AA267" s="86"/>
      <c r="AB267" s="86"/>
      <c r="AC267" s="86"/>
      <c r="AD267" s="86"/>
      <c r="AE267" s="86"/>
      <c r="AF267" s="86"/>
      <c r="AG267" s="86"/>
      <c r="AH267" s="86"/>
      <c r="AI267" s="86"/>
      <c r="AJ267" s="86"/>
      <c r="AK267" s="86"/>
      <c r="AL267" s="86"/>
      <c r="AM267" s="86"/>
      <c r="AN267" s="86"/>
      <c r="AO267" s="86"/>
      <c r="AP267" s="86"/>
      <c r="AQ267" s="86"/>
      <c r="AR267" s="86"/>
      <c r="AS267" s="86"/>
      <c r="AT267" s="86"/>
      <c r="AU267" s="86"/>
      <c r="AV267" s="86"/>
      <c r="AW267" s="86"/>
      <c r="AX267" s="86"/>
      <c r="AY267" s="86"/>
      <c r="AZ267" s="86"/>
      <c r="BA267" s="86"/>
      <c r="BB267" s="86"/>
      <c r="BC267" s="86"/>
      <c r="BD267" s="86"/>
      <c r="BE267" s="86"/>
      <c r="BF267" s="86"/>
      <c r="BG267" s="86"/>
      <c r="BH267" s="86"/>
      <c r="BI267" s="86"/>
      <c r="BJ267" s="86"/>
      <c r="BK267" s="86"/>
      <c r="BL267" s="86"/>
      <c r="BM267" s="86"/>
      <c r="BN267" s="86"/>
      <c r="BO267" s="86"/>
      <c r="BP267" s="86"/>
      <c r="BQ267" s="86"/>
      <c r="BR267" s="86"/>
      <c r="BS267" s="86"/>
      <c r="BT267" s="86"/>
      <c r="BU267" s="86"/>
      <c r="BV267" s="86"/>
      <c r="BW267" s="86"/>
      <c r="BX267" s="86"/>
      <c r="BY267" s="86"/>
      <c r="BZ267" s="86"/>
      <c r="CA267" s="86"/>
      <c r="CB267" s="86"/>
      <c r="CC267" s="86"/>
      <c r="CD267" s="86"/>
      <c r="CE267" s="86"/>
      <c r="CF267" s="86"/>
      <c r="CG267" s="86"/>
      <c r="CH267" s="86"/>
      <c r="CI267" s="86"/>
      <c r="CJ267" s="86"/>
      <c r="CK267" s="86"/>
      <c r="CL267" s="86"/>
      <c r="CM267" s="86"/>
      <c r="CN267" s="86"/>
      <c r="CO267" s="86"/>
      <c r="CP267" s="86"/>
      <c r="CQ267" s="86"/>
      <c r="CR267" s="86"/>
      <c r="CS267" s="86"/>
      <c r="CT267" s="86"/>
      <c r="CU267" s="86"/>
      <c r="CV267" s="86"/>
      <c r="CW267" s="86"/>
      <c r="CX267" s="86"/>
      <c r="CY267" s="86"/>
      <c r="CZ267" s="86"/>
      <c r="DA267" s="86"/>
      <c r="DB267" s="86"/>
      <c r="DC267" s="86"/>
      <c r="DD267" s="86"/>
      <c r="DE267" s="86"/>
      <c r="DF267" s="86"/>
      <c r="DG267" s="86"/>
      <c r="DH267" s="86"/>
      <c r="DI267" s="86"/>
      <c r="DJ267" s="86"/>
      <c r="DK267" s="86"/>
      <c r="DL267" s="86"/>
      <c r="DM267" s="86"/>
      <c r="DN267" s="86"/>
      <c r="DO267" s="86"/>
      <c r="DP267" s="86"/>
      <c r="DQ267" s="86"/>
      <c r="DR267" s="86"/>
      <c r="DS267" s="86"/>
      <c r="DT267" s="86"/>
      <c r="DU267" s="86"/>
      <c r="DV267" s="86"/>
      <c r="DW267" s="86"/>
      <c r="DX267" s="86"/>
      <c r="DY267" s="86"/>
      <c r="DZ267" s="86"/>
      <c r="EA267" s="86"/>
      <c r="EB267" s="86"/>
      <c r="EC267" s="86"/>
      <c r="ED267" s="86"/>
      <c r="EE267" s="86"/>
      <c r="EF267" s="86"/>
      <c r="EG267" s="86"/>
      <c r="EH267" s="86"/>
      <c r="EI267" s="86"/>
      <c r="EJ267" s="86"/>
      <c r="EK267" s="86"/>
      <c r="EL267" s="86"/>
      <c r="EM267" s="86"/>
      <c r="EN267" s="86"/>
      <c r="EO267" s="86"/>
      <c r="EP267" s="86"/>
      <c r="EQ267" s="86"/>
      <c r="ER267" s="86"/>
      <c r="ES267" s="86"/>
      <c r="ET267" s="86"/>
      <c r="EU267" s="86"/>
      <c r="EV267" s="86"/>
      <c r="EW267" s="86"/>
      <c r="EX267" s="86"/>
      <c r="EY267" s="86"/>
      <c r="EZ267" s="86"/>
      <c r="FA267" s="86"/>
    </row>
    <row r="268" spans="2:157" ht="10.050000000000001" customHeight="1">
      <c r="B268" s="31"/>
      <c r="C268" s="31"/>
      <c r="D268" s="31"/>
      <c r="E268" s="31"/>
      <c r="F268" s="31"/>
      <c r="G268" s="27"/>
      <c r="H268" s="31"/>
      <c r="J268" s="101"/>
      <c r="K268" s="101"/>
      <c r="L268" s="101"/>
      <c r="Z268" s="86"/>
      <c r="AA268" s="86"/>
      <c r="AB268" s="86"/>
      <c r="AC268" s="86"/>
      <c r="AD268" s="86"/>
      <c r="AE268" s="86"/>
      <c r="AF268" s="86"/>
      <c r="AG268" s="86"/>
      <c r="AH268" s="86"/>
      <c r="AI268" s="86"/>
      <c r="AJ268" s="86"/>
      <c r="AK268" s="86"/>
      <c r="AL268" s="86"/>
      <c r="AM268" s="86"/>
      <c r="AN268" s="86"/>
      <c r="AO268" s="86"/>
      <c r="AP268" s="86"/>
      <c r="AQ268" s="86"/>
      <c r="AR268" s="86"/>
      <c r="AS268" s="86"/>
      <c r="AT268" s="86"/>
      <c r="AU268" s="86"/>
      <c r="AV268" s="86"/>
      <c r="AW268" s="86"/>
      <c r="AX268" s="86"/>
      <c r="AY268" s="86"/>
      <c r="AZ268" s="86"/>
      <c r="BA268" s="86"/>
      <c r="BB268" s="86"/>
      <c r="BC268" s="86"/>
      <c r="BD268" s="86"/>
      <c r="BE268" s="86"/>
      <c r="BF268" s="86"/>
      <c r="BG268" s="86"/>
      <c r="BH268" s="86"/>
      <c r="BI268" s="86"/>
      <c r="BJ268" s="86"/>
      <c r="BK268" s="86"/>
      <c r="BL268" s="86"/>
      <c r="BM268" s="86"/>
      <c r="BN268" s="86"/>
      <c r="BO268" s="86"/>
      <c r="BP268" s="86"/>
      <c r="BQ268" s="86"/>
      <c r="BR268" s="86"/>
      <c r="BS268" s="86"/>
      <c r="BT268" s="86"/>
      <c r="BU268" s="86"/>
      <c r="BV268" s="86"/>
      <c r="BW268" s="86"/>
      <c r="BX268" s="86"/>
      <c r="BY268" s="86"/>
      <c r="BZ268" s="86"/>
      <c r="CA268" s="86"/>
      <c r="CB268" s="86"/>
      <c r="CC268" s="86"/>
      <c r="CD268" s="86"/>
      <c r="CE268" s="86"/>
      <c r="CF268" s="86"/>
      <c r="CG268" s="86"/>
      <c r="CH268" s="86"/>
      <c r="CI268" s="86"/>
      <c r="CJ268" s="86"/>
      <c r="CK268" s="86"/>
      <c r="CL268" s="86"/>
      <c r="CM268" s="86"/>
      <c r="CN268" s="86"/>
      <c r="CO268" s="86"/>
      <c r="CP268" s="86"/>
      <c r="CQ268" s="86"/>
      <c r="CR268" s="86"/>
      <c r="CS268" s="86"/>
      <c r="CT268" s="86"/>
      <c r="CU268" s="86"/>
      <c r="CV268" s="86"/>
      <c r="CW268" s="86"/>
      <c r="CX268" s="86"/>
      <c r="CY268" s="86"/>
      <c r="CZ268" s="86"/>
      <c r="DA268" s="86"/>
      <c r="DB268" s="86"/>
      <c r="DC268" s="86"/>
      <c r="DD268" s="86"/>
      <c r="DE268" s="86"/>
      <c r="DF268" s="86"/>
      <c r="DG268" s="86"/>
      <c r="DH268" s="86"/>
      <c r="DI268" s="86"/>
      <c r="DJ268" s="86"/>
      <c r="DK268" s="86"/>
      <c r="DL268" s="86"/>
      <c r="DM268" s="86"/>
      <c r="DN268" s="86"/>
      <c r="DO268" s="86"/>
      <c r="DP268" s="86"/>
      <c r="DQ268" s="86"/>
      <c r="DR268" s="86"/>
      <c r="DS268" s="86"/>
      <c r="DT268" s="86"/>
      <c r="DU268" s="86"/>
      <c r="DV268" s="86"/>
      <c r="DW268" s="86"/>
      <c r="DX268" s="86"/>
      <c r="DY268" s="86"/>
      <c r="DZ268" s="86"/>
      <c r="EA268" s="86"/>
      <c r="EB268" s="86"/>
      <c r="EC268" s="86"/>
      <c r="ED268" s="86"/>
      <c r="EE268" s="86"/>
      <c r="EF268" s="86"/>
      <c r="EG268" s="86"/>
      <c r="EH268" s="86"/>
      <c r="EI268" s="86"/>
      <c r="EJ268" s="86"/>
      <c r="EK268" s="86"/>
      <c r="EL268" s="86"/>
      <c r="EM268" s="86"/>
      <c r="EN268" s="86"/>
      <c r="EO268" s="86"/>
      <c r="EP268" s="86"/>
      <c r="EQ268" s="86"/>
      <c r="ER268" s="86"/>
      <c r="ES268" s="86"/>
      <c r="ET268" s="86"/>
      <c r="EU268" s="86"/>
      <c r="EV268" s="86"/>
      <c r="EW268" s="86"/>
      <c r="EX268" s="86"/>
      <c r="EY268" s="86"/>
      <c r="EZ268" s="86"/>
      <c r="FA268" s="86"/>
    </row>
    <row r="269" spans="2:157" ht="10.050000000000001" customHeight="1">
      <c r="B269" s="31"/>
      <c r="C269" s="31"/>
      <c r="D269" s="31"/>
      <c r="E269" s="31"/>
      <c r="F269" s="31"/>
      <c r="G269" s="27"/>
      <c r="H269" s="31"/>
      <c r="J269" s="101"/>
      <c r="K269" s="101"/>
      <c r="L269" s="101"/>
      <c r="Z269" s="86"/>
      <c r="AA269" s="86"/>
      <c r="AB269" s="86"/>
      <c r="AC269" s="86"/>
      <c r="AD269" s="86"/>
      <c r="AE269" s="86"/>
      <c r="AF269" s="86"/>
      <c r="AG269" s="86"/>
      <c r="AH269" s="86"/>
      <c r="AI269" s="86"/>
      <c r="AJ269" s="86"/>
      <c r="AK269" s="86"/>
      <c r="AL269" s="86"/>
      <c r="AM269" s="86"/>
      <c r="AN269" s="86"/>
      <c r="AO269" s="86"/>
      <c r="AP269" s="86"/>
      <c r="AQ269" s="86"/>
      <c r="AR269" s="86"/>
      <c r="AS269" s="86"/>
      <c r="AT269" s="86"/>
      <c r="AU269" s="86"/>
      <c r="AV269" s="86"/>
      <c r="AW269" s="86"/>
      <c r="AX269" s="86"/>
      <c r="AY269" s="86"/>
      <c r="AZ269" s="86"/>
      <c r="BA269" s="86"/>
      <c r="BB269" s="86"/>
      <c r="BC269" s="86"/>
      <c r="BD269" s="86"/>
      <c r="BE269" s="86"/>
      <c r="BF269" s="86"/>
      <c r="BG269" s="86"/>
      <c r="BH269" s="86"/>
      <c r="BI269" s="86"/>
      <c r="BJ269" s="86"/>
      <c r="BK269" s="86"/>
      <c r="BL269" s="86"/>
      <c r="BM269" s="86"/>
      <c r="BN269" s="86"/>
      <c r="BO269" s="86"/>
      <c r="BP269" s="86"/>
      <c r="BQ269" s="86"/>
      <c r="BR269" s="86"/>
      <c r="BS269" s="86"/>
      <c r="BT269" s="86"/>
      <c r="BU269" s="86"/>
      <c r="BV269" s="86"/>
      <c r="BW269" s="86"/>
      <c r="BX269" s="86"/>
      <c r="BY269" s="86"/>
      <c r="BZ269" s="86"/>
      <c r="CA269" s="86"/>
      <c r="CB269" s="86"/>
      <c r="CC269" s="86"/>
      <c r="CD269" s="86"/>
      <c r="CE269" s="86"/>
      <c r="CF269" s="86"/>
      <c r="CG269" s="86"/>
      <c r="CH269" s="86"/>
      <c r="CI269" s="86"/>
      <c r="CJ269" s="86"/>
      <c r="CK269" s="86"/>
      <c r="CL269" s="86"/>
      <c r="CM269" s="86"/>
      <c r="CN269" s="86"/>
      <c r="CO269" s="86"/>
      <c r="CP269" s="86"/>
      <c r="CQ269" s="86"/>
      <c r="CR269" s="86"/>
      <c r="CS269" s="86"/>
      <c r="CT269" s="86"/>
      <c r="CU269" s="86"/>
      <c r="CV269" s="86"/>
      <c r="CW269" s="86"/>
      <c r="CX269" s="86"/>
      <c r="CY269" s="86"/>
      <c r="CZ269" s="86"/>
      <c r="DA269" s="86"/>
      <c r="DB269" s="86"/>
      <c r="DC269" s="86"/>
      <c r="DD269" s="86"/>
      <c r="DE269" s="86"/>
      <c r="DF269" s="86"/>
      <c r="DG269" s="86"/>
      <c r="DH269" s="86"/>
      <c r="DI269" s="86"/>
      <c r="DJ269" s="86"/>
      <c r="DK269" s="86"/>
      <c r="DL269" s="86"/>
      <c r="DM269" s="86"/>
      <c r="DN269" s="86"/>
      <c r="DO269" s="86"/>
      <c r="DP269" s="86"/>
      <c r="DQ269" s="86"/>
      <c r="DR269" s="86"/>
      <c r="DS269" s="86"/>
      <c r="DT269" s="86"/>
      <c r="DU269" s="86"/>
      <c r="DV269" s="86"/>
      <c r="DW269" s="86"/>
      <c r="DX269" s="86"/>
      <c r="DY269" s="86"/>
      <c r="DZ269" s="86"/>
      <c r="EA269" s="86"/>
      <c r="EB269" s="86"/>
      <c r="EC269" s="86"/>
      <c r="ED269" s="86"/>
      <c r="EE269" s="86"/>
      <c r="EF269" s="86"/>
      <c r="EG269" s="86"/>
      <c r="EH269" s="86"/>
      <c r="EI269" s="86"/>
      <c r="EJ269" s="86"/>
      <c r="EK269" s="86"/>
      <c r="EL269" s="86"/>
      <c r="EM269" s="86"/>
      <c r="EN269" s="86"/>
      <c r="EO269" s="86"/>
      <c r="EP269" s="86"/>
      <c r="EQ269" s="86"/>
      <c r="ER269" s="86"/>
      <c r="ES269" s="86"/>
      <c r="ET269" s="86"/>
      <c r="EU269" s="86"/>
      <c r="EV269" s="86"/>
      <c r="EW269" s="86"/>
      <c r="EX269" s="86"/>
      <c r="EY269" s="86"/>
      <c r="EZ269" s="86"/>
      <c r="FA269" s="86"/>
    </row>
    <row r="270" spans="2:157" ht="10.95" customHeight="1">
      <c r="B270" s="1347" t="s">
        <v>510</v>
      </c>
      <c r="C270" s="1348"/>
      <c r="D270" s="1345"/>
      <c r="E270" s="1346"/>
      <c r="F270" s="842"/>
      <c r="G270" s="837" t="s">
        <v>4</v>
      </c>
      <c r="H270" s="856"/>
      <c r="J270" s="101"/>
      <c r="K270" s="101"/>
      <c r="L270" s="101"/>
      <c r="Z270" s="86"/>
      <c r="AA270" s="86"/>
      <c r="AB270" s="86"/>
      <c r="AC270" s="86"/>
      <c r="AD270" s="86"/>
      <c r="AE270" s="86"/>
      <c r="AF270" s="86"/>
      <c r="AG270" s="86"/>
      <c r="AH270" s="86"/>
      <c r="AI270" s="86"/>
      <c r="AJ270" s="86"/>
      <c r="AK270" s="86"/>
      <c r="AL270" s="86"/>
      <c r="AM270" s="86"/>
      <c r="AN270" s="86"/>
      <c r="AO270" s="86"/>
      <c r="AP270" s="86"/>
      <c r="AQ270" s="86"/>
      <c r="AR270" s="86"/>
      <c r="AS270" s="86"/>
      <c r="AT270" s="86"/>
      <c r="AU270" s="86"/>
      <c r="AV270" s="86"/>
      <c r="AW270" s="86"/>
      <c r="AX270" s="86"/>
      <c r="AY270" s="86"/>
      <c r="AZ270" s="86"/>
      <c r="BA270" s="86"/>
      <c r="BB270" s="86"/>
      <c r="BC270" s="86"/>
      <c r="BD270" s="86"/>
      <c r="BE270" s="86"/>
      <c r="BF270" s="86"/>
      <c r="BG270" s="86"/>
      <c r="BH270" s="86"/>
      <c r="BI270" s="86"/>
      <c r="BJ270" s="86"/>
      <c r="BK270" s="86"/>
      <c r="BL270" s="86"/>
      <c r="BM270" s="86"/>
      <c r="BN270" s="86"/>
      <c r="BO270" s="86"/>
      <c r="BP270" s="86"/>
      <c r="BQ270" s="86"/>
      <c r="BR270" s="86"/>
      <c r="BS270" s="86"/>
      <c r="BT270" s="86"/>
      <c r="BU270" s="86"/>
      <c r="BV270" s="86"/>
      <c r="BW270" s="86"/>
      <c r="BX270" s="86"/>
      <c r="BY270" s="86"/>
      <c r="BZ270" s="86"/>
      <c r="CA270" s="86"/>
      <c r="CB270" s="86"/>
      <c r="CC270" s="86"/>
      <c r="CD270" s="86"/>
      <c r="CE270" s="86"/>
      <c r="CF270" s="86"/>
      <c r="CG270" s="86"/>
      <c r="CH270" s="86"/>
      <c r="CI270" s="86"/>
      <c r="CJ270" s="86"/>
      <c r="CK270" s="86"/>
      <c r="CL270" s="86"/>
      <c r="CM270" s="86"/>
      <c r="CN270" s="86"/>
      <c r="CO270" s="86"/>
      <c r="CP270" s="86"/>
      <c r="CQ270" s="86"/>
      <c r="CR270" s="86"/>
      <c r="CS270" s="86"/>
      <c r="CT270" s="86"/>
      <c r="CU270" s="86"/>
      <c r="CV270" s="86"/>
      <c r="CW270" s="86"/>
      <c r="CX270" s="86"/>
      <c r="CY270" s="86"/>
      <c r="CZ270" s="86"/>
      <c r="DA270" s="86"/>
      <c r="DB270" s="86"/>
      <c r="DC270" s="86"/>
      <c r="DD270" s="86"/>
      <c r="DE270" s="86"/>
      <c r="DF270" s="86"/>
      <c r="DG270" s="86"/>
      <c r="DH270" s="86"/>
      <c r="DI270" s="86"/>
      <c r="DJ270" s="86"/>
      <c r="DK270" s="86"/>
      <c r="DL270" s="86"/>
      <c r="DM270" s="86"/>
      <c r="DN270" s="86"/>
      <c r="DO270" s="86"/>
      <c r="DP270" s="86"/>
      <c r="DQ270" s="86"/>
      <c r="DR270" s="86"/>
      <c r="DS270" s="86"/>
      <c r="DT270" s="86"/>
      <c r="DU270" s="86"/>
      <c r="DV270" s="86"/>
      <c r="DW270" s="86"/>
      <c r="DX270" s="86"/>
      <c r="DY270" s="86"/>
      <c r="DZ270" s="86"/>
      <c r="EA270" s="86"/>
      <c r="EB270" s="86"/>
      <c r="EC270" s="86"/>
      <c r="ED270" s="86"/>
      <c r="EE270" s="86"/>
      <c r="EF270" s="86"/>
      <c r="EG270" s="86"/>
      <c r="EH270" s="86"/>
      <c r="EI270" s="86"/>
      <c r="EJ270" s="86"/>
      <c r="EK270" s="86"/>
      <c r="EL270" s="86"/>
      <c r="EM270" s="86"/>
      <c r="EN270" s="86"/>
      <c r="EO270" s="86"/>
      <c r="EP270" s="86"/>
      <c r="EQ270" s="86"/>
      <c r="ER270" s="86"/>
      <c r="ES270" s="86"/>
      <c r="ET270" s="86"/>
      <c r="EU270" s="86"/>
      <c r="EV270" s="86"/>
      <c r="EW270" s="86"/>
      <c r="EX270" s="86"/>
      <c r="EY270" s="86"/>
      <c r="EZ270" s="86"/>
      <c r="FA270" s="86"/>
    </row>
    <row r="271" spans="2:157" ht="10.95" customHeight="1">
      <c r="B271" s="1347" t="s">
        <v>582</v>
      </c>
      <c r="C271" s="1349"/>
      <c r="D271" s="1345"/>
      <c r="E271" s="1346"/>
      <c r="F271" s="839"/>
      <c r="G271" s="853" t="s">
        <v>345</v>
      </c>
      <c r="H271" s="854">
        <f>ROUND(1/(SUM(H274:H284)),2)</f>
        <v>5.88</v>
      </c>
      <c r="J271" s="101"/>
      <c r="K271" s="101"/>
      <c r="L271" s="101"/>
      <c r="Z271" s="86"/>
      <c r="AA271" s="86"/>
      <c r="AB271" s="86"/>
      <c r="AC271" s="86"/>
      <c r="AD271" s="86"/>
      <c r="AE271" s="86"/>
      <c r="AF271" s="86"/>
      <c r="AG271" s="86"/>
      <c r="AH271" s="86"/>
      <c r="AI271" s="86"/>
      <c r="AJ271" s="86"/>
      <c r="AK271" s="86"/>
      <c r="AL271" s="86"/>
      <c r="AM271" s="86"/>
      <c r="AN271" s="86"/>
      <c r="AO271" s="86"/>
      <c r="AP271" s="86"/>
      <c r="AQ271" s="86"/>
      <c r="AR271" s="86"/>
      <c r="AS271" s="86"/>
      <c r="AT271" s="86"/>
      <c r="AU271" s="86"/>
      <c r="AV271" s="86"/>
      <c r="AW271" s="86"/>
      <c r="AX271" s="86"/>
      <c r="AY271" s="86"/>
      <c r="AZ271" s="86"/>
      <c r="BA271" s="86"/>
      <c r="BB271" s="86"/>
      <c r="BC271" s="86"/>
      <c r="BD271" s="86"/>
      <c r="BE271" s="86"/>
      <c r="BF271" s="86"/>
      <c r="BG271" s="86"/>
      <c r="BH271" s="86"/>
      <c r="BI271" s="86"/>
      <c r="BJ271" s="86"/>
      <c r="BK271" s="86"/>
      <c r="BL271" s="86"/>
      <c r="BM271" s="86"/>
      <c r="BN271" s="86"/>
      <c r="BO271" s="86"/>
      <c r="BP271" s="86"/>
      <c r="BQ271" s="86"/>
      <c r="BR271" s="86"/>
      <c r="BS271" s="86"/>
      <c r="BT271" s="86"/>
      <c r="BU271" s="86"/>
      <c r="BV271" s="86"/>
      <c r="BW271" s="86"/>
      <c r="BX271" s="86"/>
      <c r="BY271" s="86"/>
      <c r="BZ271" s="86"/>
      <c r="CA271" s="86"/>
      <c r="CB271" s="86"/>
      <c r="CC271" s="86"/>
      <c r="CD271" s="86"/>
      <c r="CE271" s="86"/>
      <c r="CF271" s="86"/>
      <c r="CG271" s="86"/>
      <c r="CH271" s="86"/>
      <c r="CI271" s="86"/>
      <c r="CJ271" s="86"/>
      <c r="CK271" s="86"/>
      <c r="CL271" s="86"/>
      <c r="CM271" s="86"/>
      <c r="CN271" s="86"/>
      <c r="CO271" s="86"/>
      <c r="CP271" s="86"/>
      <c r="CQ271" s="86"/>
      <c r="CR271" s="86"/>
      <c r="CS271" s="86"/>
      <c r="CT271" s="86"/>
      <c r="CU271" s="86"/>
      <c r="CV271" s="86"/>
      <c r="CW271" s="86"/>
      <c r="CX271" s="86"/>
      <c r="CY271" s="86"/>
      <c r="CZ271" s="86"/>
      <c r="DA271" s="86"/>
      <c r="DB271" s="86"/>
      <c r="DC271" s="86"/>
      <c r="DD271" s="86"/>
      <c r="DE271" s="86"/>
      <c r="DF271" s="86"/>
      <c r="DG271" s="86"/>
      <c r="DH271" s="86"/>
      <c r="DI271" s="86"/>
      <c r="DJ271" s="86"/>
      <c r="DK271" s="86"/>
      <c r="DL271" s="86"/>
      <c r="DM271" s="86"/>
      <c r="DN271" s="86"/>
      <c r="DO271" s="86"/>
      <c r="DP271" s="86"/>
      <c r="DQ271" s="86"/>
      <c r="DR271" s="86"/>
      <c r="DS271" s="86"/>
      <c r="DT271" s="86"/>
      <c r="DU271" s="86"/>
      <c r="DV271" s="86"/>
      <c r="DW271" s="86"/>
      <c r="DX271" s="86"/>
      <c r="DY271" s="86"/>
      <c r="DZ271" s="86"/>
      <c r="EA271" s="86"/>
      <c r="EB271" s="86"/>
      <c r="EC271" s="86"/>
      <c r="ED271" s="86"/>
      <c r="EE271" s="86"/>
      <c r="EF271" s="86"/>
      <c r="EG271" s="86"/>
      <c r="EH271" s="86"/>
      <c r="EI271" s="86"/>
      <c r="EJ271" s="86"/>
      <c r="EK271" s="86"/>
      <c r="EL271" s="86"/>
      <c r="EM271" s="86"/>
      <c r="EN271" s="86"/>
      <c r="EO271" s="86"/>
      <c r="EP271" s="86"/>
      <c r="EQ271" s="86"/>
      <c r="ER271" s="86"/>
      <c r="ES271" s="86"/>
      <c r="ET271" s="86"/>
      <c r="EU271" s="86"/>
      <c r="EV271" s="86"/>
      <c r="EW271" s="86"/>
      <c r="EX271" s="86"/>
      <c r="EY271" s="86"/>
      <c r="EZ271" s="86"/>
      <c r="FA271" s="86"/>
    </row>
    <row r="272" spans="2:157" ht="9.75" customHeight="1">
      <c r="B272" s="839"/>
      <c r="C272" s="839"/>
      <c r="D272" s="844"/>
      <c r="E272" s="839"/>
      <c r="F272" s="839"/>
      <c r="G272" s="852"/>
      <c r="H272" s="850"/>
      <c r="J272" s="101"/>
      <c r="K272" s="101"/>
      <c r="L272" s="101"/>
      <c r="Z272" s="86"/>
      <c r="AA272" s="86"/>
      <c r="AB272" s="86"/>
      <c r="AC272" s="86"/>
      <c r="AD272" s="86"/>
      <c r="AE272" s="86"/>
      <c r="AF272" s="86"/>
      <c r="AG272" s="86"/>
      <c r="AH272" s="86"/>
      <c r="AI272" s="86"/>
      <c r="AJ272" s="86"/>
      <c r="AK272" s="86"/>
      <c r="AL272" s="86"/>
      <c r="AM272" s="86"/>
      <c r="AN272" s="86"/>
      <c r="AO272" s="86"/>
      <c r="AP272" s="86"/>
      <c r="AQ272" s="86"/>
      <c r="AR272" s="86"/>
      <c r="AS272" s="86"/>
      <c r="AT272" s="86"/>
      <c r="AU272" s="86"/>
      <c r="AV272" s="86"/>
      <c r="AW272" s="86"/>
      <c r="AX272" s="86"/>
      <c r="AY272" s="86"/>
      <c r="AZ272" s="86"/>
      <c r="BA272" s="86"/>
      <c r="BB272" s="86"/>
      <c r="BC272" s="86"/>
      <c r="BD272" s="86"/>
      <c r="BE272" s="86"/>
      <c r="BF272" s="86"/>
      <c r="BG272" s="86"/>
      <c r="BH272" s="86"/>
      <c r="BI272" s="86"/>
      <c r="BJ272" s="86"/>
      <c r="BK272" s="86"/>
      <c r="BL272" s="86"/>
      <c r="BM272" s="86"/>
      <c r="BN272" s="86"/>
      <c r="BO272" s="86"/>
      <c r="BP272" s="86"/>
      <c r="BQ272" s="86"/>
      <c r="BR272" s="86"/>
      <c r="BS272" s="86"/>
      <c r="BT272" s="86"/>
      <c r="BU272" s="86"/>
      <c r="BV272" s="86"/>
      <c r="BW272" s="86"/>
      <c r="BX272" s="86"/>
      <c r="BY272" s="86"/>
      <c r="BZ272" s="86"/>
      <c r="CA272" s="86"/>
      <c r="CB272" s="86"/>
      <c r="CC272" s="86"/>
      <c r="CD272" s="86"/>
      <c r="CE272" s="86"/>
      <c r="CF272" s="86"/>
      <c r="CG272" s="86"/>
      <c r="CH272" s="86"/>
      <c r="CI272" s="86"/>
      <c r="CJ272" s="86"/>
      <c r="CK272" s="86"/>
      <c r="CL272" s="86"/>
      <c r="CM272" s="86"/>
      <c r="CN272" s="86"/>
      <c r="CO272" s="86"/>
      <c r="CP272" s="86"/>
      <c r="CQ272" s="86"/>
      <c r="CR272" s="86"/>
      <c r="CS272" s="86"/>
      <c r="CT272" s="86"/>
      <c r="CU272" s="86"/>
      <c r="CV272" s="86"/>
      <c r="CW272" s="86"/>
      <c r="CX272" s="86"/>
      <c r="CY272" s="86"/>
      <c r="CZ272" s="86"/>
      <c r="DA272" s="86"/>
      <c r="DB272" s="86"/>
      <c r="DC272" s="86"/>
      <c r="DD272" s="86"/>
      <c r="DE272" s="86"/>
      <c r="DF272" s="86"/>
      <c r="DG272" s="86"/>
      <c r="DH272" s="86"/>
      <c r="DI272" s="86"/>
      <c r="DJ272" s="86"/>
      <c r="DK272" s="86"/>
      <c r="DL272" s="86"/>
      <c r="DM272" s="86"/>
      <c r="DN272" s="86"/>
      <c r="DO272" s="86"/>
      <c r="DP272" s="86"/>
      <c r="DQ272" s="86"/>
      <c r="DR272" s="86"/>
      <c r="DS272" s="86"/>
      <c r="DT272" s="86"/>
      <c r="DU272" s="86"/>
      <c r="DV272" s="86"/>
      <c r="DW272" s="86"/>
      <c r="DX272" s="86"/>
      <c r="DY272" s="86"/>
      <c r="DZ272" s="86"/>
      <c r="EA272" s="86"/>
      <c r="EB272" s="86"/>
      <c r="EC272" s="86"/>
      <c r="ED272" s="86"/>
      <c r="EE272" s="86"/>
      <c r="EF272" s="86"/>
      <c r="EG272" s="86"/>
      <c r="EH272" s="86"/>
      <c r="EI272" s="86"/>
      <c r="EJ272" s="86"/>
      <c r="EK272" s="86"/>
      <c r="EL272" s="86"/>
      <c r="EM272" s="86"/>
      <c r="EN272" s="86"/>
      <c r="EO272" s="86"/>
      <c r="EP272" s="86"/>
      <c r="EQ272" s="86"/>
      <c r="ER272" s="86"/>
      <c r="ES272" s="86"/>
      <c r="ET272" s="86"/>
      <c r="EU272" s="86"/>
      <c r="EV272" s="86"/>
      <c r="EW272" s="86"/>
      <c r="EX272" s="86"/>
      <c r="EY272" s="86"/>
      <c r="EZ272" s="86"/>
      <c r="FA272" s="86"/>
    </row>
    <row r="273" spans="2:157" ht="9.75" customHeight="1">
      <c r="B273" s="844" t="s">
        <v>349</v>
      </c>
      <c r="C273" s="1352" t="s">
        <v>344</v>
      </c>
      <c r="D273" s="1352"/>
      <c r="E273" s="87"/>
      <c r="F273" s="846" t="s">
        <v>170</v>
      </c>
      <c r="G273" s="847" t="s">
        <v>361</v>
      </c>
      <c r="H273" s="846" t="s">
        <v>281</v>
      </c>
      <c r="J273" s="101"/>
      <c r="K273" s="101"/>
      <c r="L273" s="101"/>
      <c r="Z273" s="86"/>
      <c r="AA273" s="86"/>
      <c r="AB273" s="86"/>
      <c r="AC273" s="86"/>
      <c r="AD273" s="86"/>
      <c r="AE273" s="86"/>
      <c r="AF273" s="86"/>
      <c r="AG273" s="86"/>
      <c r="AH273" s="86"/>
      <c r="AI273" s="86"/>
      <c r="AJ273" s="86"/>
      <c r="AK273" s="86"/>
      <c r="AL273" s="86"/>
      <c r="AM273" s="86"/>
      <c r="AN273" s="86"/>
      <c r="AO273" s="86"/>
      <c r="AP273" s="86"/>
      <c r="AQ273" s="86"/>
      <c r="AR273" s="86"/>
      <c r="AS273" s="86"/>
      <c r="AT273" s="86"/>
      <c r="AU273" s="86"/>
      <c r="AV273" s="86"/>
      <c r="AW273" s="86"/>
      <c r="AX273" s="86"/>
      <c r="AY273" s="86"/>
      <c r="AZ273" s="86"/>
      <c r="BA273" s="86"/>
      <c r="BB273" s="86"/>
      <c r="BC273" s="86"/>
      <c r="BD273" s="86"/>
      <c r="BE273" s="86"/>
      <c r="BF273" s="86"/>
      <c r="BG273" s="86"/>
      <c r="BH273" s="86"/>
      <c r="BI273" s="86"/>
      <c r="BJ273" s="86"/>
      <c r="BK273" s="86"/>
      <c r="BL273" s="86"/>
      <c r="BM273" s="86"/>
      <c r="BN273" s="86"/>
      <c r="BO273" s="86"/>
      <c r="BP273" s="86"/>
      <c r="BQ273" s="86"/>
      <c r="BR273" s="86"/>
      <c r="BS273" s="86"/>
      <c r="BT273" s="86"/>
      <c r="BU273" s="86"/>
      <c r="BV273" s="86"/>
      <c r="BW273" s="86"/>
      <c r="BX273" s="86"/>
      <c r="BY273" s="86"/>
      <c r="BZ273" s="86"/>
      <c r="CA273" s="86"/>
      <c r="CB273" s="86"/>
      <c r="CC273" s="86"/>
      <c r="CD273" s="86"/>
      <c r="CE273" s="86"/>
      <c r="CF273" s="86"/>
      <c r="CG273" s="86"/>
      <c r="CH273" s="86"/>
      <c r="CI273" s="86"/>
      <c r="CJ273" s="86"/>
      <c r="CK273" s="86"/>
      <c r="CL273" s="86"/>
      <c r="CM273" s="86"/>
      <c r="CN273" s="86"/>
      <c r="CO273" s="86"/>
      <c r="CP273" s="86"/>
      <c r="CQ273" s="86"/>
      <c r="CR273" s="86"/>
      <c r="CS273" s="86"/>
      <c r="CT273" s="86"/>
      <c r="CU273" s="86"/>
      <c r="CV273" s="86"/>
      <c r="CW273" s="86"/>
      <c r="CX273" s="86"/>
      <c r="CY273" s="86"/>
      <c r="CZ273" s="86"/>
      <c r="DA273" s="86"/>
      <c r="DB273" s="86"/>
      <c r="DC273" s="86"/>
      <c r="DD273" s="86"/>
      <c r="DE273" s="86"/>
      <c r="DF273" s="86"/>
      <c r="DG273" s="86"/>
      <c r="DH273" s="86"/>
      <c r="DI273" s="86"/>
      <c r="DJ273" s="86"/>
      <c r="DK273" s="86"/>
      <c r="DL273" s="86"/>
      <c r="DM273" s="86"/>
      <c r="DN273" s="86"/>
      <c r="DO273" s="86"/>
      <c r="DP273" s="86"/>
      <c r="DQ273" s="86"/>
      <c r="DR273" s="86"/>
      <c r="DS273" s="86"/>
      <c r="DT273" s="86"/>
      <c r="DU273" s="86"/>
      <c r="DV273" s="86"/>
      <c r="DW273" s="86"/>
      <c r="DX273" s="86"/>
      <c r="DY273" s="86"/>
      <c r="DZ273" s="86"/>
      <c r="EA273" s="86"/>
      <c r="EB273" s="86"/>
      <c r="EC273" s="86"/>
      <c r="ED273" s="86"/>
      <c r="EE273" s="86"/>
      <c r="EF273" s="86"/>
      <c r="EG273" s="86"/>
      <c r="EH273" s="86"/>
      <c r="EI273" s="86"/>
      <c r="EJ273" s="86"/>
      <c r="EK273" s="86"/>
      <c r="EL273" s="86"/>
      <c r="EM273" s="86"/>
      <c r="EN273" s="86"/>
      <c r="EO273" s="86"/>
      <c r="EP273" s="86"/>
      <c r="EQ273" s="86"/>
      <c r="ER273" s="86"/>
      <c r="ES273" s="86"/>
      <c r="ET273" s="86"/>
      <c r="EU273" s="86"/>
      <c r="EV273" s="86"/>
      <c r="EW273" s="86"/>
      <c r="EX273" s="86"/>
      <c r="EY273" s="86"/>
      <c r="EZ273" s="86"/>
      <c r="FA273" s="86"/>
    </row>
    <row r="274" spans="2:157" ht="10.050000000000001" customHeight="1">
      <c r="B274" s="845" t="s">
        <v>546</v>
      </c>
      <c r="C274" s="1350" t="s">
        <v>106</v>
      </c>
      <c r="D274" s="1350"/>
      <c r="E274" s="87"/>
      <c r="F274" s="848" t="s">
        <v>546</v>
      </c>
      <c r="G274" s="848" t="s">
        <v>546</v>
      </c>
      <c r="H274" s="1016">
        <v>0.13</v>
      </c>
      <c r="J274" s="101"/>
      <c r="K274" s="101"/>
      <c r="L274" s="101"/>
      <c r="Z274" s="86"/>
      <c r="AA274" s="86"/>
      <c r="AB274" s="86"/>
      <c r="AC274" s="86"/>
      <c r="AD274" s="86"/>
      <c r="AE274" s="86"/>
      <c r="AF274" s="86"/>
      <c r="AG274" s="86"/>
      <c r="AH274" s="86"/>
      <c r="AI274" s="86"/>
      <c r="AJ274" s="86"/>
      <c r="AK274" s="86"/>
      <c r="AL274" s="86"/>
      <c r="AM274" s="86"/>
      <c r="AN274" s="86"/>
      <c r="AO274" s="86"/>
      <c r="AP274" s="86"/>
      <c r="AQ274" s="86"/>
      <c r="AR274" s="86"/>
      <c r="AS274" s="86"/>
      <c r="AT274" s="86"/>
      <c r="AU274" s="86"/>
      <c r="AV274" s="86"/>
      <c r="AW274" s="86"/>
      <c r="AX274" s="86"/>
      <c r="AY274" s="86"/>
      <c r="AZ274" s="86"/>
      <c r="BA274" s="86"/>
      <c r="BB274" s="86"/>
      <c r="BC274" s="86"/>
      <c r="BD274" s="86"/>
      <c r="BE274" s="86"/>
      <c r="BF274" s="86"/>
      <c r="BG274" s="86"/>
      <c r="BH274" s="86"/>
      <c r="BI274" s="86"/>
      <c r="BJ274" s="86"/>
      <c r="BK274" s="86"/>
      <c r="BL274" s="86"/>
      <c r="BM274" s="86"/>
      <c r="BN274" s="86"/>
      <c r="BO274" s="86"/>
      <c r="BP274" s="86"/>
      <c r="BQ274" s="86"/>
      <c r="BR274" s="86"/>
      <c r="BS274" s="86"/>
      <c r="BT274" s="86"/>
      <c r="BU274" s="86"/>
      <c r="BV274" s="86"/>
      <c r="BW274" s="86"/>
      <c r="BX274" s="86"/>
      <c r="BY274" s="86"/>
      <c r="BZ274" s="86"/>
      <c r="CA274" s="86"/>
      <c r="CB274" s="86"/>
      <c r="CC274" s="86"/>
      <c r="CD274" s="86"/>
      <c r="CE274" s="86"/>
      <c r="CF274" s="86"/>
      <c r="CG274" s="86"/>
      <c r="CH274" s="86"/>
      <c r="CI274" s="86"/>
      <c r="CJ274" s="86"/>
      <c r="CK274" s="86"/>
      <c r="CL274" s="86"/>
      <c r="CM274" s="86"/>
      <c r="CN274" s="86"/>
      <c r="CO274" s="86"/>
      <c r="CP274" s="86"/>
      <c r="CQ274" s="86"/>
      <c r="CR274" s="86"/>
      <c r="CS274" s="86"/>
      <c r="CT274" s="86"/>
      <c r="CU274" s="86"/>
      <c r="CV274" s="86"/>
      <c r="CW274" s="86"/>
      <c r="CX274" s="86"/>
      <c r="CY274" s="86"/>
      <c r="CZ274" s="86"/>
      <c r="DA274" s="86"/>
      <c r="DB274" s="86"/>
      <c r="DC274" s="86"/>
      <c r="DD274" s="86"/>
      <c r="DE274" s="86"/>
      <c r="DF274" s="86"/>
      <c r="DG274" s="86"/>
      <c r="DH274" s="86"/>
      <c r="DI274" s="86"/>
      <c r="DJ274" s="86"/>
      <c r="DK274" s="86"/>
      <c r="DL274" s="86"/>
      <c r="DM274" s="86"/>
      <c r="DN274" s="86"/>
      <c r="DO274" s="86"/>
      <c r="DP274" s="86"/>
      <c r="DQ274" s="86"/>
      <c r="DR274" s="86"/>
      <c r="DS274" s="86"/>
      <c r="DT274" s="86"/>
      <c r="DU274" s="86"/>
      <c r="DV274" s="86"/>
      <c r="DW274" s="86"/>
      <c r="DX274" s="86"/>
      <c r="DY274" s="86"/>
      <c r="DZ274" s="86"/>
      <c r="EA274" s="86"/>
      <c r="EB274" s="86"/>
      <c r="EC274" s="86"/>
      <c r="ED274" s="86"/>
      <c r="EE274" s="86"/>
      <c r="EF274" s="86"/>
      <c r="EG274" s="86"/>
      <c r="EH274" s="86"/>
      <c r="EI274" s="86"/>
      <c r="EJ274" s="86"/>
      <c r="EK274" s="86"/>
      <c r="EL274" s="86"/>
      <c r="EM274" s="86"/>
      <c r="EN274" s="86"/>
      <c r="EO274" s="86"/>
      <c r="EP274" s="86"/>
      <c r="EQ274" s="86"/>
      <c r="ER274" s="86"/>
      <c r="ES274" s="86"/>
      <c r="ET274" s="86"/>
      <c r="EU274" s="86"/>
      <c r="EV274" s="86"/>
      <c r="EW274" s="86"/>
      <c r="EX274" s="86"/>
      <c r="EY274" s="86"/>
      <c r="EZ274" s="86"/>
      <c r="FA274" s="86"/>
    </row>
    <row r="275" spans="2:157" ht="9.75" customHeight="1">
      <c r="B275" s="845">
        <v>1</v>
      </c>
      <c r="C275" s="1344"/>
      <c r="D275" s="1344"/>
      <c r="E275" s="1344"/>
      <c r="F275" s="857"/>
      <c r="G275" s="857"/>
      <c r="H275" s="875" t="str">
        <f t="shared" ref="H275:H283" si="12">IF(G275=0,"",(F275/(G275+0.00000000001)))</f>
        <v/>
      </c>
      <c r="J275" s="101"/>
      <c r="K275" s="101"/>
      <c r="L275" s="101"/>
      <c r="Z275" s="86"/>
      <c r="AA275" s="86"/>
      <c r="AB275" s="86"/>
      <c r="AC275" s="86"/>
      <c r="AD275" s="86"/>
      <c r="AE275" s="86"/>
      <c r="AF275" s="86"/>
      <c r="AG275" s="86"/>
      <c r="AH275" s="86"/>
      <c r="AI275" s="86"/>
      <c r="AJ275" s="86"/>
      <c r="AK275" s="86"/>
      <c r="AL275" s="86"/>
      <c r="AM275" s="86"/>
      <c r="AN275" s="86"/>
      <c r="AO275" s="86"/>
      <c r="AP275" s="86"/>
      <c r="AQ275" s="86"/>
      <c r="AR275" s="86"/>
      <c r="AS275" s="86"/>
      <c r="AT275" s="86"/>
      <c r="AU275" s="86"/>
      <c r="AV275" s="86"/>
      <c r="AW275" s="86"/>
      <c r="AX275" s="86"/>
      <c r="AY275" s="86"/>
      <c r="AZ275" s="86"/>
      <c r="BA275" s="86"/>
      <c r="BB275" s="86"/>
      <c r="BC275" s="86"/>
      <c r="BD275" s="86"/>
      <c r="BE275" s="86"/>
      <c r="BF275" s="86"/>
      <c r="BG275" s="86"/>
      <c r="BH275" s="86"/>
      <c r="BI275" s="86"/>
      <c r="BJ275" s="86"/>
      <c r="BK275" s="86"/>
      <c r="BL275" s="86"/>
      <c r="BM275" s="86"/>
      <c r="BN275" s="86"/>
      <c r="BO275" s="86"/>
      <c r="BP275" s="86"/>
      <c r="BQ275" s="86"/>
      <c r="BR275" s="86"/>
      <c r="BS275" s="86"/>
      <c r="BT275" s="86"/>
      <c r="BU275" s="86"/>
      <c r="BV275" s="86"/>
      <c r="BW275" s="86"/>
      <c r="BX275" s="86"/>
      <c r="BY275" s="86"/>
      <c r="BZ275" s="86"/>
      <c r="CA275" s="86"/>
      <c r="CB275" s="86"/>
      <c r="CC275" s="86"/>
      <c r="CD275" s="86"/>
      <c r="CE275" s="86"/>
      <c r="CF275" s="86"/>
      <c r="CG275" s="86"/>
      <c r="CH275" s="86"/>
      <c r="CI275" s="86"/>
      <c r="CJ275" s="86"/>
      <c r="CK275" s="86"/>
      <c r="CL275" s="86"/>
      <c r="CM275" s="86"/>
      <c r="CN275" s="86"/>
      <c r="CO275" s="86"/>
      <c r="CP275" s="86"/>
      <c r="CQ275" s="86"/>
      <c r="CR275" s="86"/>
      <c r="CS275" s="86"/>
      <c r="CT275" s="86"/>
      <c r="CU275" s="86"/>
      <c r="CV275" s="86"/>
      <c r="CW275" s="86"/>
      <c r="CX275" s="86"/>
      <c r="CY275" s="86"/>
      <c r="CZ275" s="86"/>
      <c r="DA275" s="86"/>
      <c r="DB275" s="86"/>
      <c r="DC275" s="86"/>
      <c r="DD275" s="86"/>
      <c r="DE275" s="86"/>
      <c r="DF275" s="86"/>
      <c r="DG275" s="86"/>
      <c r="DH275" s="86"/>
      <c r="DI275" s="86"/>
      <c r="DJ275" s="86"/>
      <c r="DK275" s="86"/>
      <c r="DL275" s="86"/>
      <c r="DM275" s="86"/>
      <c r="DN275" s="86"/>
      <c r="DO275" s="86"/>
      <c r="DP275" s="86"/>
      <c r="DQ275" s="86"/>
      <c r="DR275" s="86"/>
      <c r="DS275" s="86"/>
      <c r="DT275" s="86"/>
      <c r="DU275" s="86"/>
      <c r="DV275" s="86"/>
      <c r="DW275" s="86"/>
      <c r="DX275" s="86"/>
      <c r="DY275" s="86"/>
      <c r="DZ275" s="86"/>
      <c r="EA275" s="86"/>
      <c r="EB275" s="86"/>
      <c r="EC275" s="86"/>
      <c r="ED275" s="86"/>
      <c r="EE275" s="86"/>
      <c r="EF275" s="86"/>
      <c r="EG275" s="86"/>
      <c r="EH275" s="86"/>
      <c r="EI275" s="86"/>
      <c r="EJ275" s="86"/>
      <c r="EK275" s="86"/>
      <c r="EL275" s="86"/>
      <c r="EM275" s="86"/>
      <c r="EN275" s="86"/>
      <c r="EO275" s="86"/>
      <c r="EP275" s="86"/>
      <c r="EQ275" s="86"/>
      <c r="ER275" s="86"/>
      <c r="ES275" s="86"/>
      <c r="ET275" s="86"/>
      <c r="EU275" s="86"/>
      <c r="EV275" s="86"/>
      <c r="EW275" s="86"/>
      <c r="EX275" s="86"/>
      <c r="EY275" s="86"/>
      <c r="EZ275" s="86"/>
      <c r="FA275" s="86"/>
    </row>
    <row r="276" spans="2:157" ht="9.75" customHeight="1">
      <c r="B276" s="845">
        <v>2</v>
      </c>
      <c r="C276" s="1344"/>
      <c r="D276" s="1344"/>
      <c r="E276" s="1344"/>
      <c r="F276" s="857"/>
      <c r="G276" s="857"/>
      <c r="H276" s="875" t="str">
        <f t="shared" si="12"/>
        <v/>
      </c>
      <c r="J276" s="101"/>
      <c r="K276" s="101"/>
      <c r="L276" s="101"/>
      <c r="Z276" s="86"/>
      <c r="AA276" s="86"/>
      <c r="AB276" s="86"/>
      <c r="AC276" s="86"/>
      <c r="AD276" s="86"/>
      <c r="AE276" s="86"/>
      <c r="AF276" s="86"/>
      <c r="AG276" s="86"/>
      <c r="AH276" s="86"/>
      <c r="AI276" s="86"/>
      <c r="AJ276" s="86"/>
      <c r="AK276" s="86"/>
      <c r="AL276" s="86"/>
      <c r="AM276" s="86"/>
      <c r="AN276" s="86"/>
      <c r="AO276" s="86"/>
      <c r="AP276" s="86"/>
      <c r="AQ276" s="86"/>
      <c r="AR276" s="86"/>
      <c r="AS276" s="86"/>
      <c r="AT276" s="86"/>
      <c r="AU276" s="86"/>
      <c r="AV276" s="86"/>
      <c r="AW276" s="86"/>
      <c r="AX276" s="86"/>
      <c r="AY276" s="86"/>
      <c r="AZ276" s="86"/>
      <c r="BA276" s="86"/>
      <c r="BB276" s="86"/>
      <c r="BC276" s="86"/>
      <c r="BD276" s="86"/>
      <c r="BE276" s="86"/>
      <c r="BF276" s="86"/>
      <c r="BG276" s="86"/>
      <c r="BH276" s="86"/>
      <c r="BI276" s="86"/>
      <c r="BJ276" s="86"/>
      <c r="BK276" s="86"/>
      <c r="BL276" s="86"/>
      <c r="BM276" s="86"/>
      <c r="BN276" s="86"/>
      <c r="BO276" s="86"/>
      <c r="BP276" s="86"/>
      <c r="BQ276" s="86"/>
      <c r="BR276" s="86"/>
      <c r="BS276" s="86"/>
      <c r="BT276" s="86"/>
      <c r="BU276" s="86"/>
      <c r="BV276" s="86"/>
      <c r="BW276" s="86"/>
      <c r="BX276" s="86"/>
      <c r="BY276" s="86"/>
      <c r="BZ276" s="86"/>
      <c r="CA276" s="86"/>
      <c r="CB276" s="86"/>
      <c r="CC276" s="86"/>
      <c r="CD276" s="86"/>
      <c r="CE276" s="86"/>
      <c r="CF276" s="86"/>
      <c r="CG276" s="86"/>
      <c r="CH276" s="86"/>
      <c r="CI276" s="86"/>
      <c r="CJ276" s="86"/>
      <c r="CK276" s="86"/>
      <c r="CL276" s="86"/>
      <c r="CM276" s="86"/>
      <c r="CN276" s="86"/>
      <c r="CO276" s="86"/>
      <c r="CP276" s="86"/>
      <c r="CQ276" s="86"/>
      <c r="CR276" s="86"/>
      <c r="CS276" s="86"/>
      <c r="CT276" s="86"/>
      <c r="CU276" s="86"/>
      <c r="CV276" s="86"/>
      <c r="CW276" s="86"/>
      <c r="CX276" s="86"/>
      <c r="CY276" s="86"/>
      <c r="CZ276" s="86"/>
      <c r="DA276" s="86"/>
      <c r="DB276" s="86"/>
      <c r="DC276" s="86"/>
      <c r="DD276" s="86"/>
      <c r="DE276" s="86"/>
      <c r="DF276" s="86"/>
      <c r="DG276" s="86"/>
      <c r="DH276" s="86"/>
      <c r="DI276" s="86"/>
      <c r="DJ276" s="86"/>
      <c r="DK276" s="86"/>
      <c r="DL276" s="86"/>
      <c r="DM276" s="86"/>
      <c r="DN276" s="86"/>
      <c r="DO276" s="86"/>
      <c r="DP276" s="86"/>
      <c r="DQ276" s="86"/>
      <c r="DR276" s="86"/>
      <c r="DS276" s="86"/>
      <c r="DT276" s="86"/>
      <c r="DU276" s="86"/>
      <c r="DV276" s="86"/>
      <c r="DW276" s="86"/>
      <c r="DX276" s="86"/>
      <c r="DY276" s="86"/>
      <c r="DZ276" s="86"/>
      <c r="EA276" s="86"/>
      <c r="EB276" s="86"/>
      <c r="EC276" s="86"/>
      <c r="ED276" s="86"/>
      <c r="EE276" s="86"/>
      <c r="EF276" s="86"/>
      <c r="EG276" s="86"/>
      <c r="EH276" s="86"/>
      <c r="EI276" s="86"/>
      <c r="EJ276" s="86"/>
      <c r="EK276" s="86"/>
      <c r="EL276" s="86"/>
      <c r="EM276" s="86"/>
      <c r="EN276" s="86"/>
      <c r="EO276" s="86"/>
      <c r="EP276" s="86"/>
      <c r="EQ276" s="86"/>
      <c r="ER276" s="86"/>
      <c r="ES276" s="86"/>
      <c r="ET276" s="86"/>
      <c r="EU276" s="86"/>
      <c r="EV276" s="86"/>
      <c r="EW276" s="86"/>
      <c r="EX276" s="86"/>
      <c r="EY276" s="86"/>
      <c r="EZ276" s="86"/>
      <c r="FA276" s="86"/>
    </row>
    <row r="277" spans="2:157" ht="9.75" customHeight="1">
      <c r="B277" s="845">
        <v>3</v>
      </c>
      <c r="C277" s="1344"/>
      <c r="D277" s="1344"/>
      <c r="E277" s="1344"/>
      <c r="F277" s="857"/>
      <c r="G277" s="857"/>
      <c r="H277" s="875" t="str">
        <f t="shared" si="12"/>
        <v/>
      </c>
      <c r="J277" s="101"/>
      <c r="K277" s="101"/>
      <c r="L277" s="101"/>
      <c r="Z277" s="86"/>
      <c r="AA277" s="86"/>
      <c r="AB277" s="86"/>
      <c r="AC277" s="86"/>
      <c r="AD277" s="86"/>
      <c r="AE277" s="86"/>
      <c r="AF277" s="86"/>
      <c r="AG277" s="86"/>
      <c r="AH277" s="86"/>
      <c r="AI277" s="86"/>
      <c r="AJ277" s="86"/>
      <c r="AK277" s="86"/>
      <c r="AL277" s="86"/>
      <c r="AM277" s="86"/>
      <c r="AN277" s="86"/>
      <c r="AO277" s="86"/>
      <c r="AP277" s="86"/>
      <c r="AQ277" s="86"/>
      <c r="AR277" s="86"/>
      <c r="AS277" s="86"/>
      <c r="AT277" s="86"/>
      <c r="AU277" s="86"/>
      <c r="AV277" s="86"/>
      <c r="AW277" s="86"/>
      <c r="AX277" s="86"/>
      <c r="AY277" s="86"/>
      <c r="AZ277" s="86"/>
      <c r="BA277" s="86"/>
      <c r="BB277" s="86"/>
      <c r="BC277" s="86"/>
      <c r="BD277" s="86"/>
      <c r="BE277" s="86"/>
      <c r="BF277" s="86"/>
      <c r="BG277" s="86"/>
      <c r="BH277" s="86"/>
      <c r="BI277" s="86"/>
      <c r="BJ277" s="86"/>
      <c r="BK277" s="86"/>
      <c r="BL277" s="86"/>
      <c r="BM277" s="86"/>
      <c r="BN277" s="86"/>
      <c r="BO277" s="86"/>
      <c r="BP277" s="86"/>
      <c r="BQ277" s="86"/>
      <c r="BR277" s="86"/>
      <c r="BS277" s="86"/>
      <c r="BT277" s="86"/>
      <c r="BU277" s="86"/>
      <c r="BV277" s="86"/>
      <c r="BW277" s="86"/>
      <c r="BX277" s="86"/>
      <c r="BY277" s="86"/>
      <c r="BZ277" s="86"/>
      <c r="CA277" s="86"/>
      <c r="CB277" s="86"/>
      <c r="CC277" s="86"/>
      <c r="CD277" s="86"/>
      <c r="CE277" s="86"/>
      <c r="CF277" s="86"/>
      <c r="CG277" s="86"/>
      <c r="CH277" s="86"/>
      <c r="CI277" s="86"/>
      <c r="CJ277" s="86"/>
      <c r="CK277" s="86"/>
      <c r="CL277" s="86"/>
      <c r="CM277" s="86"/>
      <c r="CN277" s="86"/>
      <c r="CO277" s="86"/>
      <c r="CP277" s="86"/>
      <c r="CQ277" s="86"/>
      <c r="CR277" s="86"/>
      <c r="CS277" s="86"/>
      <c r="CT277" s="86"/>
      <c r="CU277" s="86"/>
      <c r="CV277" s="86"/>
      <c r="CW277" s="86"/>
      <c r="CX277" s="86"/>
      <c r="CY277" s="86"/>
      <c r="CZ277" s="86"/>
      <c r="DA277" s="86"/>
      <c r="DB277" s="86"/>
      <c r="DC277" s="86"/>
      <c r="DD277" s="86"/>
      <c r="DE277" s="86"/>
      <c r="DF277" s="86"/>
      <c r="DG277" s="86"/>
      <c r="DH277" s="86"/>
      <c r="DI277" s="86"/>
      <c r="DJ277" s="86"/>
      <c r="DK277" s="86"/>
      <c r="DL277" s="86"/>
      <c r="DM277" s="86"/>
      <c r="DN277" s="86"/>
      <c r="DO277" s="86"/>
      <c r="DP277" s="86"/>
      <c r="DQ277" s="86"/>
      <c r="DR277" s="86"/>
      <c r="DS277" s="86"/>
      <c r="DT277" s="86"/>
      <c r="DU277" s="86"/>
      <c r="DV277" s="86"/>
      <c r="DW277" s="86"/>
      <c r="DX277" s="86"/>
      <c r="DY277" s="86"/>
      <c r="DZ277" s="86"/>
      <c r="EA277" s="86"/>
      <c r="EB277" s="86"/>
      <c r="EC277" s="86"/>
      <c r="ED277" s="86"/>
      <c r="EE277" s="86"/>
      <c r="EF277" s="86"/>
      <c r="EG277" s="86"/>
      <c r="EH277" s="86"/>
      <c r="EI277" s="86"/>
      <c r="EJ277" s="86"/>
      <c r="EK277" s="86"/>
      <c r="EL277" s="86"/>
      <c r="EM277" s="86"/>
      <c r="EN277" s="86"/>
      <c r="EO277" s="86"/>
      <c r="EP277" s="86"/>
      <c r="EQ277" s="86"/>
      <c r="ER277" s="86"/>
      <c r="ES277" s="86"/>
      <c r="ET277" s="86"/>
      <c r="EU277" s="86"/>
      <c r="EV277" s="86"/>
      <c r="EW277" s="86"/>
      <c r="EX277" s="86"/>
      <c r="EY277" s="86"/>
      <c r="EZ277" s="86"/>
      <c r="FA277" s="86"/>
    </row>
    <row r="278" spans="2:157" ht="9.75" customHeight="1">
      <c r="B278" s="845">
        <v>4</v>
      </c>
      <c r="C278" s="1344"/>
      <c r="D278" s="1344"/>
      <c r="E278" s="1344"/>
      <c r="F278" s="857"/>
      <c r="G278" s="857"/>
      <c r="H278" s="875" t="str">
        <f t="shared" si="12"/>
        <v/>
      </c>
      <c r="J278" s="101"/>
      <c r="K278" s="101"/>
      <c r="L278" s="101"/>
      <c r="Z278" s="86"/>
      <c r="AA278" s="86"/>
      <c r="AB278" s="86"/>
      <c r="AC278" s="86"/>
      <c r="AD278" s="86"/>
      <c r="AE278" s="86"/>
      <c r="AF278" s="86"/>
      <c r="AG278" s="86"/>
      <c r="AH278" s="86"/>
      <c r="AI278" s="86"/>
      <c r="AJ278" s="86"/>
      <c r="AK278" s="86"/>
      <c r="AL278" s="86"/>
      <c r="AM278" s="86"/>
      <c r="AN278" s="86"/>
      <c r="AO278" s="86"/>
      <c r="AP278" s="86"/>
      <c r="AQ278" s="86"/>
      <c r="AR278" s="86"/>
      <c r="AS278" s="86"/>
      <c r="AT278" s="86"/>
      <c r="AU278" s="86"/>
      <c r="AV278" s="86"/>
      <c r="AW278" s="86"/>
      <c r="AX278" s="86"/>
      <c r="AY278" s="86"/>
      <c r="AZ278" s="86"/>
      <c r="BA278" s="86"/>
      <c r="BB278" s="86"/>
      <c r="BC278" s="86"/>
      <c r="BD278" s="86"/>
      <c r="BE278" s="86"/>
      <c r="BF278" s="86"/>
      <c r="BG278" s="86"/>
      <c r="BH278" s="86"/>
      <c r="BI278" s="86"/>
      <c r="BJ278" s="86"/>
      <c r="BK278" s="86"/>
      <c r="BL278" s="86"/>
      <c r="BM278" s="86"/>
      <c r="BN278" s="86"/>
      <c r="BO278" s="86"/>
      <c r="BP278" s="86"/>
      <c r="BQ278" s="86"/>
      <c r="BR278" s="86"/>
      <c r="BS278" s="86"/>
      <c r="BT278" s="86"/>
      <c r="BU278" s="86"/>
      <c r="BV278" s="86"/>
      <c r="BW278" s="86"/>
      <c r="BX278" s="86"/>
      <c r="BY278" s="86"/>
      <c r="BZ278" s="86"/>
      <c r="CA278" s="86"/>
      <c r="CB278" s="86"/>
      <c r="CC278" s="86"/>
      <c r="CD278" s="86"/>
      <c r="CE278" s="86"/>
      <c r="CF278" s="86"/>
      <c r="CG278" s="86"/>
      <c r="CH278" s="86"/>
      <c r="CI278" s="86"/>
      <c r="CJ278" s="86"/>
      <c r="CK278" s="86"/>
      <c r="CL278" s="86"/>
      <c r="CM278" s="86"/>
      <c r="CN278" s="86"/>
      <c r="CO278" s="86"/>
      <c r="CP278" s="86"/>
      <c r="CQ278" s="86"/>
      <c r="CR278" s="86"/>
      <c r="CS278" s="86"/>
      <c r="CT278" s="86"/>
      <c r="CU278" s="86"/>
      <c r="CV278" s="86"/>
      <c r="CW278" s="86"/>
      <c r="CX278" s="86"/>
      <c r="CY278" s="86"/>
      <c r="CZ278" s="86"/>
      <c r="DA278" s="86"/>
      <c r="DB278" s="86"/>
      <c r="DC278" s="86"/>
      <c r="DD278" s="86"/>
      <c r="DE278" s="86"/>
      <c r="DF278" s="86"/>
      <c r="DG278" s="86"/>
      <c r="DH278" s="86"/>
      <c r="DI278" s="86"/>
      <c r="DJ278" s="86"/>
      <c r="DK278" s="86"/>
      <c r="DL278" s="86"/>
      <c r="DM278" s="86"/>
      <c r="DN278" s="86"/>
      <c r="DO278" s="86"/>
      <c r="DP278" s="86"/>
      <c r="DQ278" s="86"/>
      <c r="DR278" s="86"/>
      <c r="DS278" s="86"/>
      <c r="DT278" s="86"/>
      <c r="DU278" s="86"/>
      <c r="DV278" s="86"/>
      <c r="DW278" s="86"/>
      <c r="DX278" s="86"/>
      <c r="DY278" s="86"/>
      <c r="DZ278" s="86"/>
      <c r="EA278" s="86"/>
      <c r="EB278" s="86"/>
      <c r="EC278" s="86"/>
      <c r="ED278" s="86"/>
      <c r="EE278" s="86"/>
      <c r="EF278" s="86"/>
      <c r="EG278" s="86"/>
      <c r="EH278" s="86"/>
      <c r="EI278" s="86"/>
      <c r="EJ278" s="86"/>
      <c r="EK278" s="86"/>
      <c r="EL278" s="86"/>
      <c r="EM278" s="86"/>
      <c r="EN278" s="86"/>
      <c r="EO278" s="86"/>
      <c r="EP278" s="86"/>
      <c r="EQ278" s="86"/>
      <c r="ER278" s="86"/>
      <c r="ES278" s="86"/>
      <c r="ET278" s="86"/>
      <c r="EU278" s="86"/>
      <c r="EV278" s="86"/>
      <c r="EW278" s="86"/>
      <c r="EX278" s="86"/>
      <c r="EY278" s="86"/>
      <c r="EZ278" s="86"/>
      <c r="FA278" s="86"/>
    </row>
    <row r="279" spans="2:157" ht="9.75" customHeight="1">
      <c r="B279" s="845">
        <v>5</v>
      </c>
      <c r="C279" s="1344"/>
      <c r="D279" s="1344"/>
      <c r="E279" s="1344"/>
      <c r="F279" s="857"/>
      <c r="G279" s="857"/>
      <c r="H279" s="875" t="str">
        <f t="shared" si="12"/>
        <v/>
      </c>
      <c r="J279" s="101"/>
      <c r="K279" s="101"/>
      <c r="L279" s="101"/>
      <c r="Z279" s="86"/>
      <c r="AA279" s="86"/>
      <c r="AB279" s="86"/>
      <c r="AC279" s="86"/>
      <c r="AD279" s="86"/>
      <c r="AE279" s="86"/>
      <c r="AF279" s="86"/>
      <c r="AG279" s="86"/>
      <c r="AH279" s="86"/>
      <c r="AI279" s="86"/>
      <c r="AJ279" s="86"/>
      <c r="AK279" s="86"/>
      <c r="AL279" s="86"/>
      <c r="AM279" s="86"/>
      <c r="AN279" s="86"/>
      <c r="AO279" s="86"/>
      <c r="AP279" s="86"/>
      <c r="AQ279" s="86"/>
      <c r="AR279" s="86"/>
      <c r="AS279" s="86"/>
      <c r="AT279" s="86"/>
      <c r="AU279" s="86"/>
      <c r="AV279" s="86"/>
      <c r="AW279" s="86"/>
      <c r="AX279" s="86"/>
      <c r="AY279" s="86"/>
      <c r="AZ279" s="86"/>
      <c r="BA279" s="86"/>
      <c r="BB279" s="86"/>
      <c r="BC279" s="86"/>
      <c r="BD279" s="86"/>
      <c r="BE279" s="86"/>
      <c r="BF279" s="86"/>
      <c r="BG279" s="86"/>
      <c r="BH279" s="86"/>
      <c r="BI279" s="86"/>
      <c r="BJ279" s="86"/>
      <c r="BK279" s="86"/>
      <c r="BL279" s="86"/>
      <c r="BM279" s="86"/>
      <c r="BN279" s="86"/>
      <c r="BO279" s="86"/>
      <c r="BP279" s="86"/>
      <c r="BQ279" s="86"/>
      <c r="BR279" s="86"/>
      <c r="BS279" s="86"/>
      <c r="BT279" s="86"/>
      <c r="BU279" s="86"/>
      <c r="BV279" s="86"/>
      <c r="BW279" s="86"/>
      <c r="BX279" s="86"/>
      <c r="BY279" s="86"/>
      <c r="BZ279" s="86"/>
      <c r="CA279" s="86"/>
      <c r="CB279" s="86"/>
      <c r="CC279" s="86"/>
      <c r="CD279" s="86"/>
      <c r="CE279" s="86"/>
      <c r="CF279" s="86"/>
      <c r="CG279" s="86"/>
      <c r="CH279" s="86"/>
      <c r="CI279" s="86"/>
      <c r="CJ279" s="86"/>
      <c r="CK279" s="86"/>
      <c r="CL279" s="86"/>
      <c r="CM279" s="86"/>
      <c r="CN279" s="86"/>
      <c r="CO279" s="86"/>
      <c r="CP279" s="86"/>
      <c r="CQ279" s="86"/>
      <c r="CR279" s="86"/>
      <c r="CS279" s="86"/>
      <c r="CT279" s="86"/>
      <c r="CU279" s="86"/>
      <c r="CV279" s="86"/>
      <c r="CW279" s="86"/>
      <c r="CX279" s="86"/>
      <c r="CY279" s="86"/>
      <c r="CZ279" s="86"/>
      <c r="DA279" s="86"/>
      <c r="DB279" s="86"/>
      <c r="DC279" s="86"/>
      <c r="DD279" s="86"/>
      <c r="DE279" s="86"/>
      <c r="DF279" s="86"/>
      <c r="DG279" s="86"/>
      <c r="DH279" s="86"/>
      <c r="DI279" s="86"/>
      <c r="DJ279" s="86"/>
      <c r="DK279" s="86"/>
      <c r="DL279" s="86"/>
      <c r="DM279" s="86"/>
      <c r="DN279" s="86"/>
      <c r="DO279" s="86"/>
      <c r="DP279" s="86"/>
      <c r="DQ279" s="86"/>
      <c r="DR279" s="86"/>
      <c r="DS279" s="86"/>
      <c r="DT279" s="86"/>
      <c r="DU279" s="86"/>
      <c r="DV279" s="86"/>
      <c r="DW279" s="86"/>
      <c r="DX279" s="86"/>
      <c r="DY279" s="86"/>
      <c r="DZ279" s="86"/>
      <c r="EA279" s="86"/>
      <c r="EB279" s="86"/>
      <c r="EC279" s="86"/>
      <c r="ED279" s="86"/>
      <c r="EE279" s="86"/>
      <c r="EF279" s="86"/>
      <c r="EG279" s="86"/>
      <c r="EH279" s="86"/>
      <c r="EI279" s="86"/>
      <c r="EJ279" s="86"/>
      <c r="EK279" s="86"/>
      <c r="EL279" s="86"/>
      <c r="EM279" s="86"/>
      <c r="EN279" s="86"/>
      <c r="EO279" s="86"/>
      <c r="EP279" s="86"/>
      <c r="EQ279" s="86"/>
      <c r="ER279" s="86"/>
      <c r="ES279" s="86"/>
      <c r="ET279" s="86"/>
      <c r="EU279" s="86"/>
      <c r="EV279" s="86"/>
      <c r="EW279" s="86"/>
      <c r="EX279" s="86"/>
      <c r="EY279" s="86"/>
      <c r="EZ279" s="86"/>
      <c r="FA279" s="86"/>
    </row>
    <row r="280" spans="2:157" ht="9.75" customHeight="1">
      <c r="B280" s="845">
        <v>6</v>
      </c>
      <c r="C280" s="1344"/>
      <c r="D280" s="1344"/>
      <c r="E280" s="1344"/>
      <c r="F280" s="857"/>
      <c r="G280" s="857"/>
      <c r="H280" s="875" t="str">
        <f t="shared" si="12"/>
        <v/>
      </c>
      <c r="J280" s="101"/>
      <c r="K280" s="101"/>
      <c r="L280" s="101"/>
      <c r="Z280" s="86"/>
      <c r="AA280" s="86"/>
      <c r="AB280" s="86"/>
      <c r="AC280" s="86"/>
      <c r="AD280" s="86"/>
      <c r="AE280" s="86"/>
      <c r="AF280" s="86"/>
      <c r="AG280" s="86"/>
      <c r="AH280" s="86"/>
      <c r="AI280" s="86"/>
      <c r="AJ280" s="86"/>
      <c r="AK280" s="86"/>
      <c r="AL280" s="86"/>
      <c r="AM280" s="86"/>
      <c r="AN280" s="86"/>
      <c r="AO280" s="86"/>
      <c r="AP280" s="86"/>
      <c r="AQ280" s="86"/>
      <c r="AR280" s="86"/>
      <c r="AS280" s="86"/>
      <c r="AT280" s="86"/>
      <c r="AU280" s="86"/>
      <c r="AV280" s="86"/>
      <c r="AW280" s="86"/>
      <c r="AX280" s="86"/>
      <c r="AY280" s="86"/>
      <c r="AZ280" s="86"/>
      <c r="BA280" s="86"/>
      <c r="BB280" s="86"/>
      <c r="BC280" s="86"/>
      <c r="BD280" s="86"/>
      <c r="BE280" s="86"/>
      <c r="BF280" s="86"/>
      <c r="BG280" s="86"/>
      <c r="BH280" s="86"/>
      <c r="BI280" s="86"/>
      <c r="BJ280" s="86"/>
      <c r="BK280" s="86"/>
      <c r="BL280" s="86"/>
      <c r="BM280" s="86"/>
      <c r="BN280" s="86"/>
      <c r="BO280" s="86"/>
      <c r="BP280" s="86"/>
      <c r="BQ280" s="86"/>
      <c r="BR280" s="86"/>
      <c r="BS280" s="86"/>
      <c r="BT280" s="86"/>
      <c r="BU280" s="86"/>
      <c r="BV280" s="86"/>
      <c r="BW280" s="86"/>
      <c r="BX280" s="86"/>
      <c r="BY280" s="86"/>
      <c r="BZ280" s="86"/>
      <c r="CA280" s="86"/>
      <c r="CB280" s="86"/>
      <c r="CC280" s="86"/>
      <c r="CD280" s="86"/>
      <c r="CE280" s="86"/>
      <c r="CF280" s="86"/>
      <c r="CG280" s="86"/>
      <c r="CH280" s="86"/>
      <c r="CI280" s="86"/>
      <c r="CJ280" s="86"/>
      <c r="CK280" s="86"/>
      <c r="CL280" s="86"/>
      <c r="CM280" s="86"/>
      <c r="CN280" s="86"/>
      <c r="CO280" s="86"/>
      <c r="CP280" s="86"/>
      <c r="CQ280" s="86"/>
      <c r="CR280" s="86"/>
      <c r="CS280" s="86"/>
      <c r="CT280" s="86"/>
      <c r="CU280" s="86"/>
      <c r="CV280" s="86"/>
      <c r="CW280" s="86"/>
      <c r="CX280" s="86"/>
      <c r="CY280" s="86"/>
      <c r="CZ280" s="86"/>
      <c r="DA280" s="86"/>
      <c r="DB280" s="86"/>
      <c r="DC280" s="86"/>
      <c r="DD280" s="86"/>
      <c r="DE280" s="86"/>
      <c r="DF280" s="86"/>
      <c r="DG280" s="86"/>
      <c r="DH280" s="86"/>
      <c r="DI280" s="86"/>
      <c r="DJ280" s="86"/>
      <c r="DK280" s="86"/>
      <c r="DL280" s="86"/>
      <c r="DM280" s="86"/>
      <c r="DN280" s="86"/>
      <c r="DO280" s="86"/>
      <c r="DP280" s="86"/>
      <c r="DQ280" s="86"/>
      <c r="DR280" s="86"/>
      <c r="DS280" s="86"/>
      <c r="DT280" s="86"/>
      <c r="DU280" s="86"/>
      <c r="DV280" s="86"/>
      <c r="DW280" s="86"/>
      <c r="DX280" s="86"/>
      <c r="DY280" s="86"/>
      <c r="DZ280" s="86"/>
      <c r="EA280" s="86"/>
      <c r="EB280" s="86"/>
      <c r="EC280" s="86"/>
      <c r="ED280" s="86"/>
      <c r="EE280" s="86"/>
      <c r="EF280" s="86"/>
      <c r="EG280" s="86"/>
      <c r="EH280" s="86"/>
      <c r="EI280" s="86"/>
      <c r="EJ280" s="86"/>
      <c r="EK280" s="86"/>
      <c r="EL280" s="86"/>
      <c r="EM280" s="86"/>
      <c r="EN280" s="86"/>
      <c r="EO280" s="86"/>
      <c r="EP280" s="86"/>
      <c r="EQ280" s="86"/>
      <c r="ER280" s="86"/>
      <c r="ES280" s="86"/>
      <c r="ET280" s="86"/>
      <c r="EU280" s="86"/>
      <c r="EV280" s="86"/>
      <c r="EW280" s="86"/>
      <c r="EX280" s="86"/>
      <c r="EY280" s="86"/>
      <c r="EZ280" s="86"/>
      <c r="FA280" s="86"/>
    </row>
    <row r="281" spans="2:157" ht="9.75" customHeight="1">
      <c r="B281" s="845">
        <v>7</v>
      </c>
      <c r="C281" s="1344"/>
      <c r="D281" s="1344"/>
      <c r="E281" s="1344"/>
      <c r="F281" s="857"/>
      <c r="G281" s="857"/>
      <c r="H281" s="875" t="str">
        <f t="shared" si="12"/>
        <v/>
      </c>
      <c r="J281" s="101"/>
      <c r="K281" s="101"/>
      <c r="L281" s="101"/>
      <c r="Z281" s="86"/>
      <c r="AA281" s="86"/>
      <c r="AB281" s="86"/>
      <c r="AC281" s="86"/>
      <c r="AD281" s="86"/>
      <c r="AE281" s="86"/>
      <c r="AF281" s="86"/>
      <c r="AG281" s="86"/>
      <c r="AH281" s="86"/>
      <c r="AI281" s="86"/>
      <c r="AJ281" s="86"/>
      <c r="AK281" s="86"/>
      <c r="AL281" s="86"/>
      <c r="AM281" s="86"/>
      <c r="AN281" s="86"/>
      <c r="AO281" s="86"/>
      <c r="AP281" s="86"/>
      <c r="AQ281" s="86"/>
      <c r="AR281" s="86"/>
      <c r="AS281" s="86"/>
      <c r="AT281" s="86"/>
      <c r="AU281" s="86"/>
      <c r="AV281" s="86"/>
      <c r="AW281" s="86"/>
      <c r="AX281" s="86"/>
      <c r="AY281" s="86"/>
      <c r="AZ281" s="86"/>
      <c r="BA281" s="86"/>
      <c r="BB281" s="86"/>
      <c r="BC281" s="86"/>
      <c r="BD281" s="86"/>
      <c r="BE281" s="86"/>
      <c r="BF281" s="86"/>
      <c r="BG281" s="86"/>
      <c r="BH281" s="86"/>
      <c r="BI281" s="86"/>
      <c r="BJ281" s="86"/>
      <c r="BK281" s="86"/>
      <c r="BL281" s="86"/>
      <c r="BM281" s="86"/>
      <c r="BN281" s="86"/>
      <c r="BO281" s="86"/>
      <c r="BP281" s="86"/>
      <c r="BQ281" s="86"/>
      <c r="BR281" s="86"/>
      <c r="BS281" s="86"/>
      <c r="BT281" s="86"/>
      <c r="BU281" s="86"/>
      <c r="BV281" s="86"/>
      <c r="BW281" s="86"/>
      <c r="BX281" s="86"/>
      <c r="BY281" s="86"/>
      <c r="BZ281" s="86"/>
      <c r="CA281" s="86"/>
      <c r="CB281" s="86"/>
      <c r="CC281" s="86"/>
      <c r="CD281" s="86"/>
      <c r="CE281" s="86"/>
      <c r="CF281" s="86"/>
      <c r="CG281" s="86"/>
      <c r="CH281" s="86"/>
      <c r="CI281" s="86"/>
      <c r="CJ281" s="86"/>
      <c r="CK281" s="86"/>
      <c r="CL281" s="86"/>
      <c r="CM281" s="86"/>
      <c r="CN281" s="86"/>
      <c r="CO281" s="86"/>
      <c r="CP281" s="86"/>
      <c r="CQ281" s="86"/>
      <c r="CR281" s="86"/>
      <c r="CS281" s="86"/>
      <c r="CT281" s="86"/>
      <c r="CU281" s="86"/>
      <c r="CV281" s="86"/>
      <c r="CW281" s="86"/>
      <c r="CX281" s="86"/>
      <c r="CY281" s="86"/>
      <c r="CZ281" s="86"/>
      <c r="DA281" s="86"/>
      <c r="DB281" s="86"/>
      <c r="DC281" s="86"/>
      <c r="DD281" s="86"/>
      <c r="DE281" s="86"/>
      <c r="DF281" s="86"/>
      <c r="DG281" s="86"/>
      <c r="DH281" s="86"/>
      <c r="DI281" s="86"/>
      <c r="DJ281" s="86"/>
      <c r="DK281" s="86"/>
      <c r="DL281" s="86"/>
      <c r="DM281" s="86"/>
      <c r="DN281" s="86"/>
      <c r="DO281" s="86"/>
      <c r="DP281" s="86"/>
      <c r="DQ281" s="86"/>
      <c r="DR281" s="86"/>
      <c r="DS281" s="86"/>
      <c r="DT281" s="86"/>
      <c r="DU281" s="86"/>
      <c r="DV281" s="86"/>
      <c r="DW281" s="86"/>
      <c r="DX281" s="86"/>
      <c r="DY281" s="86"/>
      <c r="DZ281" s="86"/>
      <c r="EA281" s="86"/>
      <c r="EB281" s="86"/>
      <c r="EC281" s="86"/>
      <c r="ED281" s="86"/>
      <c r="EE281" s="86"/>
      <c r="EF281" s="86"/>
      <c r="EG281" s="86"/>
      <c r="EH281" s="86"/>
      <c r="EI281" s="86"/>
      <c r="EJ281" s="86"/>
      <c r="EK281" s="86"/>
      <c r="EL281" s="86"/>
      <c r="EM281" s="86"/>
      <c r="EN281" s="86"/>
      <c r="EO281" s="86"/>
      <c r="EP281" s="86"/>
      <c r="EQ281" s="86"/>
      <c r="ER281" s="86"/>
      <c r="ES281" s="86"/>
      <c r="ET281" s="86"/>
      <c r="EU281" s="86"/>
      <c r="EV281" s="86"/>
      <c r="EW281" s="86"/>
      <c r="EX281" s="86"/>
      <c r="EY281" s="86"/>
      <c r="EZ281" s="86"/>
      <c r="FA281" s="86"/>
    </row>
    <row r="282" spans="2:157" ht="9.75" customHeight="1">
      <c r="B282" s="845">
        <v>8</v>
      </c>
      <c r="C282" s="1344"/>
      <c r="D282" s="1344"/>
      <c r="E282" s="1344"/>
      <c r="F282" s="857"/>
      <c r="G282" s="857"/>
      <c r="H282" s="875" t="str">
        <f t="shared" si="12"/>
        <v/>
      </c>
      <c r="J282" s="101"/>
      <c r="K282" s="101"/>
      <c r="L282" s="101"/>
      <c r="Z282" s="86"/>
      <c r="AA282" s="86"/>
      <c r="AB282" s="86"/>
      <c r="AC282" s="86"/>
      <c r="AD282" s="86"/>
      <c r="AE282" s="86"/>
      <c r="AF282" s="86"/>
      <c r="AG282" s="86"/>
      <c r="AH282" s="86"/>
      <c r="AI282" s="86"/>
      <c r="AJ282" s="86"/>
      <c r="AK282" s="86"/>
      <c r="AL282" s="86"/>
      <c r="AM282" s="86"/>
      <c r="AN282" s="86"/>
      <c r="AO282" s="86"/>
      <c r="AP282" s="86"/>
      <c r="AQ282" s="86"/>
      <c r="AR282" s="86"/>
      <c r="AS282" s="86"/>
      <c r="AT282" s="86"/>
      <c r="AU282" s="86"/>
      <c r="AV282" s="86"/>
      <c r="AW282" s="86"/>
      <c r="AX282" s="86"/>
      <c r="AY282" s="86"/>
      <c r="AZ282" s="86"/>
      <c r="BA282" s="86"/>
      <c r="BB282" s="86"/>
      <c r="BC282" s="86"/>
      <c r="BD282" s="86"/>
      <c r="BE282" s="86"/>
      <c r="BF282" s="86"/>
      <c r="BG282" s="86"/>
      <c r="BH282" s="86"/>
      <c r="BI282" s="86"/>
      <c r="BJ282" s="86"/>
      <c r="BK282" s="86"/>
      <c r="BL282" s="86"/>
      <c r="BM282" s="86"/>
      <c r="BN282" s="86"/>
      <c r="BO282" s="86"/>
      <c r="BP282" s="86"/>
      <c r="BQ282" s="86"/>
      <c r="BR282" s="86"/>
      <c r="BS282" s="86"/>
      <c r="BT282" s="86"/>
      <c r="BU282" s="86"/>
      <c r="BV282" s="86"/>
      <c r="BW282" s="86"/>
      <c r="BX282" s="86"/>
      <c r="BY282" s="86"/>
      <c r="BZ282" s="86"/>
      <c r="CA282" s="86"/>
      <c r="CB282" s="86"/>
      <c r="CC282" s="86"/>
      <c r="CD282" s="86"/>
      <c r="CE282" s="86"/>
      <c r="CF282" s="86"/>
      <c r="CG282" s="86"/>
      <c r="CH282" s="86"/>
      <c r="CI282" s="86"/>
      <c r="CJ282" s="86"/>
      <c r="CK282" s="86"/>
      <c r="CL282" s="86"/>
      <c r="CM282" s="86"/>
      <c r="CN282" s="86"/>
      <c r="CO282" s="86"/>
      <c r="CP282" s="86"/>
      <c r="CQ282" s="86"/>
      <c r="CR282" s="86"/>
      <c r="CS282" s="86"/>
      <c r="CT282" s="86"/>
      <c r="CU282" s="86"/>
      <c r="CV282" s="86"/>
      <c r="CW282" s="86"/>
      <c r="CX282" s="86"/>
      <c r="CY282" s="86"/>
      <c r="CZ282" s="86"/>
      <c r="DA282" s="86"/>
      <c r="DB282" s="86"/>
      <c r="DC282" s="86"/>
      <c r="DD282" s="86"/>
      <c r="DE282" s="86"/>
      <c r="DF282" s="86"/>
      <c r="DG282" s="86"/>
      <c r="DH282" s="86"/>
      <c r="DI282" s="86"/>
      <c r="DJ282" s="86"/>
      <c r="DK282" s="86"/>
      <c r="DL282" s="86"/>
      <c r="DM282" s="86"/>
      <c r="DN282" s="86"/>
      <c r="DO282" s="86"/>
      <c r="DP282" s="86"/>
      <c r="DQ282" s="86"/>
      <c r="DR282" s="86"/>
      <c r="DS282" s="86"/>
      <c r="DT282" s="86"/>
      <c r="DU282" s="86"/>
      <c r="DV282" s="86"/>
      <c r="DW282" s="86"/>
      <c r="DX282" s="86"/>
      <c r="DY282" s="86"/>
      <c r="DZ282" s="86"/>
      <c r="EA282" s="86"/>
      <c r="EB282" s="86"/>
      <c r="EC282" s="86"/>
      <c r="ED282" s="86"/>
      <c r="EE282" s="86"/>
      <c r="EF282" s="86"/>
      <c r="EG282" s="86"/>
      <c r="EH282" s="86"/>
      <c r="EI282" s="86"/>
      <c r="EJ282" s="86"/>
      <c r="EK282" s="86"/>
      <c r="EL282" s="86"/>
      <c r="EM282" s="86"/>
      <c r="EN282" s="86"/>
      <c r="EO282" s="86"/>
      <c r="EP282" s="86"/>
      <c r="EQ282" s="86"/>
      <c r="ER282" s="86"/>
      <c r="ES282" s="86"/>
      <c r="ET282" s="86"/>
      <c r="EU282" s="86"/>
      <c r="EV282" s="86"/>
      <c r="EW282" s="86"/>
      <c r="EX282" s="86"/>
      <c r="EY282" s="86"/>
      <c r="EZ282" s="86"/>
      <c r="FA282" s="86"/>
    </row>
    <row r="283" spans="2:157" ht="9.75" customHeight="1">
      <c r="B283" s="845">
        <v>9</v>
      </c>
      <c r="C283" s="1344"/>
      <c r="D283" s="1344"/>
      <c r="E283" s="1344"/>
      <c r="F283" s="857"/>
      <c r="G283" s="857"/>
      <c r="H283" s="875" t="str">
        <f t="shared" si="12"/>
        <v/>
      </c>
      <c r="J283" s="101"/>
      <c r="K283" s="101"/>
      <c r="L283" s="101"/>
      <c r="Z283" s="86"/>
      <c r="AA283" s="86"/>
      <c r="AB283" s="86"/>
      <c r="AC283" s="86"/>
      <c r="AD283" s="86"/>
      <c r="AE283" s="86"/>
      <c r="AF283" s="86"/>
      <c r="AG283" s="86"/>
      <c r="AH283" s="86"/>
      <c r="AI283" s="86"/>
      <c r="AJ283" s="86"/>
      <c r="AK283" s="86"/>
      <c r="AL283" s="86"/>
      <c r="AM283" s="86"/>
      <c r="AN283" s="86"/>
      <c r="AO283" s="86"/>
      <c r="AP283" s="86"/>
      <c r="AQ283" s="86"/>
      <c r="AR283" s="86"/>
      <c r="AS283" s="86"/>
      <c r="AT283" s="86"/>
      <c r="AU283" s="86"/>
      <c r="AV283" s="86"/>
      <c r="AW283" s="86"/>
      <c r="AX283" s="86"/>
      <c r="AY283" s="86"/>
      <c r="AZ283" s="86"/>
      <c r="BA283" s="86"/>
      <c r="BB283" s="86"/>
      <c r="BC283" s="86"/>
      <c r="BD283" s="86"/>
      <c r="BE283" s="86"/>
      <c r="BF283" s="86"/>
      <c r="BG283" s="86"/>
      <c r="BH283" s="86"/>
      <c r="BI283" s="86"/>
      <c r="BJ283" s="86"/>
      <c r="BK283" s="86"/>
      <c r="BL283" s="86"/>
      <c r="BM283" s="86"/>
      <c r="BN283" s="86"/>
      <c r="BO283" s="86"/>
      <c r="BP283" s="86"/>
      <c r="BQ283" s="86"/>
      <c r="BR283" s="86"/>
      <c r="BS283" s="86"/>
      <c r="BT283" s="86"/>
      <c r="BU283" s="86"/>
      <c r="BV283" s="86"/>
      <c r="BW283" s="86"/>
      <c r="BX283" s="86"/>
      <c r="BY283" s="86"/>
      <c r="BZ283" s="86"/>
      <c r="CA283" s="86"/>
      <c r="CB283" s="86"/>
      <c r="CC283" s="86"/>
      <c r="CD283" s="86"/>
      <c r="CE283" s="86"/>
      <c r="CF283" s="86"/>
      <c r="CG283" s="86"/>
      <c r="CH283" s="86"/>
      <c r="CI283" s="86"/>
      <c r="CJ283" s="86"/>
      <c r="CK283" s="86"/>
      <c r="CL283" s="86"/>
      <c r="CM283" s="86"/>
      <c r="CN283" s="86"/>
      <c r="CO283" s="86"/>
      <c r="CP283" s="86"/>
      <c r="CQ283" s="86"/>
      <c r="CR283" s="86"/>
      <c r="CS283" s="86"/>
      <c r="CT283" s="86"/>
      <c r="CU283" s="86"/>
      <c r="CV283" s="86"/>
      <c r="CW283" s="86"/>
      <c r="CX283" s="86"/>
      <c r="CY283" s="86"/>
      <c r="CZ283" s="86"/>
      <c r="DA283" s="86"/>
      <c r="DB283" s="86"/>
      <c r="DC283" s="86"/>
      <c r="DD283" s="86"/>
      <c r="DE283" s="86"/>
      <c r="DF283" s="86"/>
      <c r="DG283" s="86"/>
      <c r="DH283" s="86"/>
      <c r="DI283" s="86"/>
      <c r="DJ283" s="86"/>
      <c r="DK283" s="86"/>
      <c r="DL283" s="86"/>
      <c r="DM283" s="86"/>
      <c r="DN283" s="86"/>
      <c r="DO283" s="86"/>
      <c r="DP283" s="86"/>
      <c r="DQ283" s="86"/>
      <c r="DR283" s="86"/>
      <c r="DS283" s="86"/>
      <c r="DT283" s="86"/>
      <c r="DU283" s="86"/>
      <c r="DV283" s="86"/>
      <c r="DW283" s="86"/>
      <c r="DX283" s="86"/>
      <c r="DY283" s="86"/>
      <c r="DZ283" s="86"/>
      <c r="EA283" s="86"/>
      <c r="EB283" s="86"/>
      <c r="EC283" s="86"/>
      <c r="ED283" s="86"/>
      <c r="EE283" s="86"/>
      <c r="EF283" s="86"/>
      <c r="EG283" s="86"/>
      <c r="EH283" s="86"/>
      <c r="EI283" s="86"/>
      <c r="EJ283" s="86"/>
      <c r="EK283" s="86"/>
      <c r="EL283" s="86"/>
      <c r="EM283" s="86"/>
      <c r="EN283" s="86"/>
      <c r="EO283" s="86"/>
      <c r="EP283" s="86"/>
      <c r="EQ283" s="86"/>
      <c r="ER283" s="86"/>
      <c r="ES283" s="86"/>
      <c r="ET283" s="86"/>
      <c r="EU283" s="86"/>
      <c r="EV283" s="86"/>
      <c r="EW283" s="86"/>
      <c r="EX283" s="86"/>
      <c r="EY283" s="86"/>
      <c r="EZ283" s="86"/>
      <c r="FA283" s="86"/>
    </row>
    <row r="284" spans="2:157" ht="10.050000000000001" customHeight="1">
      <c r="B284" s="845" t="s">
        <v>546</v>
      </c>
      <c r="C284" s="836" t="s">
        <v>73</v>
      </c>
      <c r="D284" s="839"/>
      <c r="E284" s="86"/>
      <c r="F284" s="848" t="s">
        <v>546</v>
      </c>
      <c r="G284" s="848" t="s">
        <v>546</v>
      </c>
      <c r="H284" s="858">
        <v>0.04</v>
      </c>
      <c r="J284" s="101"/>
      <c r="K284" s="101"/>
      <c r="L284" s="101"/>
      <c r="Z284" s="86"/>
      <c r="AA284" s="86"/>
      <c r="AB284" s="86"/>
      <c r="AC284" s="86"/>
      <c r="AD284" s="86"/>
      <c r="AE284" s="86"/>
      <c r="AF284" s="86"/>
      <c r="AG284" s="86"/>
      <c r="AH284" s="86"/>
      <c r="AI284" s="86"/>
      <c r="AJ284" s="86"/>
      <c r="AK284" s="86"/>
      <c r="AL284" s="86"/>
      <c r="AM284" s="86"/>
      <c r="AN284" s="86"/>
      <c r="AO284" s="86"/>
      <c r="AP284" s="86"/>
      <c r="AQ284" s="86"/>
      <c r="AR284" s="86"/>
      <c r="AS284" s="86"/>
      <c r="AT284" s="86"/>
      <c r="AU284" s="86"/>
      <c r="AV284" s="86"/>
      <c r="AW284" s="86"/>
      <c r="AX284" s="86"/>
      <c r="AY284" s="86"/>
      <c r="AZ284" s="86"/>
      <c r="BA284" s="86"/>
      <c r="BB284" s="86"/>
      <c r="BC284" s="86"/>
      <c r="BD284" s="86"/>
      <c r="BE284" s="86"/>
      <c r="BF284" s="86"/>
      <c r="BG284" s="86"/>
      <c r="BH284" s="86"/>
      <c r="BI284" s="86"/>
      <c r="BJ284" s="86"/>
      <c r="BK284" s="86"/>
      <c r="BL284" s="86"/>
      <c r="BM284" s="86"/>
      <c r="BN284" s="86"/>
      <c r="BO284" s="86"/>
      <c r="BP284" s="86"/>
      <c r="BQ284" s="86"/>
      <c r="BR284" s="86"/>
      <c r="BS284" s="86"/>
      <c r="BT284" s="86"/>
      <c r="BU284" s="86"/>
      <c r="BV284" s="86"/>
      <c r="BW284" s="86"/>
      <c r="BX284" s="86"/>
      <c r="BY284" s="86"/>
      <c r="BZ284" s="86"/>
      <c r="CA284" s="86"/>
      <c r="CB284" s="86"/>
      <c r="CC284" s="86"/>
      <c r="CD284" s="86"/>
      <c r="CE284" s="86"/>
      <c r="CF284" s="86"/>
      <c r="CG284" s="86"/>
      <c r="CH284" s="86"/>
      <c r="CI284" s="86"/>
      <c r="CJ284" s="86"/>
      <c r="CK284" s="86"/>
      <c r="CL284" s="86"/>
      <c r="CM284" s="86"/>
      <c r="CN284" s="86"/>
      <c r="CO284" s="86"/>
      <c r="CP284" s="86"/>
      <c r="CQ284" s="86"/>
      <c r="CR284" s="86"/>
      <c r="CS284" s="86"/>
      <c r="CT284" s="86"/>
      <c r="CU284" s="86"/>
      <c r="CV284" s="86"/>
      <c r="CW284" s="86"/>
      <c r="CX284" s="86"/>
      <c r="CY284" s="86"/>
      <c r="CZ284" s="86"/>
      <c r="DA284" s="86"/>
      <c r="DB284" s="86"/>
      <c r="DC284" s="86"/>
      <c r="DD284" s="86"/>
      <c r="DE284" s="86"/>
      <c r="DF284" s="86"/>
      <c r="DG284" s="86"/>
      <c r="DH284" s="86"/>
      <c r="DI284" s="86"/>
      <c r="DJ284" s="86"/>
      <c r="DK284" s="86"/>
      <c r="DL284" s="86"/>
      <c r="DM284" s="86"/>
      <c r="DN284" s="86"/>
      <c r="DO284" s="86"/>
      <c r="DP284" s="86"/>
      <c r="DQ284" s="86"/>
      <c r="DR284" s="86"/>
      <c r="DS284" s="86"/>
      <c r="DT284" s="86"/>
      <c r="DU284" s="86"/>
      <c r="DV284" s="86"/>
      <c r="DW284" s="86"/>
      <c r="DX284" s="86"/>
      <c r="DY284" s="86"/>
      <c r="DZ284" s="86"/>
      <c r="EA284" s="86"/>
      <c r="EB284" s="86"/>
      <c r="EC284" s="86"/>
      <c r="ED284" s="86"/>
      <c r="EE284" s="86"/>
      <c r="EF284" s="86"/>
      <c r="EG284" s="86"/>
      <c r="EH284" s="86"/>
      <c r="EI284" s="86"/>
      <c r="EJ284" s="86"/>
      <c r="EK284" s="86"/>
      <c r="EL284" s="86"/>
      <c r="EM284" s="86"/>
      <c r="EN284" s="86"/>
      <c r="EO284" s="86"/>
      <c r="EP284" s="86"/>
      <c r="EQ284" s="86"/>
      <c r="ER284" s="86"/>
      <c r="ES284" s="86"/>
      <c r="ET284" s="86"/>
      <c r="EU284" s="86"/>
      <c r="EV284" s="86"/>
      <c r="EW284" s="86"/>
      <c r="EX284" s="86"/>
      <c r="EY284" s="86"/>
      <c r="EZ284" s="86"/>
      <c r="FA284" s="86"/>
    </row>
    <row r="285" spans="2:157" ht="9.75" customHeight="1">
      <c r="B285" s="849"/>
      <c r="C285" s="849"/>
      <c r="D285" s="849"/>
      <c r="E285" s="849"/>
      <c r="F285" s="849"/>
      <c r="G285" s="849"/>
      <c r="H285" s="855"/>
      <c r="J285" s="101"/>
      <c r="K285" s="101"/>
      <c r="L285" s="101"/>
      <c r="Z285" s="86"/>
      <c r="AA285" s="86"/>
      <c r="AB285" s="86"/>
      <c r="AC285" s="86"/>
      <c r="AD285" s="86"/>
      <c r="AE285" s="86"/>
      <c r="AF285" s="86"/>
      <c r="AG285" s="86"/>
      <c r="AH285" s="86"/>
      <c r="AI285" s="86"/>
      <c r="AJ285" s="86"/>
      <c r="AK285" s="86"/>
      <c r="AL285" s="86"/>
      <c r="AM285" s="86"/>
      <c r="AN285" s="86"/>
      <c r="AO285" s="86"/>
      <c r="AP285" s="86"/>
      <c r="AQ285" s="86"/>
      <c r="AR285" s="86"/>
      <c r="AS285" s="86"/>
      <c r="AT285" s="86"/>
      <c r="AU285" s="86"/>
      <c r="AV285" s="86"/>
      <c r="AW285" s="86"/>
      <c r="AX285" s="86"/>
      <c r="AY285" s="86"/>
      <c r="AZ285" s="86"/>
      <c r="BA285" s="86"/>
      <c r="BB285" s="86"/>
      <c r="BC285" s="86"/>
      <c r="BD285" s="86"/>
      <c r="BE285" s="86"/>
      <c r="BF285" s="86"/>
      <c r="BG285" s="86"/>
      <c r="BH285" s="86"/>
      <c r="BI285" s="86"/>
      <c r="BJ285" s="86"/>
      <c r="BK285" s="86"/>
      <c r="BL285" s="86"/>
      <c r="BM285" s="86"/>
      <c r="BN285" s="86"/>
      <c r="BO285" s="86"/>
      <c r="BP285" s="86"/>
      <c r="BQ285" s="86"/>
      <c r="BR285" s="86"/>
      <c r="BS285" s="86"/>
      <c r="BT285" s="86"/>
      <c r="BU285" s="86"/>
      <c r="BV285" s="86"/>
      <c r="BW285" s="86"/>
      <c r="BX285" s="86"/>
      <c r="BY285" s="86"/>
      <c r="BZ285" s="86"/>
      <c r="CA285" s="86"/>
      <c r="CB285" s="86"/>
      <c r="CC285" s="86"/>
      <c r="CD285" s="86"/>
      <c r="CE285" s="86"/>
      <c r="CF285" s="86"/>
      <c r="CG285" s="86"/>
      <c r="CH285" s="86"/>
      <c r="CI285" s="86"/>
      <c r="CJ285" s="86"/>
      <c r="CK285" s="86"/>
      <c r="CL285" s="86"/>
      <c r="CM285" s="86"/>
      <c r="CN285" s="86"/>
      <c r="CO285" s="86"/>
      <c r="CP285" s="86"/>
      <c r="CQ285" s="86"/>
      <c r="CR285" s="86"/>
      <c r="CS285" s="86"/>
      <c r="CT285" s="86"/>
      <c r="CU285" s="86"/>
      <c r="CV285" s="86"/>
      <c r="CW285" s="86"/>
      <c r="CX285" s="86"/>
      <c r="CY285" s="86"/>
      <c r="CZ285" s="86"/>
      <c r="DA285" s="86"/>
      <c r="DB285" s="86"/>
      <c r="DC285" s="86"/>
      <c r="DD285" s="86"/>
      <c r="DE285" s="86"/>
      <c r="DF285" s="86"/>
      <c r="DG285" s="86"/>
      <c r="DH285" s="86"/>
      <c r="DI285" s="86"/>
      <c r="DJ285" s="86"/>
      <c r="DK285" s="86"/>
      <c r="DL285" s="86"/>
      <c r="DM285" s="86"/>
      <c r="DN285" s="86"/>
      <c r="DO285" s="86"/>
      <c r="DP285" s="86"/>
      <c r="DQ285" s="86"/>
      <c r="DR285" s="86"/>
      <c r="DS285" s="86"/>
      <c r="DT285" s="86"/>
      <c r="DU285" s="86"/>
      <c r="DV285" s="86"/>
      <c r="DW285" s="86"/>
      <c r="DX285" s="86"/>
      <c r="DY285" s="86"/>
      <c r="DZ285" s="86"/>
      <c r="EA285" s="86"/>
      <c r="EB285" s="86"/>
      <c r="EC285" s="86"/>
      <c r="ED285" s="86"/>
      <c r="EE285" s="86"/>
      <c r="EF285" s="86"/>
      <c r="EG285" s="86"/>
      <c r="EH285" s="86"/>
      <c r="EI285" s="86"/>
      <c r="EJ285" s="86"/>
      <c r="EK285" s="86"/>
      <c r="EL285" s="86"/>
      <c r="EM285" s="86"/>
      <c r="EN285" s="86"/>
      <c r="EO285" s="86"/>
      <c r="EP285" s="86"/>
      <c r="EQ285" s="86"/>
      <c r="ER285" s="86"/>
      <c r="ES285" s="86"/>
      <c r="ET285" s="86"/>
      <c r="EU285" s="86"/>
      <c r="EV285" s="86"/>
      <c r="EW285" s="86"/>
      <c r="EX285" s="86"/>
      <c r="EY285" s="86"/>
      <c r="EZ285" s="86"/>
      <c r="FA285" s="86"/>
    </row>
    <row r="286" spans="2:157" ht="9.75" customHeight="1">
      <c r="B286" s="27"/>
      <c r="C286" s="27"/>
      <c r="D286" s="27"/>
      <c r="E286" s="91"/>
      <c r="F286" s="171"/>
      <c r="G286" s="29"/>
      <c r="H286" s="27"/>
      <c r="J286" s="101"/>
      <c r="K286" s="101"/>
      <c r="L286" s="101"/>
      <c r="Z286" s="86"/>
      <c r="AA286" s="86"/>
      <c r="AB286" s="86"/>
      <c r="AC286" s="86"/>
      <c r="AD286" s="86"/>
      <c r="AE286" s="86"/>
      <c r="AF286" s="86"/>
      <c r="AG286" s="86"/>
      <c r="AH286" s="86"/>
      <c r="AI286" s="86"/>
      <c r="AJ286" s="86"/>
      <c r="AK286" s="86"/>
      <c r="AL286" s="86"/>
      <c r="AM286" s="86"/>
      <c r="AN286" s="86"/>
      <c r="AO286" s="86"/>
      <c r="AP286" s="86"/>
      <c r="AQ286" s="86"/>
      <c r="AR286" s="86"/>
      <c r="AS286" s="86"/>
      <c r="AT286" s="86"/>
      <c r="AU286" s="86"/>
      <c r="AV286" s="86"/>
      <c r="AW286" s="86"/>
      <c r="AX286" s="86"/>
      <c r="AY286" s="86"/>
      <c r="AZ286" s="86"/>
      <c r="BA286" s="86"/>
      <c r="BB286" s="86"/>
      <c r="BC286" s="86"/>
      <c r="BD286" s="86"/>
      <c r="BE286" s="86"/>
      <c r="BF286" s="86"/>
      <c r="BG286" s="86"/>
      <c r="BH286" s="86"/>
      <c r="BI286" s="86"/>
      <c r="BJ286" s="86"/>
      <c r="BK286" s="86"/>
      <c r="BL286" s="86"/>
      <c r="BM286" s="86"/>
      <c r="BN286" s="86"/>
      <c r="BO286" s="86"/>
      <c r="BP286" s="86"/>
      <c r="BQ286" s="86"/>
      <c r="BR286" s="86"/>
      <c r="BS286" s="86"/>
      <c r="BT286" s="86"/>
      <c r="BU286" s="86"/>
      <c r="BV286" s="86"/>
      <c r="BW286" s="86"/>
      <c r="BX286" s="86"/>
      <c r="BY286" s="86"/>
      <c r="BZ286" s="86"/>
      <c r="CA286" s="86"/>
      <c r="CB286" s="86"/>
      <c r="CC286" s="86"/>
      <c r="CD286" s="86"/>
      <c r="CE286" s="86"/>
      <c r="CF286" s="86"/>
      <c r="CG286" s="86"/>
      <c r="CH286" s="86"/>
      <c r="CI286" s="86"/>
      <c r="CJ286" s="86"/>
      <c r="CK286" s="86"/>
      <c r="CL286" s="86"/>
      <c r="CM286" s="86"/>
      <c r="CN286" s="86"/>
      <c r="CO286" s="86"/>
      <c r="CP286" s="86"/>
      <c r="CQ286" s="86"/>
      <c r="CR286" s="86"/>
      <c r="CS286" s="86"/>
      <c r="CT286" s="86"/>
      <c r="CU286" s="86"/>
      <c r="CV286" s="86"/>
      <c r="CW286" s="86"/>
      <c r="CX286" s="86"/>
      <c r="CY286" s="86"/>
      <c r="CZ286" s="86"/>
      <c r="DA286" s="86"/>
      <c r="DB286" s="86"/>
      <c r="DC286" s="86"/>
      <c r="DD286" s="86"/>
      <c r="DE286" s="86"/>
      <c r="DF286" s="86"/>
      <c r="DG286" s="86"/>
      <c r="DH286" s="86"/>
      <c r="DI286" s="86"/>
      <c r="DJ286" s="86"/>
      <c r="DK286" s="86"/>
      <c r="DL286" s="86"/>
      <c r="DM286" s="86"/>
      <c r="DN286" s="86"/>
      <c r="DO286" s="86"/>
      <c r="DP286" s="86"/>
      <c r="DQ286" s="86"/>
      <c r="DR286" s="86"/>
      <c r="DS286" s="86"/>
      <c r="DT286" s="86"/>
      <c r="DU286" s="86"/>
      <c r="DV286" s="86"/>
      <c r="DW286" s="86"/>
      <c r="DX286" s="86"/>
      <c r="DY286" s="86"/>
      <c r="DZ286" s="86"/>
      <c r="EA286" s="86"/>
      <c r="EB286" s="86"/>
      <c r="EC286" s="86"/>
      <c r="ED286" s="86"/>
      <c r="EE286" s="86"/>
      <c r="EF286" s="86"/>
      <c r="EG286" s="86"/>
      <c r="EH286" s="86"/>
      <c r="EI286" s="86"/>
      <c r="EJ286" s="86"/>
      <c r="EK286" s="86"/>
      <c r="EL286" s="86"/>
      <c r="EM286" s="86"/>
      <c r="EN286" s="86"/>
      <c r="EO286" s="86"/>
      <c r="EP286" s="86"/>
      <c r="EQ286" s="86"/>
      <c r="ER286" s="86"/>
      <c r="ES286" s="86"/>
      <c r="ET286" s="86"/>
      <c r="EU286" s="86"/>
      <c r="EV286" s="86"/>
      <c r="EW286" s="86"/>
      <c r="EX286" s="86"/>
      <c r="EY286" s="86"/>
      <c r="EZ286" s="86"/>
      <c r="FA286" s="86"/>
    </row>
    <row r="287" spans="2:157" ht="9.75" customHeight="1">
      <c r="B287" s="27"/>
      <c r="C287" s="27"/>
      <c r="D287" s="27"/>
      <c r="E287" s="27"/>
      <c r="F287" s="27"/>
      <c r="G287" s="27"/>
      <c r="H287" s="27"/>
      <c r="J287" s="101"/>
      <c r="K287" s="101"/>
      <c r="L287" s="101"/>
      <c r="Z287" s="86"/>
      <c r="AA287" s="86"/>
      <c r="AB287" s="86"/>
      <c r="AC287" s="86"/>
      <c r="AD287" s="86"/>
      <c r="AE287" s="86"/>
      <c r="AF287" s="86"/>
      <c r="AG287" s="86"/>
      <c r="AH287" s="86"/>
      <c r="AI287" s="86"/>
      <c r="AJ287" s="86"/>
      <c r="AK287" s="86"/>
      <c r="AL287" s="86"/>
      <c r="AM287" s="86"/>
      <c r="AN287" s="86"/>
      <c r="AO287" s="86"/>
      <c r="AP287" s="86"/>
      <c r="AQ287" s="86"/>
      <c r="AR287" s="86"/>
      <c r="AS287" s="86"/>
      <c r="AT287" s="86"/>
      <c r="AU287" s="86"/>
      <c r="AV287" s="86"/>
      <c r="AW287" s="86"/>
      <c r="AX287" s="86"/>
      <c r="AY287" s="86"/>
      <c r="AZ287" s="86"/>
      <c r="BA287" s="86"/>
      <c r="BB287" s="86"/>
      <c r="BC287" s="86"/>
      <c r="BD287" s="86"/>
      <c r="BE287" s="86"/>
      <c r="BF287" s="86"/>
      <c r="BG287" s="86"/>
      <c r="BH287" s="86"/>
      <c r="BI287" s="86"/>
      <c r="BJ287" s="86"/>
      <c r="BK287" s="86"/>
      <c r="BL287" s="86"/>
      <c r="BM287" s="86"/>
      <c r="BN287" s="86"/>
      <c r="BO287" s="86"/>
      <c r="BP287" s="86"/>
      <c r="BQ287" s="86"/>
      <c r="BR287" s="86"/>
      <c r="BS287" s="86"/>
      <c r="BT287" s="86"/>
      <c r="BU287" s="86"/>
      <c r="BV287" s="86"/>
      <c r="BW287" s="86"/>
      <c r="BX287" s="86"/>
      <c r="BY287" s="86"/>
      <c r="BZ287" s="86"/>
      <c r="CA287" s="86"/>
      <c r="CB287" s="86"/>
      <c r="CC287" s="86"/>
      <c r="CD287" s="86"/>
      <c r="CE287" s="86"/>
      <c r="CF287" s="86"/>
      <c r="CG287" s="86"/>
      <c r="CH287" s="86"/>
      <c r="CI287" s="86"/>
      <c r="CJ287" s="86"/>
      <c r="CK287" s="86"/>
      <c r="CL287" s="86"/>
      <c r="CM287" s="86"/>
      <c r="CN287" s="86"/>
      <c r="CO287" s="86"/>
      <c r="CP287" s="86"/>
      <c r="CQ287" s="86"/>
      <c r="CR287" s="86"/>
      <c r="CS287" s="86"/>
      <c r="CT287" s="86"/>
      <c r="CU287" s="86"/>
      <c r="CV287" s="86"/>
      <c r="CW287" s="86"/>
      <c r="CX287" s="86"/>
      <c r="CY287" s="86"/>
      <c r="CZ287" s="86"/>
      <c r="DA287" s="86"/>
      <c r="DB287" s="86"/>
      <c r="DC287" s="86"/>
      <c r="DD287" s="86"/>
      <c r="DE287" s="86"/>
      <c r="DF287" s="86"/>
      <c r="DG287" s="86"/>
      <c r="DH287" s="86"/>
      <c r="DI287" s="86"/>
      <c r="DJ287" s="86"/>
      <c r="DK287" s="86"/>
      <c r="DL287" s="86"/>
      <c r="DM287" s="86"/>
      <c r="DN287" s="86"/>
      <c r="DO287" s="86"/>
      <c r="DP287" s="86"/>
      <c r="DQ287" s="86"/>
      <c r="DR287" s="86"/>
      <c r="DS287" s="86"/>
      <c r="DT287" s="86"/>
      <c r="DU287" s="86"/>
      <c r="DV287" s="86"/>
      <c r="DW287" s="86"/>
      <c r="DX287" s="86"/>
      <c r="DY287" s="86"/>
      <c r="DZ287" s="86"/>
      <c r="EA287" s="86"/>
      <c r="EB287" s="86"/>
      <c r="EC287" s="86"/>
      <c r="ED287" s="86"/>
      <c r="EE287" s="86"/>
      <c r="EF287" s="86"/>
      <c r="EG287" s="86"/>
      <c r="EH287" s="86"/>
      <c r="EI287" s="86"/>
      <c r="EJ287" s="86"/>
      <c r="EK287" s="86"/>
      <c r="EL287" s="86"/>
      <c r="EM287" s="86"/>
      <c r="EN287" s="86"/>
      <c r="EO287" s="86"/>
      <c r="EP287" s="86"/>
      <c r="EQ287" s="86"/>
      <c r="ER287" s="86"/>
      <c r="ES287" s="86"/>
      <c r="ET287" s="86"/>
      <c r="EU287" s="86"/>
      <c r="EV287" s="86"/>
      <c r="EW287" s="86"/>
      <c r="EX287" s="86"/>
      <c r="EY287" s="86"/>
      <c r="EZ287" s="86"/>
      <c r="FA287" s="86"/>
    </row>
    <row r="288" spans="2:157" ht="9.75" customHeight="1">
      <c r="B288" s="27"/>
      <c r="C288" s="27"/>
      <c r="D288" s="27"/>
      <c r="E288" s="27"/>
      <c r="F288" s="27"/>
      <c r="G288" s="27"/>
      <c r="H288" s="27"/>
      <c r="J288" s="101"/>
      <c r="K288" s="101"/>
      <c r="L288" s="101"/>
      <c r="Z288" s="86"/>
      <c r="AA288" s="86"/>
      <c r="AB288" s="86"/>
      <c r="AC288" s="86"/>
      <c r="AD288" s="86"/>
      <c r="AE288" s="86"/>
      <c r="AF288" s="86"/>
      <c r="AG288" s="86"/>
      <c r="AH288" s="86"/>
      <c r="AI288" s="86"/>
      <c r="AJ288" s="86"/>
      <c r="AK288" s="86"/>
      <c r="AL288" s="86"/>
      <c r="AM288" s="86"/>
      <c r="AN288" s="86"/>
      <c r="AO288" s="86"/>
      <c r="AP288" s="86"/>
      <c r="AQ288" s="86"/>
      <c r="AR288" s="86"/>
      <c r="AS288" s="86"/>
      <c r="AT288" s="86"/>
      <c r="AU288" s="86"/>
      <c r="AV288" s="86"/>
      <c r="AW288" s="86"/>
      <c r="AX288" s="86"/>
      <c r="AY288" s="86"/>
      <c r="AZ288" s="86"/>
      <c r="BA288" s="86"/>
      <c r="BB288" s="86"/>
      <c r="BC288" s="86"/>
      <c r="BD288" s="86"/>
      <c r="BE288" s="86"/>
      <c r="BF288" s="86"/>
      <c r="BG288" s="86"/>
      <c r="BH288" s="86"/>
      <c r="BI288" s="86"/>
      <c r="BJ288" s="86"/>
      <c r="BK288" s="86"/>
      <c r="BL288" s="86"/>
      <c r="BM288" s="86"/>
      <c r="BN288" s="86"/>
      <c r="BO288" s="86"/>
      <c r="BP288" s="86"/>
      <c r="BQ288" s="86"/>
      <c r="BR288" s="86"/>
      <c r="BS288" s="86"/>
      <c r="BT288" s="86"/>
      <c r="BU288" s="86"/>
      <c r="BV288" s="86"/>
      <c r="BW288" s="86"/>
      <c r="BX288" s="86"/>
      <c r="BY288" s="86"/>
      <c r="BZ288" s="86"/>
      <c r="CA288" s="86"/>
      <c r="CB288" s="86"/>
      <c r="CC288" s="86"/>
      <c r="CD288" s="86"/>
      <c r="CE288" s="86"/>
      <c r="CF288" s="86"/>
      <c r="CG288" s="86"/>
      <c r="CH288" s="86"/>
      <c r="CI288" s="86"/>
      <c r="CJ288" s="86"/>
      <c r="CK288" s="86"/>
      <c r="CL288" s="86"/>
      <c r="CM288" s="86"/>
      <c r="CN288" s="86"/>
      <c r="CO288" s="86"/>
      <c r="CP288" s="86"/>
      <c r="CQ288" s="86"/>
      <c r="CR288" s="86"/>
      <c r="CS288" s="86"/>
      <c r="CT288" s="86"/>
      <c r="CU288" s="86"/>
      <c r="CV288" s="86"/>
      <c r="CW288" s="86"/>
      <c r="CX288" s="86"/>
      <c r="CY288" s="86"/>
      <c r="CZ288" s="86"/>
      <c r="DA288" s="86"/>
      <c r="DB288" s="86"/>
      <c r="DC288" s="86"/>
      <c r="DD288" s="86"/>
      <c r="DE288" s="86"/>
      <c r="DF288" s="86"/>
      <c r="DG288" s="86"/>
      <c r="DH288" s="86"/>
      <c r="DI288" s="86"/>
      <c r="DJ288" s="86"/>
      <c r="DK288" s="86"/>
      <c r="DL288" s="86"/>
      <c r="DM288" s="86"/>
      <c r="DN288" s="86"/>
      <c r="DO288" s="86"/>
      <c r="DP288" s="86"/>
      <c r="DQ288" s="86"/>
      <c r="DR288" s="86"/>
      <c r="DS288" s="86"/>
      <c r="DT288" s="86"/>
      <c r="DU288" s="86"/>
      <c r="DV288" s="86"/>
      <c r="DW288" s="86"/>
      <c r="DX288" s="86"/>
      <c r="DY288" s="86"/>
      <c r="DZ288" s="86"/>
      <c r="EA288" s="86"/>
      <c r="EB288" s="86"/>
      <c r="EC288" s="86"/>
      <c r="ED288" s="86"/>
      <c r="EE288" s="86"/>
      <c r="EF288" s="86"/>
      <c r="EG288" s="86"/>
      <c r="EH288" s="86"/>
      <c r="EI288" s="86"/>
      <c r="EJ288" s="86"/>
      <c r="EK288" s="86"/>
      <c r="EL288" s="86"/>
      <c r="EM288" s="86"/>
      <c r="EN288" s="86"/>
      <c r="EO288" s="86"/>
      <c r="EP288" s="86"/>
      <c r="EQ288" s="86"/>
      <c r="ER288" s="86"/>
      <c r="ES288" s="86"/>
      <c r="ET288" s="86"/>
      <c r="EU288" s="86"/>
      <c r="EV288" s="86"/>
      <c r="EW288" s="86"/>
      <c r="EX288" s="86"/>
      <c r="EY288" s="86"/>
      <c r="EZ288" s="86"/>
      <c r="FA288" s="86"/>
    </row>
    <row r="289" spans="2:157" ht="9.75" customHeight="1">
      <c r="B289" s="31"/>
      <c r="C289" s="31"/>
      <c r="D289" s="31"/>
      <c r="E289" s="31"/>
      <c r="F289" s="31"/>
      <c r="G289" s="27"/>
      <c r="H289" s="31"/>
      <c r="J289" s="101"/>
      <c r="K289" s="101"/>
      <c r="L289" s="101"/>
      <c r="Z289" s="86"/>
      <c r="AA289" s="86"/>
      <c r="AB289" s="86"/>
      <c r="AC289" s="86"/>
      <c r="AD289" s="86"/>
      <c r="AE289" s="86"/>
      <c r="AF289" s="86"/>
      <c r="AG289" s="86"/>
      <c r="AH289" s="86"/>
      <c r="AI289" s="86"/>
      <c r="AJ289" s="86"/>
      <c r="AK289" s="86"/>
      <c r="AL289" s="86"/>
      <c r="AM289" s="86"/>
      <c r="AN289" s="86"/>
      <c r="AO289" s="86"/>
      <c r="AP289" s="86"/>
      <c r="AQ289" s="86"/>
      <c r="AR289" s="86"/>
      <c r="AS289" s="86"/>
      <c r="AT289" s="86"/>
      <c r="AU289" s="86"/>
      <c r="AV289" s="86"/>
      <c r="AW289" s="86"/>
      <c r="AX289" s="86"/>
      <c r="AY289" s="86"/>
      <c r="AZ289" s="86"/>
      <c r="BA289" s="86"/>
      <c r="BB289" s="86"/>
      <c r="BC289" s="86"/>
      <c r="BD289" s="86"/>
      <c r="BE289" s="86"/>
      <c r="BF289" s="86"/>
      <c r="BG289" s="86"/>
      <c r="BH289" s="86"/>
      <c r="BI289" s="86"/>
      <c r="BJ289" s="86"/>
      <c r="BK289" s="86"/>
      <c r="BL289" s="86"/>
      <c r="BM289" s="86"/>
      <c r="BN289" s="86"/>
      <c r="BO289" s="86"/>
      <c r="BP289" s="86"/>
      <c r="BQ289" s="86"/>
      <c r="BR289" s="86"/>
      <c r="BS289" s="86"/>
      <c r="BT289" s="86"/>
      <c r="BU289" s="86"/>
      <c r="BV289" s="86"/>
      <c r="BW289" s="86"/>
      <c r="BX289" s="86"/>
      <c r="BY289" s="86"/>
      <c r="BZ289" s="86"/>
      <c r="CA289" s="86"/>
      <c r="CB289" s="86"/>
      <c r="CC289" s="86"/>
      <c r="CD289" s="86"/>
      <c r="CE289" s="86"/>
      <c r="CF289" s="86"/>
      <c r="CG289" s="86"/>
      <c r="CH289" s="86"/>
      <c r="CI289" s="86"/>
      <c r="CJ289" s="86"/>
      <c r="CK289" s="86"/>
      <c r="CL289" s="86"/>
      <c r="CM289" s="86"/>
      <c r="CN289" s="86"/>
      <c r="CO289" s="86"/>
      <c r="CP289" s="86"/>
      <c r="CQ289" s="86"/>
      <c r="CR289" s="86"/>
      <c r="CS289" s="86"/>
      <c r="CT289" s="86"/>
      <c r="CU289" s="86"/>
      <c r="CV289" s="86"/>
      <c r="CW289" s="86"/>
      <c r="CX289" s="86"/>
      <c r="CY289" s="86"/>
      <c r="CZ289" s="86"/>
      <c r="DA289" s="86"/>
      <c r="DB289" s="86"/>
      <c r="DC289" s="86"/>
      <c r="DD289" s="86"/>
      <c r="DE289" s="86"/>
      <c r="DF289" s="86"/>
      <c r="DG289" s="86"/>
      <c r="DH289" s="86"/>
      <c r="DI289" s="86"/>
      <c r="DJ289" s="86"/>
      <c r="DK289" s="86"/>
      <c r="DL289" s="86"/>
      <c r="DM289" s="86"/>
      <c r="DN289" s="86"/>
      <c r="DO289" s="86"/>
      <c r="DP289" s="86"/>
      <c r="DQ289" s="86"/>
      <c r="DR289" s="86"/>
      <c r="DS289" s="86"/>
      <c r="DT289" s="86"/>
      <c r="DU289" s="86"/>
      <c r="DV289" s="86"/>
      <c r="DW289" s="86"/>
      <c r="DX289" s="86"/>
      <c r="DY289" s="86"/>
      <c r="DZ289" s="86"/>
      <c r="EA289" s="86"/>
      <c r="EB289" s="86"/>
      <c r="EC289" s="86"/>
      <c r="ED289" s="86"/>
      <c r="EE289" s="86"/>
      <c r="EF289" s="86"/>
      <c r="EG289" s="86"/>
      <c r="EH289" s="86"/>
      <c r="EI289" s="86"/>
      <c r="EJ289" s="86"/>
      <c r="EK289" s="86"/>
      <c r="EL289" s="86"/>
      <c r="EM289" s="86"/>
      <c r="EN289" s="86"/>
      <c r="EO289" s="86"/>
      <c r="EP289" s="86"/>
      <c r="EQ289" s="86"/>
      <c r="ER289" s="86"/>
      <c r="ES289" s="86"/>
      <c r="ET289" s="86"/>
      <c r="EU289" s="86"/>
      <c r="EV289" s="86"/>
      <c r="EW289" s="86"/>
      <c r="EX289" s="86"/>
      <c r="EY289" s="86"/>
      <c r="EZ289" s="86"/>
      <c r="FA289" s="86"/>
    </row>
    <row r="290" spans="2:157" ht="10.95" customHeight="1">
      <c r="B290" s="1347" t="s">
        <v>510</v>
      </c>
      <c r="C290" s="1348"/>
      <c r="D290" s="1345"/>
      <c r="E290" s="1346"/>
      <c r="F290" s="842"/>
      <c r="G290" s="837" t="s">
        <v>4</v>
      </c>
      <c r="H290" s="856"/>
      <c r="J290" s="101"/>
      <c r="K290" s="101"/>
      <c r="L290" s="101"/>
      <c r="Z290" s="86"/>
      <c r="AA290" s="86"/>
      <c r="AB290" s="86"/>
      <c r="AC290" s="86"/>
      <c r="AD290" s="86"/>
      <c r="AE290" s="86"/>
      <c r="AF290" s="86"/>
      <c r="AG290" s="86"/>
      <c r="AH290" s="86"/>
      <c r="AI290" s="86"/>
      <c r="AJ290" s="86"/>
      <c r="AK290" s="86"/>
      <c r="AL290" s="86"/>
      <c r="AM290" s="86"/>
      <c r="AN290" s="86"/>
      <c r="AO290" s="86"/>
      <c r="AP290" s="86"/>
      <c r="AQ290" s="86"/>
      <c r="AR290" s="86"/>
      <c r="AS290" s="86"/>
      <c r="AT290" s="86"/>
      <c r="AU290" s="86"/>
      <c r="AV290" s="86"/>
      <c r="AW290" s="86"/>
      <c r="AX290" s="86"/>
      <c r="AY290" s="86"/>
      <c r="AZ290" s="86"/>
      <c r="BA290" s="86"/>
      <c r="BB290" s="86"/>
      <c r="BC290" s="86"/>
      <c r="BD290" s="86"/>
      <c r="BE290" s="86"/>
      <c r="BF290" s="86"/>
      <c r="BG290" s="86"/>
      <c r="BH290" s="86"/>
      <c r="BI290" s="86"/>
      <c r="BJ290" s="86"/>
      <c r="BK290" s="86"/>
      <c r="BL290" s="86"/>
      <c r="BM290" s="86"/>
      <c r="BN290" s="86"/>
      <c r="BO290" s="86"/>
      <c r="BP290" s="86"/>
      <c r="BQ290" s="86"/>
      <c r="BR290" s="86"/>
      <c r="BS290" s="86"/>
      <c r="BT290" s="86"/>
      <c r="BU290" s="86"/>
      <c r="BV290" s="86"/>
      <c r="BW290" s="86"/>
      <c r="BX290" s="86"/>
      <c r="BY290" s="86"/>
      <c r="BZ290" s="86"/>
      <c r="CA290" s="86"/>
      <c r="CB290" s="86"/>
      <c r="CC290" s="86"/>
      <c r="CD290" s="86"/>
      <c r="CE290" s="86"/>
      <c r="CF290" s="86"/>
      <c r="CG290" s="86"/>
      <c r="CH290" s="86"/>
      <c r="CI290" s="86"/>
      <c r="CJ290" s="86"/>
      <c r="CK290" s="86"/>
      <c r="CL290" s="86"/>
      <c r="CM290" s="86"/>
      <c r="CN290" s="86"/>
      <c r="CO290" s="86"/>
      <c r="CP290" s="86"/>
      <c r="CQ290" s="86"/>
      <c r="CR290" s="86"/>
      <c r="CS290" s="86"/>
      <c r="CT290" s="86"/>
      <c r="CU290" s="86"/>
      <c r="CV290" s="86"/>
      <c r="CW290" s="86"/>
      <c r="CX290" s="86"/>
      <c r="CY290" s="86"/>
      <c r="CZ290" s="86"/>
      <c r="DA290" s="86"/>
      <c r="DB290" s="86"/>
      <c r="DC290" s="86"/>
      <c r="DD290" s="86"/>
      <c r="DE290" s="86"/>
      <c r="DF290" s="86"/>
      <c r="DG290" s="86"/>
      <c r="DH290" s="86"/>
      <c r="DI290" s="86"/>
      <c r="DJ290" s="86"/>
      <c r="DK290" s="86"/>
      <c r="DL290" s="86"/>
      <c r="DM290" s="86"/>
      <c r="DN290" s="86"/>
      <c r="DO290" s="86"/>
      <c r="DP290" s="86"/>
      <c r="DQ290" s="86"/>
      <c r="DR290" s="86"/>
      <c r="DS290" s="86"/>
      <c r="DT290" s="86"/>
      <c r="DU290" s="86"/>
      <c r="DV290" s="86"/>
      <c r="DW290" s="86"/>
      <c r="DX290" s="86"/>
      <c r="DY290" s="86"/>
      <c r="DZ290" s="86"/>
      <c r="EA290" s="86"/>
      <c r="EB290" s="86"/>
      <c r="EC290" s="86"/>
      <c r="ED290" s="86"/>
      <c r="EE290" s="86"/>
      <c r="EF290" s="86"/>
      <c r="EG290" s="86"/>
      <c r="EH290" s="86"/>
      <c r="EI290" s="86"/>
      <c r="EJ290" s="86"/>
      <c r="EK290" s="86"/>
      <c r="EL290" s="86"/>
      <c r="EM290" s="86"/>
      <c r="EN290" s="86"/>
      <c r="EO290" s="86"/>
      <c r="EP290" s="86"/>
      <c r="EQ290" s="86"/>
      <c r="ER290" s="86"/>
      <c r="ES290" s="86"/>
      <c r="ET290" s="86"/>
      <c r="EU290" s="86"/>
      <c r="EV290" s="86"/>
      <c r="EW290" s="86"/>
      <c r="EX290" s="86"/>
      <c r="EY290" s="86"/>
      <c r="EZ290" s="86"/>
      <c r="FA290" s="86"/>
    </row>
    <row r="291" spans="2:157" ht="10.95" customHeight="1">
      <c r="B291" s="1347" t="s">
        <v>582</v>
      </c>
      <c r="C291" s="1349"/>
      <c r="D291" s="1345"/>
      <c r="E291" s="1346"/>
      <c r="F291" s="839"/>
      <c r="G291" s="853" t="s">
        <v>345</v>
      </c>
      <c r="H291" s="854">
        <f>ROUND(1/(SUM(H294:H304)),2)</f>
        <v>5.88</v>
      </c>
      <c r="J291" s="101"/>
      <c r="K291" s="101"/>
      <c r="L291" s="101"/>
      <c r="Z291" s="86"/>
      <c r="AA291" s="86"/>
      <c r="AB291" s="86"/>
      <c r="AC291" s="86"/>
      <c r="AD291" s="86"/>
      <c r="AE291" s="86"/>
      <c r="AF291" s="86"/>
      <c r="AG291" s="86"/>
      <c r="AH291" s="86"/>
      <c r="AI291" s="86"/>
      <c r="AJ291" s="86"/>
      <c r="AK291" s="86"/>
      <c r="AL291" s="86"/>
      <c r="AM291" s="86"/>
      <c r="AN291" s="86"/>
      <c r="AO291" s="86"/>
      <c r="AP291" s="86"/>
      <c r="AQ291" s="86"/>
      <c r="AR291" s="86"/>
      <c r="AS291" s="86"/>
      <c r="AT291" s="86"/>
      <c r="AU291" s="86"/>
      <c r="AV291" s="86"/>
      <c r="AW291" s="86"/>
      <c r="AX291" s="86"/>
      <c r="AY291" s="86"/>
      <c r="AZ291" s="86"/>
      <c r="BA291" s="86"/>
      <c r="BB291" s="86"/>
      <c r="BC291" s="86"/>
      <c r="BD291" s="86"/>
      <c r="BE291" s="86"/>
      <c r="BF291" s="86"/>
      <c r="BG291" s="86"/>
      <c r="BH291" s="86"/>
      <c r="BI291" s="86"/>
      <c r="BJ291" s="86"/>
      <c r="BK291" s="86"/>
      <c r="BL291" s="86"/>
      <c r="BM291" s="86"/>
      <c r="BN291" s="86"/>
      <c r="BO291" s="86"/>
      <c r="BP291" s="86"/>
      <c r="BQ291" s="86"/>
      <c r="BR291" s="86"/>
      <c r="BS291" s="86"/>
      <c r="BT291" s="86"/>
      <c r="BU291" s="86"/>
      <c r="BV291" s="86"/>
      <c r="BW291" s="86"/>
      <c r="BX291" s="86"/>
      <c r="BY291" s="86"/>
      <c r="BZ291" s="86"/>
      <c r="CA291" s="86"/>
      <c r="CB291" s="86"/>
      <c r="CC291" s="86"/>
      <c r="CD291" s="86"/>
      <c r="CE291" s="86"/>
      <c r="CF291" s="86"/>
      <c r="CG291" s="86"/>
      <c r="CH291" s="86"/>
      <c r="CI291" s="86"/>
      <c r="CJ291" s="86"/>
      <c r="CK291" s="86"/>
      <c r="CL291" s="86"/>
      <c r="CM291" s="86"/>
      <c r="CN291" s="86"/>
      <c r="CO291" s="86"/>
      <c r="CP291" s="86"/>
      <c r="CQ291" s="86"/>
      <c r="CR291" s="86"/>
      <c r="CS291" s="86"/>
      <c r="CT291" s="86"/>
      <c r="CU291" s="86"/>
      <c r="CV291" s="86"/>
      <c r="CW291" s="86"/>
      <c r="CX291" s="86"/>
      <c r="CY291" s="86"/>
      <c r="CZ291" s="86"/>
      <c r="DA291" s="86"/>
      <c r="DB291" s="86"/>
      <c r="DC291" s="86"/>
      <c r="DD291" s="86"/>
      <c r="DE291" s="86"/>
      <c r="DF291" s="86"/>
      <c r="DG291" s="86"/>
      <c r="DH291" s="86"/>
      <c r="DI291" s="86"/>
      <c r="DJ291" s="86"/>
      <c r="DK291" s="86"/>
      <c r="DL291" s="86"/>
      <c r="DM291" s="86"/>
      <c r="DN291" s="86"/>
      <c r="DO291" s="86"/>
      <c r="DP291" s="86"/>
      <c r="DQ291" s="86"/>
      <c r="DR291" s="86"/>
      <c r="DS291" s="86"/>
      <c r="DT291" s="86"/>
      <c r="DU291" s="86"/>
      <c r="DV291" s="86"/>
      <c r="DW291" s="86"/>
      <c r="DX291" s="86"/>
      <c r="DY291" s="86"/>
      <c r="DZ291" s="86"/>
      <c r="EA291" s="86"/>
      <c r="EB291" s="86"/>
      <c r="EC291" s="86"/>
      <c r="ED291" s="86"/>
      <c r="EE291" s="86"/>
      <c r="EF291" s="86"/>
      <c r="EG291" s="86"/>
      <c r="EH291" s="86"/>
      <c r="EI291" s="86"/>
      <c r="EJ291" s="86"/>
      <c r="EK291" s="86"/>
      <c r="EL291" s="86"/>
      <c r="EM291" s="86"/>
      <c r="EN291" s="86"/>
      <c r="EO291" s="86"/>
      <c r="EP291" s="86"/>
      <c r="EQ291" s="86"/>
      <c r="ER291" s="86"/>
      <c r="ES291" s="86"/>
      <c r="ET291" s="86"/>
      <c r="EU291" s="86"/>
      <c r="EV291" s="86"/>
      <c r="EW291" s="86"/>
      <c r="EX291" s="86"/>
      <c r="EY291" s="86"/>
      <c r="EZ291" s="86"/>
      <c r="FA291" s="86"/>
    </row>
    <row r="292" spans="2:157" ht="9.75" customHeight="1">
      <c r="B292" s="839"/>
      <c r="C292" s="839"/>
      <c r="D292" s="844"/>
      <c r="E292" s="839"/>
      <c r="F292" s="839"/>
      <c r="G292" s="852"/>
      <c r="H292" s="850"/>
      <c r="J292" s="101"/>
      <c r="K292" s="101"/>
      <c r="L292" s="101"/>
      <c r="Z292" s="86"/>
      <c r="AA292" s="86"/>
      <c r="AB292" s="86"/>
      <c r="AC292" s="86"/>
      <c r="AD292" s="86"/>
      <c r="AE292" s="86"/>
      <c r="AF292" s="86"/>
      <c r="AG292" s="86"/>
      <c r="AH292" s="86"/>
      <c r="AI292" s="86"/>
      <c r="AJ292" s="86"/>
      <c r="AK292" s="86"/>
      <c r="AL292" s="86"/>
      <c r="AM292" s="86"/>
      <c r="AN292" s="86"/>
      <c r="AO292" s="86"/>
      <c r="AP292" s="86"/>
      <c r="AQ292" s="86"/>
      <c r="AR292" s="86"/>
      <c r="AS292" s="86"/>
      <c r="AT292" s="86"/>
      <c r="AU292" s="86"/>
      <c r="AV292" s="86"/>
      <c r="AW292" s="86"/>
      <c r="AX292" s="86"/>
      <c r="AY292" s="86"/>
      <c r="AZ292" s="86"/>
      <c r="BA292" s="86"/>
      <c r="BB292" s="86"/>
      <c r="BC292" s="86"/>
      <c r="BD292" s="86"/>
      <c r="BE292" s="86"/>
      <c r="BF292" s="86"/>
      <c r="BG292" s="86"/>
      <c r="BH292" s="86"/>
      <c r="BI292" s="86"/>
      <c r="BJ292" s="86"/>
      <c r="BK292" s="86"/>
      <c r="BL292" s="86"/>
      <c r="BM292" s="86"/>
      <c r="BN292" s="86"/>
      <c r="BO292" s="86"/>
      <c r="BP292" s="86"/>
      <c r="BQ292" s="86"/>
      <c r="BR292" s="86"/>
      <c r="BS292" s="86"/>
      <c r="BT292" s="86"/>
      <c r="BU292" s="86"/>
      <c r="BV292" s="86"/>
      <c r="BW292" s="86"/>
      <c r="BX292" s="86"/>
      <c r="BY292" s="86"/>
      <c r="BZ292" s="86"/>
      <c r="CA292" s="86"/>
      <c r="CB292" s="86"/>
      <c r="CC292" s="86"/>
      <c r="CD292" s="86"/>
      <c r="CE292" s="86"/>
      <c r="CF292" s="86"/>
      <c r="CG292" s="86"/>
      <c r="CH292" s="86"/>
      <c r="CI292" s="86"/>
      <c r="CJ292" s="86"/>
      <c r="CK292" s="86"/>
      <c r="CL292" s="86"/>
      <c r="CM292" s="86"/>
      <c r="CN292" s="86"/>
      <c r="CO292" s="86"/>
      <c r="CP292" s="86"/>
      <c r="CQ292" s="86"/>
      <c r="CR292" s="86"/>
      <c r="CS292" s="86"/>
      <c r="CT292" s="86"/>
      <c r="CU292" s="86"/>
      <c r="CV292" s="86"/>
      <c r="CW292" s="86"/>
      <c r="CX292" s="86"/>
      <c r="CY292" s="86"/>
      <c r="CZ292" s="86"/>
      <c r="DA292" s="86"/>
      <c r="DB292" s="86"/>
      <c r="DC292" s="86"/>
      <c r="DD292" s="86"/>
      <c r="DE292" s="86"/>
      <c r="DF292" s="86"/>
      <c r="DG292" s="86"/>
      <c r="DH292" s="86"/>
      <c r="DI292" s="86"/>
      <c r="DJ292" s="86"/>
      <c r="DK292" s="86"/>
      <c r="DL292" s="86"/>
      <c r="DM292" s="86"/>
      <c r="DN292" s="86"/>
      <c r="DO292" s="86"/>
      <c r="DP292" s="86"/>
      <c r="DQ292" s="86"/>
      <c r="DR292" s="86"/>
      <c r="DS292" s="86"/>
      <c r="DT292" s="86"/>
      <c r="DU292" s="86"/>
      <c r="DV292" s="86"/>
      <c r="DW292" s="86"/>
      <c r="DX292" s="86"/>
      <c r="DY292" s="86"/>
      <c r="DZ292" s="86"/>
      <c r="EA292" s="86"/>
      <c r="EB292" s="86"/>
      <c r="EC292" s="86"/>
      <c r="ED292" s="86"/>
      <c r="EE292" s="86"/>
      <c r="EF292" s="86"/>
      <c r="EG292" s="86"/>
      <c r="EH292" s="86"/>
      <c r="EI292" s="86"/>
      <c r="EJ292" s="86"/>
      <c r="EK292" s="86"/>
      <c r="EL292" s="86"/>
      <c r="EM292" s="86"/>
      <c r="EN292" s="86"/>
      <c r="EO292" s="86"/>
      <c r="EP292" s="86"/>
      <c r="EQ292" s="86"/>
      <c r="ER292" s="86"/>
      <c r="ES292" s="86"/>
      <c r="ET292" s="86"/>
      <c r="EU292" s="86"/>
      <c r="EV292" s="86"/>
      <c r="EW292" s="86"/>
      <c r="EX292" s="86"/>
      <c r="EY292" s="86"/>
      <c r="EZ292" s="86"/>
      <c r="FA292" s="86"/>
    </row>
    <row r="293" spans="2:157" ht="9.75" customHeight="1">
      <c r="B293" s="844" t="s">
        <v>349</v>
      </c>
      <c r="C293" s="1352" t="s">
        <v>344</v>
      </c>
      <c r="D293" s="1352"/>
      <c r="E293" s="87"/>
      <c r="F293" s="846" t="s">
        <v>170</v>
      </c>
      <c r="G293" s="847" t="s">
        <v>361</v>
      </c>
      <c r="H293" s="846" t="s">
        <v>281</v>
      </c>
      <c r="J293" s="101"/>
      <c r="K293" s="101"/>
      <c r="L293" s="101"/>
      <c r="Z293" s="86"/>
      <c r="AA293" s="86"/>
      <c r="AB293" s="86"/>
      <c r="AC293" s="86"/>
      <c r="AD293" s="86"/>
      <c r="AE293" s="86"/>
      <c r="AF293" s="86"/>
      <c r="AG293" s="86"/>
      <c r="AH293" s="86"/>
      <c r="AI293" s="86"/>
      <c r="AJ293" s="86"/>
      <c r="AK293" s="86"/>
      <c r="AL293" s="86"/>
      <c r="AM293" s="86"/>
      <c r="AN293" s="86"/>
      <c r="AO293" s="86"/>
      <c r="AP293" s="86"/>
      <c r="AQ293" s="86"/>
      <c r="AR293" s="86"/>
      <c r="AS293" s="86"/>
      <c r="AT293" s="86"/>
      <c r="AU293" s="86"/>
      <c r="AV293" s="86"/>
      <c r="AW293" s="86"/>
      <c r="AX293" s="86"/>
      <c r="AY293" s="86"/>
      <c r="AZ293" s="86"/>
      <c r="BA293" s="86"/>
      <c r="BB293" s="86"/>
      <c r="BC293" s="86"/>
      <c r="BD293" s="86"/>
      <c r="BE293" s="86"/>
      <c r="BF293" s="86"/>
      <c r="BG293" s="86"/>
      <c r="BH293" s="86"/>
      <c r="BI293" s="86"/>
      <c r="BJ293" s="86"/>
      <c r="BK293" s="86"/>
      <c r="BL293" s="86"/>
      <c r="BM293" s="86"/>
      <c r="BN293" s="86"/>
      <c r="BO293" s="86"/>
      <c r="BP293" s="86"/>
      <c r="BQ293" s="86"/>
      <c r="BR293" s="86"/>
      <c r="BS293" s="86"/>
      <c r="BT293" s="86"/>
      <c r="BU293" s="86"/>
      <c r="BV293" s="86"/>
      <c r="BW293" s="86"/>
      <c r="BX293" s="86"/>
      <c r="BY293" s="86"/>
      <c r="BZ293" s="86"/>
      <c r="CA293" s="86"/>
      <c r="CB293" s="86"/>
      <c r="CC293" s="86"/>
      <c r="CD293" s="86"/>
      <c r="CE293" s="86"/>
      <c r="CF293" s="86"/>
      <c r="CG293" s="86"/>
      <c r="CH293" s="86"/>
      <c r="CI293" s="86"/>
      <c r="CJ293" s="86"/>
      <c r="CK293" s="86"/>
      <c r="CL293" s="86"/>
      <c r="CM293" s="86"/>
      <c r="CN293" s="86"/>
      <c r="CO293" s="86"/>
      <c r="CP293" s="86"/>
      <c r="CQ293" s="86"/>
      <c r="CR293" s="86"/>
      <c r="CS293" s="86"/>
      <c r="CT293" s="86"/>
      <c r="CU293" s="86"/>
      <c r="CV293" s="86"/>
      <c r="CW293" s="86"/>
      <c r="CX293" s="86"/>
      <c r="CY293" s="86"/>
      <c r="CZ293" s="86"/>
      <c r="DA293" s="86"/>
      <c r="DB293" s="86"/>
      <c r="DC293" s="86"/>
      <c r="DD293" s="86"/>
      <c r="DE293" s="86"/>
      <c r="DF293" s="86"/>
      <c r="DG293" s="86"/>
      <c r="DH293" s="86"/>
      <c r="DI293" s="86"/>
      <c r="DJ293" s="86"/>
      <c r="DK293" s="86"/>
      <c r="DL293" s="86"/>
      <c r="DM293" s="86"/>
      <c r="DN293" s="86"/>
      <c r="DO293" s="86"/>
      <c r="DP293" s="86"/>
      <c r="DQ293" s="86"/>
      <c r="DR293" s="86"/>
      <c r="DS293" s="86"/>
      <c r="DT293" s="86"/>
      <c r="DU293" s="86"/>
      <c r="DV293" s="86"/>
      <c r="DW293" s="86"/>
      <c r="DX293" s="86"/>
      <c r="DY293" s="86"/>
      <c r="DZ293" s="86"/>
      <c r="EA293" s="86"/>
      <c r="EB293" s="86"/>
      <c r="EC293" s="86"/>
      <c r="ED293" s="86"/>
      <c r="EE293" s="86"/>
      <c r="EF293" s="86"/>
      <c r="EG293" s="86"/>
      <c r="EH293" s="86"/>
      <c r="EI293" s="86"/>
      <c r="EJ293" s="86"/>
      <c r="EK293" s="86"/>
      <c r="EL293" s="86"/>
      <c r="EM293" s="86"/>
      <c r="EN293" s="86"/>
      <c r="EO293" s="86"/>
      <c r="EP293" s="86"/>
      <c r="EQ293" s="86"/>
      <c r="ER293" s="86"/>
      <c r="ES293" s="86"/>
      <c r="ET293" s="86"/>
      <c r="EU293" s="86"/>
      <c r="EV293" s="86"/>
      <c r="EW293" s="86"/>
      <c r="EX293" s="86"/>
      <c r="EY293" s="86"/>
      <c r="EZ293" s="86"/>
      <c r="FA293" s="86"/>
    </row>
    <row r="294" spans="2:157" ht="10.050000000000001" customHeight="1">
      <c r="B294" s="845" t="s">
        <v>546</v>
      </c>
      <c r="C294" s="1350" t="s">
        <v>106</v>
      </c>
      <c r="D294" s="1350"/>
      <c r="E294" s="87"/>
      <c r="F294" s="848" t="s">
        <v>546</v>
      </c>
      <c r="G294" s="848" t="s">
        <v>546</v>
      </c>
      <c r="H294" s="1016">
        <v>0.13</v>
      </c>
      <c r="J294" s="101"/>
      <c r="K294" s="101"/>
      <c r="L294" s="101"/>
      <c r="Z294" s="86"/>
      <c r="AA294" s="86"/>
      <c r="AB294" s="86"/>
      <c r="AC294" s="86"/>
      <c r="AD294" s="86"/>
      <c r="AE294" s="86"/>
      <c r="AF294" s="86"/>
      <c r="AG294" s="86"/>
      <c r="AH294" s="86"/>
      <c r="AI294" s="86"/>
      <c r="AJ294" s="86"/>
      <c r="AK294" s="86"/>
      <c r="AL294" s="86"/>
      <c r="AM294" s="86"/>
      <c r="AN294" s="86"/>
      <c r="AO294" s="86"/>
      <c r="AP294" s="86"/>
      <c r="AQ294" s="86"/>
      <c r="AR294" s="86"/>
      <c r="AS294" s="86"/>
      <c r="AT294" s="86"/>
      <c r="AU294" s="86"/>
      <c r="AV294" s="86"/>
      <c r="AW294" s="86"/>
      <c r="AX294" s="86"/>
      <c r="AY294" s="86"/>
      <c r="AZ294" s="86"/>
      <c r="BA294" s="86"/>
      <c r="BB294" s="86"/>
      <c r="BC294" s="86"/>
      <c r="BD294" s="86"/>
      <c r="BE294" s="86"/>
      <c r="BF294" s="86"/>
      <c r="BG294" s="86"/>
      <c r="BH294" s="86"/>
      <c r="BI294" s="86"/>
      <c r="BJ294" s="86"/>
      <c r="BK294" s="86"/>
      <c r="BL294" s="86"/>
      <c r="BM294" s="86"/>
      <c r="BN294" s="86"/>
      <c r="BO294" s="86"/>
      <c r="BP294" s="86"/>
      <c r="BQ294" s="86"/>
      <c r="BR294" s="86"/>
      <c r="BS294" s="86"/>
      <c r="BT294" s="86"/>
      <c r="BU294" s="86"/>
      <c r="BV294" s="86"/>
      <c r="BW294" s="86"/>
      <c r="BX294" s="86"/>
      <c r="BY294" s="86"/>
      <c r="BZ294" s="86"/>
      <c r="CA294" s="86"/>
      <c r="CB294" s="86"/>
      <c r="CC294" s="86"/>
      <c r="CD294" s="86"/>
      <c r="CE294" s="86"/>
      <c r="CF294" s="86"/>
      <c r="CG294" s="86"/>
      <c r="CH294" s="86"/>
      <c r="CI294" s="86"/>
      <c r="CJ294" s="86"/>
      <c r="CK294" s="86"/>
      <c r="CL294" s="86"/>
      <c r="CM294" s="86"/>
      <c r="CN294" s="86"/>
      <c r="CO294" s="86"/>
      <c r="CP294" s="86"/>
      <c r="CQ294" s="86"/>
      <c r="CR294" s="86"/>
      <c r="CS294" s="86"/>
      <c r="CT294" s="86"/>
      <c r="CU294" s="86"/>
      <c r="CV294" s="86"/>
      <c r="CW294" s="86"/>
      <c r="CX294" s="86"/>
      <c r="CY294" s="86"/>
      <c r="CZ294" s="86"/>
      <c r="DA294" s="86"/>
      <c r="DB294" s="86"/>
      <c r="DC294" s="86"/>
      <c r="DD294" s="86"/>
      <c r="DE294" s="86"/>
      <c r="DF294" s="86"/>
      <c r="DG294" s="86"/>
      <c r="DH294" s="86"/>
      <c r="DI294" s="86"/>
      <c r="DJ294" s="86"/>
      <c r="DK294" s="86"/>
      <c r="DL294" s="86"/>
      <c r="DM294" s="86"/>
      <c r="DN294" s="86"/>
      <c r="DO294" s="86"/>
      <c r="DP294" s="86"/>
      <c r="DQ294" s="86"/>
      <c r="DR294" s="86"/>
      <c r="DS294" s="86"/>
      <c r="DT294" s="86"/>
      <c r="DU294" s="86"/>
      <c r="DV294" s="86"/>
      <c r="DW294" s="86"/>
      <c r="DX294" s="86"/>
      <c r="DY294" s="86"/>
      <c r="DZ294" s="86"/>
      <c r="EA294" s="86"/>
      <c r="EB294" s="86"/>
      <c r="EC294" s="86"/>
      <c r="ED294" s="86"/>
      <c r="EE294" s="86"/>
      <c r="EF294" s="86"/>
      <c r="EG294" s="86"/>
      <c r="EH294" s="86"/>
      <c r="EI294" s="86"/>
      <c r="EJ294" s="86"/>
      <c r="EK294" s="86"/>
      <c r="EL294" s="86"/>
      <c r="EM294" s="86"/>
      <c r="EN294" s="86"/>
      <c r="EO294" s="86"/>
      <c r="EP294" s="86"/>
      <c r="EQ294" s="86"/>
      <c r="ER294" s="86"/>
      <c r="ES294" s="86"/>
      <c r="ET294" s="86"/>
      <c r="EU294" s="86"/>
      <c r="EV294" s="86"/>
      <c r="EW294" s="86"/>
      <c r="EX294" s="86"/>
      <c r="EY294" s="86"/>
      <c r="EZ294" s="86"/>
      <c r="FA294" s="86"/>
    </row>
    <row r="295" spans="2:157" ht="9.75" customHeight="1">
      <c r="B295" s="845">
        <v>1</v>
      </c>
      <c r="C295" s="1344"/>
      <c r="D295" s="1344"/>
      <c r="E295" s="1344"/>
      <c r="F295" s="857"/>
      <c r="G295" s="857"/>
      <c r="H295" s="875" t="str">
        <f t="shared" ref="H295:H303" si="13">IF(G295=0,"",(F295/(G295+0.00000000001)))</f>
        <v/>
      </c>
      <c r="J295" s="101"/>
      <c r="K295" s="101"/>
      <c r="L295" s="101"/>
      <c r="Z295" s="86"/>
      <c r="AA295" s="86"/>
      <c r="AB295" s="86"/>
      <c r="AC295" s="86"/>
      <c r="AD295" s="86"/>
      <c r="AE295" s="86"/>
      <c r="AF295" s="86"/>
      <c r="AG295" s="86"/>
      <c r="AH295" s="86"/>
      <c r="AI295" s="86"/>
      <c r="AJ295" s="86"/>
      <c r="AK295" s="86"/>
      <c r="AL295" s="86"/>
      <c r="AM295" s="86"/>
      <c r="AN295" s="86"/>
      <c r="AO295" s="86"/>
      <c r="AP295" s="86"/>
      <c r="AQ295" s="86"/>
      <c r="AR295" s="86"/>
      <c r="AS295" s="86"/>
      <c r="AT295" s="86"/>
      <c r="AU295" s="86"/>
      <c r="AV295" s="86"/>
      <c r="AW295" s="86"/>
      <c r="AX295" s="86"/>
      <c r="AY295" s="86"/>
      <c r="AZ295" s="86"/>
      <c r="BA295" s="86"/>
      <c r="BB295" s="86"/>
      <c r="BC295" s="86"/>
      <c r="BD295" s="86"/>
      <c r="BE295" s="86"/>
      <c r="BF295" s="86"/>
      <c r="BG295" s="86"/>
      <c r="BH295" s="86"/>
      <c r="BI295" s="86"/>
      <c r="BJ295" s="86"/>
      <c r="BK295" s="86"/>
      <c r="BL295" s="86"/>
      <c r="BM295" s="86"/>
      <c r="BN295" s="86"/>
      <c r="BO295" s="86"/>
      <c r="BP295" s="86"/>
      <c r="BQ295" s="86"/>
      <c r="BR295" s="86"/>
      <c r="BS295" s="86"/>
      <c r="BT295" s="86"/>
      <c r="BU295" s="86"/>
      <c r="BV295" s="86"/>
      <c r="BW295" s="86"/>
      <c r="BX295" s="86"/>
      <c r="BY295" s="86"/>
      <c r="BZ295" s="86"/>
      <c r="CA295" s="86"/>
      <c r="CB295" s="86"/>
      <c r="CC295" s="86"/>
      <c r="CD295" s="86"/>
      <c r="CE295" s="86"/>
      <c r="CF295" s="86"/>
      <c r="CG295" s="86"/>
      <c r="CH295" s="86"/>
      <c r="CI295" s="86"/>
      <c r="CJ295" s="86"/>
      <c r="CK295" s="86"/>
      <c r="CL295" s="86"/>
      <c r="CM295" s="86"/>
      <c r="CN295" s="86"/>
      <c r="CO295" s="86"/>
      <c r="CP295" s="86"/>
      <c r="CQ295" s="86"/>
      <c r="CR295" s="86"/>
      <c r="CS295" s="86"/>
      <c r="CT295" s="86"/>
      <c r="CU295" s="86"/>
      <c r="CV295" s="86"/>
      <c r="CW295" s="86"/>
      <c r="CX295" s="86"/>
      <c r="CY295" s="86"/>
      <c r="CZ295" s="86"/>
      <c r="DA295" s="86"/>
      <c r="DB295" s="86"/>
      <c r="DC295" s="86"/>
      <c r="DD295" s="86"/>
      <c r="DE295" s="86"/>
      <c r="DF295" s="86"/>
      <c r="DG295" s="86"/>
      <c r="DH295" s="86"/>
      <c r="DI295" s="86"/>
      <c r="DJ295" s="86"/>
      <c r="DK295" s="86"/>
      <c r="DL295" s="86"/>
      <c r="DM295" s="86"/>
      <c r="DN295" s="86"/>
      <c r="DO295" s="86"/>
      <c r="DP295" s="86"/>
      <c r="DQ295" s="86"/>
      <c r="DR295" s="86"/>
      <c r="DS295" s="86"/>
      <c r="DT295" s="86"/>
      <c r="DU295" s="86"/>
      <c r="DV295" s="86"/>
      <c r="DW295" s="86"/>
      <c r="DX295" s="86"/>
      <c r="DY295" s="86"/>
      <c r="DZ295" s="86"/>
      <c r="EA295" s="86"/>
      <c r="EB295" s="86"/>
      <c r="EC295" s="86"/>
      <c r="ED295" s="86"/>
      <c r="EE295" s="86"/>
      <c r="EF295" s="86"/>
      <c r="EG295" s="86"/>
      <c r="EH295" s="86"/>
      <c r="EI295" s="86"/>
      <c r="EJ295" s="86"/>
      <c r="EK295" s="86"/>
      <c r="EL295" s="86"/>
      <c r="EM295" s="86"/>
      <c r="EN295" s="86"/>
      <c r="EO295" s="86"/>
      <c r="EP295" s="86"/>
      <c r="EQ295" s="86"/>
      <c r="ER295" s="86"/>
      <c r="ES295" s="86"/>
      <c r="ET295" s="86"/>
      <c r="EU295" s="86"/>
      <c r="EV295" s="86"/>
      <c r="EW295" s="86"/>
      <c r="EX295" s="86"/>
      <c r="EY295" s="86"/>
      <c r="EZ295" s="86"/>
      <c r="FA295" s="86"/>
    </row>
    <row r="296" spans="2:157" ht="9.75" customHeight="1">
      <c r="B296" s="845">
        <v>2</v>
      </c>
      <c r="C296" s="1344"/>
      <c r="D296" s="1344"/>
      <c r="E296" s="1344"/>
      <c r="F296" s="857"/>
      <c r="G296" s="857"/>
      <c r="H296" s="875" t="str">
        <f t="shared" si="13"/>
        <v/>
      </c>
      <c r="J296" s="101"/>
      <c r="K296" s="101"/>
      <c r="L296" s="101"/>
      <c r="Z296" s="86"/>
      <c r="AA296" s="86"/>
      <c r="AB296" s="86"/>
      <c r="AC296" s="86"/>
      <c r="AD296" s="86"/>
      <c r="AE296" s="86"/>
      <c r="AF296" s="86"/>
      <c r="AG296" s="86"/>
      <c r="AH296" s="86"/>
      <c r="AI296" s="86"/>
      <c r="AJ296" s="86"/>
      <c r="AK296" s="86"/>
      <c r="AL296" s="86"/>
      <c r="AM296" s="86"/>
      <c r="AN296" s="86"/>
      <c r="AO296" s="86"/>
      <c r="AP296" s="86"/>
      <c r="AQ296" s="86"/>
      <c r="AR296" s="86"/>
      <c r="AS296" s="86"/>
      <c r="AT296" s="86"/>
      <c r="AU296" s="86"/>
      <c r="AV296" s="86"/>
      <c r="AW296" s="86"/>
      <c r="AX296" s="86"/>
      <c r="AY296" s="86"/>
      <c r="AZ296" s="86"/>
      <c r="BA296" s="86"/>
      <c r="BB296" s="86"/>
      <c r="BC296" s="86"/>
      <c r="BD296" s="86"/>
      <c r="BE296" s="86"/>
      <c r="BF296" s="86"/>
      <c r="BG296" s="86"/>
      <c r="BH296" s="86"/>
      <c r="BI296" s="86"/>
      <c r="BJ296" s="86"/>
      <c r="BK296" s="86"/>
      <c r="BL296" s="86"/>
      <c r="BM296" s="86"/>
      <c r="BN296" s="86"/>
      <c r="BO296" s="86"/>
      <c r="BP296" s="86"/>
      <c r="BQ296" s="86"/>
      <c r="BR296" s="86"/>
      <c r="BS296" s="86"/>
      <c r="BT296" s="86"/>
      <c r="BU296" s="86"/>
      <c r="BV296" s="86"/>
      <c r="BW296" s="86"/>
      <c r="BX296" s="86"/>
      <c r="BY296" s="86"/>
      <c r="BZ296" s="86"/>
      <c r="CA296" s="86"/>
      <c r="CB296" s="86"/>
      <c r="CC296" s="86"/>
      <c r="CD296" s="86"/>
      <c r="CE296" s="86"/>
      <c r="CF296" s="86"/>
      <c r="CG296" s="86"/>
      <c r="CH296" s="86"/>
      <c r="CI296" s="86"/>
      <c r="CJ296" s="86"/>
      <c r="CK296" s="86"/>
      <c r="CL296" s="86"/>
      <c r="CM296" s="86"/>
      <c r="CN296" s="86"/>
      <c r="CO296" s="86"/>
      <c r="CP296" s="86"/>
      <c r="CQ296" s="86"/>
      <c r="CR296" s="86"/>
      <c r="CS296" s="86"/>
      <c r="CT296" s="86"/>
      <c r="CU296" s="86"/>
      <c r="CV296" s="86"/>
      <c r="CW296" s="86"/>
      <c r="CX296" s="86"/>
      <c r="CY296" s="86"/>
      <c r="CZ296" s="86"/>
      <c r="DA296" s="86"/>
      <c r="DB296" s="86"/>
      <c r="DC296" s="86"/>
      <c r="DD296" s="86"/>
      <c r="DE296" s="86"/>
      <c r="DF296" s="86"/>
      <c r="DG296" s="86"/>
      <c r="DH296" s="86"/>
      <c r="DI296" s="86"/>
      <c r="DJ296" s="86"/>
      <c r="DK296" s="86"/>
      <c r="DL296" s="86"/>
      <c r="DM296" s="86"/>
      <c r="DN296" s="86"/>
      <c r="DO296" s="86"/>
      <c r="DP296" s="86"/>
      <c r="DQ296" s="86"/>
      <c r="DR296" s="86"/>
      <c r="DS296" s="86"/>
      <c r="DT296" s="86"/>
      <c r="DU296" s="86"/>
      <c r="DV296" s="86"/>
      <c r="DW296" s="86"/>
      <c r="DX296" s="86"/>
      <c r="DY296" s="86"/>
      <c r="DZ296" s="86"/>
      <c r="EA296" s="86"/>
      <c r="EB296" s="86"/>
      <c r="EC296" s="86"/>
      <c r="ED296" s="86"/>
      <c r="EE296" s="86"/>
      <c r="EF296" s="86"/>
      <c r="EG296" s="86"/>
      <c r="EH296" s="86"/>
      <c r="EI296" s="86"/>
      <c r="EJ296" s="86"/>
      <c r="EK296" s="86"/>
      <c r="EL296" s="86"/>
      <c r="EM296" s="86"/>
      <c r="EN296" s="86"/>
      <c r="EO296" s="86"/>
      <c r="EP296" s="86"/>
      <c r="EQ296" s="86"/>
      <c r="ER296" s="86"/>
      <c r="ES296" s="86"/>
      <c r="ET296" s="86"/>
      <c r="EU296" s="86"/>
      <c r="EV296" s="86"/>
      <c r="EW296" s="86"/>
      <c r="EX296" s="86"/>
      <c r="EY296" s="86"/>
      <c r="EZ296" s="86"/>
      <c r="FA296" s="86"/>
    </row>
    <row r="297" spans="2:157" ht="9.75" customHeight="1">
      <c r="B297" s="845">
        <v>3</v>
      </c>
      <c r="C297" s="1344"/>
      <c r="D297" s="1344"/>
      <c r="E297" s="1344"/>
      <c r="F297" s="857"/>
      <c r="G297" s="857"/>
      <c r="H297" s="875" t="str">
        <f t="shared" si="13"/>
        <v/>
      </c>
      <c r="J297" s="101"/>
      <c r="K297" s="101"/>
      <c r="L297" s="101"/>
      <c r="Z297" s="86"/>
      <c r="AA297" s="86"/>
      <c r="AB297" s="86"/>
      <c r="AC297" s="86"/>
      <c r="AD297" s="86"/>
      <c r="AE297" s="86"/>
      <c r="AF297" s="86"/>
      <c r="AG297" s="86"/>
      <c r="AH297" s="86"/>
      <c r="AI297" s="86"/>
      <c r="AJ297" s="86"/>
      <c r="AK297" s="86"/>
      <c r="AL297" s="86"/>
      <c r="AM297" s="86"/>
      <c r="AN297" s="86"/>
      <c r="AO297" s="86"/>
      <c r="AP297" s="86"/>
      <c r="AQ297" s="86"/>
      <c r="AR297" s="86"/>
      <c r="AS297" s="86"/>
      <c r="AT297" s="86"/>
      <c r="AU297" s="86"/>
      <c r="AV297" s="86"/>
      <c r="AW297" s="86"/>
      <c r="AX297" s="86"/>
      <c r="AY297" s="86"/>
      <c r="AZ297" s="86"/>
      <c r="BA297" s="86"/>
      <c r="BB297" s="86"/>
      <c r="BC297" s="86"/>
      <c r="BD297" s="86"/>
      <c r="BE297" s="86"/>
      <c r="BF297" s="86"/>
      <c r="BG297" s="86"/>
      <c r="BH297" s="86"/>
      <c r="BI297" s="86"/>
      <c r="BJ297" s="86"/>
      <c r="BK297" s="86"/>
      <c r="BL297" s="86"/>
      <c r="BM297" s="86"/>
      <c r="BN297" s="86"/>
      <c r="BO297" s="86"/>
      <c r="BP297" s="86"/>
      <c r="BQ297" s="86"/>
      <c r="BR297" s="86"/>
      <c r="BS297" s="86"/>
      <c r="BT297" s="86"/>
      <c r="BU297" s="86"/>
      <c r="BV297" s="86"/>
      <c r="BW297" s="86"/>
      <c r="BX297" s="86"/>
      <c r="BY297" s="86"/>
      <c r="BZ297" s="86"/>
      <c r="CA297" s="86"/>
      <c r="CB297" s="86"/>
      <c r="CC297" s="86"/>
      <c r="CD297" s="86"/>
      <c r="CE297" s="86"/>
      <c r="CF297" s="86"/>
      <c r="CG297" s="86"/>
      <c r="CH297" s="86"/>
      <c r="CI297" s="86"/>
      <c r="CJ297" s="86"/>
      <c r="CK297" s="86"/>
      <c r="CL297" s="86"/>
      <c r="CM297" s="86"/>
      <c r="CN297" s="86"/>
      <c r="CO297" s="86"/>
      <c r="CP297" s="86"/>
      <c r="CQ297" s="86"/>
      <c r="CR297" s="86"/>
      <c r="CS297" s="86"/>
      <c r="CT297" s="86"/>
      <c r="CU297" s="86"/>
      <c r="CV297" s="86"/>
      <c r="CW297" s="86"/>
      <c r="CX297" s="86"/>
      <c r="CY297" s="86"/>
      <c r="CZ297" s="86"/>
      <c r="DA297" s="86"/>
      <c r="DB297" s="86"/>
      <c r="DC297" s="86"/>
      <c r="DD297" s="86"/>
      <c r="DE297" s="86"/>
      <c r="DF297" s="86"/>
      <c r="DG297" s="86"/>
      <c r="DH297" s="86"/>
      <c r="DI297" s="86"/>
      <c r="DJ297" s="86"/>
      <c r="DK297" s="86"/>
      <c r="DL297" s="86"/>
      <c r="DM297" s="86"/>
      <c r="DN297" s="86"/>
      <c r="DO297" s="86"/>
      <c r="DP297" s="86"/>
      <c r="DQ297" s="86"/>
      <c r="DR297" s="86"/>
      <c r="DS297" s="86"/>
      <c r="DT297" s="86"/>
      <c r="DU297" s="86"/>
      <c r="DV297" s="86"/>
      <c r="DW297" s="86"/>
      <c r="DX297" s="86"/>
      <c r="DY297" s="86"/>
      <c r="DZ297" s="86"/>
      <c r="EA297" s="86"/>
      <c r="EB297" s="86"/>
      <c r="EC297" s="86"/>
      <c r="ED297" s="86"/>
      <c r="EE297" s="86"/>
      <c r="EF297" s="86"/>
      <c r="EG297" s="86"/>
      <c r="EH297" s="86"/>
      <c r="EI297" s="86"/>
      <c r="EJ297" s="86"/>
      <c r="EK297" s="86"/>
      <c r="EL297" s="86"/>
      <c r="EM297" s="86"/>
      <c r="EN297" s="86"/>
      <c r="EO297" s="86"/>
      <c r="EP297" s="86"/>
      <c r="EQ297" s="86"/>
      <c r="ER297" s="86"/>
      <c r="ES297" s="86"/>
      <c r="ET297" s="86"/>
      <c r="EU297" s="86"/>
      <c r="EV297" s="86"/>
      <c r="EW297" s="86"/>
      <c r="EX297" s="86"/>
      <c r="EY297" s="86"/>
      <c r="EZ297" s="86"/>
      <c r="FA297" s="86"/>
    </row>
    <row r="298" spans="2:157" ht="9.75" customHeight="1">
      <c r="B298" s="845">
        <v>4</v>
      </c>
      <c r="C298" s="1344"/>
      <c r="D298" s="1344"/>
      <c r="E298" s="1344"/>
      <c r="F298" s="857"/>
      <c r="G298" s="857"/>
      <c r="H298" s="875" t="str">
        <f t="shared" si="13"/>
        <v/>
      </c>
      <c r="J298" s="101"/>
      <c r="K298" s="101"/>
      <c r="L298" s="101"/>
      <c r="Z298" s="86"/>
      <c r="AA298" s="86"/>
      <c r="AB298" s="86"/>
      <c r="AC298" s="86"/>
      <c r="AD298" s="86"/>
      <c r="AE298" s="86"/>
      <c r="AF298" s="86"/>
      <c r="AG298" s="86"/>
      <c r="AH298" s="86"/>
      <c r="AI298" s="86"/>
      <c r="AJ298" s="86"/>
      <c r="AK298" s="86"/>
      <c r="AL298" s="86"/>
      <c r="AM298" s="86"/>
      <c r="AN298" s="86"/>
      <c r="AO298" s="86"/>
      <c r="AP298" s="86"/>
      <c r="AQ298" s="86"/>
      <c r="AR298" s="86"/>
      <c r="AS298" s="86"/>
      <c r="AT298" s="86"/>
      <c r="AU298" s="86"/>
      <c r="AV298" s="86"/>
      <c r="AW298" s="86"/>
      <c r="AX298" s="86"/>
      <c r="AY298" s="86"/>
      <c r="AZ298" s="86"/>
      <c r="BA298" s="86"/>
      <c r="BB298" s="86"/>
      <c r="BC298" s="86"/>
      <c r="BD298" s="86"/>
      <c r="BE298" s="86"/>
      <c r="BF298" s="86"/>
      <c r="BG298" s="86"/>
      <c r="BH298" s="86"/>
      <c r="BI298" s="86"/>
      <c r="BJ298" s="86"/>
      <c r="BK298" s="86"/>
      <c r="BL298" s="86"/>
      <c r="BM298" s="86"/>
      <c r="BN298" s="86"/>
      <c r="BO298" s="86"/>
      <c r="BP298" s="86"/>
      <c r="BQ298" s="86"/>
      <c r="BR298" s="86"/>
      <c r="BS298" s="86"/>
      <c r="BT298" s="86"/>
      <c r="BU298" s="86"/>
      <c r="BV298" s="86"/>
      <c r="BW298" s="86"/>
      <c r="BX298" s="86"/>
      <c r="BY298" s="86"/>
      <c r="BZ298" s="86"/>
      <c r="CA298" s="86"/>
      <c r="CB298" s="86"/>
      <c r="CC298" s="86"/>
      <c r="CD298" s="86"/>
      <c r="CE298" s="86"/>
      <c r="CF298" s="86"/>
      <c r="CG298" s="86"/>
      <c r="CH298" s="86"/>
      <c r="CI298" s="86"/>
      <c r="CJ298" s="86"/>
      <c r="CK298" s="86"/>
      <c r="CL298" s="86"/>
      <c r="CM298" s="86"/>
      <c r="CN298" s="86"/>
      <c r="CO298" s="86"/>
      <c r="CP298" s="86"/>
      <c r="CQ298" s="86"/>
      <c r="CR298" s="86"/>
      <c r="CS298" s="86"/>
      <c r="CT298" s="86"/>
      <c r="CU298" s="86"/>
      <c r="CV298" s="86"/>
      <c r="CW298" s="86"/>
      <c r="CX298" s="86"/>
      <c r="CY298" s="86"/>
      <c r="CZ298" s="86"/>
      <c r="DA298" s="86"/>
      <c r="DB298" s="86"/>
      <c r="DC298" s="86"/>
      <c r="DD298" s="86"/>
      <c r="DE298" s="86"/>
      <c r="DF298" s="86"/>
      <c r="DG298" s="86"/>
      <c r="DH298" s="86"/>
      <c r="DI298" s="86"/>
      <c r="DJ298" s="86"/>
      <c r="DK298" s="86"/>
      <c r="DL298" s="86"/>
      <c r="DM298" s="86"/>
      <c r="DN298" s="86"/>
      <c r="DO298" s="86"/>
      <c r="DP298" s="86"/>
      <c r="DQ298" s="86"/>
      <c r="DR298" s="86"/>
      <c r="DS298" s="86"/>
      <c r="DT298" s="86"/>
      <c r="DU298" s="86"/>
      <c r="DV298" s="86"/>
      <c r="DW298" s="86"/>
      <c r="DX298" s="86"/>
      <c r="DY298" s="86"/>
      <c r="DZ298" s="86"/>
      <c r="EA298" s="86"/>
      <c r="EB298" s="86"/>
      <c r="EC298" s="86"/>
      <c r="ED298" s="86"/>
      <c r="EE298" s="86"/>
      <c r="EF298" s="86"/>
      <c r="EG298" s="86"/>
      <c r="EH298" s="86"/>
      <c r="EI298" s="86"/>
      <c r="EJ298" s="86"/>
      <c r="EK298" s="86"/>
      <c r="EL298" s="86"/>
      <c r="EM298" s="86"/>
      <c r="EN298" s="86"/>
      <c r="EO298" s="86"/>
      <c r="EP298" s="86"/>
      <c r="EQ298" s="86"/>
      <c r="ER298" s="86"/>
      <c r="ES298" s="86"/>
      <c r="ET298" s="86"/>
      <c r="EU298" s="86"/>
      <c r="EV298" s="86"/>
      <c r="EW298" s="86"/>
      <c r="EX298" s="86"/>
      <c r="EY298" s="86"/>
      <c r="EZ298" s="86"/>
      <c r="FA298" s="86"/>
    </row>
    <row r="299" spans="2:157" ht="9.75" customHeight="1">
      <c r="B299" s="845">
        <v>5</v>
      </c>
      <c r="C299" s="1344"/>
      <c r="D299" s="1344"/>
      <c r="E299" s="1344"/>
      <c r="F299" s="857"/>
      <c r="G299" s="857"/>
      <c r="H299" s="875" t="str">
        <f t="shared" si="13"/>
        <v/>
      </c>
      <c r="J299" s="101"/>
      <c r="K299" s="101"/>
      <c r="L299" s="101"/>
      <c r="Z299" s="86"/>
      <c r="AA299" s="86"/>
      <c r="AB299" s="86"/>
      <c r="AC299" s="86"/>
      <c r="AD299" s="86"/>
      <c r="AE299" s="86"/>
      <c r="AF299" s="86"/>
      <c r="AG299" s="86"/>
      <c r="AH299" s="86"/>
      <c r="AI299" s="86"/>
      <c r="AJ299" s="86"/>
      <c r="AK299" s="86"/>
      <c r="AL299" s="86"/>
      <c r="AM299" s="86"/>
      <c r="AN299" s="86"/>
      <c r="AO299" s="86"/>
      <c r="AP299" s="86"/>
      <c r="AQ299" s="86"/>
      <c r="AR299" s="86"/>
      <c r="AS299" s="86"/>
      <c r="AT299" s="86"/>
      <c r="AU299" s="86"/>
      <c r="AV299" s="86"/>
      <c r="AW299" s="86"/>
      <c r="AX299" s="86"/>
      <c r="AY299" s="86"/>
      <c r="AZ299" s="86"/>
      <c r="BA299" s="86"/>
      <c r="BB299" s="86"/>
      <c r="BC299" s="86"/>
      <c r="BD299" s="86"/>
      <c r="BE299" s="86"/>
      <c r="BF299" s="86"/>
      <c r="BG299" s="86"/>
      <c r="BH299" s="86"/>
      <c r="BI299" s="86"/>
      <c r="BJ299" s="86"/>
      <c r="BK299" s="86"/>
      <c r="BL299" s="86"/>
      <c r="BM299" s="86"/>
      <c r="BN299" s="86"/>
      <c r="BO299" s="86"/>
      <c r="BP299" s="86"/>
      <c r="BQ299" s="86"/>
      <c r="BR299" s="86"/>
      <c r="BS299" s="86"/>
      <c r="BT299" s="86"/>
      <c r="BU299" s="86"/>
      <c r="BV299" s="86"/>
      <c r="BW299" s="86"/>
      <c r="BX299" s="86"/>
      <c r="BY299" s="86"/>
      <c r="BZ299" s="86"/>
      <c r="CA299" s="86"/>
      <c r="CB299" s="86"/>
      <c r="CC299" s="86"/>
      <c r="CD299" s="86"/>
      <c r="CE299" s="86"/>
      <c r="CF299" s="86"/>
      <c r="CG299" s="86"/>
      <c r="CH299" s="86"/>
      <c r="CI299" s="86"/>
      <c r="CJ299" s="86"/>
      <c r="CK299" s="86"/>
      <c r="CL299" s="86"/>
      <c r="CM299" s="86"/>
      <c r="CN299" s="86"/>
      <c r="CO299" s="86"/>
      <c r="CP299" s="86"/>
      <c r="CQ299" s="86"/>
      <c r="CR299" s="86"/>
      <c r="CS299" s="86"/>
      <c r="CT299" s="86"/>
      <c r="CU299" s="86"/>
      <c r="CV299" s="86"/>
      <c r="CW299" s="86"/>
      <c r="CX299" s="86"/>
      <c r="CY299" s="86"/>
      <c r="CZ299" s="86"/>
      <c r="DA299" s="86"/>
      <c r="DB299" s="86"/>
      <c r="DC299" s="86"/>
      <c r="DD299" s="86"/>
      <c r="DE299" s="86"/>
      <c r="DF299" s="86"/>
      <c r="DG299" s="86"/>
      <c r="DH299" s="86"/>
      <c r="DI299" s="86"/>
      <c r="DJ299" s="86"/>
      <c r="DK299" s="86"/>
      <c r="DL299" s="86"/>
      <c r="DM299" s="86"/>
      <c r="DN299" s="86"/>
      <c r="DO299" s="86"/>
      <c r="DP299" s="86"/>
      <c r="DQ299" s="86"/>
      <c r="DR299" s="86"/>
      <c r="DS299" s="86"/>
      <c r="DT299" s="86"/>
      <c r="DU299" s="86"/>
      <c r="DV299" s="86"/>
      <c r="DW299" s="86"/>
      <c r="DX299" s="86"/>
      <c r="DY299" s="86"/>
      <c r="DZ299" s="86"/>
      <c r="EA299" s="86"/>
      <c r="EB299" s="86"/>
      <c r="EC299" s="86"/>
      <c r="ED299" s="86"/>
      <c r="EE299" s="86"/>
      <c r="EF299" s="86"/>
      <c r="EG299" s="86"/>
      <c r="EH299" s="86"/>
      <c r="EI299" s="86"/>
      <c r="EJ299" s="86"/>
      <c r="EK299" s="86"/>
      <c r="EL299" s="86"/>
      <c r="EM299" s="86"/>
      <c r="EN299" s="86"/>
      <c r="EO299" s="86"/>
      <c r="EP299" s="86"/>
      <c r="EQ299" s="86"/>
      <c r="ER299" s="86"/>
      <c r="ES299" s="86"/>
      <c r="ET299" s="86"/>
      <c r="EU299" s="86"/>
      <c r="EV299" s="86"/>
      <c r="EW299" s="86"/>
      <c r="EX299" s="86"/>
      <c r="EY299" s="86"/>
      <c r="EZ299" s="86"/>
      <c r="FA299" s="86"/>
    </row>
    <row r="300" spans="2:157" ht="9.75" customHeight="1">
      <c r="B300" s="845">
        <v>6</v>
      </c>
      <c r="C300" s="1344"/>
      <c r="D300" s="1344"/>
      <c r="E300" s="1344"/>
      <c r="F300" s="857"/>
      <c r="G300" s="857"/>
      <c r="H300" s="875" t="str">
        <f t="shared" si="13"/>
        <v/>
      </c>
      <c r="J300" s="101"/>
      <c r="K300" s="101"/>
      <c r="L300" s="101"/>
      <c r="Z300" s="86"/>
      <c r="AA300" s="86"/>
      <c r="AB300" s="86"/>
      <c r="AC300" s="86"/>
      <c r="AD300" s="86"/>
      <c r="AE300" s="86"/>
      <c r="AF300" s="86"/>
      <c r="AG300" s="86"/>
      <c r="AH300" s="86"/>
      <c r="AI300" s="86"/>
      <c r="AJ300" s="86"/>
      <c r="AK300" s="86"/>
      <c r="AL300" s="86"/>
      <c r="AM300" s="86"/>
      <c r="AN300" s="86"/>
      <c r="AO300" s="86"/>
      <c r="AP300" s="86"/>
      <c r="AQ300" s="86"/>
      <c r="AR300" s="86"/>
      <c r="AS300" s="86"/>
      <c r="AT300" s="86"/>
      <c r="AU300" s="86"/>
      <c r="AV300" s="86"/>
      <c r="AW300" s="86"/>
      <c r="AX300" s="86"/>
      <c r="AY300" s="86"/>
      <c r="AZ300" s="86"/>
      <c r="BA300" s="86"/>
      <c r="BB300" s="86"/>
      <c r="BC300" s="86"/>
      <c r="BD300" s="86"/>
      <c r="BE300" s="86"/>
      <c r="BF300" s="86"/>
      <c r="BG300" s="86"/>
      <c r="BH300" s="86"/>
      <c r="BI300" s="86"/>
      <c r="BJ300" s="86"/>
      <c r="BK300" s="86"/>
      <c r="BL300" s="86"/>
      <c r="BM300" s="86"/>
      <c r="BN300" s="86"/>
      <c r="BO300" s="86"/>
      <c r="BP300" s="86"/>
      <c r="BQ300" s="86"/>
      <c r="BR300" s="86"/>
      <c r="BS300" s="86"/>
      <c r="BT300" s="86"/>
      <c r="BU300" s="86"/>
      <c r="BV300" s="86"/>
      <c r="BW300" s="86"/>
      <c r="BX300" s="86"/>
      <c r="BY300" s="86"/>
      <c r="BZ300" s="86"/>
      <c r="CA300" s="86"/>
      <c r="CB300" s="86"/>
      <c r="CC300" s="86"/>
      <c r="CD300" s="86"/>
      <c r="CE300" s="86"/>
      <c r="CF300" s="86"/>
      <c r="CG300" s="86"/>
      <c r="CH300" s="86"/>
      <c r="CI300" s="86"/>
      <c r="CJ300" s="86"/>
      <c r="CK300" s="86"/>
      <c r="CL300" s="86"/>
      <c r="CM300" s="86"/>
      <c r="CN300" s="86"/>
      <c r="CO300" s="86"/>
      <c r="CP300" s="86"/>
      <c r="CQ300" s="86"/>
      <c r="CR300" s="86"/>
      <c r="CS300" s="86"/>
      <c r="CT300" s="86"/>
      <c r="CU300" s="86"/>
      <c r="CV300" s="86"/>
      <c r="CW300" s="86"/>
      <c r="CX300" s="86"/>
      <c r="CY300" s="86"/>
      <c r="CZ300" s="86"/>
      <c r="DA300" s="86"/>
      <c r="DB300" s="86"/>
      <c r="DC300" s="86"/>
      <c r="DD300" s="86"/>
      <c r="DE300" s="86"/>
      <c r="DF300" s="86"/>
      <c r="DG300" s="86"/>
      <c r="DH300" s="86"/>
      <c r="DI300" s="86"/>
      <c r="DJ300" s="86"/>
      <c r="DK300" s="86"/>
      <c r="DL300" s="86"/>
      <c r="DM300" s="86"/>
      <c r="DN300" s="86"/>
      <c r="DO300" s="86"/>
      <c r="DP300" s="86"/>
      <c r="DQ300" s="86"/>
      <c r="DR300" s="86"/>
      <c r="DS300" s="86"/>
      <c r="DT300" s="86"/>
      <c r="DU300" s="86"/>
      <c r="DV300" s="86"/>
      <c r="DW300" s="86"/>
      <c r="DX300" s="86"/>
      <c r="DY300" s="86"/>
      <c r="DZ300" s="86"/>
      <c r="EA300" s="86"/>
      <c r="EB300" s="86"/>
      <c r="EC300" s="86"/>
      <c r="ED300" s="86"/>
      <c r="EE300" s="86"/>
      <c r="EF300" s="86"/>
      <c r="EG300" s="86"/>
      <c r="EH300" s="86"/>
      <c r="EI300" s="86"/>
      <c r="EJ300" s="86"/>
      <c r="EK300" s="86"/>
      <c r="EL300" s="86"/>
      <c r="EM300" s="86"/>
      <c r="EN300" s="86"/>
      <c r="EO300" s="86"/>
      <c r="EP300" s="86"/>
      <c r="EQ300" s="86"/>
      <c r="ER300" s="86"/>
      <c r="ES300" s="86"/>
      <c r="ET300" s="86"/>
      <c r="EU300" s="86"/>
      <c r="EV300" s="86"/>
      <c r="EW300" s="86"/>
      <c r="EX300" s="86"/>
      <c r="EY300" s="86"/>
      <c r="EZ300" s="86"/>
      <c r="FA300" s="86"/>
    </row>
    <row r="301" spans="2:157" ht="9.75" customHeight="1">
      <c r="B301" s="845">
        <v>7</v>
      </c>
      <c r="C301" s="1344"/>
      <c r="D301" s="1344"/>
      <c r="E301" s="1344"/>
      <c r="F301" s="857"/>
      <c r="G301" s="857"/>
      <c r="H301" s="875" t="str">
        <f t="shared" si="13"/>
        <v/>
      </c>
      <c r="J301" s="101"/>
      <c r="K301" s="101"/>
      <c r="L301" s="101"/>
      <c r="Z301" s="86"/>
      <c r="AA301" s="86"/>
      <c r="AB301" s="86"/>
      <c r="AC301" s="86"/>
      <c r="AD301" s="86"/>
      <c r="AE301" s="86"/>
      <c r="AF301" s="86"/>
      <c r="AG301" s="86"/>
      <c r="AH301" s="86"/>
      <c r="AI301" s="86"/>
      <c r="AJ301" s="86"/>
      <c r="AK301" s="86"/>
      <c r="AL301" s="86"/>
      <c r="AM301" s="86"/>
      <c r="AN301" s="86"/>
      <c r="AO301" s="86"/>
      <c r="AP301" s="86"/>
      <c r="AQ301" s="86"/>
      <c r="AR301" s="86"/>
      <c r="AS301" s="86"/>
      <c r="AT301" s="86"/>
      <c r="AU301" s="86"/>
      <c r="AV301" s="86"/>
      <c r="AW301" s="86"/>
      <c r="AX301" s="86"/>
      <c r="AY301" s="86"/>
      <c r="AZ301" s="86"/>
      <c r="BA301" s="86"/>
      <c r="BB301" s="86"/>
      <c r="BC301" s="86"/>
      <c r="BD301" s="86"/>
      <c r="BE301" s="86"/>
      <c r="BF301" s="86"/>
      <c r="BG301" s="86"/>
      <c r="BH301" s="86"/>
      <c r="BI301" s="86"/>
      <c r="BJ301" s="86"/>
      <c r="BK301" s="86"/>
      <c r="BL301" s="86"/>
      <c r="BM301" s="86"/>
      <c r="BN301" s="86"/>
      <c r="BO301" s="86"/>
      <c r="BP301" s="86"/>
      <c r="BQ301" s="86"/>
      <c r="BR301" s="86"/>
      <c r="BS301" s="86"/>
      <c r="BT301" s="86"/>
      <c r="BU301" s="86"/>
      <c r="BV301" s="86"/>
      <c r="BW301" s="86"/>
      <c r="BX301" s="86"/>
      <c r="BY301" s="86"/>
      <c r="BZ301" s="86"/>
      <c r="CA301" s="86"/>
      <c r="CB301" s="86"/>
      <c r="CC301" s="86"/>
      <c r="CD301" s="86"/>
      <c r="CE301" s="86"/>
      <c r="CF301" s="86"/>
      <c r="CG301" s="86"/>
      <c r="CH301" s="86"/>
      <c r="CI301" s="86"/>
      <c r="CJ301" s="86"/>
      <c r="CK301" s="86"/>
      <c r="CL301" s="86"/>
      <c r="CM301" s="86"/>
      <c r="CN301" s="86"/>
      <c r="CO301" s="86"/>
      <c r="CP301" s="86"/>
      <c r="CQ301" s="86"/>
      <c r="CR301" s="86"/>
      <c r="CS301" s="86"/>
      <c r="CT301" s="86"/>
      <c r="CU301" s="86"/>
      <c r="CV301" s="86"/>
      <c r="CW301" s="86"/>
      <c r="CX301" s="86"/>
      <c r="CY301" s="86"/>
      <c r="CZ301" s="86"/>
      <c r="DA301" s="86"/>
      <c r="DB301" s="86"/>
      <c r="DC301" s="86"/>
      <c r="DD301" s="86"/>
      <c r="DE301" s="86"/>
      <c r="DF301" s="86"/>
      <c r="DG301" s="86"/>
      <c r="DH301" s="86"/>
      <c r="DI301" s="86"/>
      <c r="DJ301" s="86"/>
      <c r="DK301" s="86"/>
      <c r="DL301" s="86"/>
      <c r="DM301" s="86"/>
      <c r="DN301" s="86"/>
      <c r="DO301" s="86"/>
      <c r="DP301" s="86"/>
      <c r="DQ301" s="86"/>
      <c r="DR301" s="86"/>
      <c r="DS301" s="86"/>
      <c r="DT301" s="86"/>
      <c r="DU301" s="86"/>
      <c r="DV301" s="86"/>
      <c r="DW301" s="86"/>
      <c r="DX301" s="86"/>
      <c r="DY301" s="86"/>
      <c r="DZ301" s="86"/>
      <c r="EA301" s="86"/>
      <c r="EB301" s="86"/>
      <c r="EC301" s="86"/>
      <c r="ED301" s="86"/>
      <c r="EE301" s="86"/>
      <c r="EF301" s="86"/>
      <c r="EG301" s="86"/>
      <c r="EH301" s="86"/>
      <c r="EI301" s="86"/>
      <c r="EJ301" s="86"/>
      <c r="EK301" s="86"/>
      <c r="EL301" s="86"/>
      <c r="EM301" s="86"/>
      <c r="EN301" s="86"/>
      <c r="EO301" s="86"/>
      <c r="EP301" s="86"/>
      <c r="EQ301" s="86"/>
      <c r="ER301" s="86"/>
      <c r="ES301" s="86"/>
      <c r="ET301" s="86"/>
      <c r="EU301" s="86"/>
      <c r="EV301" s="86"/>
      <c r="EW301" s="86"/>
      <c r="EX301" s="86"/>
      <c r="EY301" s="86"/>
      <c r="EZ301" s="86"/>
      <c r="FA301" s="86"/>
    </row>
    <row r="302" spans="2:157" ht="9.75" customHeight="1">
      <c r="B302" s="845">
        <v>8</v>
      </c>
      <c r="C302" s="1344"/>
      <c r="D302" s="1344"/>
      <c r="E302" s="1344"/>
      <c r="F302" s="857"/>
      <c r="G302" s="857"/>
      <c r="H302" s="875" t="str">
        <f t="shared" si="13"/>
        <v/>
      </c>
      <c r="J302" s="101"/>
      <c r="K302" s="101"/>
      <c r="L302" s="101"/>
      <c r="Z302" s="86"/>
      <c r="AA302" s="86"/>
      <c r="AB302" s="86"/>
      <c r="AC302" s="86"/>
      <c r="AD302" s="86"/>
      <c r="AE302" s="86"/>
      <c r="AF302" s="86"/>
      <c r="AG302" s="86"/>
      <c r="AH302" s="86"/>
      <c r="AI302" s="86"/>
      <c r="AJ302" s="86"/>
      <c r="AK302" s="86"/>
      <c r="AL302" s="86"/>
      <c r="AM302" s="86"/>
      <c r="AN302" s="86"/>
      <c r="AO302" s="86"/>
      <c r="AP302" s="86"/>
      <c r="AQ302" s="86"/>
      <c r="AR302" s="86"/>
      <c r="AS302" s="86"/>
      <c r="AT302" s="86"/>
      <c r="AU302" s="86"/>
      <c r="AV302" s="86"/>
      <c r="AW302" s="86"/>
      <c r="AX302" s="86"/>
      <c r="AY302" s="86"/>
      <c r="AZ302" s="86"/>
      <c r="BA302" s="86"/>
      <c r="BB302" s="86"/>
      <c r="BC302" s="86"/>
      <c r="BD302" s="86"/>
      <c r="BE302" s="86"/>
      <c r="BF302" s="86"/>
      <c r="BG302" s="86"/>
      <c r="BH302" s="86"/>
      <c r="BI302" s="86"/>
      <c r="BJ302" s="86"/>
      <c r="BK302" s="86"/>
      <c r="BL302" s="86"/>
      <c r="BM302" s="86"/>
      <c r="BN302" s="86"/>
      <c r="BO302" s="86"/>
      <c r="BP302" s="86"/>
      <c r="BQ302" s="86"/>
      <c r="BR302" s="86"/>
      <c r="BS302" s="86"/>
      <c r="BT302" s="86"/>
      <c r="BU302" s="86"/>
      <c r="BV302" s="86"/>
      <c r="BW302" s="86"/>
      <c r="BX302" s="86"/>
      <c r="BY302" s="86"/>
      <c r="BZ302" s="86"/>
      <c r="CA302" s="86"/>
      <c r="CB302" s="86"/>
      <c r="CC302" s="86"/>
      <c r="CD302" s="86"/>
      <c r="CE302" s="86"/>
      <c r="CF302" s="86"/>
      <c r="CG302" s="86"/>
      <c r="CH302" s="86"/>
      <c r="CI302" s="86"/>
      <c r="CJ302" s="86"/>
      <c r="CK302" s="86"/>
      <c r="CL302" s="86"/>
      <c r="CM302" s="86"/>
      <c r="CN302" s="86"/>
      <c r="CO302" s="86"/>
      <c r="CP302" s="86"/>
      <c r="CQ302" s="86"/>
      <c r="CR302" s="86"/>
      <c r="CS302" s="86"/>
      <c r="CT302" s="86"/>
      <c r="CU302" s="86"/>
      <c r="CV302" s="86"/>
      <c r="CW302" s="86"/>
      <c r="CX302" s="86"/>
      <c r="CY302" s="86"/>
      <c r="CZ302" s="86"/>
      <c r="DA302" s="86"/>
      <c r="DB302" s="86"/>
      <c r="DC302" s="86"/>
      <c r="DD302" s="86"/>
      <c r="DE302" s="86"/>
      <c r="DF302" s="86"/>
      <c r="DG302" s="86"/>
      <c r="DH302" s="86"/>
      <c r="DI302" s="86"/>
      <c r="DJ302" s="86"/>
      <c r="DK302" s="86"/>
      <c r="DL302" s="86"/>
      <c r="DM302" s="86"/>
      <c r="DN302" s="86"/>
      <c r="DO302" s="86"/>
      <c r="DP302" s="86"/>
      <c r="DQ302" s="86"/>
      <c r="DR302" s="86"/>
      <c r="DS302" s="86"/>
      <c r="DT302" s="86"/>
      <c r="DU302" s="86"/>
      <c r="DV302" s="86"/>
      <c r="DW302" s="86"/>
      <c r="DX302" s="86"/>
      <c r="DY302" s="86"/>
      <c r="DZ302" s="86"/>
      <c r="EA302" s="86"/>
      <c r="EB302" s="86"/>
      <c r="EC302" s="86"/>
      <c r="ED302" s="86"/>
      <c r="EE302" s="86"/>
      <c r="EF302" s="86"/>
      <c r="EG302" s="86"/>
      <c r="EH302" s="86"/>
      <c r="EI302" s="86"/>
      <c r="EJ302" s="86"/>
      <c r="EK302" s="86"/>
      <c r="EL302" s="86"/>
      <c r="EM302" s="86"/>
      <c r="EN302" s="86"/>
      <c r="EO302" s="86"/>
      <c r="EP302" s="86"/>
      <c r="EQ302" s="86"/>
      <c r="ER302" s="86"/>
      <c r="ES302" s="86"/>
      <c r="ET302" s="86"/>
      <c r="EU302" s="86"/>
      <c r="EV302" s="86"/>
      <c r="EW302" s="86"/>
      <c r="EX302" s="86"/>
      <c r="EY302" s="86"/>
      <c r="EZ302" s="86"/>
      <c r="FA302" s="86"/>
    </row>
    <row r="303" spans="2:157" ht="9.75" customHeight="1">
      <c r="B303" s="845">
        <v>9</v>
      </c>
      <c r="C303" s="1344"/>
      <c r="D303" s="1344"/>
      <c r="E303" s="1344"/>
      <c r="F303" s="857"/>
      <c r="G303" s="857"/>
      <c r="H303" s="875" t="str">
        <f t="shared" si="13"/>
        <v/>
      </c>
      <c r="J303" s="101"/>
      <c r="K303" s="101"/>
      <c r="L303" s="101"/>
      <c r="Z303" s="86"/>
      <c r="AA303" s="86"/>
      <c r="AB303" s="86"/>
      <c r="AC303" s="86"/>
      <c r="AD303" s="86"/>
      <c r="AE303" s="86"/>
      <c r="AF303" s="86"/>
      <c r="AG303" s="86"/>
      <c r="AH303" s="86"/>
      <c r="AI303" s="86"/>
      <c r="AJ303" s="86"/>
      <c r="AK303" s="86"/>
      <c r="AL303" s="86"/>
      <c r="AM303" s="86"/>
      <c r="AN303" s="86"/>
      <c r="AO303" s="86"/>
      <c r="AP303" s="86"/>
      <c r="AQ303" s="86"/>
      <c r="AR303" s="86"/>
      <c r="AS303" s="86"/>
      <c r="AT303" s="86"/>
      <c r="AU303" s="86"/>
      <c r="AV303" s="86"/>
      <c r="AW303" s="86"/>
      <c r="AX303" s="86"/>
      <c r="AY303" s="86"/>
      <c r="AZ303" s="86"/>
      <c r="BA303" s="86"/>
      <c r="BB303" s="86"/>
      <c r="BC303" s="86"/>
      <c r="BD303" s="86"/>
      <c r="BE303" s="86"/>
      <c r="BF303" s="86"/>
      <c r="BG303" s="86"/>
      <c r="BH303" s="86"/>
      <c r="BI303" s="86"/>
      <c r="BJ303" s="86"/>
      <c r="BK303" s="86"/>
      <c r="BL303" s="86"/>
      <c r="BM303" s="86"/>
      <c r="BN303" s="86"/>
      <c r="BO303" s="86"/>
      <c r="BP303" s="86"/>
      <c r="BQ303" s="86"/>
      <c r="BR303" s="86"/>
      <c r="BS303" s="86"/>
      <c r="BT303" s="86"/>
      <c r="BU303" s="86"/>
      <c r="BV303" s="86"/>
      <c r="BW303" s="86"/>
      <c r="BX303" s="86"/>
      <c r="BY303" s="86"/>
      <c r="BZ303" s="86"/>
      <c r="CA303" s="86"/>
      <c r="CB303" s="86"/>
      <c r="CC303" s="86"/>
      <c r="CD303" s="86"/>
      <c r="CE303" s="86"/>
      <c r="CF303" s="86"/>
      <c r="CG303" s="86"/>
      <c r="CH303" s="86"/>
      <c r="CI303" s="86"/>
      <c r="CJ303" s="86"/>
      <c r="CK303" s="86"/>
      <c r="CL303" s="86"/>
      <c r="CM303" s="86"/>
      <c r="CN303" s="86"/>
      <c r="CO303" s="86"/>
      <c r="CP303" s="86"/>
      <c r="CQ303" s="86"/>
      <c r="CR303" s="86"/>
      <c r="CS303" s="86"/>
      <c r="CT303" s="86"/>
      <c r="CU303" s="86"/>
      <c r="CV303" s="86"/>
      <c r="CW303" s="86"/>
      <c r="CX303" s="86"/>
      <c r="CY303" s="86"/>
      <c r="CZ303" s="86"/>
      <c r="DA303" s="86"/>
      <c r="DB303" s="86"/>
      <c r="DC303" s="86"/>
      <c r="DD303" s="86"/>
      <c r="DE303" s="86"/>
      <c r="DF303" s="86"/>
      <c r="DG303" s="86"/>
      <c r="DH303" s="86"/>
      <c r="DI303" s="86"/>
      <c r="DJ303" s="86"/>
      <c r="DK303" s="86"/>
      <c r="DL303" s="86"/>
      <c r="DM303" s="86"/>
      <c r="DN303" s="86"/>
      <c r="DO303" s="86"/>
      <c r="DP303" s="86"/>
      <c r="DQ303" s="86"/>
      <c r="DR303" s="86"/>
      <c r="DS303" s="86"/>
      <c r="DT303" s="86"/>
      <c r="DU303" s="86"/>
      <c r="DV303" s="86"/>
      <c r="DW303" s="86"/>
      <c r="DX303" s="86"/>
      <c r="DY303" s="86"/>
      <c r="DZ303" s="86"/>
      <c r="EA303" s="86"/>
      <c r="EB303" s="86"/>
      <c r="EC303" s="86"/>
      <c r="ED303" s="86"/>
      <c r="EE303" s="86"/>
      <c r="EF303" s="86"/>
      <c r="EG303" s="86"/>
      <c r="EH303" s="86"/>
      <c r="EI303" s="86"/>
      <c r="EJ303" s="86"/>
      <c r="EK303" s="86"/>
      <c r="EL303" s="86"/>
      <c r="EM303" s="86"/>
      <c r="EN303" s="86"/>
      <c r="EO303" s="86"/>
      <c r="EP303" s="86"/>
      <c r="EQ303" s="86"/>
      <c r="ER303" s="86"/>
      <c r="ES303" s="86"/>
      <c r="ET303" s="86"/>
      <c r="EU303" s="86"/>
      <c r="EV303" s="86"/>
      <c r="EW303" s="86"/>
      <c r="EX303" s="86"/>
      <c r="EY303" s="86"/>
      <c r="EZ303" s="86"/>
      <c r="FA303" s="86"/>
    </row>
    <row r="304" spans="2:157" ht="10.050000000000001" customHeight="1">
      <c r="B304" s="845" t="s">
        <v>546</v>
      </c>
      <c r="C304" s="836" t="s">
        <v>73</v>
      </c>
      <c r="D304" s="839"/>
      <c r="E304" s="86"/>
      <c r="F304" s="848" t="s">
        <v>546</v>
      </c>
      <c r="G304" s="848" t="s">
        <v>546</v>
      </c>
      <c r="H304" s="858">
        <v>0.04</v>
      </c>
      <c r="J304" s="101"/>
      <c r="K304" s="101"/>
      <c r="L304" s="101"/>
      <c r="Z304" s="86"/>
      <c r="AA304" s="86"/>
      <c r="AB304" s="86"/>
      <c r="AC304" s="86"/>
      <c r="AD304" s="86"/>
      <c r="AE304" s="86"/>
      <c r="AF304" s="86"/>
      <c r="AG304" s="86"/>
      <c r="AH304" s="86"/>
      <c r="AI304" s="86"/>
      <c r="AJ304" s="86"/>
      <c r="AK304" s="86"/>
      <c r="AL304" s="86"/>
      <c r="AM304" s="86"/>
      <c r="AN304" s="86"/>
      <c r="AO304" s="86"/>
      <c r="AP304" s="86"/>
      <c r="AQ304" s="86"/>
      <c r="AR304" s="86"/>
      <c r="AS304" s="86"/>
      <c r="AT304" s="86"/>
      <c r="AU304" s="86"/>
      <c r="AV304" s="86"/>
      <c r="AW304" s="86"/>
      <c r="AX304" s="86"/>
      <c r="AY304" s="86"/>
      <c r="AZ304" s="86"/>
      <c r="BA304" s="86"/>
      <c r="BB304" s="86"/>
      <c r="BC304" s="86"/>
      <c r="BD304" s="86"/>
      <c r="BE304" s="86"/>
      <c r="BF304" s="86"/>
      <c r="BG304" s="86"/>
      <c r="BH304" s="86"/>
      <c r="BI304" s="86"/>
      <c r="BJ304" s="86"/>
      <c r="BK304" s="86"/>
      <c r="BL304" s="86"/>
      <c r="BM304" s="86"/>
      <c r="BN304" s="86"/>
      <c r="BO304" s="86"/>
      <c r="BP304" s="86"/>
      <c r="BQ304" s="86"/>
      <c r="BR304" s="86"/>
      <c r="BS304" s="86"/>
      <c r="BT304" s="86"/>
      <c r="BU304" s="86"/>
      <c r="BV304" s="86"/>
      <c r="BW304" s="86"/>
      <c r="BX304" s="86"/>
      <c r="BY304" s="86"/>
      <c r="BZ304" s="86"/>
      <c r="CA304" s="86"/>
      <c r="CB304" s="86"/>
      <c r="CC304" s="86"/>
      <c r="CD304" s="86"/>
      <c r="CE304" s="86"/>
      <c r="CF304" s="86"/>
      <c r="CG304" s="86"/>
      <c r="CH304" s="86"/>
      <c r="CI304" s="86"/>
      <c r="CJ304" s="86"/>
      <c r="CK304" s="86"/>
      <c r="CL304" s="86"/>
      <c r="CM304" s="86"/>
      <c r="CN304" s="86"/>
      <c r="CO304" s="86"/>
      <c r="CP304" s="86"/>
      <c r="CQ304" s="86"/>
      <c r="CR304" s="86"/>
      <c r="CS304" s="86"/>
      <c r="CT304" s="86"/>
      <c r="CU304" s="86"/>
      <c r="CV304" s="86"/>
      <c r="CW304" s="86"/>
      <c r="CX304" s="86"/>
      <c r="CY304" s="86"/>
      <c r="CZ304" s="86"/>
      <c r="DA304" s="86"/>
      <c r="DB304" s="86"/>
      <c r="DC304" s="86"/>
      <c r="DD304" s="86"/>
      <c r="DE304" s="86"/>
      <c r="DF304" s="86"/>
      <c r="DG304" s="86"/>
      <c r="DH304" s="86"/>
      <c r="DI304" s="86"/>
      <c r="DJ304" s="86"/>
      <c r="DK304" s="86"/>
      <c r="DL304" s="86"/>
      <c r="DM304" s="86"/>
      <c r="DN304" s="86"/>
      <c r="DO304" s="86"/>
      <c r="DP304" s="86"/>
      <c r="DQ304" s="86"/>
      <c r="DR304" s="86"/>
      <c r="DS304" s="86"/>
      <c r="DT304" s="86"/>
      <c r="DU304" s="86"/>
      <c r="DV304" s="86"/>
      <c r="DW304" s="86"/>
      <c r="DX304" s="86"/>
      <c r="DY304" s="86"/>
      <c r="DZ304" s="86"/>
      <c r="EA304" s="86"/>
      <c r="EB304" s="86"/>
      <c r="EC304" s="86"/>
      <c r="ED304" s="86"/>
      <c r="EE304" s="86"/>
      <c r="EF304" s="86"/>
      <c r="EG304" s="86"/>
      <c r="EH304" s="86"/>
      <c r="EI304" s="86"/>
      <c r="EJ304" s="86"/>
      <c r="EK304" s="86"/>
      <c r="EL304" s="86"/>
      <c r="EM304" s="86"/>
      <c r="EN304" s="86"/>
      <c r="EO304" s="86"/>
      <c r="EP304" s="86"/>
      <c r="EQ304" s="86"/>
      <c r="ER304" s="86"/>
      <c r="ES304" s="86"/>
      <c r="ET304" s="86"/>
      <c r="EU304" s="86"/>
      <c r="EV304" s="86"/>
      <c r="EW304" s="86"/>
      <c r="EX304" s="86"/>
      <c r="EY304" s="86"/>
      <c r="EZ304" s="86"/>
      <c r="FA304" s="86"/>
    </row>
    <row r="305" spans="2:157" ht="9.75" customHeight="1">
      <c r="B305" s="849"/>
      <c r="C305" s="849"/>
      <c r="D305" s="849"/>
      <c r="E305" s="849"/>
      <c r="F305" s="849"/>
      <c r="G305" s="849"/>
      <c r="H305" s="855"/>
      <c r="J305" s="101"/>
      <c r="K305" s="101"/>
      <c r="L305" s="101"/>
      <c r="Z305" s="86"/>
      <c r="AA305" s="86"/>
      <c r="AB305" s="86"/>
      <c r="AC305" s="86"/>
      <c r="AD305" s="86"/>
      <c r="AE305" s="86"/>
      <c r="AF305" s="86"/>
      <c r="AG305" s="86"/>
      <c r="AH305" s="86"/>
      <c r="AI305" s="86"/>
      <c r="AJ305" s="86"/>
      <c r="AK305" s="86"/>
      <c r="AL305" s="86"/>
      <c r="AM305" s="86"/>
      <c r="AN305" s="86"/>
      <c r="AO305" s="86"/>
      <c r="AP305" s="86"/>
      <c r="AQ305" s="86"/>
      <c r="AR305" s="86"/>
      <c r="AS305" s="86"/>
      <c r="AT305" s="86"/>
      <c r="AU305" s="86"/>
      <c r="AV305" s="86"/>
      <c r="AW305" s="86"/>
      <c r="AX305" s="86"/>
      <c r="AY305" s="86"/>
      <c r="AZ305" s="86"/>
      <c r="BA305" s="86"/>
      <c r="BB305" s="86"/>
      <c r="BC305" s="86"/>
      <c r="BD305" s="86"/>
      <c r="BE305" s="86"/>
      <c r="BF305" s="86"/>
      <c r="BG305" s="86"/>
      <c r="BH305" s="86"/>
      <c r="BI305" s="86"/>
      <c r="BJ305" s="86"/>
      <c r="BK305" s="86"/>
      <c r="BL305" s="86"/>
      <c r="BM305" s="86"/>
      <c r="BN305" s="86"/>
      <c r="BO305" s="86"/>
      <c r="BP305" s="86"/>
      <c r="BQ305" s="86"/>
      <c r="BR305" s="86"/>
      <c r="BS305" s="86"/>
      <c r="BT305" s="86"/>
      <c r="BU305" s="86"/>
      <c r="BV305" s="86"/>
      <c r="BW305" s="86"/>
      <c r="BX305" s="86"/>
      <c r="BY305" s="86"/>
      <c r="BZ305" s="86"/>
      <c r="CA305" s="86"/>
      <c r="CB305" s="86"/>
      <c r="CC305" s="86"/>
      <c r="CD305" s="86"/>
      <c r="CE305" s="86"/>
      <c r="CF305" s="86"/>
      <c r="CG305" s="86"/>
      <c r="CH305" s="86"/>
      <c r="CI305" s="86"/>
      <c r="CJ305" s="86"/>
      <c r="CK305" s="86"/>
      <c r="CL305" s="86"/>
      <c r="CM305" s="86"/>
      <c r="CN305" s="86"/>
      <c r="CO305" s="86"/>
      <c r="CP305" s="86"/>
      <c r="CQ305" s="86"/>
      <c r="CR305" s="86"/>
      <c r="CS305" s="86"/>
      <c r="CT305" s="86"/>
      <c r="CU305" s="86"/>
      <c r="CV305" s="86"/>
      <c r="CW305" s="86"/>
      <c r="CX305" s="86"/>
      <c r="CY305" s="86"/>
      <c r="CZ305" s="86"/>
      <c r="DA305" s="86"/>
      <c r="DB305" s="86"/>
      <c r="DC305" s="86"/>
      <c r="DD305" s="86"/>
      <c r="DE305" s="86"/>
      <c r="DF305" s="86"/>
      <c r="DG305" s="86"/>
      <c r="DH305" s="86"/>
      <c r="DI305" s="86"/>
      <c r="DJ305" s="86"/>
      <c r="DK305" s="86"/>
      <c r="DL305" s="86"/>
      <c r="DM305" s="86"/>
      <c r="DN305" s="86"/>
      <c r="DO305" s="86"/>
      <c r="DP305" s="86"/>
      <c r="DQ305" s="86"/>
      <c r="DR305" s="86"/>
      <c r="DS305" s="86"/>
      <c r="DT305" s="86"/>
      <c r="DU305" s="86"/>
      <c r="DV305" s="86"/>
      <c r="DW305" s="86"/>
      <c r="DX305" s="86"/>
      <c r="DY305" s="86"/>
      <c r="DZ305" s="86"/>
      <c r="EA305" s="86"/>
      <c r="EB305" s="86"/>
      <c r="EC305" s="86"/>
      <c r="ED305" s="86"/>
      <c r="EE305" s="86"/>
      <c r="EF305" s="86"/>
      <c r="EG305" s="86"/>
      <c r="EH305" s="86"/>
      <c r="EI305" s="86"/>
      <c r="EJ305" s="86"/>
      <c r="EK305" s="86"/>
      <c r="EL305" s="86"/>
      <c r="EM305" s="86"/>
      <c r="EN305" s="86"/>
      <c r="EO305" s="86"/>
      <c r="EP305" s="86"/>
      <c r="EQ305" s="86"/>
      <c r="ER305" s="86"/>
      <c r="ES305" s="86"/>
      <c r="ET305" s="86"/>
      <c r="EU305" s="86"/>
      <c r="EV305" s="86"/>
      <c r="EW305" s="86"/>
      <c r="EX305" s="86"/>
      <c r="EY305" s="86"/>
      <c r="EZ305" s="86"/>
      <c r="FA305" s="86"/>
    </row>
    <row r="306" spans="2:157" ht="9.75" customHeight="1">
      <c r="B306" s="27"/>
      <c r="C306" s="27"/>
      <c r="D306" s="27"/>
      <c r="E306" s="91"/>
      <c r="F306" s="171"/>
      <c r="G306" s="29"/>
      <c r="H306" s="27"/>
      <c r="J306" s="101"/>
      <c r="K306" s="101"/>
      <c r="L306" s="101"/>
      <c r="Z306" s="86"/>
      <c r="AA306" s="86"/>
      <c r="AB306" s="86"/>
      <c r="AC306" s="86"/>
      <c r="AD306" s="86"/>
      <c r="AE306" s="86"/>
      <c r="AF306" s="86"/>
      <c r="AG306" s="86"/>
      <c r="AH306" s="86"/>
      <c r="AI306" s="86"/>
      <c r="AJ306" s="86"/>
      <c r="AK306" s="86"/>
      <c r="AL306" s="86"/>
      <c r="AM306" s="86"/>
      <c r="AN306" s="86"/>
      <c r="AO306" s="86"/>
      <c r="AP306" s="86"/>
      <c r="AQ306" s="86"/>
      <c r="AR306" s="86"/>
      <c r="AS306" s="86"/>
      <c r="AT306" s="86"/>
      <c r="AU306" s="86"/>
      <c r="AV306" s="86"/>
      <c r="AW306" s="86"/>
      <c r="AX306" s="86"/>
      <c r="AY306" s="86"/>
      <c r="AZ306" s="86"/>
      <c r="BA306" s="86"/>
      <c r="BB306" s="86"/>
      <c r="BC306" s="86"/>
      <c r="BD306" s="86"/>
      <c r="BE306" s="86"/>
      <c r="BF306" s="86"/>
      <c r="BG306" s="86"/>
      <c r="BH306" s="86"/>
      <c r="BI306" s="86"/>
      <c r="BJ306" s="86"/>
      <c r="BK306" s="86"/>
      <c r="BL306" s="86"/>
      <c r="BM306" s="86"/>
      <c r="BN306" s="86"/>
      <c r="BO306" s="86"/>
      <c r="BP306" s="86"/>
      <c r="BQ306" s="86"/>
      <c r="BR306" s="86"/>
      <c r="BS306" s="86"/>
      <c r="BT306" s="86"/>
      <c r="BU306" s="86"/>
      <c r="BV306" s="86"/>
      <c r="BW306" s="86"/>
      <c r="BX306" s="86"/>
      <c r="BY306" s="86"/>
      <c r="BZ306" s="86"/>
      <c r="CA306" s="86"/>
      <c r="CB306" s="86"/>
      <c r="CC306" s="86"/>
      <c r="CD306" s="86"/>
      <c r="CE306" s="86"/>
      <c r="CF306" s="86"/>
      <c r="CG306" s="86"/>
      <c r="CH306" s="86"/>
      <c r="CI306" s="86"/>
      <c r="CJ306" s="86"/>
      <c r="CK306" s="86"/>
      <c r="CL306" s="86"/>
      <c r="CM306" s="86"/>
      <c r="CN306" s="86"/>
      <c r="CO306" s="86"/>
      <c r="CP306" s="86"/>
      <c r="CQ306" s="86"/>
      <c r="CR306" s="86"/>
      <c r="CS306" s="86"/>
      <c r="CT306" s="86"/>
      <c r="CU306" s="86"/>
      <c r="CV306" s="86"/>
      <c r="CW306" s="86"/>
      <c r="CX306" s="86"/>
      <c r="CY306" s="86"/>
      <c r="CZ306" s="86"/>
      <c r="DA306" s="86"/>
      <c r="DB306" s="86"/>
      <c r="DC306" s="86"/>
      <c r="DD306" s="86"/>
      <c r="DE306" s="86"/>
      <c r="DF306" s="86"/>
      <c r="DG306" s="86"/>
      <c r="DH306" s="86"/>
      <c r="DI306" s="86"/>
      <c r="DJ306" s="86"/>
      <c r="DK306" s="86"/>
      <c r="DL306" s="86"/>
      <c r="DM306" s="86"/>
      <c r="DN306" s="86"/>
      <c r="DO306" s="86"/>
      <c r="DP306" s="86"/>
      <c r="DQ306" s="86"/>
      <c r="DR306" s="86"/>
      <c r="DS306" s="86"/>
      <c r="DT306" s="86"/>
      <c r="DU306" s="86"/>
      <c r="DV306" s="86"/>
      <c r="DW306" s="86"/>
      <c r="DX306" s="86"/>
      <c r="DY306" s="86"/>
      <c r="DZ306" s="86"/>
      <c r="EA306" s="86"/>
      <c r="EB306" s="86"/>
      <c r="EC306" s="86"/>
      <c r="ED306" s="86"/>
      <c r="EE306" s="86"/>
      <c r="EF306" s="86"/>
      <c r="EG306" s="86"/>
      <c r="EH306" s="86"/>
      <c r="EI306" s="86"/>
      <c r="EJ306" s="86"/>
      <c r="EK306" s="86"/>
      <c r="EL306" s="86"/>
      <c r="EM306" s="86"/>
      <c r="EN306" s="86"/>
      <c r="EO306" s="86"/>
      <c r="EP306" s="86"/>
      <c r="EQ306" s="86"/>
      <c r="ER306" s="86"/>
      <c r="ES306" s="86"/>
      <c r="ET306" s="86"/>
      <c r="EU306" s="86"/>
      <c r="EV306" s="86"/>
      <c r="EW306" s="86"/>
      <c r="EX306" s="86"/>
      <c r="EY306" s="86"/>
      <c r="EZ306" s="86"/>
      <c r="FA306" s="86"/>
    </row>
    <row r="307" spans="2:157" ht="9.75" customHeight="1">
      <c r="B307" s="27"/>
      <c r="C307" s="27"/>
      <c r="D307" s="27"/>
      <c r="E307" s="27"/>
      <c r="F307" s="27"/>
      <c r="G307" s="27"/>
      <c r="H307" s="27"/>
      <c r="J307" s="101"/>
      <c r="K307" s="101"/>
      <c r="L307" s="101"/>
      <c r="Z307" s="86"/>
      <c r="AA307" s="86"/>
      <c r="AB307" s="86"/>
      <c r="AC307" s="86"/>
      <c r="AD307" s="86"/>
      <c r="AE307" s="86"/>
      <c r="AF307" s="86"/>
      <c r="AG307" s="86"/>
      <c r="AH307" s="86"/>
      <c r="AI307" s="86"/>
      <c r="AJ307" s="86"/>
      <c r="AK307" s="86"/>
      <c r="AL307" s="86"/>
      <c r="AM307" s="86"/>
      <c r="AN307" s="86"/>
      <c r="AO307" s="86"/>
      <c r="AP307" s="86"/>
      <c r="AQ307" s="86"/>
      <c r="AR307" s="86"/>
      <c r="AS307" s="86"/>
      <c r="AT307" s="86"/>
      <c r="AU307" s="86"/>
      <c r="AV307" s="86"/>
      <c r="AW307" s="86"/>
      <c r="AX307" s="86"/>
      <c r="AY307" s="86"/>
      <c r="AZ307" s="86"/>
      <c r="BA307" s="86"/>
      <c r="BB307" s="86"/>
      <c r="BC307" s="86"/>
      <c r="BD307" s="86"/>
      <c r="BE307" s="86"/>
      <c r="BF307" s="86"/>
      <c r="BG307" s="86"/>
      <c r="BH307" s="86"/>
      <c r="BI307" s="86"/>
      <c r="BJ307" s="86"/>
      <c r="BK307" s="86"/>
      <c r="BL307" s="86"/>
      <c r="BM307" s="86"/>
      <c r="BN307" s="86"/>
      <c r="BO307" s="86"/>
      <c r="BP307" s="86"/>
      <c r="BQ307" s="86"/>
      <c r="BR307" s="86"/>
      <c r="BS307" s="86"/>
      <c r="BT307" s="86"/>
      <c r="BU307" s="86"/>
      <c r="BV307" s="86"/>
      <c r="BW307" s="86"/>
      <c r="BX307" s="86"/>
      <c r="BY307" s="86"/>
      <c r="BZ307" s="86"/>
      <c r="CA307" s="86"/>
      <c r="CB307" s="86"/>
      <c r="CC307" s="86"/>
      <c r="CD307" s="86"/>
      <c r="CE307" s="86"/>
      <c r="CF307" s="86"/>
      <c r="CG307" s="86"/>
      <c r="CH307" s="86"/>
      <c r="CI307" s="86"/>
      <c r="CJ307" s="86"/>
      <c r="CK307" s="86"/>
      <c r="CL307" s="86"/>
      <c r="CM307" s="86"/>
      <c r="CN307" s="86"/>
      <c r="CO307" s="86"/>
      <c r="CP307" s="86"/>
      <c r="CQ307" s="86"/>
      <c r="CR307" s="86"/>
      <c r="CS307" s="86"/>
      <c r="CT307" s="86"/>
      <c r="CU307" s="86"/>
      <c r="CV307" s="86"/>
      <c r="CW307" s="86"/>
      <c r="CX307" s="86"/>
      <c r="CY307" s="86"/>
      <c r="CZ307" s="86"/>
      <c r="DA307" s="86"/>
      <c r="DB307" s="86"/>
      <c r="DC307" s="86"/>
      <c r="DD307" s="86"/>
      <c r="DE307" s="86"/>
      <c r="DF307" s="86"/>
      <c r="DG307" s="86"/>
      <c r="DH307" s="86"/>
      <c r="DI307" s="86"/>
      <c r="DJ307" s="86"/>
      <c r="DK307" s="86"/>
      <c r="DL307" s="86"/>
      <c r="DM307" s="86"/>
      <c r="DN307" s="86"/>
      <c r="DO307" s="86"/>
      <c r="DP307" s="86"/>
      <c r="DQ307" s="86"/>
      <c r="DR307" s="86"/>
      <c r="DS307" s="86"/>
      <c r="DT307" s="86"/>
      <c r="DU307" s="86"/>
      <c r="DV307" s="86"/>
      <c r="DW307" s="86"/>
      <c r="DX307" s="86"/>
      <c r="DY307" s="86"/>
      <c r="DZ307" s="86"/>
      <c r="EA307" s="86"/>
      <c r="EB307" s="86"/>
      <c r="EC307" s="86"/>
      <c r="ED307" s="86"/>
      <c r="EE307" s="86"/>
      <c r="EF307" s="86"/>
      <c r="EG307" s="86"/>
      <c r="EH307" s="86"/>
      <c r="EI307" s="86"/>
      <c r="EJ307" s="86"/>
      <c r="EK307" s="86"/>
      <c r="EL307" s="86"/>
      <c r="EM307" s="86"/>
      <c r="EN307" s="86"/>
      <c r="EO307" s="86"/>
      <c r="EP307" s="86"/>
      <c r="EQ307" s="86"/>
      <c r="ER307" s="86"/>
      <c r="ES307" s="86"/>
      <c r="ET307" s="86"/>
      <c r="EU307" s="86"/>
      <c r="EV307" s="86"/>
      <c r="EW307" s="86"/>
      <c r="EX307" s="86"/>
      <c r="EY307" s="86"/>
      <c r="EZ307" s="86"/>
      <c r="FA307" s="86"/>
    </row>
    <row r="308" spans="2:157" ht="9.75" customHeight="1">
      <c r="B308" s="27"/>
      <c r="C308" s="27"/>
      <c r="D308" s="27"/>
      <c r="E308" s="27"/>
      <c r="F308" s="27"/>
      <c r="G308" s="27"/>
      <c r="H308" s="27"/>
      <c r="J308" s="101"/>
      <c r="K308" s="101"/>
      <c r="L308" s="101"/>
      <c r="Z308" s="86"/>
      <c r="AA308" s="86"/>
      <c r="AB308" s="86"/>
      <c r="AC308" s="86"/>
      <c r="AD308" s="86"/>
      <c r="AE308" s="86"/>
      <c r="AF308" s="86"/>
      <c r="AG308" s="86"/>
      <c r="AH308" s="86"/>
      <c r="AI308" s="86"/>
      <c r="AJ308" s="86"/>
      <c r="AK308" s="86"/>
      <c r="AL308" s="86"/>
      <c r="AM308" s="86"/>
      <c r="AN308" s="86"/>
      <c r="AO308" s="86"/>
      <c r="AP308" s="86"/>
      <c r="AQ308" s="86"/>
      <c r="AR308" s="86"/>
      <c r="AS308" s="86"/>
      <c r="AT308" s="86"/>
      <c r="AU308" s="86"/>
      <c r="AV308" s="86"/>
      <c r="AW308" s="86"/>
      <c r="AX308" s="86"/>
      <c r="AY308" s="86"/>
      <c r="AZ308" s="86"/>
      <c r="BA308" s="86"/>
      <c r="BB308" s="86"/>
      <c r="BC308" s="86"/>
      <c r="BD308" s="86"/>
      <c r="BE308" s="86"/>
      <c r="BF308" s="86"/>
      <c r="BG308" s="86"/>
      <c r="BH308" s="86"/>
      <c r="BI308" s="86"/>
      <c r="BJ308" s="86"/>
      <c r="BK308" s="86"/>
      <c r="BL308" s="86"/>
      <c r="BM308" s="86"/>
      <c r="BN308" s="86"/>
      <c r="BO308" s="86"/>
      <c r="BP308" s="86"/>
      <c r="BQ308" s="86"/>
      <c r="BR308" s="86"/>
      <c r="BS308" s="86"/>
      <c r="BT308" s="86"/>
      <c r="BU308" s="86"/>
      <c r="BV308" s="86"/>
      <c r="BW308" s="86"/>
      <c r="BX308" s="86"/>
      <c r="BY308" s="86"/>
      <c r="BZ308" s="86"/>
      <c r="CA308" s="86"/>
      <c r="CB308" s="86"/>
      <c r="CC308" s="86"/>
      <c r="CD308" s="86"/>
      <c r="CE308" s="86"/>
      <c r="CF308" s="86"/>
      <c r="CG308" s="86"/>
      <c r="CH308" s="86"/>
      <c r="CI308" s="86"/>
      <c r="CJ308" s="86"/>
      <c r="CK308" s="86"/>
      <c r="CL308" s="86"/>
      <c r="CM308" s="86"/>
      <c r="CN308" s="86"/>
      <c r="CO308" s="86"/>
      <c r="CP308" s="86"/>
      <c r="CQ308" s="86"/>
      <c r="CR308" s="86"/>
      <c r="CS308" s="86"/>
      <c r="CT308" s="86"/>
      <c r="CU308" s="86"/>
      <c r="CV308" s="86"/>
      <c r="CW308" s="86"/>
      <c r="CX308" s="86"/>
      <c r="CY308" s="86"/>
      <c r="CZ308" s="86"/>
      <c r="DA308" s="86"/>
      <c r="DB308" s="86"/>
      <c r="DC308" s="86"/>
      <c r="DD308" s="86"/>
      <c r="DE308" s="86"/>
      <c r="DF308" s="86"/>
      <c r="DG308" s="86"/>
      <c r="DH308" s="86"/>
      <c r="DI308" s="86"/>
      <c r="DJ308" s="86"/>
      <c r="DK308" s="86"/>
      <c r="DL308" s="86"/>
      <c r="DM308" s="86"/>
      <c r="DN308" s="86"/>
      <c r="DO308" s="86"/>
      <c r="DP308" s="86"/>
      <c r="DQ308" s="86"/>
      <c r="DR308" s="86"/>
      <c r="DS308" s="86"/>
      <c r="DT308" s="86"/>
      <c r="DU308" s="86"/>
      <c r="DV308" s="86"/>
      <c r="DW308" s="86"/>
      <c r="DX308" s="86"/>
      <c r="DY308" s="86"/>
      <c r="DZ308" s="86"/>
      <c r="EA308" s="86"/>
      <c r="EB308" s="86"/>
      <c r="EC308" s="86"/>
      <c r="ED308" s="86"/>
      <c r="EE308" s="86"/>
      <c r="EF308" s="86"/>
      <c r="EG308" s="86"/>
      <c r="EH308" s="86"/>
      <c r="EI308" s="86"/>
      <c r="EJ308" s="86"/>
      <c r="EK308" s="86"/>
      <c r="EL308" s="86"/>
      <c r="EM308" s="86"/>
      <c r="EN308" s="86"/>
      <c r="EO308" s="86"/>
      <c r="EP308" s="86"/>
      <c r="EQ308" s="86"/>
      <c r="ER308" s="86"/>
      <c r="ES308" s="86"/>
      <c r="ET308" s="86"/>
      <c r="EU308" s="86"/>
      <c r="EV308" s="86"/>
      <c r="EW308" s="86"/>
      <c r="EX308" s="86"/>
      <c r="EY308" s="86"/>
      <c r="EZ308" s="86"/>
      <c r="FA308" s="86"/>
    </row>
    <row r="309" spans="2:157" ht="9.75" customHeight="1">
      <c r="B309" s="31"/>
      <c r="C309" s="31"/>
      <c r="D309" s="31"/>
      <c r="E309" s="31"/>
      <c r="F309" s="31"/>
      <c r="G309" s="31"/>
      <c r="H309" s="31"/>
      <c r="J309" s="101"/>
      <c r="K309" s="101"/>
      <c r="L309" s="101"/>
      <c r="Z309" s="86"/>
      <c r="AA309" s="86"/>
      <c r="AB309" s="86"/>
      <c r="AC309" s="86"/>
      <c r="AD309" s="86"/>
      <c r="AE309" s="86"/>
      <c r="AF309" s="86"/>
      <c r="AG309" s="86"/>
      <c r="AH309" s="86"/>
      <c r="AI309" s="86"/>
      <c r="AJ309" s="86"/>
      <c r="AK309" s="86"/>
      <c r="AL309" s="86"/>
      <c r="AM309" s="86"/>
      <c r="AN309" s="86"/>
      <c r="AO309" s="86"/>
      <c r="AP309" s="86"/>
      <c r="AQ309" s="86"/>
      <c r="AR309" s="86"/>
      <c r="AS309" s="86"/>
      <c r="AT309" s="86"/>
      <c r="AU309" s="86"/>
      <c r="AV309" s="86"/>
      <c r="AW309" s="86"/>
      <c r="AX309" s="86"/>
      <c r="AY309" s="86"/>
      <c r="AZ309" s="86"/>
      <c r="BA309" s="86"/>
      <c r="BB309" s="86"/>
      <c r="BC309" s="86"/>
      <c r="BD309" s="86"/>
      <c r="BE309" s="86"/>
      <c r="BF309" s="86"/>
      <c r="BG309" s="86"/>
      <c r="BH309" s="86"/>
      <c r="BI309" s="86"/>
      <c r="BJ309" s="86"/>
      <c r="BK309" s="86"/>
      <c r="BL309" s="86"/>
      <c r="BM309" s="86"/>
      <c r="BN309" s="86"/>
      <c r="BO309" s="86"/>
      <c r="BP309" s="86"/>
      <c r="BQ309" s="86"/>
      <c r="BR309" s="86"/>
      <c r="BS309" s="86"/>
      <c r="BT309" s="86"/>
      <c r="BU309" s="86"/>
      <c r="BV309" s="86"/>
      <c r="BW309" s="86"/>
      <c r="BX309" s="86"/>
      <c r="BY309" s="86"/>
      <c r="BZ309" s="86"/>
      <c r="CA309" s="86"/>
      <c r="CB309" s="86"/>
      <c r="CC309" s="86"/>
      <c r="CD309" s="86"/>
      <c r="CE309" s="86"/>
      <c r="CF309" s="86"/>
      <c r="CG309" s="86"/>
      <c r="CH309" s="86"/>
      <c r="CI309" s="86"/>
      <c r="CJ309" s="86"/>
      <c r="CK309" s="86"/>
      <c r="CL309" s="86"/>
      <c r="CM309" s="86"/>
      <c r="CN309" s="86"/>
      <c r="CO309" s="86"/>
      <c r="CP309" s="86"/>
      <c r="CQ309" s="86"/>
      <c r="CR309" s="86"/>
      <c r="CS309" s="86"/>
      <c r="CT309" s="86"/>
      <c r="CU309" s="86"/>
      <c r="CV309" s="86"/>
      <c r="CW309" s="86"/>
      <c r="CX309" s="86"/>
      <c r="CY309" s="86"/>
      <c r="CZ309" s="86"/>
      <c r="DA309" s="86"/>
      <c r="DB309" s="86"/>
      <c r="DC309" s="86"/>
      <c r="DD309" s="86"/>
      <c r="DE309" s="86"/>
      <c r="DF309" s="86"/>
      <c r="DG309" s="86"/>
      <c r="DH309" s="86"/>
      <c r="DI309" s="86"/>
      <c r="DJ309" s="86"/>
      <c r="DK309" s="86"/>
      <c r="DL309" s="86"/>
      <c r="DM309" s="86"/>
      <c r="DN309" s="86"/>
      <c r="DO309" s="86"/>
      <c r="DP309" s="86"/>
      <c r="DQ309" s="86"/>
      <c r="DR309" s="86"/>
      <c r="DS309" s="86"/>
      <c r="DT309" s="86"/>
      <c r="DU309" s="86"/>
      <c r="DV309" s="86"/>
      <c r="DW309" s="86"/>
      <c r="DX309" s="86"/>
      <c r="DY309" s="86"/>
      <c r="DZ309" s="86"/>
      <c r="EA309" s="86"/>
      <c r="EB309" s="86"/>
      <c r="EC309" s="86"/>
      <c r="ED309" s="86"/>
      <c r="EE309" s="86"/>
      <c r="EF309" s="86"/>
      <c r="EG309" s="86"/>
      <c r="EH309" s="86"/>
      <c r="EI309" s="86"/>
      <c r="EJ309" s="86"/>
      <c r="EK309" s="86"/>
      <c r="EL309" s="86"/>
      <c r="EM309" s="86"/>
      <c r="EN309" s="86"/>
      <c r="EO309" s="86"/>
      <c r="EP309" s="86"/>
      <c r="EQ309" s="86"/>
      <c r="ER309" s="86"/>
      <c r="ES309" s="86"/>
      <c r="ET309" s="86"/>
      <c r="EU309" s="86"/>
      <c r="EV309" s="86"/>
      <c r="EW309" s="86"/>
      <c r="EX309" s="86"/>
      <c r="EY309" s="86"/>
      <c r="EZ309" s="86"/>
      <c r="FA309" s="86"/>
    </row>
    <row r="310" spans="2:157" ht="10.95" customHeight="1">
      <c r="B310" s="1347" t="s">
        <v>510</v>
      </c>
      <c r="C310" s="1348"/>
      <c r="D310" s="1345"/>
      <c r="E310" s="1346"/>
      <c r="F310" s="842"/>
      <c r="G310" s="837" t="s">
        <v>4</v>
      </c>
      <c r="H310" s="856"/>
      <c r="J310" s="101"/>
      <c r="K310" s="101"/>
      <c r="L310" s="101"/>
      <c r="Z310" s="86"/>
      <c r="AA310" s="86"/>
      <c r="AB310" s="86"/>
      <c r="AC310" s="86"/>
      <c r="AD310" s="86"/>
      <c r="AE310" s="86"/>
      <c r="AF310" s="86"/>
      <c r="AG310" s="86"/>
      <c r="AH310" s="86"/>
      <c r="AI310" s="86"/>
      <c r="AJ310" s="86"/>
      <c r="AK310" s="86"/>
      <c r="AL310" s="86"/>
      <c r="AM310" s="86"/>
      <c r="AN310" s="86"/>
      <c r="AO310" s="86"/>
      <c r="AP310" s="86"/>
      <c r="AQ310" s="86"/>
      <c r="AR310" s="86"/>
      <c r="AS310" s="86"/>
      <c r="AT310" s="86"/>
      <c r="AU310" s="86"/>
      <c r="AV310" s="86"/>
      <c r="AW310" s="86"/>
      <c r="AX310" s="86"/>
      <c r="AY310" s="86"/>
      <c r="AZ310" s="86"/>
      <c r="BA310" s="86"/>
      <c r="BB310" s="86"/>
      <c r="BC310" s="86"/>
      <c r="BD310" s="86"/>
      <c r="BE310" s="86"/>
      <c r="BF310" s="86"/>
      <c r="BG310" s="86"/>
      <c r="BH310" s="86"/>
      <c r="BI310" s="86"/>
      <c r="BJ310" s="86"/>
      <c r="BK310" s="86"/>
      <c r="BL310" s="86"/>
      <c r="BM310" s="86"/>
      <c r="BN310" s="86"/>
      <c r="BO310" s="86"/>
      <c r="BP310" s="86"/>
      <c r="BQ310" s="86"/>
      <c r="BR310" s="86"/>
      <c r="BS310" s="86"/>
      <c r="BT310" s="86"/>
      <c r="BU310" s="86"/>
      <c r="BV310" s="86"/>
      <c r="BW310" s="86"/>
      <c r="BX310" s="86"/>
      <c r="BY310" s="86"/>
      <c r="BZ310" s="86"/>
      <c r="CA310" s="86"/>
      <c r="CB310" s="86"/>
      <c r="CC310" s="86"/>
      <c r="CD310" s="86"/>
      <c r="CE310" s="86"/>
      <c r="CF310" s="86"/>
      <c r="CG310" s="86"/>
      <c r="CH310" s="86"/>
      <c r="CI310" s="86"/>
      <c r="CJ310" s="86"/>
      <c r="CK310" s="86"/>
      <c r="CL310" s="86"/>
      <c r="CM310" s="86"/>
      <c r="CN310" s="86"/>
      <c r="CO310" s="86"/>
      <c r="CP310" s="86"/>
      <c r="CQ310" s="86"/>
      <c r="CR310" s="86"/>
      <c r="CS310" s="86"/>
      <c r="CT310" s="86"/>
      <c r="CU310" s="86"/>
      <c r="CV310" s="86"/>
      <c r="CW310" s="86"/>
      <c r="CX310" s="86"/>
      <c r="CY310" s="86"/>
      <c r="CZ310" s="86"/>
      <c r="DA310" s="86"/>
      <c r="DB310" s="86"/>
      <c r="DC310" s="86"/>
      <c r="DD310" s="86"/>
      <c r="DE310" s="86"/>
      <c r="DF310" s="86"/>
      <c r="DG310" s="86"/>
      <c r="DH310" s="86"/>
      <c r="DI310" s="86"/>
      <c r="DJ310" s="86"/>
      <c r="DK310" s="86"/>
      <c r="DL310" s="86"/>
      <c r="DM310" s="86"/>
      <c r="DN310" s="86"/>
      <c r="DO310" s="86"/>
      <c r="DP310" s="86"/>
      <c r="DQ310" s="86"/>
      <c r="DR310" s="86"/>
      <c r="DS310" s="86"/>
      <c r="DT310" s="86"/>
      <c r="DU310" s="86"/>
      <c r="DV310" s="86"/>
      <c r="DW310" s="86"/>
      <c r="DX310" s="86"/>
      <c r="DY310" s="86"/>
      <c r="DZ310" s="86"/>
      <c r="EA310" s="86"/>
      <c r="EB310" s="86"/>
      <c r="EC310" s="86"/>
      <c r="ED310" s="86"/>
      <c r="EE310" s="86"/>
      <c r="EF310" s="86"/>
      <c r="EG310" s="86"/>
      <c r="EH310" s="86"/>
      <c r="EI310" s="86"/>
      <c r="EJ310" s="86"/>
      <c r="EK310" s="86"/>
      <c r="EL310" s="86"/>
      <c r="EM310" s="86"/>
      <c r="EN310" s="86"/>
      <c r="EO310" s="86"/>
      <c r="EP310" s="86"/>
      <c r="EQ310" s="86"/>
      <c r="ER310" s="86"/>
      <c r="ES310" s="86"/>
      <c r="ET310" s="86"/>
      <c r="EU310" s="86"/>
      <c r="EV310" s="86"/>
      <c r="EW310" s="86"/>
      <c r="EX310" s="86"/>
      <c r="EY310" s="86"/>
      <c r="EZ310" s="86"/>
      <c r="FA310" s="86"/>
    </row>
    <row r="311" spans="2:157" ht="10.95" customHeight="1">
      <c r="B311" s="1347" t="s">
        <v>582</v>
      </c>
      <c r="C311" s="1349"/>
      <c r="D311" s="1345"/>
      <c r="E311" s="1346"/>
      <c r="F311" s="839"/>
      <c r="G311" s="853" t="s">
        <v>345</v>
      </c>
      <c r="H311" s="854">
        <f>ROUND(1/(SUM(H314:H324)),2)</f>
        <v>5.88</v>
      </c>
      <c r="J311" s="101"/>
      <c r="K311" s="101"/>
      <c r="L311" s="101"/>
      <c r="Z311" s="86"/>
      <c r="AA311" s="86"/>
      <c r="AB311" s="86"/>
      <c r="AC311" s="86"/>
      <c r="AD311" s="86"/>
      <c r="AE311" s="86"/>
      <c r="AF311" s="86"/>
      <c r="AG311" s="86"/>
      <c r="AH311" s="86"/>
      <c r="AI311" s="86"/>
      <c r="AJ311" s="86"/>
      <c r="AK311" s="86"/>
      <c r="AL311" s="86"/>
      <c r="AM311" s="86"/>
      <c r="AN311" s="86"/>
      <c r="AO311" s="86"/>
      <c r="AP311" s="86"/>
      <c r="AQ311" s="86"/>
      <c r="AR311" s="86"/>
      <c r="AS311" s="86"/>
      <c r="AT311" s="86"/>
      <c r="AU311" s="86"/>
      <c r="AV311" s="86"/>
      <c r="AW311" s="86"/>
      <c r="AX311" s="86"/>
      <c r="AY311" s="86"/>
      <c r="AZ311" s="86"/>
      <c r="BA311" s="86"/>
      <c r="BB311" s="86"/>
      <c r="BC311" s="86"/>
      <c r="BD311" s="86"/>
      <c r="BE311" s="86"/>
      <c r="BF311" s="86"/>
      <c r="BG311" s="86"/>
      <c r="BH311" s="86"/>
      <c r="BI311" s="86"/>
      <c r="BJ311" s="86"/>
      <c r="BK311" s="86"/>
      <c r="BL311" s="86"/>
      <c r="BM311" s="86"/>
      <c r="BN311" s="86"/>
      <c r="BO311" s="86"/>
      <c r="BP311" s="86"/>
      <c r="BQ311" s="86"/>
      <c r="BR311" s="86"/>
      <c r="BS311" s="86"/>
      <c r="BT311" s="86"/>
      <c r="BU311" s="86"/>
      <c r="BV311" s="86"/>
      <c r="BW311" s="86"/>
      <c r="BX311" s="86"/>
      <c r="BY311" s="86"/>
      <c r="BZ311" s="86"/>
      <c r="CA311" s="86"/>
      <c r="CB311" s="86"/>
      <c r="CC311" s="86"/>
      <c r="CD311" s="86"/>
      <c r="CE311" s="86"/>
      <c r="CF311" s="86"/>
      <c r="CG311" s="86"/>
      <c r="CH311" s="86"/>
      <c r="CI311" s="86"/>
      <c r="CJ311" s="86"/>
      <c r="CK311" s="86"/>
      <c r="CL311" s="86"/>
      <c r="CM311" s="86"/>
      <c r="CN311" s="86"/>
      <c r="CO311" s="86"/>
      <c r="CP311" s="86"/>
      <c r="CQ311" s="86"/>
      <c r="CR311" s="86"/>
      <c r="CS311" s="86"/>
      <c r="CT311" s="86"/>
      <c r="CU311" s="86"/>
      <c r="CV311" s="86"/>
      <c r="CW311" s="86"/>
      <c r="CX311" s="86"/>
      <c r="CY311" s="86"/>
      <c r="CZ311" s="86"/>
      <c r="DA311" s="86"/>
      <c r="DB311" s="86"/>
      <c r="DC311" s="86"/>
      <c r="DD311" s="86"/>
      <c r="DE311" s="86"/>
      <c r="DF311" s="86"/>
      <c r="DG311" s="86"/>
      <c r="DH311" s="86"/>
      <c r="DI311" s="86"/>
      <c r="DJ311" s="86"/>
      <c r="DK311" s="86"/>
      <c r="DL311" s="86"/>
      <c r="DM311" s="86"/>
      <c r="DN311" s="86"/>
      <c r="DO311" s="86"/>
      <c r="DP311" s="86"/>
      <c r="DQ311" s="86"/>
      <c r="DR311" s="86"/>
      <c r="DS311" s="86"/>
      <c r="DT311" s="86"/>
      <c r="DU311" s="86"/>
      <c r="DV311" s="86"/>
      <c r="DW311" s="86"/>
      <c r="DX311" s="86"/>
      <c r="DY311" s="86"/>
      <c r="DZ311" s="86"/>
      <c r="EA311" s="86"/>
      <c r="EB311" s="86"/>
      <c r="EC311" s="86"/>
      <c r="ED311" s="86"/>
      <c r="EE311" s="86"/>
      <c r="EF311" s="86"/>
      <c r="EG311" s="86"/>
      <c r="EH311" s="86"/>
      <c r="EI311" s="86"/>
      <c r="EJ311" s="86"/>
      <c r="EK311" s="86"/>
      <c r="EL311" s="86"/>
      <c r="EM311" s="86"/>
      <c r="EN311" s="86"/>
      <c r="EO311" s="86"/>
      <c r="EP311" s="86"/>
      <c r="EQ311" s="86"/>
      <c r="ER311" s="86"/>
      <c r="ES311" s="86"/>
      <c r="ET311" s="86"/>
      <c r="EU311" s="86"/>
      <c r="EV311" s="86"/>
      <c r="EW311" s="86"/>
      <c r="EX311" s="86"/>
      <c r="EY311" s="86"/>
      <c r="EZ311" s="86"/>
      <c r="FA311" s="86"/>
    </row>
    <row r="312" spans="2:157" ht="9.75" customHeight="1">
      <c r="B312" s="839"/>
      <c r="C312" s="839"/>
      <c r="D312" s="844"/>
      <c r="E312" s="839"/>
      <c r="F312" s="839"/>
      <c r="G312" s="852"/>
      <c r="H312" s="850"/>
      <c r="J312" s="101"/>
      <c r="K312" s="101"/>
      <c r="L312" s="101"/>
      <c r="Z312" s="86"/>
      <c r="AA312" s="86"/>
      <c r="AB312" s="86"/>
      <c r="AC312" s="86"/>
      <c r="AD312" s="86"/>
      <c r="AE312" s="86"/>
      <c r="AF312" s="86"/>
      <c r="AG312" s="86"/>
      <c r="AH312" s="86"/>
      <c r="AI312" s="86"/>
      <c r="AJ312" s="86"/>
      <c r="AK312" s="86"/>
      <c r="AL312" s="86"/>
      <c r="AM312" s="86"/>
      <c r="AN312" s="86"/>
      <c r="AO312" s="86"/>
      <c r="AP312" s="86"/>
      <c r="AQ312" s="86"/>
      <c r="AR312" s="86"/>
      <c r="AS312" s="86"/>
      <c r="AT312" s="86"/>
      <c r="AU312" s="86"/>
      <c r="AV312" s="86"/>
      <c r="AW312" s="86"/>
      <c r="AX312" s="86"/>
      <c r="AY312" s="86"/>
      <c r="AZ312" s="86"/>
      <c r="BA312" s="86"/>
      <c r="BB312" s="86"/>
      <c r="BC312" s="86"/>
      <c r="BD312" s="86"/>
      <c r="BE312" s="86"/>
      <c r="BF312" s="86"/>
      <c r="BG312" s="86"/>
      <c r="BH312" s="86"/>
      <c r="BI312" s="86"/>
      <c r="BJ312" s="86"/>
      <c r="BK312" s="86"/>
      <c r="BL312" s="86"/>
      <c r="BM312" s="86"/>
      <c r="BN312" s="86"/>
      <c r="BO312" s="86"/>
      <c r="BP312" s="86"/>
      <c r="BQ312" s="86"/>
      <c r="BR312" s="86"/>
      <c r="BS312" s="86"/>
      <c r="BT312" s="86"/>
      <c r="BU312" s="86"/>
      <c r="BV312" s="86"/>
      <c r="BW312" s="86"/>
      <c r="BX312" s="86"/>
      <c r="BY312" s="86"/>
      <c r="BZ312" s="86"/>
      <c r="CA312" s="86"/>
      <c r="CB312" s="86"/>
      <c r="CC312" s="86"/>
      <c r="CD312" s="86"/>
      <c r="CE312" s="86"/>
      <c r="CF312" s="86"/>
      <c r="CG312" s="86"/>
      <c r="CH312" s="86"/>
      <c r="CI312" s="86"/>
      <c r="CJ312" s="86"/>
      <c r="CK312" s="86"/>
      <c r="CL312" s="86"/>
      <c r="CM312" s="86"/>
      <c r="CN312" s="86"/>
      <c r="CO312" s="86"/>
      <c r="CP312" s="86"/>
      <c r="CQ312" s="86"/>
      <c r="CR312" s="86"/>
      <c r="CS312" s="86"/>
      <c r="CT312" s="86"/>
      <c r="CU312" s="86"/>
      <c r="CV312" s="86"/>
      <c r="CW312" s="86"/>
      <c r="CX312" s="86"/>
      <c r="CY312" s="86"/>
      <c r="CZ312" s="86"/>
      <c r="DA312" s="86"/>
      <c r="DB312" s="86"/>
      <c r="DC312" s="86"/>
      <c r="DD312" s="86"/>
      <c r="DE312" s="86"/>
      <c r="DF312" s="86"/>
      <c r="DG312" s="86"/>
      <c r="DH312" s="86"/>
      <c r="DI312" s="86"/>
      <c r="DJ312" s="86"/>
      <c r="DK312" s="86"/>
      <c r="DL312" s="86"/>
      <c r="DM312" s="86"/>
      <c r="DN312" s="86"/>
      <c r="DO312" s="86"/>
      <c r="DP312" s="86"/>
      <c r="DQ312" s="86"/>
      <c r="DR312" s="86"/>
      <c r="DS312" s="86"/>
      <c r="DT312" s="86"/>
      <c r="DU312" s="86"/>
      <c r="DV312" s="86"/>
      <c r="DW312" s="86"/>
      <c r="DX312" s="86"/>
      <c r="DY312" s="86"/>
      <c r="DZ312" s="86"/>
      <c r="EA312" s="86"/>
      <c r="EB312" s="86"/>
      <c r="EC312" s="86"/>
      <c r="ED312" s="86"/>
      <c r="EE312" s="86"/>
      <c r="EF312" s="86"/>
      <c r="EG312" s="86"/>
      <c r="EH312" s="86"/>
      <c r="EI312" s="86"/>
      <c r="EJ312" s="86"/>
      <c r="EK312" s="86"/>
      <c r="EL312" s="86"/>
      <c r="EM312" s="86"/>
      <c r="EN312" s="86"/>
      <c r="EO312" s="86"/>
      <c r="EP312" s="86"/>
      <c r="EQ312" s="86"/>
      <c r="ER312" s="86"/>
      <c r="ES312" s="86"/>
      <c r="ET312" s="86"/>
      <c r="EU312" s="86"/>
      <c r="EV312" s="86"/>
      <c r="EW312" s="86"/>
      <c r="EX312" s="86"/>
      <c r="EY312" s="86"/>
      <c r="EZ312" s="86"/>
      <c r="FA312" s="86"/>
    </row>
    <row r="313" spans="2:157" ht="9.75" customHeight="1">
      <c r="B313" s="844" t="s">
        <v>349</v>
      </c>
      <c r="C313" s="1352" t="s">
        <v>344</v>
      </c>
      <c r="D313" s="1352"/>
      <c r="E313" s="87"/>
      <c r="F313" s="846" t="s">
        <v>170</v>
      </c>
      <c r="G313" s="847" t="s">
        <v>361</v>
      </c>
      <c r="H313" s="846" t="s">
        <v>281</v>
      </c>
      <c r="J313" s="101"/>
      <c r="K313" s="101"/>
      <c r="L313" s="101"/>
      <c r="Z313" s="86"/>
      <c r="AA313" s="86"/>
      <c r="AB313" s="86"/>
      <c r="AC313" s="86"/>
      <c r="AD313" s="86"/>
      <c r="AE313" s="86"/>
      <c r="AF313" s="86"/>
      <c r="AG313" s="86"/>
      <c r="AH313" s="86"/>
      <c r="AI313" s="86"/>
      <c r="AJ313" s="86"/>
      <c r="AK313" s="86"/>
      <c r="AL313" s="86"/>
      <c r="AM313" s="86"/>
      <c r="AN313" s="86"/>
      <c r="AO313" s="86"/>
      <c r="AP313" s="86"/>
      <c r="AQ313" s="86"/>
      <c r="AR313" s="86"/>
      <c r="AS313" s="86"/>
      <c r="AT313" s="86"/>
      <c r="AU313" s="86"/>
      <c r="AV313" s="86"/>
      <c r="AW313" s="86"/>
      <c r="AX313" s="86"/>
      <c r="AY313" s="86"/>
      <c r="AZ313" s="86"/>
      <c r="BA313" s="86"/>
      <c r="BB313" s="86"/>
      <c r="BC313" s="86"/>
      <c r="BD313" s="86"/>
      <c r="BE313" s="86"/>
      <c r="BF313" s="86"/>
      <c r="BG313" s="86"/>
      <c r="BH313" s="86"/>
      <c r="BI313" s="86"/>
      <c r="BJ313" s="86"/>
      <c r="BK313" s="86"/>
      <c r="BL313" s="86"/>
      <c r="BM313" s="86"/>
      <c r="BN313" s="86"/>
      <c r="BO313" s="86"/>
      <c r="BP313" s="86"/>
      <c r="BQ313" s="86"/>
      <c r="BR313" s="86"/>
      <c r="BS313" s="86"/>
      <c r="BT313" s="86"/>
      <c r="BU313" s="86"/>
      <c r="BV313" s="86"/>
      <c r="BW313" s="86"/>
      <c r="BX313" s="86"/>
      <c r="BY313" s="86"/>
      <c r="BZ313" s="86"/>
      <c r="CA313" s="86"/>
      <c r="CB313" s="86"/>
      <c r="CC313" s="86"/>
      <c r="CD313" s="86"/>
      <c r="CE313" s="86"/>
      <c r="CF313" s="86"/>
      <c r="CG313" s="86"/>
      <c r="CH313" s="86"/>
      <c r="CI313" s="86"/>
      <c r="CJ313" s="86"/>
      <c r="CK313" s="86"/>
      <c r="CL313" s="86"/>
      <c r="CM313" s="86"/>
      <c r="CN313" s="86"/>
      <c r="CO313" s="86"/>
      <c r="CP313" s="86"/>
      <c r="CQ313" s="86"/>
      <c r="CR313" s="86"/>
      <c r="CS313" s="86"/>
      <c r="CT313" s="86"/>
      <c r="CU313" s="86"/>
      <c r="CV313" s="86"/>
      <c r="CW313" s="86"/>
      <c r="CX313" s="86"/>
      <c r="CY313" s="86"/>
      <c r="CZ313" s="86"/>
      <c r="DA313" s="86"/>
      <c r="DB313" s="86"/>
      <c r="DC313" s="86"/>
      <c r="DD313" s="86"/>
      <c r="DE313" s="86"/>
      <c r="DF313" s="86"/>
      <c r="DG313" s="86"/>
      <c r="DH313" s="86"/>
      <c r="DI313" s="86"/>
      <c r="DJ313" s="86"/>
      <c r="DK313" s="86"/>
      <c r="DL313" s="86"/>
      <c r="DM313" s="86"/>
      <c r="DN313" s="86"/>
      <c r="DO313" s="86"/>
      <c r="DP313" s="86"/>
      <c r="DQ313" s="86"/>
      <c r="DR313" s="86"/>
      <c r="DS313" s="86"/>
      <c r="DT313" s="86"/>
      <c r="DU313" s="86"/>
      <c r="DV313" s="86"/>
      <c r="DW313" s="86"/>
      <c r="DX313" s="86"/>
      <c r="DY313" s="86"/>
      <c r="DZ313" s="86"/>
      <c r="EA313" s="86"/>
      <c r="EB313" s="86"/>
      <c r="EC313" s="86"/>
      <c r="ED313" s="86"/>
      <c r="EE313" s="86"/>
      <c r="EF313" s="86"/>
      <c r="EG313" s="86"/>
      <c r="EH313" s="86"/>
      <c r="EI313" s="86"/>
      <c r="EJ313" s="86"/>
      <c r="EK313" s="86"/>
      <c r="EL313" s="86"/>
      <c r="EM313" s="86"/>
      <c r="EN313" s="86"/>
      <c r="EO313" s="86"/>
      <c r="EP313" s="86"/>
      <c r="EQ313" s="86"/>
      <c r="ER313" s="86"/>
      <c r="ES313" s="86"/>
      <c r="ET313" s="86"/>
      <c r="EU313" s="86"/>
      <c r="EV313" s="86"/>
      <c r="EW313" s="86"/>
      <c r="EX313" s="86"/>
      <c r="EY313" s="86"/>
      <c r="EZ313" s="86"/>
      <c r="FA313" s="86"/>
    </row>
    <row r="314" spans="2:157" ht="10.050000000000001" customHeight="1">
      <c r="B314" s="845" t="s">
        <v>546</v>
      </c>
      <c r="C314" s="1350" t="s">
        <v>106</v>
      </c>
      <c r="D314" s="1350"/>
      <c r="E314" s="87"/>
      <c r="F314" s="848" t="s">
        <v>546</v>
      </c>
      <c r="G314" s="848" t="s">
        <v>546</v>
      </c>
      <c r="H314" s="1016">
        <v>0.13</v>
      </c>
      <c r="J314" s="101"/>
      <c r="K314" s="101"/>
      <c r="L314" s="101"/>
      <c r="Z314" s="86"/>
      <c r="AA314" s="86"/>
      <c r="AB314" s="86"/>
      <c r="AC314" s="86"/>
      <c r="AD314" s="86"/>
      <c r="AE314" s="86"/>
      <c r="AF314" s="86"/>
      <c r="AG314" s="86"/>
      <c r="AH314" s="86"/>
      <c r="AI314" s="86"/>
      <c r="AJ314" s="86"/>
      <c r="AK314" s="86"/>
      <c r="AL314" s="86"/>
      <c r="AM314" s="86"/>
      <c r="AN314" s="86"/>
      <c r="AO314" s="86"/>
      <c r="AP314" s="86"/>
      <c r="AQ314" s="86"/>
      <c r="AR314" s="86"/>
      <c r="AS314" s="86"/>
      <c r="AT314" s="86"/>
      <c r="AU314" s="86"/>
      <c r="AV314" s="86"/>
      <c r="AW314" s="86"/>
      <c r="AX314" s="86"/>
      <c r="AY314" s="86"/>
      <c r="AZ314" s="86"/>
      <c r="BA314" s="86"/>
      <c r="BB314" s="86"/>
      <c r="BC314" s="86"/>
      <c r="BD314" s="86"/>
      <c r="BE314" s="86"/>
      <c r="BF314" s="86"/>
      <c r="BG314" s="86"/>
      <c r="BH314" s="86"/>
      <c r="BI314" s="86"/>
      <c r="BJ314" s="86"/>
      <c r="BK314" s="86"/>
      <c r="BL314" s="86"/>
      <c r="BM314" s="86"/>
      <c r="BN314" s="86"/>
      <c r="BO314" s="86"/>
      <c r="BP314" s="86"/>
      <c r="BQ314" s="86"/>
      <c r="BR314" s="86"/>
      <c r="BS314" s="86"/>
      <c r="BT314" s="86"/>
      <c r="BU314" s="86"/>
      <c r="BV314" s="86"/>
      <c r="BW314" s="86"/>
      <c r="BX314" s="86"/>
      <c r="BY314" s="86"/>
      <c r="BZ314" s="86"/>
      <c r="CA314" s="86"/>
      <c r="CB314" s="86"/>
      <c r="CC314" s="86"/>
      <c r="CD314" s="86"/>
      <c r="CE314" s="86"/>
      <c r="CF314" s="86"/>
      <c r="CG314" s="86"/>
      <c r="CH314" s="86"/>
      <c r="CI314" s="86"/>
      <c r="CJ314" s="86"/>
      <c r="CK314" s="86"/>
      <c r="CL314" s="86"/>
      <c r="CM314" s="86"/>
      <c r="CN314" s="86"/>
      <c r="CO314" s="86"/>
      <c r="CP314" s="86"/>
      <c r="CQ314" s="86"/>
      <c r="CR314" s="86"/>
      <c r="CS314" s="86"/>
      <c r="CT314" s="86"/>
      <c r="CU314" s="86"/>
      <c r="CV314" s="86"/>
      <c r="CW314" s="86"/>
      <c r="CX314" s="86"/>
      <c r="CY314" s="86"/>
      <c r="CZ314" s="86"/>
      <c r="DA314" s="86"/>
      <c r="DB314" s="86"/>
      <c r="DC314" s="86"/>
      <c r="DD314" s="86"/>
      <c r="DE314" s="86"/>
      <c r="DF314" s="86"/>
      <c r="DG314" s="86"/>
      <c r="DH314" s="86"/>
      <c r="DI314" s="86"/>
      <c r="DJ314" s="86"/>
      <c r="DK314" s="86"/>
      <c r="DL314" s="86"/>
      <c r="DM314" s="86"/>
      <c r="DN314" s="86"/>
      <c r="DO314" s="86"/>
      <c r="DP314" s="86"/>
      <c r="DQ314" s="86"/>
      <c r="DR314" s="86"/>
      <c r="DS314" s="86"/>
      <c r="DT314" s="86"/>
      <c r="DU314" s="86"/>
      <c r="DV314" s="86"/>
      <c r="DW314" s="86"/>
      <c r="DX314" s="86"/>
      <c r="DY314" s="86"/>
      <c r="DZ314" s="86"/>
      <c r="EA314" s="86"/>
      <c r="EB314" s="86"/>
      <c r="EC314" s="86"/>
      <c r="ED314" s="86"/>
      <c r="EE314" s="86"/>
      <c r="EF314" s="86"/>
      <c r="EG314" s="86"/>
      <c r="EH314" s="86"/>
      <c r="EI314" s="86"/>
      <c r="EJ314" s="86"/>
      <c r="EK314" s="86"/>
      <c r="EL314" s="86"/>
      <c r="EM314" s="86"/>
      <c r="EN314" s="86"/>
      <c r="EO314" s="86"/>
      <c r="EP314" s="86"/>
      <c r="EQ314" s="86"/>
      <c r="ER314" s="86"/>
      <c r="ES314" s="86"/>
      <c r="ET314" s="86"/>
      <c r="EU314" s="86"/>
      <c r="EV314" s="86"/>
      <c r="EW314" s="86"/>
      <c r="EX314" s="86"/>
      <c r="EY314" s="86"/>
      <c r="EZ314" s="86"/>
      <c r="FA314" s="86"/>
    </row>
    <row r="315" spans="2:157" ht="9.75" customHeight="1">
      <c r="B315" s="845">
        <v>1</v>
      </c>
      <c r="C315" s="1344"/>
      <c r="D315" s="1344"/>
      <c r="E315" s="1344"/>
      <c r="F315" s="857"/>
      <c r="G315" s="857"/>
      <c r="H315" s="875" t="str">
        <f t="shared" ref="H315:H323" si="14">IF(G315=0,"",(F315/(G315+0.00000000001)))</f>
        <v/>
      </c>
      <c r="J315" s="101"/>
      <c r="K315" s="101"/>
      <c r="L315" s="101"/>
      <c r="Z315" s="86"/>
      <c r="AA315" s="86"/>
      <c r="AB315" s="86"/>
      <c r="AC315" s="86"/>
      <c r="AD315" s="86"/>
      <c r="AE315" s="86"/>
      <c r="AF315" s="86"/>
      <c r="AG315" s="86"/>
      <c r="AH315" s="86"/>
      <c r="AI315" s="86"/>
      <c r="AJ315" s="86"/>
      <c r="AK315" s="86"/>
      <c r="AL315" s="86"/>
      <c r="AM315" s="86"/>
      <c r="AN315" s="86"/>
      <c r="AO315" s="86"/>
      <c r="AP315" s="86"/>
      <c r="AQ315" s="86"/>
      <c r="AR315" s="86"/>
      <c r="AS315" s="86"/>
      <c r="AT315" s="86"/>
      <c r="AU315" s="86"/>
      <c r="AV315" s="86"/>
      <c r="AW315" s="86"/>
      <c r="AX315" s="86"/>
      <c r="AY315" s="86"/>
      <c r="AZ315" s="86"/>
      <c r="BA315" s="86"/>
      <c r="BB315" s="86"/>
      <c r="BC315" s="86"/>
      <c r="BD315" s="86"/>
      <c r="BE315" s="86"/>
      <c r="BF315" s="86"/>
      <c r="BG315" s="86"/>
      <c r="BH315" s="86"/>
      <c r="BI315" s="86"/>
      <c r="BJ315" s="86"/>
      <c r="BK315" s="86"/>
      <c r="BL315" s="86"/>
      <c r="BM315" s="86"/>
      <c r="BN315" s="86"/>
      <c r="BO315" s="86"/>
      <c r="BP315" s="86"/>
      <c r="BQ315" s="86"/>
      <c r="BR315" s="86"/>
      <c r="BS315" s="86"/>
      <c r="BT315" s="86"/>
      <c r="BU315" s="86"/>
      <c r="BV315" s="86"/>
      <c r="BW315" s="86"/>
      <c r="BX315" s="86"/>
      <c r="BY315" s="86"/>
      <c r="BZ315" s="86"/>
      <c r="CA315" s="86"/>
      <c r="CB315" s="86"/>
      <c r="CC315" s="86"/>
      <c r="CD315" s="86"/>
      <c r="CE315" s="86"/>
      <c r="CF315" s="86"/>
      <c r="CG315" s="86"/>
      <c r="CH315" s="86"/>
      <c r="CI315" s="86"/>
      <c r="CJ315" s="86"/>
      <c r="CK315" s="86"/>
      <c r="CL315" s="86"/>
      <c r="CM315" s="86"/>
      <c r="CN315" s="86"/>
      <c r="CO315" s="86"/>
      <c r="CP315" s="86"/>
      <c r="CQ315" s="86"/>
      <c r="CR315" s="86"/>
      <c r="CS315" s="86"/>
      <c r="CT315" s="86"/>
      <c r="CU315" s="86"/>
      <c r="CV315" s="86"/>
      <c r="CW315" s="86"/>
      <c r="CX315" s="86"/>
      <c r="CY315" s="86"/>
      <c r="CZ315" s="86"/>
      <c r="DA315" s="86"/>
      <c r="DB315" s="86"/>
      <c r="DC315" s="86"/>
      <c r="DD315" s="86"/>
      <c r="DE315" s="86"/>
      <c r="DF315" s="86"/>
      <c r="DG315" s="86"/>
      <c r="DH315" s="86"/>
      <c r="DI315" s="86"/>
      <c r="DJ315" s="86"/>
      <c r="DK315" s="86"/>
      <c r="DL315" s="86"/>
      <c r="DM315" s="86"/>
      <c r="DN315" s="86"/>
      <c r="DO315" s="86"/>
      <c r="DP315" s="86"/>
      <c r="DQ315" s="86"/>
      <c r="DR315" s="86"/>
      <c r="DS315" s="86"/>
      <c r="DT315" s="86"/>
      <c r="DU315" s="86"/>
      <c r="DV315" s="86"/>
      <c r="DW315" s="86"/>
      <c r="DX315" s="86"/>
      <c r="DY315" s="86"/>
      <c r="DZ315" s="86"/>
      <c r="EA315" s="86"/>
      <c r="EB315" s="86"/>
      <c r="EC315" s="86"/>
      <c r="ED315" s="86"/>
      <c r="EE315" s="86"/>
      <c r="EF315" s="86"/>
      <c r="EG315" s="86"/>
      <c r="EH315" s="86"/>
      <c r="EI315" s="86"/>
      <c r="EJ315" s="86"/>
      <c r="EK315" s="86"/>
      <c r="EL315" s="86"/>
      <c r="EM315" s="86"/>
      <c r="EN315" s="86"/>
      <c r="EO315" s="86"/>
      <c r="EP315" s="86"/>
      <c r="EQ315" s="86"/>
      <c r="ER315" s="86"/>
      <c r="ES315" s="86"/>
      <c r="ET315" s="86"/>
      <c r="EU315" s="86"/>
      <c r="EV315" s="86"/>
      <c r="EW315" s="86"/>
      <c r="EX315" s="86"/>
      <c r="EY315" s="86"/>
      <c r="EZ315" s="86"/>
      <c r="FA315" s="86"/>
    </row>
    <row r="316" spans="2:157" ht="9.75" customHeight="1">
      <c r="B316" s="845">
        <v>2</v>
      </c>
      <c r="C316" s="1344"/>
      <c r="D316" s="1344"/>
      <c r="E316" s="1344"/>
      <c r="F316" s="857"/>
      <c r="G316" s="857"/>
      <c r="H316" s="875" t="str">
        <f t="shared" si="14"/>
        <v/>
      </c>
      <c r="J316" s="101"/>
      <c r="K316" s="101"/>
      <c r="L316" s="101"/>
      <c r="Z316" s="86"/>
      <c r="AA316" s="86"/>
      <c r="AB316" s="86"/>
      <c r="AC316" s="86"/>
      <c r="AD316" s="86"/>
      <c r="AE316" s="86"/>
      <c r="AF316" s="86"/>
      <c r="AG316" s="86"/>
      <c r="AH316" s="86"/>
      <c r="AI316" s="86"/>
      <c r="AJ316" s="86"/>
      <c r="AK316" s="86"/>
      <c r="AL316" s="86"/>
      <c r="AM316" s="86"/>
      <c r="AN316" s="86"/>
      <c r="AO316" s="86"/>
      <c r="AP316" s="86"/>
      <c r="AQ316" s="86"/>
      <c r="AR316" s="86"/>
      <c r="AS316" s="86"/>
      <c r="AT316" s="86"/>
      <c r="AU316" s="86"/>
      <c r="AV316" s="86"/>
      <c r="AW316" s="86"/>
      <c r="AX316" s="86"/>
      <c r="AY316" s="86"/>
      <c r="AZ316" s="86"/>
      <c r="BA316" s="86"/>
      <c r="BB316" s="86"/>
      <c r="BC316" s="86"/>
      <c r="BD316" s="86"/>
      <c r="BE316" s="86"/>
      <c r="BF316" s="86"/>
      <c r="BG316" s="86"/>
      <c r="BH316" s="86"/>
      <c r="BI316" s="86"/>
      <c r="BJ316" s="86"/>
      <c r="BK316" s="86"/>
      <c r="BL316" s="86"/>
      <c r="BM316" s="86"/>
      <c r="BN316" s="86"/>
      <c r="BO316" s="86"/>
      <c r="BP316" s="86"/>
      <c r="BQ316" s="86"/>
      <c r="BR316" s="86"/>
      <c r="BS316" s="86"/>
      <c r="BT316" s="86"/>
      <c r="BU316" s="86"/>
      <c r="BV316" s="86"/>
      <c r="BW316" s="86"/>
      <c r="BX316" s="86"/>
      <c r="BY316" s="86"/>
      <c r="BZ316" s="86"/>
      <c r="CA316" s="86"/>
      <c r="CB316" s="86"/>
      <c r="CC316" s="86"/>
      <c r="CD316" s="86"/>
      <c r="CE316" s="86"/>
      <c r="CF316" s="86"/>
      <c r="CG316" s="86"/>
      <c r="CH316" s="86"/>
      <c r="CI316" s="86"/>
      <c r="CJ316" s="86"/>
      <c r="CK316" s="86"/>
      <c r="CL316" s="86"/>
      <c r="CM316" s="86"/>
      <c r="CN316" s="86"/>
      <c r="CO316" s="86"/>
      <c r="CP316" s="86"/>
      <c r="CQ316" s="86"/>
      <c r="CR316" s="86"/>
      <c r="CS316" s="86"/>
      <c r="CT316" s="86"/>
      <c r="CU316" s="86"/>
      <c r="CV316" s="86"/>
      <c r="CW316" s="86"/>
      <c r="CX316" s="86"/>
      <c r="CY316" s="86"/>
      <c r="CZ316" s="86"/>
      <c r="DA316" s="86"/>
      <c r="DB316" s="86"/>
      <c r="DC316" s="86"/>
      <c r="DD316" s="86"/>
      <c r="DE316" s="86"/>
      <c r="DF316" s="86"/>
      <c r="DG316" s="86"/>
      <c r="DH316" s="86"/>
      <c r="DI316" s="86"/>
      <c r="DJ316" s="86"/>
      <c r="DK316" s="86"/>
      <c r="DL316" s="86"/>
      <c r="DM316" s="86"/>
      <c r="DN316" s="86"/>
      <c r="DO316" s="86"/>
      <c r="DP316" s="86"/>
      <c r="DQ316" s="86"/>
      <c r="DR316" s="86"/>
      <c r="DS316" s="86"/>
      <c r="DT316" s="86"/>
      <c r="DU316" s="86"/>
      <c r="DV316" s="86"/>
      <c r="DW316" s="86"/>
      <c r="DX316" s="86"/>
      <c r="DY316" s="86"/>
      <c r="DZ316" s="86"/>
      <c r="EA316" s="86"/>
      <c r="EB316" s="86"/>
      <c r="EC316" s="86"/>
      <c r="ED316" s="86"/>
      <c r="EE316" s="86"/>
      <c r="EF316" s="86"/>
      <c r="EG316" s="86"/>
      <c r="EH316" s="86"/>
      <c r="EI316" s="86"/>
      <c r="EJ316" s="86"/>
      <c r="EK316" s="86"/>
      <c r="EL316" s="86"/>
      <c r="EM316" s="86"/>
      <c r="EN316" s="86"/>
      <c r="EO316" s="86"/>
      <c r="EP316" s="86"/>
      <c r="EQ316" s="86"/>
      <c r="ER316" s="86"/>
      <c r="ES316" s="86"/>
      <c r="ET316" s="86"/>
      <c r="EU316" s="86"/>
      <c r="EV316" s="86"/>
      <c r="EW316" s="86"/>
      <c r="EX316" s="86"/>
      <c r="EY316" s="86"/>
      <c r="EZ316" s="86"/>
      <c r="FA316" s="86"/>
    </row>
    <row r="317" spans="2:157" ht="9.75" customHeight="1">
      <c r="B317" s="845">
        <v>3</v>
      </c>
      <c r="C317" s="1344"/>
      <c r="D317" s="1344"/>
      <c r="E317" s="1344"/>
      <c r="F317" s="857"/>
      <c r="G317" s="857"/>
      <c r="H317" s="875" t="str">
        <f t="shared" si="14"/>
        <v/>
      </c>
      <c r="J317" s="101"/>
      <c r="K317" s="101"/>
      <c r="L317" s="101"/>
      <c r="Z317" s="86"/>
      <c r="AA317" s="86"/>
      <c r="AB317" s="86"/>
      <c r="AC317" s="86"/>
      <c r="AD317" s="86"/>
      <c r="AE317" s="86"/>
      <c r="AF317" s="86"/>
      <c r="AG317" s="86"/>
      <c r="AH317" s="86"/>
      <c r="AI317" s="86"/>
      <c r="AJ317" s="86"/>
      <c r="AK317" s="86"/>
      <c r="AL317" s="86"/>
      <c r="AM317" s="86"/>
      <c r="AN317" s="86"/>
      <c r="AO317" s="86"/>
      <c r="AP317" s="86"/>
      <c r="AQ317" s="86"/>
      <c r="AR317" s="86"/>
      <c r="AS317" s="86"/>
      <c r="AT317" s="86"/>
      <c r="AU317" s="86"/>
      <c r="AV317" s="86"/>
      <c r="AW317" s="86"/>
      <c r="AX317" s="86"/>
      <c r="AY317" s="86"/>
      <c r="AZ317" s="86"/>
      <c r="BA317" s="86"/>
      <c r="BB317" s="86"/>
      <c r="BC317" s="86"/>
      <c r="BD317" s="86"/>
      <c r="BE317" s="86"/>
      <c r="BF317" s="86"/>
      <c r="BG317" s="86"/>
      <c r="BH317" s="86"/>
      <c r="BI317" s="86"/>
      <c r="BJ317" s="86"/>
      <c r="BK317" s="86"/>
      <c r="BL317" s="86"/>
      <c r="BM317" s="86"/>
      <c r="BN317" s="86"/>
      <c r="BO317" s="86"/>
      <c r="BP317" s="86"/>
      <c r="BQ317" s="86"/>
      <c r="BR317" s="86"/>
      <c r="BS317" s="86"/>
      <c r="BT317" s="86"/>
      <c r="BU317" s="86"/>
      <c r="BV317" s="86"/>
      <c r="BW317" s="86"/>
      <c r="BX317" s="86"/>
      <c r="BY317" s="86"/>
      <c r="BZ317" s="86"/>
      <c r="CA317" s="86"/>
      <c r="CB317" s="86"/>
      <c r="CC317" s="86"/>
      <c r="CD317" s="86"/>
      <c r="CE317" s="86"/>
      <c r="CF317" s="86"/>
      <c r="CG317" s="86"/>
      <c r="CH317" s="86"/>
      <c r="CI317" s="86"/>
      <c r="CJ317" s="86"/>
      <c r="CK317" s="86"/>
      <c r="CL317" s="86"/>
      <c r="CM317" s="86"/>
      <c r="CN317" s="86"/>
      <c r="CO317" s="86"/>
      <c r="CP317" s="86"/>
      <c r="CQ317" s="86"/>
      <c r="CR317" s="86"/>
      <c r="CS317" s="86"/>
      <c r="CT317" s="86"/>
      <c r="CU317" s="86"/>
      <c r="CV317" s="86"/>
      <c r="CW317" s="86"/>
      <c r="CX317" s="86"/>
      <c r="CY317" s="86"/>
      <c r="CZ317" s="86"/>
      <c r="DA317" s="86"/>
      <c r="DB317" s="86"/>
      <c r="DC317" s="86"/>
      <c r="DD317" s="86"/>
      <c r="DE317" s="86"/>
      <c r="DF317" s="86"/>
      <c r="DG317" s="86"/>
      <c r="DH317" s="86"/>
      <c r="DI317" s="86"/>
      <c r="DJ317" s="86"/>
      <c r="DK317" s="86"/>
      <c r="DL317" s="86"/>
      <c r="DM317" s="86"/>
      <c r="DN317" s="86"/>
      <c r="DO317" s="86"/>
      <c r="DP317" s="86"/>
      <c r="DQ317" s="86"/>
      <c r="DR317" s="86"/>
      <c r="DS317" s="86"/>
      <c r="DT317" s="86"/>
      <c r="DU317" s="86"/>
      <c r="DV317" s="86"/>
      <c r="DW317" s="86"/>
      <c r="DX317" s="86"/>
      <c r="DY317" s="86"/>
      <c r="DZ317" s="86"/>
      <c r="EA317" s="86"/>
      <c r="EB317" s="86"/>
      <c r="EC317" s="86"/>
      <c r="ED317" s="86"/>
      <c r="EE317" s="86"/>
      <c r="EF317" s="86"/>
      <c r="EG317" s="86"/>
      <c r="EH317" s="86"/>
      <c r="EI317" s="86"/>
      <c r="EJ317" s="86"/>
      <c r="EK317" s="86"/>
      <c r="EL317" s="86"/>
      <c r="EM317" s="86"/>
      <c r="EN317" s="86"/>
      <c r="EO317" s="86"/>
      <c r="EP317" s="86"/>
      <c r="EQ317" s="86"/>
      <c r="ER317" s="86"/>
      <c r="ES317" s="86"/>
      <c r="ET317" s="86"/>
      <c r="EU317" s="86"/>
      <c r="EV317" s="86"/>
      <c r="EW317" s="86"/>
      <c r="EX317" s="86"/>
      <c r="EY317" s="86"/>
      <c r="EZ317" s="86"/>
      <c r="FA317" s="86"/>
    </row>
    <row r="318" spans="2:157" ht="9.75" customHeight="1">
      <c r="B318" s="845">
        <v>4</v>
      </c>
      <c r="C318" s="1344"/>
      <c r="D318" s="1344"/>
      <c r="E318" s="1344"/>
      <c r="F318" s="857"/>
      <c r="G318" s="857"/>
      <c r="H318" s="875" t="str">
        <f t="shared" si="14"/>
        <v/>
      </c>
      <c r="J318" s="101"/>
      <c r="K318" s="101"/>
      <c r="L318" s="101"/>
      <c r="Z318" s="86"/>
      <c r="AA318" s="86"/>
      <c r="AB318" s="86"/>
      <c r="AC318" s="86"/>
      <c r="AD318" s="86"/>
      <c r="AE318" s="86"/>
      <c r="AF318" s="86"/>
      <c r="AG318" s="86"/>
      <c r="AH318" s="86"/>
      <c r="AI318" s="86"/>
      <c r="AJ318" s="86"/>
      <c r="AK318" s="86"/>
      <c r="AL318" s="86"/>
      <c r="AM318" s="86"/>
      <c r="AN318" s="86"/>
      <c r="AO318" s="86"/>
      <c r="AP318" s="86"/>
      <c r="AQ318" s="86"/>
      <c r="AR318" s="86"/>
      <c r="AS318" s="86"/>
      <c r="AT318" s="86"/>
      <c r="AU318" s="86"/>
      <c r="AV318" s="86"/>
      <c r="AW318" s="86"/>
      <c r="AX318" s="86"/>
      <c r="AY318" s="86"/>
      <c r="AZ318" s="86"/>
      <c r="BA318" s="86"/>
      <c r="BB318" s="86"/>
      <c r="BC318" s="86"/>
      <c r="BD318" s="86"/>
      <c r="BE318" s="86"/>
      <c r="BF318" s="86"/>
      <c r="BG318" s="86"/>
      <c r="BH318" s="86"/>
      <c r="BI318" s="86"/>
      <c r="BJ318" s="86"/>
      <c r="BK318" s="86"/>
      <c r="BL318" s="86"/>
      <c r="BM318" s="86"/>
      <c r="BN318" s="86"/>
      <c r="BO318" s="86"/>
      <c r="BP318" s="86"/>
      <c r="BQ318" s="86"/>
      <c r="BR318" s="86"/>
      <c r="BS318" s="86"/>
      <c r="BT318" s="86"/>
      <c r="BU318" s="86"/>
      <c r="BV318" s="86"/>
      <c r="BW318" s="86"/>
      <c r="BX318" s="86"/>
      <c r="BY318" s="86"/>
      <c r="BZ318" s="86"/>
      <c r="CA318" s="86"/>
      <c r="CB318" s="86"/>
      <c r="CC318" s="86"/>
      <c r="CD318" s="86"/>
      <c r="CE318" s="86"/>
      <c r="CF318" s="86"/>
      <c r="CG318" s="86"/>
      <c r="CH318" s="86"/>
      <c r="CI318" s="86"/>
      <c r="CJ318" s="86"/>
      <c r="CK318" s="86"/>
      <c r="CL318" s="86"/>
      <c r="CM318" s="86"/>
      <c r="CN318" s="86"/>
      <c r="CO318" s="86"/>
      <c r="CP318" s="86"/>
      <c r="CQ318" s="86"/>
      <c r="CR318" s="86"/>
      <c r="CS318" s="86"/>
      <c r="CT318" s="86"/>
      <c r="CU318" s="86"/>
      <c r="CV318" s="86"/>
      <c r="CW318" s="86"/>
      <c r="CX318" s="86"/>
      <c r="CY318" s="86"/>
      <c r="CZ318" s="86"/>
      <c r="DA318" s="86"/>
      <c r="DB318" s="86"/>
      <c r="DC318" s="86"/>
      <c r="DD318" s="86"/>
      <c r="DE318" s="86"/>
      <c r="DF318" s="86"/>
      <c r="DG318" s="86"/>
      <c r="DH318" s="86"/>
      <c r="DI318" s="86"/>
      <c r="DJ318" s="86"/>
      <c r="DK318" s="86"/>
      <c r="DL318" s="86"/>
      <c r="DM318" s="86"/>
      <c r="DN318" s="86"/>
      <c r="DO318" s="86"/>
      <c r="DP318" s="86"/>
      <c r="DQ318" s="86"/>
      <c r="DR318" s="86"/>
      <c r="DS318" s="86"/>
      <c r="DT318" s="86"/>
      <c r="DU318" s="86"/>
      <c r="DV318" s="86"/>
      <c r="DW318" s="86"/>
      <c r="DX318" s="86"/>
      <c r="DY318" s="86"/>
      <c r="DZ318" s="86"/>
      <c r="EA318" s="86"/>
      <c r="EB318" s="86"/>
      <c r="EC318" s="86"/>
      <c r="ED318" s="86"/>
      <c r="EE318" s="86"/>
      <c r="EF318" s="86"/>
      <c r="EG318" s="86"/>
      <c r="EH318" s="86"/>
      <c r="EI318" s="86"/>
      <c r="EJ318" s="86"/>
      <c r="EK318" s="86"/>
      <c r="EL318" s="86"/>
      <c r="EM318" s="86"/>
      <c r="EN318" s="86"/>
      <c r="EO318" s="86"/>
      <c r="EP318" s="86"/>
      <c r="EQ318" s="86"/>
      <c r="ER318" s="86"/>
      <c r="ES318" s="86"/>
      <c r="ET318" s="86"/>
      <c r="EU318" s="86"/>
      <c r="EV318" s="86"/>
      <c r="EW318" s="86"/>
      <c r="EX318" s="86"/>
      <c r="EY318" s="86"/>
      <c r="EZ318" s="86"/>
      <c r="FA318" s="86"/>
    </row>
    <row r="319" spans="2:157" ht="9.75" customHeight="1">
      <c r="B319" s="845">
        <v>5</v>
      </c>
      <c r="C319" s="1344"/>
      <c r="D319" s="1344"/>
      <c r="E319" s="1344"/>
      <c r="F319" s="857"/>
      <c r="G319" s="857"/>
      <c r="H319" s="875" t="str">
        <f t="shared" si="14"/>
        <v/>
      </c>
      <c r="J319" s="101"/>
      <c r="K319" s="101"/>
      <c r="L319" s="101"/>
      <c r="Z319" s="86"/>
      <c r="AA319" s="86"/>
      <c r="AB319" s="86"/>
      <c r="AC319" s="86"/>
      <c r="AD319" s="86"/>
      <c r="AE319" s="86"/>
      <c r="AF319" s="86"/>
      <c r="AG319" s="86"/>
      <c r="AH319" s="86"/>
      <c r="AI319" s="86"/>
      <c r="AJ319" s="86"/>
      <c r="AK319" s="86"/>
      <c r="AL319" s="86"/>
      <c r="AM319" s="86"/>
      <c r="AN319" s="86"/>
      <c r="AO319" s="86"/>
      <c r="AP319" s="86"/>
      <c r="AQ319" s="86"/>
      <c r="AR319" s="86"/>
      <c r="AS319" s="86"/>
      <c r="AT319" s="86"/>
      <c r="AU319" s="86"/>
      <c r="AV319" s="86"/>
      <c r="AW319" s="86"/>
      <c r="AX319" s="86"/>
      <c r="AY319" s="86"/>
      <c r="AZ319" s="86"/>
      <c r="BA319" s="86"/>
      <c r="BB319" s="86"/>
      <c r="BC319" s="86"/>
      <c r="BD319" s="86"/>
      <c r="BE319" s="86"/>
      <c r="BF319" s="86"/>
      <c r="BG319" s="86"/>
      <c r="BH319" s="86"/>
      <c r="BI319" s="86"/>
      <c r="BJ319" s="86"/>
      <c r="BK319" s="86"/>
      <c r="BL319" s="86"/>
      <c r="BM319" s="86"/>
      <c r="BN319" s="86"/>
      <c r="BO319" s="86"/>
      <c r="BP319" s="86"/>
      <c r="BQ319" s="86"/>
      <c r="BR319" s="86"/>
      <c r="BS319" s="86"/>
      <c r="BT319" s="86"/>
      <c r="BU319" s="86"/>
      <c r="BV319" s="86"/>
      <c r="BW319" s="86"/>
      <c r="BX319" s="86"/>
      <c r="BY319" s="86"/>
      <c r="BZ319" s="86"/>
      <c r="CA319" s="86"/>
      <c r="CB319" s="86"/>
      <c r="CC319" s="86"/>
      <c r="CD319" s="86"/>
      <c r="CE319" s="86"/>
      <c r="CF319" s="86"/>
      <c r="CG319" s="86"/>
      <c r="CH319" s="86"/>
      <c r="CI319" s="86"/>
      <c r="CJ319" s="86"/>
      <c r="CK319" s="86"/>
      <c r="CL319" s="86"/>
      <c r="CM319" s="86"/>
      <c r="CN319" s="86"/>
      <c r="CO319" s="86"/>
      <c r="CP319" s="86"/>
      <c r="CQ319" s="86"/>
      <c r="CR319" s="86"/>
      <c r="CS319" s="86"/>
      <c r="CT319" s="86"/>
      <c r="CU319" s="86"/>
      <c r="CV319" s="86"/>
      <c r="CW319" s="86"/>
      <c r="CX319" s="86"/>
      <c r="CY319" s="86"/>
      <c r="CZ319" s="86"/>
      <c r="DA319" s="86"/>
      <c r="DB319" s="86"/>
      <c r="DC319" s="86"/>
      <c r="DD319" s="86"/>
      <c r="DE319" s="86"/>
      <c r="DF319" s="86"/>
      <c r="DG319" s="86"/>
      <c r="DH319" s="86"/>
      <c r="DI319" s="86"/>
      <c r="DJ319" s="86"/>
      <c r="DK319" s="86"/>
      <c r="DL319" s="86"/>
      <c r="DM319" s="86"/>
      <c r="DN319" s="86"/>
      <c r="DO319" s="86"/>
      <c r="DP319" s="86"/>
      <c r="DQ319" s="86"/>
      <c r="DR319" s="86"/>
      <c r="DS319" s="86"/>
      <c r="DT319" s="86"/>
      <c r="DU319" s="86"/>
      <c r="DV319" s="86"/>
      <c r="DW319" s="86"/>
      <c r="DX319" s="86"/>
      <c r="DY319" s="86"/>
      <c r="DZ319" s="86"/>
      <c r="EA319" s="86"/>
      <c r="EB319" s="86"/>
      <c r="EC319" s="86"/>
      <c r="ED319" s="86"/>
      <c r="EE319" s="86"/>
      <c r="EF319" s="86"/>
      <c r="EG319" s="86"/>
      <c r="EH319" s="86"/>
      <c r="EI319" s="86"/>
      <c r="EJ319" s="86"/>
      <c r="EK319" s="86"/>
      <c r="EL319" s="86"/>
      <c r="EM319" s="86"/>
      <c r="EN319" s="86"/>
      <c r="EO319" s="86"/>
      <c r="EP319" s="86"/>
      <c r="EQ319" s="86"/>
      <c r="ER319" s="86"/>
      <c r="ES319" s="86"/>
      <c r="ET319" s="86"/>
      <c r="EU319" s="86"/>
      <c r="EV319" s="86"/>
      <c r="EW319" s="86"/>
      <c r="EX319" s="86"/>
      <c r="EY319" s="86"/>
      <c r="EZ319" s="86"/>
      <c r="FA319" s="86"/>
    </row>
    <row r="320" spans="2:157" ht="9.75" customHeight="1">
      <c r="B320" s="845">
        <v>6</v>
      </c>
      <c r="C320" s="1344"/>
      <c r="D320" s="1344"/>
      <c r="E320" s="1344"/>
      <c r="F320" s="857"/>
      <c r="G320" s="857"/>
      <c r="H320" s="875" t="str">
        <f t="shared" si="14"/>
        <v/>
      </c>
      <c r="J320" s="101"/>
      <c r="K320" s="101"/>
      <c r="L320" s="101"/>
      <c r="Z320" s="86"/>
      <c r="AA320" s="86"/>
      <c r="AB320" s="86"/>
      <c r="AC320" s="86"/>
      <c r="AD320" s="86"/>
      <c r="AE320" s="86"/>
      <c r="AF320" s="86"/>
      <c r="AG320" s="86"/>
      <c r="AH320" s="86"/>
      <c r="AI320" s="86"/>
      <c r="AJ320" s="86"/>
      <c r="AK320" s="86"/>
      <c r="AL320" s="86"/>
      <c r="AM320" s="86"/>
      <c r="AN320" s="86"/>
      <c r="AO320" s="86"/>
      <c r="AP320" s="86"/>
      <c r="AQ320" s="86"/>
      <c r="AR320" s="86"/>
      <c r="AS320" s="86"/>
      <c r="AT320" s="86"/>
      <c r="AU320" s="86"/>
      <c r="AV320" s="86"/>
      <c r="AW320" s="86"/>
      <c r="AX320" s="86"/>
      <c r="AY320" s="86"/>
      <c r="AZ320" s="86"/>
      <c r="BA320" s="86"/>
      <c r="BB320" s="86"/>
      <c r="BC320" s="86"/>
      <c r="BD320" s="86"/>
      <c r="BE320" s="86"/>
      <c r="BF320" s="86"/>
      <c r="BG320" s="86"/>
      <c r="BH320" s="86"/>
      <c r="BI320" s="86"/>
      <c r="BJ320" s="86"/>
      <c r="BK320" s="86"/>
      <c r="BL320" s="86"/>
      <c r="BM320" s="86"/>
      <c r="BN320" s="86"/>
      <c r="BO320" s="86"/>
      <c r="BP320" s="86"/>
      <c r="BQ320" s="86"/>
      <c r="BR320" s="86"/>
      <c r="BS320" s="86"/>
      <c r="BT320" s="86"/>
      <c r="BU320" s="86"/>
      <c r="BV320" s="86"/>
      <c r="BW320" s="86"/>
      <c r="BX320" s="86"/>
      <c r="BY320" s="86"/>
      <c r="BZ320" s="86"/>
      <c r="CA320" s="86"/>
      <c r="CB320" s="86"/>
      <c r="CC320" s="86"/>
      <c r="CD320" s="86"/>
      <c r="CE320" s="86"/>
      <c r="CF320" s="86"/>
      <c r="CG320" s="86"/>
      <c r="CH320" s="86"/>
      <c r="CI320" s="86"/>
      <c r="CJ320" s="86"/>
      <c r="CK320" s="86"/>
      <c r="CL320" s="86"/>
      <c r="CM320" s="86"/>
      <c r="CN320" s="86"/>
      <c r="CO320" s="86"/>
      <c r="CP320" s="86"/>
      <c r="CQ320" s="86"/>
      <c r="CR320" s="86"/>
      <c r="CS320" s="86"/>
      <c r="CT320" s="86"/>
      <c r="CU320" s="86"/>
      <c r="CV320" s="86"/>
      <c r="CW320" s="86"/>
      <c r="CX320" s="86"/>
      <c r="CY320" s="86"/>
      <c r="CZ320" s="86"/>
      <c r="DA320" s="86"/>
      <c r="DB320" s="86"/>
      <c r="DC320" s="86"/>
      <c r="DD320" s="86"/>
      <c r="DE320" s="86"/>
      <c r="DF320" s="86"/>
      <c r="DG320" s="86"/>
      <c r="DH320" s="86"/>
      <c r="DI320" s="86"/>
      <c r="DJ320" s="86"/>
      <c r="DK320" s="86"/>
      <c r="DL320" s="86"/>
      <c r="DM320" s="86"/>
      <c r="DN320" s="86"/>
      <c r="DO320" s="86"/>
      <c r="DP320" s="86"/>
      <c r="DQ320" s="86"/>
      <c r="DR320" s="86"/>
      <c r="DS320" s="86"/>
      <c r="DT320" s="86"/>
      <c r="DU320" s="86"/>
      <c r="DV320" s="86"/>
      <c r="DW320" s="86"/>
      <c r="DX320" s="86"/>
      <c r="DY320" s="86"/>
      <c r="DZ320" s="86"/>
      <c r="EA320" s="86"/>
      <c r="EB320" s="86"/>
      <c r="EC320" s="86"/>
      <c r="ED320" s="86"/>
      <c r="EE320" s="86"/>
      <c r="EF320" s="86"/>
      <c r="EG320" s="86"/>
      <c r="EH320" s="86"/>
      <c r="EI320" s="86"/>
      <c r="EJ320" s="86"/>
      <c r="EK320" s="86"/>
      <c r="EL320" s="86"/>
      <c r="EM320" s="86"/>
      <c r="EN320" s="86"/>
      <c r="EO320" s="86"/>
      <c r="EP320" s="86"/>
      <c r="EQ320" s="86"/>
      <c r="ER320" s="86"/>
      <c r="ES320" s="86"/>
      <c r="ET320" s="86"/>
      <c r="EU320" s="86"/>
      <c r="EV320" s="86"/>
      <c r="EW320" s="86"/>
      <c r="EX320" s="86"/>
      <c r="EY320" s="86"/>
      <c r="EZ320" s="86"/>
      <c r="FA320" s="86"/>
    </row>
    <row r="321" spans="2:157" ht="9.75" customHeight="1">
      <c r="B321" s="845">
        <v>7</v>
      </c>
      <c r="C321" s="1344"/>
      <c r="D321" s="1344"/>
      <c r="E321" s="1344"/>
      <c r="F321" s="857"/>
      <c r="G321" s="857"/>
      <c r="H321" s="875" t="str">
        <f t="shared" si="14"/>
        <v/>
      </c>
      <c r="J321" s="101"/>
      <c r="K321" s="101"/>
      <c r="L321" s="101"/>
      <c r="Z321" s="86"/>
      <c r="AA321" s="86"/>
      <c r="AB321" s="86"/>
      <c r="AC321" s="86"/>
      <c r="AD321" s="86"/>
      <c r="AE321" s="86"/>
      <c r="AF321" s="86"/>
      <c r="AG321" s="86"/>
      <c r="AH321" s="86"/>
      <c r="AI321" s="86"/>
      <c r="AJ321" s="86"/>
      <c r="AK321" s="86"/>
      <c r="AL321" s="86"/>
      <c r="AM321" s="86"/>
      <c r="AN321" s="86"/>
      <c r="AO321" s="86"/>
      <c r="AP321" s="86"/>
      <c r="AQ321" s="86"/>
      <c r="AR321" s="86"/>
      <c r="AS321" s="86"/>
      <c r="AT321" s="86"/>
      <c r="AU321" s="86"/>
      <c r="AV321" s="86"/>
      <c r="AW321" s="86"/>
      <c r="AX321" s="86"/>
      <c r="AY321" s="86"/>
      <c r="AZ321" s="86"/>
      <c r="BA321" s="86"/>
      <c r="BB321" s="86"/>
      <c r="BC321" s="86"/>
      <c r="BD321" s="86"/>
      <c r="BE321" s="86"/>
      <c r="BF321" s="86"/>
      <c r="BG321" s="86"/>
      <c r="BH321" s="86"/>
      <c r="BI321" s="86"/>
      <c r="BJ321" s="86"/>
      <c r="BK321" s="86"/>
      <c r="BL321" s="86"/>
      <c r="BM321" s="86"/>
      <c r="BN321" s="86"/>
      <c r="BO321" s="86"/>
      <c r="BP321" s="86"/>
      <c r="BQ321" s="86"/>
      <c r="BR321" s="86"/>
      <c r="BS321" s="86"/>
      <c r="BT321" s="86"/>
      <c r="BU321" s="86"/>
      <c r="BV321" s="86"/>
      <c r="BW321" s="86"/>
      <c r="BX321" s="86"/>
      <c r="BY321" s="86"/>
      <c r="BZ321" s="86"/>
      <c r="CA321" s="86"/>
      <c r="CB321" s="86"/>
      <c r="CC321" s="86"/>
      <c r="CD321" s="86"/>
      <c r="CE321" s="86"/>
      <c r="CF321" s="86"/>
      <c r="CG321" s="86"/>
      <c r="CH321" s="86"/>
      <c r="CI321" s="86"/>
      <c r="CJ321" s="86"/>
      <c r="CK321" s="86"/>
      <c r="CL321" s="86"/>
      <c r="CM321" s="86"/>
      <c r="CN321" s="86"/>
      <c r="CO321" s="86"/>
      <c r="CP321" s="86"/>
      <c r="CQ321" s="86"/>
      <c r="CR321" s="86"/>
      <c r="CS321" s="86"/>
      <c r="CT321" s="86"/>
      <c r="CU321" s="86"/>
      <c r="CV321" s="86"/>
      <c r="CW321" s="86"/>
      <c r="CX321" s="86"/>
      <c r="CY321" s="86"/>
      <c r="CZ321" s="86"/>
      <c r="DA321" s="86"/>
      <c r="DB321" s="86"/>
      <c r="DC321" s="86"/>
      <c r="DD321" s="86"/>
      <c r="DE321" s="86"/>
      <c r="DF321" s="86"/>
      <c r="DG321" s="86"/>
      <c r="DH321" s="86"/>
      <c r="DI321" s="86"/>
      <c r="DJ321" s="86"/>
      <c r="DK321" s="86"/>
      <c r="DL321" s="86"/>
      <c r="DM321" s="86"/>
      <c r="DN321" s="86"/>
      <c r="DO321" s="86"/>
      <c r="DP321" s="86"/>
      <c r="DQ321" s="86"/>
      <c r="DR321" s="86"/>
      <c r="DS321" s="86"/>
      <c r="DT321" s="86"/>
      <c r="DU321" s="86"/>
      <c r="DV321" s="86"/>
      <c r="DW321" s="86"/>
      <c r="DX321" s="86"/>
      <c r="DY321" s="86"/>
      <c r="DZ321" s="86"/>
      <c r="EA321" s="86"/>
      <c r="EB321" s="86"/>
      <c r="EC321" s="86"/>
      <c r="ED321" s="86"/>
      <c r="EE321" s="86"/>
      <c r="EF321" s="86"/>
      <c r="EG321" s="86"/>
      <c r="EH321" s="86"/>
      <c r="EI321" s="86"/>
      <c r="EJ321" s="86"/>
      <c r="EK321" s="86"/>
      <c r="EL321" s="86"/>
      <c r="EM321" s="86"/>
      <c r="EN321" s="86"/>
      <c r="EO321" s="86"/>
      <c r="EP321" s="86"/>
      <c r="EQ321" s="86"/>
      <c r="ER321" s="86"/>
      <c r="ES321" s="86"/>
      <c r="ET321" s="86"/>
      <c r="EU321" s="86"/>
      <c r="EV321" s="86"/>
      <c r="EW321" s="86"/>
      <c r="EX321" s="86"/>
      <c r="EY321" s="86"/>
      <c r="EZ321" s="86"/>
      <c r="FA321" s="86"/>
    </row>
    <row r="322" spans="2:157" ht="9.75" customHeight="1">
      <c r="B322" s="845">
        <v>8</v>
      </c>
      <c r="C322" s="1344"/>
      <c r="D322" s="1344"/>
      <c r="E322" s="1344"/>
      <c r="F322" s="857"/>
      <c r="G322" s="857"/>
      <c r="H322" s="875" t="str">
        <f t="shared" si="14"/>
        <v/>
      </c>
      <c r="J322" s="101"/>
      <c r="K322" s="101"/>
      <c r="L322" s="101"/>
      <c r="Z322" s="86"/>
      <c r="AA322" s="86"/>
      <c r="AB322" s="86"/>
      <c r="AC322" s="86"/>
      <c r="AD322" s="86"/>
      <c r="AE322" s="86"/>
      <c r="AF322" s="86"/>
      <c r="AG322" s="86"/>
      <c r="AH322" s="86"/>
      <c r="AI322" s="86"/>
      <c r="AJ322" s="86"/>
      <c r="AK322" s="86"/>
      <c r="AL322" s="86"/>
      <c r="AM322" s="86"/>
      <c r="AN322" s="86"/>
      <c r="AO322" s="86"/>
      <c r="AP322" s="86"/>
      <c r="AQ322" s="86"/>
      <c r="AR322" s="86"/>
      <c r="AS322" s="86"/>
      <c r="AT322" s="86"/>
      <c r="AU322" s="86"/>
      <c r="AV322" s="86"/>
      <c r="AW322" s="86"/>
      <c r="AX322" s="86"/>
      <c r="AY322" s="86"/>
      <c r="AZ322" s="86"/>
      <c r="BA322" s="86"/>
      <c r="BB322" s="86"/>
      <c r="BC322" s="86"/>
      <c r="BD322" s="86"/>
      <c r="BE322" s="86"/>
      <c r="BF322" s="86"/>
      <c r="BG322" s="86"/>
      <c r="BH322" s="86"/>
      <c r="BI322" s="86"/>
      <c r="BJ322" s="86"/>
      <c r="BK322" s="86"/>
      <c r="BL322" s="86"/>
      <c r="BM322" s="86"/>
      <c r="BN322" s="86"/>
      <c r="BO322" s="86"/>
      <c r="BP322" s="86"/>
      <c r="BQ322" s="86"/>
      <c r="BR322" s="86"/>
      <c r="BS322" s="86"/>
      <c r="BT322" s="86"/>
      <c r="BU322" s="86"/>
      <c r="BV322" s="86"/>
      <c r="BW322" s="86"/>
      <c r="BX322" s="86"/>
      <c r="BY322" s="86"/>
      <c r="BZ322" s="86"/>
      <c r="CA322" s="86"/>
      <c r="CB322" s="86"/>
      <c r="CC322" s="86"/>
      <c r="CD322" s="86"/>
      <c r="CE322" s="86"/>
      <c r="CF322" s="86"/>
      <c r="CG322" s="86"/>
      <c r="CH322" s="86"/>
      <c r="CI322" s="86"/>
      <c r="CJ322" s="86"/>
      <c r="CK322" s="86"/>
      <c r="CL322" s="86"/>
      <c r="CM322" s="86"/>
      <c r="CN322" s="86"/>
      <c r="CO322" s="86"/>
      <c r="CP322" s="86"/>
      <c r="CQ322" s="86"/>
      <c r="CR322" s="86"/>
      <c r="CS322" s="86"/>
      <c r="CT322" s="86"/>
      <c r="CU322" s="86"/>
      <c r="CV322" s="86"/>
      <c r="CW322" s="86"/>
      <c r="CX322" s="86"/>
      <c r="CY322" s="86"/>
      <c r="CZ322" s="86"/>
      <c r="DA322" s="86"/>
      <c r="DB322" s="86"/>
      <c r="DC322" s="86"/>
      <c r="DD322" s="86"/>
      <c r="DE322" s="86"/>
      <c r="DF322" s="86"/>
      <c r="DG322" s="86"/>
      <c r="DH322" s="86"/>
      <c r="DI322" s="86"/>
      <c r="DJ322" s="86"/>
      <c r="DK322" s="86"/>
      <c r="DL322" s="86"/>
      <c r="DM322" s="86"/>
      <c r="DN322" s="86"/>
      <c r="DO322" s="86"/>
      <c r="DP322" s="86"/>
      <c r="DQ322" s="86"/>
      <c r="DR322" s="86"/>
      <c r="DS322" s="86"/>
      <c r="DT322" s="86"/>
      <c r="DU322" s="86"/>
      <c r="DV322" s="86"/>
      <c r="DW322" s="86"/>
      <c r="DX322" s="86"/>
      <c r="DY322" s="86"/>
      <c r="DZ322" s="86"/>
      <c r="EA322" s="86"/>
      <c r="EB322" s="86"/>
      <c r="EC322" s="86"/>
      <c r="ED322" s="86"/>
      <c r="EE322" s="86"/>
      <c r="EF322" s="86"/>
      <c r="EG322" s="86"/>
      <c r="EH322" s="86"/>
      <c r="EI322" s="86"/>
      <c r="EJ322" s="86"/>
      <c r="EK322" s="86"/>
      <c r="EL322" s="86"/>
      <c r="EM322" s="86"/>
      <c r="EN322" s="86"/>
      <c r="EO322" s="86"/>
      <c r="EP322" s="86"/>
      <c r="EQ322" s="86"/>
      <c r="ER322" s="86"/>
      <c r="ES322" s="86"/>
      <c r="ET322" s="86"/>
      <c r="EU322" s="86"/>
      <c r="EV322" s="86"/>
      <c r="EW322" s="86"/>
      <c r="EX322" s="86"/>
      <c r="EY322" s="86"/>
      <c r="EZ322" s="86"/>
      <c r="FA322" s="86"/>
    </row>
    <row r="323" spans="2:157" ht="9.75" customHeight="1">
      <c r="B323" s="845">
        <v>9</v>
      </c>
      <c r="C323" s="1344"/>
      <c r="D323" s="1344"/>
      <c r="E323" s="1344"/>
      <c r="F323" s="857"/>
      <c r="G323" s="857"/>
      <c r="H323" s="875" t="str">
        <f t="shared" si="14"/>
        <v/>
      </c>
      <c r="J323" s="101"/>
      <c r="K323" s="101"/>
      <c r="L323" s="101"/>
      <c r="Z323" s="86"/>
      <c r="AA323" s="86"/>
      <c r="AB323" s="86"/>
      <c r="AC323" s="86"/>
      <c r="AD323" s="86"/>
      <c r="AE323" s="86"/>
      <c r="AF323" s="86"/>
      <c r="AG323" s="86"/>
      <c r="AH323" s="86"/>
      <c r="AI323" s="86"/>
      <c r="AJ323" s="86"/>
      <c r="AK323" s="86"/>
      <c r="AL323" s="86"/>
      <c r="AM323" s="86"/>
      <c r="AN323" s="86"/>
      <c r="AO323" s="86"/>
      <c r="AP323" s="86"/>
      <c r="AQ323" s="86"/>
      <c r="AR323" s="86"/>
      <c r="AS323" s="86"/>
      <c r="AT323" s="86"/>
      <c r="AU323" s="86"/>
      <c r="AV323" s="86"/>
      <c r="AW323" s="86"/>
      <c r="AX323" s="86"/>
      <c r="AY323" s="86"/>
      <c r="AZ323" s="86"/>
      <c r="BA323" s="86"/>
      <c r="BB323" s="86"/>
      <c r="BC323" s="86"/>
      <c r="BD323" s="86"/>
      <c r="BE323" s="86"/>
      <c r="BF323" s="86"/>
      <c r="BG323" s="86"/>
      <c r="BH323" s="86"/>
      <c r="BI323" s="86"/>
      <c r="BJ323" s="86"/>
      <c r="BK323" s="86"/>
      <c r="BL323" s="86"/>
      <c r="BM323" s="86"/>
      <c r="BN323" s="86"/>
      <c r="BO323" s="86"/>
      <c r="BP323" s="86"/>
      <c r="BQ323" s="86"/>
      <c r="BR323" s="86"/>
      <c r="BS323" s="86"/>
      <c r="BT323" s="86"/>
      <c r="BU323" s="86"/>
      <c r="BV323" s="86"/>
      <c r="BW323" s="86"/>
      <c r="BX323" s="86"/>
      <c r="BY323" s="86"/>
      <c r="BZ323" s="86"/>
      <c r="CA323" s="86"/>
      <c r="CB323" s="86"/>
      <c r="CC323" s="86"/>
      <c r="CD323" s="86"/>
      <c r="CE323" s="86"/>
      <c r="CF323" s="86"/>
      <c r="CG323" s="86"/>
      <c r="CH323" s="86"/>
      <c r="CI323" s="86"/>
      <c r="CJ323" s="86"/>
      <c r="CK323" s="86"/>
      <c r="CL323" s="86"/>
      <c r="CM323" s="86"/>
      <c r="CN323" s="86"/>
      <c r="CO323" s="86"/>
      <c r="CP323" s="86"/>
      <c r="CQ323" s="86"/>
      <c r="CR323" s="86"/>
      <c r="CS323" s="86"/>
      <c r="CT323" s="86"/>
      <c r="CU323" s="86"/>
      <c r="CV323" s="86"/>
      <c r="CW323" s="86"/>
      <c r="CX323" s="86"/>
      <c r="CY323" s="86"/>
      <c r="CZ323" s="86"/>
      <c r="DA323" s="86"/>
      <c r="DB323" s="86"/>
      <c r="DC323" s="86"/>
      <c r="DD323" s="86"/>
      <c r="DE323" s="86"/>
      <c r="DF323" s="86"/>
      <c r="DG323" s="86"/>
      <c r="DH323" s="86"/>
      <c r="DI323" s="86"/>
      <c r="DJ323" s="86"/>
      <c r="DK323" s="86"/>
      <c r="DL323" s="86"/>
      <c r="DM323" s="86"/>
      <c r="DN323" s="86"/>
      <c r="DO323" s="86"/>
      <c r="DP323" s="86"/>
      <c r="DQ323" s="86"/>
      <c r="DR323" s="86"/>
      <c r="DS323" s="86"/>
      <c r="DT323" s="86"/>
      <c r="DU323" s="86"/>
      <c r="DV323" s="86"/>
      <c r="DW323" s="86"/>
      <c r="DX323" s="86"/>
      <c r="DY323" s="86"/>
      <c r="DZ323" s="86"/>
      <c r="EA323" s="86"/>
      <c r="EB323" s="86"/>
      <c r="EC323" s="86"/>
      <c r="ED323" s="86"/>
      <c r="EE323" s="86"/>
      <c r="EF323" s="86"/>
      <c r="EG323" s="86"/>
      <c r="EH323" s="86"/>
      <c r="EI323" s="86"/>
      <c r="EJ323" s="86"/>
      <c r="EK323" s="86"/>
      <c r="EL323" s="86"/>
      <c r="EM323" s="86"/>
      <c r="EN323" s="86"/>
      <c r="EO323" s="86"/>
      <c r="EP323" s="86"/>
      <c r="EQ323" s="86"/>
      <c r="ER323" s="86"/>
      <c r="ES323" s="86"/>
      <c r="ET323" s="86"/>
      <c r="EU323" s="86"/>
      <c r="EV323" s="86"/>
      <c r="EW323" s="86"/>
      <c r="EX323" s="86"/>
      <c r="EY323" s="86"/>
      <c r="EZ323" s="86"/>
      <c r="FA323" s="86"/>
    </row>
    <row r="324" spans="2:157" ht="10.050000000000001" customHeight="1">
      <c r="B324" s="845" t="s">
        <v>546</v>
      </c>
      <c r="C324" s="836" t="s">
        <v>73</v>
      </c>
      <c r="D324" s="839"/>
      <c r="E324" s="86"/>
      <c r="F324" s="848" t="s">
        <v>546</v>
      </c>
      <c r="G324" s="848" t="s">
        <v>546</v>
      </c>
      <c r="H324" s="858">
        <v>0.04</v>
      </c>
      <c r="J324" s="101"/>
      <c r="K324" s="101"/>
      <c r="L324" s="101"/>
      <c r="Z324" s="86"/>
      <c r="AA324" s="86"/>
      <c r="AB324" s="86"/>
      <c r="AC324" s="86"/>
      <c r="AD324" s="86"/>
      <c r="AE324" s="86"/>
      <c r="AF324" s="86"/>
      <c r="AG324" s="86"/>
      <c r="AH324" s="86"/>
      <c r="AI324" s="86"/>
      <c r="AJ324" s="86"/>
      <c r="AK324" s="86"/>
      <c r="AL324" s="86"/>
      <c r="AM324" s="86"/>
      <c r="AN324" s="86"/>
      <c r="AO324" s="86"/>
      <c r="AP324" s="86"/>
      <c r="AQ324" s="86"/>
      <c r="AR324" s="86"/>
      <c r="AS324" s="86"/>
      <c r="AT324" s="86"/>
      <c r="AU324" s="86"/>
      <c r="AV324" s="86"/>
      <c r="AW324" s="86"/>
      <c r="AX324" s="86"/>
      <c r="AY324" s="86"/>
      <c r="AZ324" s="86"/>
      <c r="BA324" s="86"/>
      <c r="BB324" s="86"/>
      <c r="BC324" s="86"/>
      <c r="BD324" s="86"/>
      <c r="BE324" s="86"/>
      <c r="BF324" s="86"/>
      <c r="BG324" s="86"/>
      <c r="BH324" s="86"/>
      <c r="BI324" s="86"/>
      <c r="BJ324" s="86"/>
      <c r="BK324" s="86"/>
      <c r="BL324" s="86"/>
      <c r="BM324" s="86"/>
      <c r="BN324" s="86"/>
      <c r="BO324" s="86"/>
      <c r="BP324" s="86"/>
      <c r="BQ324" s="86"/>
      <c r="BR324" s="86"/>
      <c r="BS324" s="86"/>
      <c r="BT324" s="86"/>
      <c r="BU324" s="86"/>
      <c r="BV324" s="86"/>
      <c r="BW324" s="86"/>
      <c r="BX324" s="86"/>
      <c r="BY324" s="86"/>
      <c r="BZ324" s="86"/>
      <c r="CA324" s="86"/>
      <c r="CB324" s="86"/>
      <c r="CC324" s="86"/>
      <c r="CD324" s="86"/>
      <c r="CE324" s="86"/>
      <c r="CF324" s="86"/>
      <c r="CG324" s="86"/>
      <c r="CH324" s="86"/>
      <c r="CI324" s="86"/>
      <c r="CJ324" s="86"/>
      <c r="CK324" s="86"/>
      <c r="CL324" s="86"/>
      <c r="CM324" s="86"/>
      <c r="CN324" s="86"/>
      <c r="CO324" s="86"/>
      <c r="CP324" s="86"/>
      <c r="CQ324" s="86"/>
      <c r="CR324" s="86"/>
      <c r="CS324" s="86"/>
      <c r="CT324" s="86"/>
      <c r="CU324" s="86"/>
      <c r="CV324" s="86"/>
      <c r="CW324" s="86"/>
      <c r="CX324" s="86"/>
      <c r="CY324" s="86"/>
      <c r="CZ324" s="86"/>
      <c r="DA324" s="86"/>
      <c r="DB324" s="86"/>
      <c r="DC324" s="86"/>
      <c r="DD324" s="86"/>
      <c r="DE324" s="86"/>
      <c r="DF324" s="86"/>
      <c r="DG324" s="86"/>
      <c r="DH324" s="86"/>
      <c r="DI324" s="86"/>
      <c r="DJ324" s="86"/>
      <c r="DK324" s="86"/>
      <c r="DL324" s="86"/>
      <c r="DM324" s="86"/>
      <c r="DN324" s="86"/>
      <c r="DO324" s="86"/>
      <c r="DP324" s="86"/>
      <c r="DQ324" s="86"/>
      <c r="DR324" s="86"/>
      <c r="DS324" s="86"/>
      <c r="DT324" s="86"/>
      <c r="DU324" s="86"/>
      <c r="DV324" s="86"/>
      <c r="DW324" s="86"/>
      <c r="DX324" s="86"/>
      <c r="DY324" s="86"/>
      <c r="DZ324" s="86"/>
      <c r="EA324" s="86"/>
      <c r="EB324" s="86"/>
      <c r="EC324" s="86"/>
      <c r="ED324" s="86"/>
      <c r="EE324" s="86"/>
      <c r="EF324" s="86"/>
      <c r="EG324" s="86"/>
      <c r="EH324" s="86"/>
      <c r="EI324" s="86"/>
      <c r="EJ324" s="86"/>
      <c r="EK324" s="86"/>
      <c r="EL324" s="86"/>
      <c r="EM324" s="86"/>
      <c r="EN324" s="86"/>
      <c r="EO324" s="86"/>
      <c r="EP324" s="86"/>
      <c r="EQ324" s="86"/>
      <c r="ER324" s="86"/>
      <c r="ES324" s="86"/>
      <c r="ET324" s="86"/>
      <c r="EU324" s="86"/>
      <c r="EV324" s="86"/>
      <c r="EW324" s="86"/>
      <c r="EX324" s="86"/>
      <c r="EY324" s="86"/>
      <c r="EZ324" s="86"/>
      <c r="FA324" s="86"/>
    </row>
    <row r="325" spans="2:157" ht="9.75" customHeight="1">
      <c r="B325" s="849"/>
      <c r="C325" s="849"/>
      <c r="D325" s="849"/>
      <c r="E325" s="849"/>
      <c r="F325" s="849"/>
      <c r="G325" s="849"/>
      <c r="H325" s="855"/>
      <c r="J325" s="101"/>
      <c r="K325" s="101"/>
      <c r="L325" s="101"/>
      <c r="Z325" s="86"/>
      <c r="AA325" s="86"/>
      <c r="AB325" s="86"/>
      <c r="AC325" s="86"/>
      <c r="AD325" s="86"/>
      <c r="AE325" s="86"/>
      <c r="AF325" s="86"/>
      <c r="AG325" s="86"/>
      <c r="AH325" s="86"/>
      <c r="AI325" s="86"/>
      <c r="AJ325" s="86"/>
      <c r="AK325" s="86"/>
      <c r="AL325" s="86"/>
      <c r="AM325" s="86"/>
      <c r="AN325" s="86"/>
      <c r="AO325" s="86"/>
      <c r="AP325" s="86"/>
      <c r="AQ325" s="86"/>
      <c r="AR325" s="86"/>
      <c r="AS325" s="86"/>
      <c r="AT325" s="86"/>
      <c r="AU325" s="86"/>
      <c r="AV325" s="86"/>
      <c r="AW325" s="86"/>
      <c r="AX325" s="86"/>
      <c r="AY325" s="86"/>
      <c r="AZ325" s="86"/>
      <c r="BA325" s="86"/>
      <c r="BB325" s="86"/>
      <c r="BC325" s="86"/>
      <c r="BD325" s="86"/>
      <c r="BE325" s="86"/>
      <c r="BF325" s="86"/>
      <c r="BG325" s="86"/>
      <c r="BH325" s="86"/>
      <c r="BI325" s="86"/>
      <c r="BJ325" s="86"/>
      <c r="BK325" s="86"/>
      <c r="BL325" s="86"/>
      <c r="BM325" s="86"/>
      <c r="BN325" s="86"/>
      <c r="BO325" s="86"/>
      <c r="BP325" s="86"/>
      <c r="BQ325" s="86"/>
      <c r="BR325" s="86"/>
      <c r="BS325" s="86"/>
      <c r="BT325" s="86"/>
      <c r="BU325" s="86"/>
      <c r="BV325" s="86"/>
      <c r="BW325" s="86"/>
      <c r="BX325" s="86"/>
      <c r="BY325" s="86"/>
      <c r="BZ325" s="86"/>
      <c r="CA325" s="86"/>
      <c r="CB325" s="86"/>
      <c r="CC325" s="86"/>
      <c r="CD325" s="86"/>
      <c r="CE325" s="86"/>
      <c r="CF325" s="86"/>
      <c r="CG325" s="86"/>
      <c r="CH325" s="86"/>
      <c r="CI325" s="86"/>
      <c r="CJ325" s="86"/>
      <c r="CK325" s="86"/>
      <c r="CL325" s="86"/>
      <c r="CM325" s="86"/>
      <c r="CN325" s="86"/>
      <c r="CO325" s="86"/>
      <c r="CP325" s="86"/>
      <c r="CQ325" s="86"/>
      <c r="CR325" s="86"/>
      <c r="CS325" s="86"/>
      <c r="CT325" s="86"/>
      <c r="CU325" s="86"/>
      <c r="CV325" s="86"/>
      <c r="CW325" s="86"/>
      <c r="CX325" s="86"/>
      <c r="CY325" s="86"/>
      <c r="CZ325" s="86"/>
      <c r="DA325" s="86"/>
      <c r="DB325" s="86"/>
      <c r="DC325" s="86"/>
      <c r="DD325" s="86"/>
      <c r="DE325" s="86"/>
      <c r="DF325" s="86"/>
      <c r="DG325" s="86"/>
      <c r="DH325" s="86"/>
      <c r="DI325" s="86"/>
      <c r="DJ325" s="86"/>
      <c r="DK325" s="86"/>
      <c r="DL325" s="86"/>
      <c r="DM325" s="86"/>
      <c r="DN325" s="86"/>
      <c r="DO325" s="86"/>
      <c r="DP325" s="86"/>
      <c r="DQ325" s="86"/>
      <c r="DR325" s="86"/>
      <c r="DS325" s="86"/>
      <c r="DT325" s="86"/>
      <c r="DU325" s="86"/>
      <c r="DV325" s="86"/>
      <c r="DW325" s="86"/>
      <c r="DX325" s="86"/>
      <c r="DY325" s="86"/>
      <c r="DZ325" s="86"/>
      <c r="EA325" s="86"/>
      <c r="EB325" s="86"/>
      <c r="EC325" s="86"/>
      <c r="ED325" s="86"/>
      <c r="EE325" s="86"/>
      <c r="EF325" s="86"/>
      <c r="EG325" s="86"/>
      <c r="EH325" s="86"/>
      <c r="EI325" s="86"/>
      <c r="EJ325" s="86"/>
      <c r="EK325" s="86"/>
      <c r="EL325" s="86"/>
      <c r="EM325" s="86"/>
      <c r="EN325" s="86"/>
      <c r="EO325" s="86"/>
      <c r="EP325" s="86"/>
      <c r="EQ325" s="86"/>
      <c r="ER325" s="86"/>
      <c r="ES325" s="86"/>
      <c r="ET325" s="86"/>
      <c r="EU325" s="86"/>
      <c r="EV325" s="86"/>
      <c r="EW325" s="86"/>
      <c r="EX325" s="86"/>
      <c r="EY325" s="86"/>
      <c r="EZ325" s="86"/>
      <c r="FA325" s="86"/>
    </row>
    <row r="326" spans="2:157" ht="9.75" customHeight="1">
      <c r="B326" s="27"/>
      <c r="C326" s="27"/>
      <c r="D326" s="27"/>
      <c r="E326" s="91"/>
      <c r="F326" s="171"/>
      <c r="G326" s="29"/>
      <c r="H326" s="27"/>
      <c r="J326" s="101"/>
      <c r="K326" s="101"/>
      <c r="L326" s="101"/>
      <c r="Z326" s="86"/>
      <c r="AA326" s="86"/>
      <c r="AB326" s="86"/>
      <c r="AC326" s="86"/>
      <c r="AD326" s="86"/>
      <c r="AE326" s="86"/>
      <c r="AF326" s="86"/>
      <c r="AG326" s="86"/>
      <c r="AH326" s="86"/>
      <c r="AI326" s="86"/>
      <c r="AJ326" s="86"/>
      <c r="AK326" s="86"/>
      <c r="AL326" s="86"/>
      <c r="AM326" s="86"/>
      <c r="AN326" s="86"/>
      <c r="AO326" s="86"/>
      <c r="AP326" s="86"/>
      <c r="AQ326" s="86"/>
      <c r="AR326" s="86"/>
      <c r="AS326" s="86"/>
      <c r="AT326" s="86"/>
      <c r="AU326" s="86"/>
      <c r="AV326" s="86"/>
      <c r="AW326" s="86"/>
      <c r="AX326" s="86"/>
      <c r="AY326" s="86"/>
      <c r="AZ326" s="86"/>
      <c r="BA326" s="86"/>
      <c r="BB326" s="86"/>
      <c r="BC326" s="86"/>
      <c r="BD326" s="86"/>
      <c r="BE326" s="86"/>
      <c r="BF326" s="86"/>
      <c r="BG326" s="86"/>
      <c r="BH326" s="86"/>
      <c r="BI326" s="86"/>
      <c r="BJ326" s="86"/>
      <c r="BK326" s="86"/>
      <c r="BL326" s="86"/>
      <c r="BM326" s="86"/>
      <c r="BN326" s="86"/>
      <c r="BO326" s="86"/>
      <c r="BP326" s="86"/>
      <c r="BQ326" s="86"/>
      <c r="BR326" s="86"/>
      <c r="BS326" s="86"/>
      <c r="BT326" s="86"/>
      <c r="BU326" s="86"/>
      <c r="BV326" s="86"/>
      <c r="BW326" s="86"/>
      <c r="BX326" s="86"/>
      <c r="BY326" s="86"/>
      <c r="BZ326" s="86"/>
      <c r="CA326" s="86"/>
      <c r="CB326" s="86"/>
      <c r="CC326" s="86"/>
      <c r="CD326" s="86"/>
      <c r="CE326" s="86"/>
      <c r="CF326" s="86"/>
      <c r="CG326" s="86"/>
      <c r="CH326" s="86"/>
      <c r="CI326" s="86"/>
      <c r="CJ326" s="86"/>
      <c r="CK326" s="86"/>
      <c r="CL326" s="86"/>
      <c r="CM326" s="86"/>
      <c r="CN326" s="86"/>
      <c r="CO326" s="86"/>
      <c r="CP326" s="86"/>
      <c r="CQ326" s="86"/>
      <c r="CR326" s="86"/>
      <c r="CS326" s="86"/>
      <c r="CT326" s="86"/>
      <c r="CU326" s="86"/>
      <c r="CV326" s="86"/>
      <c r="CW326" s="86"/>
      <c r="CX326" s="86"/>
      <c r="CY326" s="86"/>
      <c r="CZ326" s="86"/>
      <c r="DA326" s="86"/>
      <c r="DB326" s="86"/>
      <c r="DC326" s="86"/>
      <c r="DD326" s="86"/>
      <c r="DE326" s="86"/>
      <c r="DF326" s="86"/>
      <c r="DG326" s="86"/>
      <c r="DH326" s="86"/>
      <c r="DI326" s="86"/>
      <c r="DJ326" s="86"/>
      <c r="DK326" s="86"/>
      <c r="DL326" s="86"/>
      <c r="DM326" s="86"/>
      <c r="DN326" s="86"/>
      <c r="DO326" s="86"/>
      <c r="DP326" s="86"/>
      <c r="DQ326" s="86"/>
      <c r="DR326" s="86"/>
      <c r="DS326" s="86"/>
      <c r="DT326" s="86"/>
      <c r="DU326" s="86"/>
      <c r="DV326" s="86"/>
      <c r="DW326" s="86"/>
      <c r="DX326" s="86"/>
      <c r="DY326" s="86"/>
      <c r="DZ326" s="86"/>
      <c r="EA326" s="86"/>
      <c r="EB326" s="86"/>
      <c r="EC326" s="86"/>
      <c r="ED326" s="86"/>
      <c r="EE326" s="86"/>
      <c r="EF326" s="86"/>
      <c r="EG326" s="86"/>
      <c r="EH326" s="86"/>
      <c r="EI326" s="86"/>
      <c r="EJ326" s="86"/>
      <c r="EK326" s="86"/>
      <c r="EL326" s="86"/>
      <c r="EM326" s="86"/>
      <c r="EN326" s="86"/>
      <c r="EO326" s="86"/>
      <c r="EP326" s="86"/>
      <c r="EQ326" s="86"/>
      <c r="ER326" s="86"/>
      <c r="ES326" s="86"/>
      <c r="ET326" s="86"/>
      <c r="EU326" s="86"/>
      <c r="EV326" s="86"/>
      <c r="EW326" s="86"/>
      <c r="EX326" s="86"/>
      <c r="EY326" s="86"/>
      <c r="EZ326" s="86"/>
      <c r="FA326" s="86"/>
    </row>
    <row r="327" spans="2:157" ht="9.75" customHeight="1">
      <c r="B327" s="27"/>
      <c r="C327" s="27"/>
      <c r="D327" s="27"/>
      <c r="E327" s="27"/>
      <c r="F327" s="27"/>
      <c r="G327" s="27"/>
      <c r="H327" s="27"/>
      <c r="J327" s="101"/>
      <c r="K327" s="101"/>
      <c r="L327" s="101"/>
      <c r="Z327" s="86"/>
      <c r="AA327" s="86"/>
      <c r="AB327" s="86"/>
      <c r="AC327" s="86"/>
      <c r="AD327" s="86"/>
      <c r="AE327" s="86"/>
      <c r="AF327" s="86"/>
      <c r="AG327" s="86"/>
      <c r="AH327" s="86"/>
      <c r="AI327" s="86"/>
      <c r="AJ327" s="86"/>
      <c r="AK327" s="86"/>
      <c r="AL327" s="86"/>
      <c r="AM327" s="86"/>
      <c r="AN327" s="86"/>
      <c r="AO327" s="86"/>
      <c r="AP327" s="86"/>
      <c r="AQ327" s="86"/>
      <c r="AR327" s="86"/>
      <c r="AS327" s="86"/>
      <c r="AT327" s="86"/>
      <c r="AU327" s="86"/>
      <c r="AV327" s="86"/>
      <c r="AW327" s="86"/>
      <c r="AX327" s="86"/>
      <c r="AY327" s="86"/>
      <c r="AZ327" s="86"/>
      <c r="BA327" s="86"/>
      <c r="BB327" s="86"/>
      <c r="BC327" s="86"/>
      <c r="BD327" s="86"/>
      <c r="BE327" s="86"/>
      <c r="BF327" s="86"/>
      <c r="BG327" s="86"/>
      <c r="BH327" s="86"/>
      <c r="BI327" s="86"/>
      <c r="BJ327" s="86"/>
      <c r="BK327" s="86"/>
      <c r="BL327" s="86"/>
      <c r="BM327" s="86"/>
      <c r="BN327" s="86"/>
      <c r="BO327" s="86"/>
      <c r="BP327" s="86"/>
      <c r="BQ327" s="86"/>
      <c r="BR327" s="86"/>
      <c r="BS327" s="86"/>
      <c r="BT327" s="86"/>
      <c r="BU327" s="86"/>
      <c r="BV327" s="86"/>
      <c r="BW327" s="86"/>
      <c r="BX327" s="86"/>
      <c r="BY327" s="86"/>
      <c r="BZ327" s="86"/>
      <c r="CA327" s="86"/>
      <c r="CB327" s="86"/>
      <c r="CC327" s="86"/>
      <c r="CD327" s="86"/>
      <c r="CE327" s="86"/>
      <c r="CF327" s="86"/>
      <c r="CG327" s="86"/>
      <c r="CH327" s="86"/>
      <c r="CI327" s="86"/>
      <c r="CJ327" s="86"/>
      <c r="CK327" s="86"/>
      <c r="CL327" s="86"/>
      <c r="CM327" s="86"/>
      <c r="CN327" s="86"/>
      <c r="CO327" s="86"/>
      <c r="CP327" s="86"/>
      <c r="CQ327" s="86"/>
      <c r="CR327" s="86"/>
      <c r="CS327" s="86"/>
      <c r="CT327" s="86"/>
      <c r="CU327" s="86"/>
      <c r="CV327" s="86"/>
      <c r="CW327" s="86"/>
      <c r="CX327" s="86"/>
      <c r="CY327" s="86"/>
      <c r="CZ327" s="86"/>
      <c r="DA327" s="86"/>
      <c r="DB327" s="86"/>
      <c r="DC327" s="86"/>
      <c r="DD327" s="86"/>
      <c r="DE327" s="86"/>
      <c r="DF327" s="86"/>
      <c r="DG327" s="86"/>
      <c r="DH327" s="86"/>
      <c r="DI327" s="86"/>
      <c r="DJ327" s="86"/>
      <c r="DK327" s="86"/>
      <c r="DL327" s="86"/>
      <c r="DM327" s="86"/>
      <c r="DN327" s="86"/>
      <c r="DO327" s="86"/>
      <c r="DP327" s="86"/>
      <c r="DQ327" s="86"/>
      <c r="DR327" s="86"/>
      <c r="DS327" s="86"/>
      <c r="DT327" s="86"/>
      <c r="DU327" s="86"/>
      <c r="DV327" s="86"/>
      <c r="DW327" s="86"/>
      <c r="DX327" s="86"/>
      <c r="DY327" s="86"/>
      <c r="DZ327" s="86"/>
      <c r="EA327" s="86"/>
      <c r="EB327" s="86"/>
      <c r="EC327" s="86"/>
      <c r="ED327" s="86"/>
      <c r="EE327" s="86"/>
      <c r="EF327" s="86"/>
      <c r="EG327" s="86"/>
      <c r="EH327" s="86"/>
      <c r="EI327" s="86"/>
      <c r="EJ327" s="86"/>
      <c r="EK327" s="86"/>
      <c r="EL327" s="86"/>
      <c r="EM327" s="86"/>
      <c r="EN327" s="86"/>
      <c r="EO327" s="86"/>
      <c r="EP327" s="86"/>
      <c r="EQ327" s="86"/>
      <c r="ER327" s="86"/>
      <c r="ES327" s="86"/>
      <c r="ET327" s="86"/>
      <c r="EU327" s="86"/>
      <c r="EV327" s="86"/>
      <c r="EW327" s="86"/>
      <c r="EX327" s="86"/>
      <c r="EY327" s="86"/>
      <c r="EZ327" s="86"/>
      <c r="FA327" s="86"/>
    </row>
    <row r="328" spans="2:157" ht="9.75" customHeight="1">
      <c r="B328" s="27"/>
      <c r="C328" s="27"/>
      <c r="D328" s="27"/>
      <c r="E328" s="27"/>
      <c r="F328" s="27"/>
      <c r="G328" s="27"/>
      <c r="H328" s="27"/>
      <c r="J328" s="101"/>
      <c r="K328" s="101"/>
      <c r="L328" s="101"/>
      <c r="Z328" s="86"/>
      <c r="AA328" s="86"/>
      <c r="AB328" s="86"/>
      <c r="AC328" s="86"/>
      <c r="AD328" s="86"/>
      <c r="AE328" s="86"/>
      <c r="AF328" s="86"/>
      <c r="AG328" s="86"/>
      <c r="AH328" s="86"/>
      <c r="AI328" s="86"/>
      <c r="AJ328" s="86"/>
      <c r="AK328" s="86"/>
      <c r="AL328" s="86"/>
      <c r="AM328" s="86"/>
      <c r="AN328" s="86"/>
      <c r="AO328" s="86"/>
      <c r="AP328" s="86"/>
      <c r="AQ328" s="86"/>
      <c r="AR328" s="86"/>
      <c r="AS328" s="86"/>
      <c r="AT328" s="86"/>
      <c r="AU328" s="86"/>
      <c r="AV328" s="86"/>
      <c r="AW328" s="86"/>
      <c r="AX328" s="86"/>
      <c r="AY328" s="86"/>
      <c r="AZ328" s="86"/>
      <c r="BA328" s="86"/>
      <c r="BB328" s="86"/>
      <c r="BC328" s="86"/>
      <c r="BD328" s="86"/>
      <c r="BE328" s="86"/>
      <c r="BF328" s="86"/>
      <c r="BG328" s="86"/>
      <c r="BH328" s="86"/>
      <c r="BI328" s="86"/>
      <c r="BJ328" s="86"/>
      <c r="BK328" s="86"/>
      <c r="BL328" s="86"/>
      <c r="BM328" s="86"/>
      <c r="BN328" s="86"/>
      <c r="BO328" s="86"/>
      <c r="BP328" s="86"/>
      <c r="BQ328" s="86"/>
      <c r="BR328" s="86"/>
      <c r="BS328" s="86"/>
      <c r="BT328" s="86"/>
      <c r="BU328" s="86"/>
      <c r="BV328" s="86"/>
      <c r="BW328" s="86"/>
      <c r="BX328" s="86"/>
      <c r="BY328" s="86"/>
      <c r="BZ328" s="86"/>
      <c r="CA328" s="86"/>
      <c r="CB328" s="86"/>
      <c r="CC328" s="86"/>
      <c r="CD328" s="86"/>
      <c r="CE328" s="86"/>
      <c r="CF328" s="86"/>
      <c r="CG328" s="86"/>
      <c r="CH328" s="86"/>
      <c r="CI328" s="86"/>
      <c r="CJ328" s="86"/>
      <c r="CK328" s="86"/>
      <c r="CL328" s="86"/>
      <c r="CM328" s="86"/>
      <c r="CN328" s="86"/>
      <c r="CO328" s="86"/>
      <c r="CP328" s="86"/>
      <c r="CQ328" s="86"/>
      <c r="CR328" s="86"/>
      <c r="CS328" s="86"/>
      <c r="CT328" s="86"/>
      <c r="CU328" s="86"/>
      <c r="CV328" s="86"/>
      <c r="CW328" s="86"/>
      <c r="CX328" s="86"/>
      <c r="CY328" s="86"/>
      <c r="CZ328" s="86"/>
      <c r="DA328" s="86"/>
      <c r="DB328" s="86"/>
      <c r="DC328" s="86"/>
      <c r="DD328" s="86"/>
      <c r="DE328" s="86"/>
      <c r="DF328" s="86"/>
      <c r="DG328" s="86"/>
      <c r="DH328" s="86"/>
      <c r="DI328" s="86"/>
      <c r="DJ328" s="86"/>
      <c r="DK328" s="86"/>
      <c r="DL328" s="86"/>
      <c r="DM328" s="86"/>
      <c r="DN328" s="86"/>
      <c r="DO328" s="86"/>
      <c r="DP328" s="86"/>
      <c r="DQ328" s="86"/>
      <c r="DR328" s="86"/>
      <c r="DS328" s="86"/>
      <c r="DT328" s="86"/>
      <c r="DU328" s="86"/>
      <c r="DV328" s="86"/>
      <c r="DW328" s="86"/>
      <c r="DX328" s="86"/>
      <c r="DY328" s="86"/>
      <c r="DZ328" s="86"/>
      <c r="EA328" s="86"/>
      <c r="EB328" s="86"/>
      <c r="EC328" s="86"/>
      <c r="ED328" s="86"/>
      <c r="EE328" s="86"/>
      <c r="EF328" s="86"/>
      <c r="EG328" s="86"/>
      <c r="EH328" s="86"/>
      <c r="EI328" s="86"/>
      <c r="EJ328" s="86"/>
      <c r="EK328" s="86"/>
      <c r="EL328" s="86"/>
      <c r="EM328" s="86"/>
      <c r="EN328" s="86"/>
      <c r="EO328" s="86"/>
      <c r="EP328" s="86"/>
      <c r="EQ328" s="86"/>
      <c r="ER328" s="86"/>
      <c r="ES328" s="86"/>
      <c r="ET328" s="86"/>
      <c r="EU328" s="86"/>
      <c r="EV328" s="86"/>
      <c r="EW328" s="86"/>
      <c r="EX328" s="86"/>
      <c r="EY328" s="86"/>
      <c r="EZ328" s="86"/>
      <c r="FA328" s="86"/>
    </row>
    <row r="329" spans="2:157" ht="9.75" customHeight="1">
      <c r="B329" s="31"/>
      <c r="C329" s="31"/>
      <c r="D329" s="31"/>
      <c r="E329" s="31"/>
      <c r="F329" s="31"/>
      <c r="G329" s="31"/>
      <c r="H329" s="31"/>
      <c r="J329" s="101"/>
      <c r="K329" s="101"/>
      <c r="L329" s="101"/>
      <c r="Z329" s="86"/>
      <c r="AA329" s="86"/>
      <c r="AB329" s="86"/>
      <c r="AC329" s="86"/>
      <c r="AD329" s="86"/>
      <c r="AE329" s="86"/>
      <c r="AF329" s="86"/>
      <c r="AG329" s="86"/>
      <c r="AH329" s="86"/>
      <c r="AI329" s="86"/>
      <c r="AJ329" s="86"/>
      <c r="AK329" s="86"/>
      <c r="AL329" s="86"/>
      <c r="AM329" s="86"/>
      <c r="AN329" s="86"/>
      <c r="AO329" s="86"/>
      <c r="AP329" s="86"/>
      <c r="AQ329" s="86"/>
      <c r="AR329" s="86"/>
      <c r="AS329" s="86"/>
      <c r="AT329" s="86"/>
      <c r="AU329" s="86"/>
      <c r="AV329" s="86"/>
      <c r="AW329" s="86"/>
      <c r="AX329" s="86"/>
      <c r="AY329" s="86"/>
      <c r="AZ329" s="86"/>
      <c r="BA329" s="86"/>
      <c r="BB329" s="86"/>
      <c r="BC329" s="86"/>
      <c r="BD329" s="86"/>
      <c r="BE329" s="86"/>
      <c r="BF329" s="86"/>
      <c r="BG329" s="86"/>
      <c r="BH329" s="86"/>
      <c r="BI329" s="86"/>
      <c r="BJ329" s="86"/>
      <c r="BK329" s="86"/>
      <c r="BL329" s="86"/>
      <c r="BM329" s="86"/>
      <c r="BN329" s="86"/>
      <c r="BO329" s="86"/>
      <c r="BP329" s="86"/>
      <c r="BQ329" s="86"/>
      <c r="BR329" s="86"/>
      <c r="BS329" s="86"/>
      <c r="BT329" s="86"/>
      <c r="BU329" s="86"/>
      <c r="BV329" s="86"/>
      <c r="BW329" s="86"/>
      <c r="BX329" s="86"/>
      <c r="BY329" s="86"/>
      <c r="BZ329" s="86"/>
      <c r="CA329" s="86"/>
      <c r="CB329" s="86"/>
      <c r="CC329" s="86"/>
      <c r="CD329" s="86"/>
      <c r="CE329" s="86"/>
      <c r="CF329" s="86"/>
      <c r="CG329" s="86"/>
      <c r="CH329" s="86"/>
      <c r="CI329" s="86"/>
      <c r="CJ329" s="86"/>
      <c r="CK329" s="86"/>
      <c r="CL329" s="86"/>
      <c r="CM329" s="86"/>
      <c r="CN329" s="86"/>
      <c r="CO329" s="86"/>
      <c r="CP329" s="86"/>
      <c r="CQ329" s="86"/>
      <c r="CR329" s="86"/>
      <c r="CS329" s="86"/>
      <c r="CT329" s="86"/>
      <c r="CU329" s="86"/>
      <c r="CV329" s="86"/>
      <c r="CW329" s="86"/>
      <c r="CX329" s="86"/>
      <c r="CY329" s="86"/>
      <c r="CZ329" s="86"/>
      <c r="DA329" s="86"/>
      <c r="DB329" s="86"/>
      <c r="DC329" s="86"/>
      <c r="DD329" s="86"/>
      <c r="DE329" s="86"/>
      <c r="DF329" s="86"/>
      <c r="DG329" s="86"/>
      <c r="DH329" s="86"/>
      <c r="DI329" s="86"/>
      <c r="DJ329" s="86"/>
      <c r="DK329" s="86"/>
      <c r="DL329" s="86"/>
      <c r="DM329" s="86"/>
      <c r="DN329" s="86"/>
      <c r="DO329" s="86"/>
      <c r="DP329" s="86"/>
      <c r="DQ329" s="86"/>
      <c r="DR329" s="86"/>
      <c r="DS329" s="86"/>
      <c r="DT329" s="86"/>
      <c r="DU329" s="86"/>
      <c r="DV329" s="86"/>
      <c r="DW329" s="86"/>
      <c r="DX329" s="86"/>
      <c r="DY329" s="86"/>
      <c r="DZ329" s="86"/>
      <c r="EA329" s="86"/>
      <c r="EB329" s="86"/>
      <c r="EC329" s="86"/>
      <c r="ED329" s="86"/>
      <c r="EE329" s="86"/>
      <c r="EF329" s="86"/>
      <c r="EG329" s="86"/>
      <c r="EH329" s="86"/>
      <c r="EI329" s="86"/>
      <c r="EJ329" s="86"/>
      <c r="EK329" s="86"/>
      <c r="EL329" s="86"/>
      <c r="EM329" s="86"/>
      <c r="EN329" s="86"/>
      <c r="EO329" s="86"/>
      <c r="EP329" s="86"/>
      <c r="EQ329" s="86"/>
      <c r="ER329" s="86"/>
      <c r="ES329" s="86"/>
      <c r="ET329" s="86"/>
      <c r="EU329" s="86"/>
      <c r="EV329" s="86"/>
      <c r="EW329" s="86"/>
      <c r="EX329" s="86"/>
      <c r="EY329" s="86"/>
      <c r="EZ329" s="86"/>
      <c r="FA329" s="86"/>
    </row>
    <row r="330" spans="2:157" ht="10.95" customHeight="1">
      <c r="B330" s="1347" t="s">
        <v>510</v>
      </c>
      <c r="C330" s="1348"/>
      <c r="D330" s="1345"/>
      <c r="E330" s="1346"/>
      <c r="F330" s="842"/>
      <c r="G330" s="837" t="s">
        <v>4</v>
      </c>
      <c r="H330" s="856"/>
      <c r="J330" s="101"/>
      <c r="K330" s="101"/>
      <c r="L330" s="101"/>
      <c r="Z330" s="86"/>
      <c r="AA330" s="86"/>
      <c r="AB330" s="86"/>
      <c r="AC330" s="86"/>
      <c r="AD330" s="86"/>
      <c r="AE330" s="86"/>
      <c r="AF330" s="86"/>
      <c r="AG330" s="86"/>
      <c r="AH330" s="86"/>
      <c r="AI330" s="86"/>
      <c r="AJ330" s="86"/>
      <c r="AK330" s="86"/>
      <c r="AL330" s="86"/>
      <c r="AM330" s="86"/>
      <c r="AN330" s="86"/>
      <c r="AO330" s="86"/>
      <c r="AP330" s="86"/>
      <c r="AQ330" s="86"/>
      <c r="AR330" s="86"/>
      <c r="AS330" s="86"/>
      <c r="AT330" s="86"/>
      <c r="AU330" s="86"/>
      <c r="AV330" s="86"/>
      <c r="AW330" s="86"/>
      <c r="AX330" s="86"/>
      <c r="AY330" s="86"/>
      <c r="AZ330" s="86"/>
      <c r="BA330" s="86"/>
      <c r="BB330" s="86"/>
      <c r="BC330" s="86"/>
      <c r="BD330" s="86"/>
      <c r="BE330" s="86"/>
      <c r="BF330" s="86"/>
      <c r="BG330" s="86"/>
      <c r="BH330" s="86"/>
      <c r="BI330" s="86"/>
      <c r="BJ330" s="86"/>
      <c r="BK330" s="86"/>
      <c r="BL330" s="86"/>
      <c r="BM330" s="86"/>
      <c r="BN330" s="86"/>
      <c r="BO330" s="86"/>
      <c r="BP330" s="86"/>
      <c r="BQ330" s="86"/>
      <c r="BR330" s="86"/>
      <c r="BS330" s="86"/>
      <c r="BT330" s="86"/>
      <c r="BU330" s="86"/>
      <c r="BV330" s="86"/>
      <c r="BW330" s="86"/>
      <c r="BX330" s="86"/>
      <c r="BY330" s="86"/>
      <c r="BZ330" s="86"/>
      <c r="CA330" s="86"/>
      <c r="CB330" s="86"/>
      <c r="CC330" s="86"/>
      <c r="CD330" s="86"/>
      <c r="CE330" s="86"/>
      <c r="CF330" s="86"/>
      <c r="CG330" s="86"/>
      <c r="CH330" s="86"/>
      <c r="CI330" s="86"/>
      <c r="CJ330" s="86"/>
      <c r="CK330" s="86"/>
      <c r="CL330" s="86"/>
      <c r="CM330" s="86"/>
      <c r="CN330" s="86"/>
      <c r="CO330" s="86"/>
      <c r="CP330" s="86"/>
      <c r="CQ330" s="86"/>
      <c r="CR330" s="86"/>
      <c r="CS330" s="86"/>
      <c r="CT330" s="86"/>
      <c r="CU330" s="86"/>
      <c r="CV330" s="86"/>
      <c r="CW330" s="86"/>
      <c r="CX330" s="86"/>
      <c r="CY330" s="86"/>
      <c r="CZ330" s="86"/>
      <c r="DA330" s="86"/>
      <c r="DB330" s="86"/>
      <c r="DC330" s="86"/>
      <c r="DD330" s="86"/>
      <c r="DE330" s="86"/>
      <c r="DF330" s="86"/>
      <c r="DG330" s="86"/>
      <c r="DH330" s="86"/>
      <c r="DI330" s="86"/>
      <c r="DJ330" s="86"/>
      <c r="DK330" s="86"/>
      <c r="DL330" s="86"/>
      <c r="DM330" s="86"/>
      <c r="DN330" s="86"/>
      <c r="DO330" s="86"/>
      <c r="DP330" s="86"/>
      <c r="DQ330" s="86"/>
      <c r="DR330" s="86"/>
      <c r="DS330" s="86"/>
      <c r="DT330" s="86"/>
      <c r="DU330" s="86"/>
      <c r="DV330" s="86"/>
      <c r="DW330" s="86"/>
      <c r="DX330" s="86"/>
      <c r="DY330" s="86"/>
      <c r="DZ330" s="86"/>
      <c r="EA330" s="86"/>
      <c r="EB330" s="86"/>
      <c r="EC330" s="86"/>
      <c r="ED330" s="86"/>
      <c r="EE330" s="86"/>
      <c r="EF330" s="86"/>
      <c r="EG330" s="86"/>
      <c r="EH330" s="86"/>
      <c r="EI330" s="86"/>
      <c r="EJ330" s="86"/>
      <c r="EK330" s="86"/>
      <c r="EL330" s="86"/>
      <c r="EM330" s="86"/>
      <c r="EN330" s="86"/>
      <c r="EO330" s="86"/>
      <c r="EP330" s="86"/>
      <c r="EQ330" s="86"/>
      <c r="ER330" s="86"/>
      <c r="ES330" s="86"/>
      <c r="ET330" s="86"/>
      <c r="EU330" s="86"/>
      <c r="EV330" s="86"/>
      <c r="EW330" s="86"/>
      <c r="EX330" s="86"/>
      <c r="EY330" s="86"/>
      <c r="EZ330" s="86"/>
      <c r="FA330" s="86"/>
    </row>
    <row r="331" spans="2:157" ht="10.95" customHeight="1">
      <c r="B331" s="1347" t="s">
        <v>582</v>
      </c>
      <c r="C331" s="1349"/>
      <c r="D331" s="1345"/>
      <c r="E331" s="1346"/>
      <c r="F331" s="839"/>
      <c r="G331" s="853" t="s">
        <v>345</v>
      </c>
      <c r="H331" s="854">
        <f>ROUND(1/(SUM(H334:H344)),2)</f>
        <v>5.88</v>
      </c>
      <c r="J331" s="101"/>
      <c r="K331" s="101"/>
      <c r="L331" s="101"/>
      <c r="Z331" s="86"/>
      <c r="AA331" s="86"/>
      <c r="AB331" s="86"/>
      <c r="AC331" s="86"/>
      <c r="AD331" s="86"/>
      <c r="AE331" s="86"/>
      <c r="AF331" s="86"/>
      <c r="AG331" s="86"/>
      <c r="AH331" s="86"/>
      <c r="AI331" s="86"/>
      <c r="AJ331" s="86"/>
      <c r="AK331" s="86"/>
      <c r="AL331" s="86"/>
      <c r="AM331" s="86"/>
      <c r="AN331" s="86"/>
      <c r="AO331" s="86"/>
      <c r="AP331" s="86"/>
      <c r="AQ331" s="86"/>
      <c r="AR331" s="86"/>
      <c r="AS331" s="86"/>
      <c r="AT331" s="86"/>
      <c r="AU331" s="86"/>
      <c r="AV331" s="86"/>
      <c r="AW331" s="86"/>
      <c r="AX331" s="86"/>
      <c r="AY331" s="86"/>
      <c r="AZ331" s="86"/>
      <c r="BA331" s="86"/>
      <c r="BB331" s="86"/>
      <c r="BC331" s="86"/>
      <c r="BD331" s="86"/>
      <c r="BE331" s="86"/>
      <c r="BF331" s="86"/>
      <c r="BG331" s="86"/>
      <c r="BH331" s="86"/>
      <c r="BI331" s="86"/>
      <c r="BJ331" s="86"/>
      <c r="BK331" s="86"/>
      <c r="BL331" s="86"/>
      <c r="BM331" s="86"/>
      <c r="BN331" s="86"/>
      <c r="BO331" s="86"/>
      <c r="BP331" s="86"/>
      <c r="BQ331" s="86"/>
      <c r="BR331" s="86"/>
      <c r="BS331" s="86"/>
      <c r="BT331" s="86"/>
      <c r="BU331" s="86"/>
      <c r="BV331" s="86"/>
      <c r="BW331" s="86"/>
      <c r="BX331" s="86"/>
      <c r="BY331" s="86"/>
      <c r="BZ331" s="86"/>
      <c r="CA331" s="86"/>
      <c r="CB331" s="86"/>
      <c r="CC331" s="86"/>
      <c r="CD331" s="86"/>
      <c r="CE331" s="86"/>
      <c r="CF331" s="86"/>
      <c r="CG331" s="86"/>
      <c r="CH331" s="86"/>
      <c r="CI331" s="86"/>
      <c r="CJ331" s="86"/>
      <c r="CK331" s="86"/>
      <c r="CL331" s="86"/>
      <c r="CM331" s="86"/>
      <c r="CN331" s="86"/>
      <c r="CO331" s="86"/>
      <c r="CP331" s="86"/>
      <c r="CQ331" s="86"/>
      <c r="CR331" s="86"/>
      <c r="CS331" s="86"/>
      <c r="CT331" s="86"/>
      <c r="CU331" s="86"/>
      <c r="CV331" s="86"/>
      <c r="CW331" s="86"/>
      <c r="CX331" s="86"/>
      <c r="CY331" s="86"/>
      <c r="CZ331" s="86"/>
      <c r="DA331" s="86"/>
      <c r="DB331" s="86"/>
      <c r="DC331" s="86"/>
      <c r="DD331" s="86"/>
      <c r="DE331" s="86"/>
      <c r="DF331" s="86"/>
      <c r="DG331" s="86"/>
      <c r="DH331" s="86"/>
      <c r="DI331" s="86"/>
      <c r="DJ331" s="86"/>
      <c r="DK331" s="86"/>
      <c r="DL331" s="86"/>
      <c r="DM331" s="86"/>
      <c r="DN331" s="86"/>
      <c r="DO331" s="86"/>
      <c r="DP331" s="86"/>
      <c r="DQ331" s="86"/>
      <c r="DR331" s="86"/>
      <c r="DS331" s="86"/>
      <c r="DT331" s="86"/>
      <c r="DU331" s="86"/>
      <c r="DV331" s="86"/>
      <c r="DW331" s="86"/>
      <c r="DX331" s="86"/>
      <c r="DY331" s="86"/>
      <c r="DZ331" s="86"/>
      <c r="EA331" s="86"/>
      <c r="EB331" s="86"/>
      <c r="EC331" s="86"/>
      <c r="ED331" s="86"/>
      <c r="EE331" s="86"/>
      <c r="EF331" s="86"/>
      <c r="EG331" s="86"/>
      <c r="EH331" s="86"/>
      <c r="EI331" s="86"/>
      <c r="EJ331" s="86"/>
      <c r="EK331" s="86"/>
      <c r="EL331" s="86"/>
      <c r="EM331" s="86"/>
      <c r="EN331" s="86"/>
      <c r="EO331" s="86"/>
      <c r="EP331" s="86"/>
      <c r="EQ331" s="86"/>
      <c r="ER331" s="86"/>
      <c r="ES331" s="86"/>
      <c r="ET331" s="86"/>
      <c r="EU331" s="86"/>
      <c r="EV331" s="86"/>
      <c r="EW331" s="86"/>
      <c r="EX331" s="86"/>
      <c r="EY331" s="86"/>
      <c r="EZ331" s="86"/>
      <c r="FA331" s="86"/>
    </row>
    <row r="332" spans="2:157" ht="9.75" customHeight="1">
      <c r="B332" s="839"/>
      <c r="C332" s="839"/>
      <c r="D332" s="844"/>
      <c r="E332" s="839"/>
      <c r="F332" s="839"/>
      <c r="G332" s="852"/>
      <c r="H332" s="850"/>
      <c r="J332" s="101"/>
      <c r="K332" s="101"/>
      <c r="L332" s="101"/>
      <c r="Z332" s="86"/>
      <c r="AA332" s="86"/>
      <c r="AB332" s="86"/>
      <c r="AC332" s="86"/>
      <c r="AD332" s="86"/>
      <c r="AE332" s="86"/>
      <c r="AF332" s="86"/>
      <c r="AG332" s="86"/>
      <c r="AH332" s="86"/>
      <c r="AI332" s="86"/>
      <c r="AJ332" s="86"/>
      <c r="AK332" s="86"/>
      <c r="AL332" s="86"/>
      <c r="AM332" s="86"/>
      <c r="AN332" s="86"/>
      <c r="AO332" s="86"/>
      <c r="AP332" s="86"/>
      <c r="AQ332" s="86"/>
      <c r="AR332" s="86"/>
      <c r="AS332" s="86"/>
      <c r="AT332" s="86"/>
      <c r="AU332" s="86"/>
      <c r="AV332" s="86"/>
      <c r="AW332" s="86"/>
      <c r="AX332" s="86"/>
      <c r="AY332" s="86"/>
      <c r="AZ332" s="86"/>
      <c r="BA332" s="86"/>
      <c r="BB332" s="86"/>
      <c r="BC332" s="86"/>
      <c r="BD332" s="86"/>
      <c r="BE332" s="86"/>
      <c r="BF332" s="86"/>
      <c r="BG332" s="86"/>
      <c r="BH332" s="86"/>
      <c r="BI332" s="86"/>
      <c r="BJ332" s="86"/>
      <c r="BK332" s="86"/>
      <c r="BL332" s="86"/>
      <c r="BM332" s="86"/>
      <c r="BN332" s="86"/>
      <c r="BO332" s="86"/>
      <c r="BP332" s="86"/>
      <c r="BQ332" s="86"/>
      <c r="BR332" s="86"/>
      <c r="BS332" s="86"/>
      <c r="BT332" s="86"/>
      <c r="BU332" s="86"/>
      <c r="BV332" s="86"/>
      <c r="BW332" s="86"/>
      <c r="BX332" s="86"/>
      <c r="BY332" s="86"/>
      <c r="BZ332" s="86"/>
      <c r="CA332" s="86"/>
      <c r="CB332" s="86"/>
      <c r="CC332" s="86"/>
      <c r="CD332" s="86"/>
      <c r="CE332" s="86"/>
      <c r="CF332" s="86"/>
      <c r="CG332" s="86"/>
      <c r="CH332" s="86"/>
      <c r="CI332" s="86"/>
      <c r="CJ332" s="86"/>
      <c r="CK332" s="86"/>
      <c r="CL332" s="86"/>
      <c r="CM332" s="86"/>
      <c r="CN332" s="86"/>
      <c r="CO332" s="86"/>
      <c r="CP332" s="86"/>
      <c r="CQ332" s="86"/>
      <c r="CR332" s="86"/>
      <c r="CS332" s="86"/>
      <c r="CT332" s="86"/>
      <c r="CU332" s="86"/>
      <c r="CV332" s="86"/>
      <c r="CW332" s="86"/>
      <c r="CX332" s="86"/>
      <c r="CY332" s="86"/>
      <c r="CZ332" s="86"/>
      <c r="DA332" s="86"/>
      <c r="DB332" s="86"/>
      <c r="DC332" s="86"/>
      <c r="DD332" s="86"/>
      <c r="DE332" s="86"/>
      <c r="DF332" s="86"/>
      <c r="DG332" s="86"/>
      <c r="DH332" s="86"/>
      <c r="DI332" s="86"/>
      <c r="DJ332" s="86"/>
      <c r="DK332" s="86"/>
      <c r="DL332" s="86"/>
      <c r="DM332" s="86"/>
      <c r="DN332" s="86"/>
      <c r="DO332" s="86"/>
      <c r="DP332" s="86"/>
      <c r="DQ332" s="86"/>
      <c r="DR332" s="86"/>
      <c r="DS332" s="86"/>
      <c r="DT332" s="86"/>
      <c r="DU332" s="86"/>
      <c r="DV332" s="86"/>
      <c r="DW332" s="86"/>
      <c r="DX332" s="86"/>
      <c r="DY332" s="86"/>
      <c r="DZ332" s="86"/>
      <c r="EA332" s="86"/>
      <c r="EB332" s="86"/>
      <c r="EC332" s="86"/>
      <c r="ED332" s="86"/>
      <c r="EE332" s="86"/>
      <c r="EF332" s="86"/>
      <c r="EG332" s="86"/>
      <c r="EH332" s="86"/>
      <c r="EI332" s="86"/>
      <c r="EJ332" s="86"/>
      <c r="EK332" s="86"/>
      <c r="EL332" s="86"/>
      <c r="EM332" s="86"/>
      <c r="EN332" s="86"/>
      <c r="EO332" s="86"/>
      <c r="EP332" s="86"/>
      <c r="EQ332" s="86"/>
      <c r="ER332" s="86"/>
      <c r="ES332" s="86"/>
      <c r="ET332" s="86"/>
      <c r="EU332" s="86"/>
      <c r="EV332" s="86"/>
      <c r="EW332" s="86"/>
      <c r="EX332" s="86"/>
      <c r="EY332" s="86"/>
      <c r="EZ332" s="86"/>
      <c r="FA332" s="86"/>
    </row>
    <row r="333" spans="2:157" ht="9.75" customHeight="1">
      <c r="B333" s="844" t="s">
        <v>349</v>
      </c>
      <c r="C333" s="1352" t="s">
        <v>344</v>
      </c>
      <c r="D333" s="1352"/>
      <c r="E333" s="87"/>
      <c r="F333" s="846" t="s">
        <v>170</v>
      </c>
      <c r="G333" s="847" t="s">
        <v>361</v>
      </c>
      <c r="H333" s="846" t="s">
        <v>281</v>
      </c>
      <c r="J333" s="101"/>
      <c r="K333" s="101"/>
      <c r="L333" s="101"/>
      <c r="Z333" s="86"/>
      <c r="AA333" s="86"/>
      <c r="AB333" s="86"/>
      <c r="AC333" s="86"/>
      <c r="AD333" s="86"/>
      <c r="AE333" s="86"/>
      <c r="AF333" s="86"/>
      <c r="AG333" s="86"/>
      <c r="AH333" s="86"/>
      <c r="AI333" s="86"/>
      <c r="AJ333" s="86"/>
      <c r="AK333" s="86"/>
      <c r="AL333" s="86"/>
      <c r="AM333" s="86"/>
      <c r="AN333" s="86"/>
      <c r="AO333" s="86"/>
      <c r="AP333" s="86"/>
      <c r="AQ333" s="86"/>
      <c r="AR333" s="86"/>
      <c r="AS333" s="86"/>
      <c r="AT333" s="86"/>
      <c r="AU333" s="86"/>
      <c r="AV333" s="86"/>
      <c r="AW333" s="86"/>
      <c r="AX333" s="86"/>
      <c r="AY333" s="86"/>
      <c r="AZ333" s="86"/>
      <c r="BA333" s="86"/>
      <c r="BB333" s="86"/>
      <c r="BC333" s="86"/>
      <c r="BD333" s="86"/>
      <c r="BE333" s="86"/>
      <c r="BF333" s="86"/>
      <c r="BG333" s="86"/>
      <c r="BH333" s="86"/>
      <c r="BI333" s="86"/>
      <c r="BJ333" s="86"/>
      <c r="BK333" s="86"/>
      <c r="BL333" s="86"/>
      <c r="BM333" s="86"/>
      <c r="BN333" s="86"/>
      <c r="BO333" s="86"/>
      <c r="BP333" s="86"/>
      <c r="BQ333" s="86"/>
      <c r="BR333" s="86"/>
      <c r="BS333" s="86"/>
      <c r="BT333" s="86"/>
      <c r="BU333" s="86"/>
      <c r="BV333" s="86"/>
      <c r="BW333" s="86"/>
      <c r="BX333" s="86"/>
      <c r="BY333" s="86"/>
      <c r="BZ333" s="86"/>
      <c r="CA333" s="86"/>
      <c r="CB333" s="86"/>
      <c r="CC333" s="86"/>
      <c r="CD333" s="86"/>
      <c r="CE333" s="86"/>
      <c r="CF333" s="86"/>
      <c r="CG333" s="86"/>
      <c r="CH333" s="86"/>
      <c r="CI333" s="86"/>
      <c r="CJ333" s="86"/>
      <c r="CK333" s="86"/>
      <c r="CL333" s="86"/>
      <c r="CM333" s="86"/>
      <c r="CN333" s="86"/>
      <c r="CO333" s="86"/>
      <c r="CP333" s="86"/>
      <c r="CQ333" s="86"/>
      <c r="CR333" s="86"/>
      <c r="CS333" s="86"/>
      <c r="CT333" s="86"/>
      <c r="CU333" s="86"/>
      <c r="CV333" s="86"/>
      <c r="CW333" s="86"/>
      <c r="CX333" s="86"/>
      <c r="CY333" s="86"/>
      <c r="CZ333" s="86"/>
      <c r="DA333" s="86"/>
      <c r="DB333" s="86"/>
      <c r="DC333" s="86"/>
      <c r="DD333" s="86"/>
      <c r="DE333" s="86"/>
      <c r="DF333" s="86"/>
      <c r="DG333" s="86"/>
      <c r="DH333" s="86"/>
      <c r="DI333" s="86"/>
      <c r="DJ333" s="86"/>
      <c r="DK333" s="86"/>
      <c r="DL333" s="86"/>
      <c r="DM333" s="86"/>
      <c r="DN333" s="86"/>
      <c r="DO333" s="86"/>
      <c r="DP333" s="86"/>
      <c r="DQ333" s="86"/>
      <c r="DR333" s="86"/>
      <c r="DS333" s="86"/>
      <c r="DT333" s="86"/>
      <c r="DU333" s="86"/>
      <c r="DV333" s="86"/>
      <c r="DW333" s="86"/>
      <c r="DX333" s="86"/>
      <c r="DY333" s="86"/>
      <c r="DZ333" s="86"/>
      <c r="EA333" s="86"/>
      <c r="EB333" s="86"/>
      <c r="EC333" s="86"/>
      <c r="ED333" s="86"/>
      <c r="EE333" s="86"/>
      <c r="EF333" s="86"/>
      <c r="EG333" s="86"/>
      <c r="EH333" s="86"/>
      <c r="EI333" s="86"/>
      <c r="EJ333" s="86"/>
      <c r="EK333" s="86"/>
      <c r="EL333" s="86"/>
      <c r="EM333" s="86"/>
      <c r="EN333" s="86"/>
      <c r="EO333" s="86"/>
      <c r="EP333" s="86"/>
      <c r="EQ333" s="86"/>
      <c r="ER333" s="86"/>
      <c r="ES333" s="86"/>
      <c r="ET333" s="86"/>
      <c r="EU333" s="86"/>
      <c r="EV333" s="86"/>
      <c r="EW333" s="86"/>
      <c r="EX333" s="86"/>
      <c r="EY333" s="86"/>
      <c r="EZ333" s="86"/>
      <c r="FA333" s="86"/>
    </row>
    <row r="334" spans="2:157" ht="10.050000000000001" customHeight="1">
      <c r="B334" s="845" t="s">
        <v>546</v>
      </c>
      <c r="C334" s="1350" t="s">
        <v>106</v>
      </c>
      <c r="D334" s="1350"/>
      <c r="E334" s="87"/>
      <c r="F334" s="848" t="s">
        <v>546</v>
      </c>
      <c r="G334" s="848" t="s">
        <v>546</v>
      </c>
      <c r="H334" s="1016">
        <v>0.13</v>
      </c>
      <c r="J334" s="101"/>
      <c r="K334" s="101"/>
      <c r="L334" s="101"/>
      <c r="Z334" s="86"/>
      <c r="AA334" s="86"/>
      <c r="AB334" s="86"/>
      <c r="AC334" s="86"/>
      <c r="AD334" s="86"/>
      <c r="AE334" s="86"/>
      <c r="AF334" s="86"/>
      <c r="AG334" s="86"/>
      <c r="AH334" s="86"/>
      <c r="AI334" s="86"/>
      <c r="AJ334" s="86"/>
      <c r="AK334" s="86"/>
      <c r="AL334" s="86"/>
      <c r="AM334" s="86"/>
      <c r="AN334" s="86"/>
      <c r="AO334" s="86"/>
      <c r="AP334" s="86"/>
      <c r="AQ334" s="86"/>
      <c r="AR334" s="86"/>
      <c r="AS334" s="86"/>
      <c r="AT334" s="86"/>
      <c r="AU334" s="86"/>
      <c r="AV334" s="86"/>
      <c r="AW334" s="86"/>
      <c r="AX334" s="86"/>
      <c r="AY334" s="86"/>
      <c r="AZ334" s="86"/>
      <c r="BA334" s="86"/>
      <c r="BB334" s="86"/>
      <c r="BC334" s="86"/>
      <c r="BD334" s="86"/>
      <c r="BE334" s="86"/>
      <c r="BF334" s="86"/>
      <c r="BG334" s="86"/>
      <c r="BH334" s="86"/>
      <c r="BI334" s="86"/>
      <c r="BJ334" s="86"/>
      <c r="BK334" s="86"/>
      <c r="BL334" s="86"/>
      <c r="BM334" s="86"/>
      <c r="BN334" s="86"/>
      <c r="BO334" s="86"/>
      <c r="BP334" s="86"/>
      <c r="BQ334" s="86"/>
      <c r="BR334" s="86"/>
      <c r="BS334" s="86"/>
      <c r="BT334" s="86"/>
      <c r="BU334" s="86"/>
      <c r="BV334" s="86"/>
      <c r="BW334" s="86"/>
      <c r="BX334" s="86"/>
      <c r="BY334" s="86"/>
      <c r="BZ334" s="86"/>
      <c r="CA334" s="86"/>
      <c r="CB334" s="86"/>
      <c r="CC334" s="86"/>
      <c r="CD334" s="86"/>
      <c r="CE334" s="86"/>
      <c r="CF334" s="86"/>
      <c r="CG334" s="86"/>
      <c r="CH334" s="86"/>
      <c r="CI334" s="86"/>
      <c r="CJ334" s="86"/>
      <c r="CK334" s="86"/>
      <c r="CL334" s="86"/>
      <c r="CM334" s="86"/>
      <c r="CN334" s="86"/>
      <c r="CO334" s="86"/>
      <c r="CP334" s="86"/>
      <c r="CQ334" s="86"/>
      <c r="CR334" s="86"/>
      <c r="CS334" s="86"/>
      <c r="CT334" s="86"/>
      <c r="CU334" s="86"/>
      <c r="CV334" s="86"/>
      <c r="CW334" s="86"/>
      <c r="CX334" s="86"/>
      <c r="CY334" s="86"/>
      <c r="CZ334" s="86"/>
      <c r="DA334" s="86"/>
      <c r="DB334" s="86"/>
      <c r="DC334" s="86"/>
      <c r="DD334" s="86"/>
      <c r="DE334" s="86"/>
      <c r="DF334" s="86"/>
      <c r="DG334" s="86"/>
      <c r="DH334" s="86"/>
      <c r="DI334" s="86"/>
      <c r="DJ334" s="86"/>
      <c r="DK334" s="86"/>
      <c r="DL334" s="86"/>
      <c r="DM334" s="86"/>
      <c r="DN334" s="86"/>
      <c r="DO334" s="86"/>
      <c r="DP334" s="86"/>
      <c r="DQ334" s="86"/>
      <c r="DR334" s="86"/>
      <c r="DS334" s="86"/>
      <c r="DT334" s="86"/>
      <c r="DU334" s="86"/>
      <c r="DV334" s="86"/>
      <c r="DW334" s="86"/>
      <c r="DX334" s="86"/>
      <c r="DY334" s="86"/>
      <c r="DZ334" s="86"/>
      <c r="EA334" s="86"/>
      <c r="EB334" s="86"/>
      <c r="EC334" s="86"/>
      <c r="ED334" s="86"/>
      <c r="EE334" s="86"/>
      <c r="EF334" s="86"/>
      <c r="EG334" s="86"/>
      <c r="EH334" s="86"/>
      <c r="EI334" s="86"/>
      <c r="EJ334" s="86"/>
      <c r="EK334" s="86"/>
      <c r="EL334" s="86"/>
      <c r="EM334" s="86"/>
      <c r="EN334" s="86"/>
      <c r="EO334" s="86"/>
      <c r="EP334" s="86"/>
      <c r="EQ334" s="86"/>
      <c r="ER334" s="86"/>
      <c r="ES334" s="86"/>
      <c r="ET334" s="86"/>
      <c r="EU334" s="86"/>
      <c r="EV334" s="86"/>
      <c r="EW334" s="86"/>
      <c r="EX334" s="86"/>
      <c r="EY334" s="86"/>
      <c r="EZ334" s="86"/>
      <c r="FA334" s="86"/>
    </row>
    <row r="335" spans="2:157" ht="9.75" customHeight="1">
      <c r="B335" s="845">
        <v>1</v>
      </c>
      <c r="C335" s="1344"/>
      <c r="D335" s="1344"/>
      <c r="E335" s="1344"/>
      <c r="F335" s="857"/>
      <c r="G335" s="857"/>
      <c r="H335" s="875" t="str">
        <f t="shared" ref="H335:H343" si="15">IF(G335=0,"",(F335/(G335+0.00000000001)))</f>
        <v/>
      </c>
      <c r="J335" s="101"/>
      <c r="K335" s="101"/>
      <c r="L335" s="101"/>
      <c r="Z335" s="86"/>
      <c r="AA335" s="86"/>
      <c r="AB335" s="86"/>
      <c r="AC335" s="86"/>
      <c r="AD335" s="86"/>
      <c r="AE335" s="86"/>
      <c r="AF335" s="86"/>
      <c r="AG335" s="86"/>
      <c r="AH335" s="86"/>
      <c r="AI335" s="86"/>
      <c r="AJ335" s="86"/>
      <c r="AK335" s="86"/>
      <c r="AL335" s="86"/>
      <c r="AM335" s="86"/>
      <c r="AN335" s="86"/>
      <c r="AO335" s="86"/>
      <c r="AP335" s="86"/>
      <c r="AQ335" s="86"/>
      <c r="AR335" s="86"/>
      <c r="AS335" s="86"/>
      <c r="AT335" s="86"/>
      <c r="AU335" s="86"/>
      <c r="AV335" s="86"/>
      <c r="AW335" s="86"/>
      <c r="AX335" s="86"/>
      <c r="AY335" s="86"/>
      <c r="AZ335" s="86"/>
      <c r="BA335" s="86"/>
      <c r="BB335" s="86"/>
      <c r="BC335" s="86"/>
      <c r="BD335" s="86"/>
      <c r="BE335" s="86"/>
      <c r="BF335" s="86"/>
      <c r="BG335" s="86"/>
      <c r="BH335" s="86"/>
      <c r="BI335" s="86"/>
      <c r="BJ335" s="86"/>
      <c r="BK335" s="86"/>
      <c r="BL335" s="86"/>
      <c r="BM335" s="86"/>
      <c r="BN335" s="86"/>
      <c r="BO335" s="86"/>
      <c r="BP335" s="86"/>
      <c r="BQ335" s="86"/>
      <c r="BR335" s="86"/>
      <c r="BS335" s="86"/>
      <c r="BT335" s="86"/>
      <c r="BU335" s="86"/>
      <c r="BV335" s="86"/>
      <c r="BW335" s="86"/>
      <c r="BX335" s="86"/>
      <c r="BY335" s="86"/>
      <c r="BZ335" s="86"/>
      <c r="CA335" s="86"/>
      <c r="CB335" s="86"/>
      <c r="CC335" s="86"/>
      <c r="CD335" s="86"/>
      <c r="CE335" s="86"/>
      <c r="CF335" s="86"/>
      <c r="CG335" s="86"/>
      <c r="CH335" s="86"/>
      <c r="CI335" s="86"/>
      <c r="CJ335" s="86"/>
      <c r="CK335" s="86"/>
      <c r="CL335" s="86"/>
      <c r="CM335" s="86"/>
      <c r="CN335" s="86"/>
      <c r="CO335" s="86"/>
      <c r="CP335" s="86"/>
      <c r="CQ335" s="86"/>
      <c r="CR335" s="86"/>
      <c r="CS335" s="86"/>
      <c r="CT335" s="86"/>
      <c r="CU335" s="86"/>
      <c r="CV335" s="86"/>
      <c r="CW335" s="86"/>
      <c r="CX335" s="86"/>
      <c r="CY335" s="86"/>
      <c r="CZ335" s="86"/>
      <c r="DA335" s="86"/>
      <c r="DB335" s="86"/>
      <c r="DC335" s="86"/>
      <c r="DD335" s="86"/>
      <c r="DE335" s="86"/>
      <c r="DF335" s="86"/>
      <c r="DG335" s="86"/>
      <c r="DH335" s="86"/>
      <c r="DI335" s="86"/>
      <c r="DJ335" s="86"/>
      <c r="DK335" s="86"/>
      <c r="DL335" s="86"/>
      <c r="DM335" s="86"/>
      <c r="DN335" s="86"/>
      <c r="DO335" s="86"/>
      <c r="DP335" s="86"/>
      <c r="DQ335" s="86"/>
      <c r="DR335" s="86"/>
      <c r="DS335" s="86"/>
      <c r="DT335" s="86"/>
      <c r="DU335" s="86"/>
      <c r="DV335" s="86"/>
      <c r="DW335" s="86"/>
      <c r="DX335" s="86"/>
      <c r="DY335" s="86"/>
      <c r="DZ335" s="86"/>
      <c r="EA335" s="86"/>
      <c r="EB335" s="86"/>
      <c r="EC335" s="86"/>
      <c r="ED335" s="86"/>
      <c r="EE335" s="86"/>
      <c r="EF335" s="86"/>
      <c r="EG335" s="86"/>
      <c r="EH335" s="86"/>
      <c r="EI335" s="86"/>
      <c r="EJ335" s="86"/>
      <c r="EK335" s="86"/>
      <c r="EL335" s="86"/>
      <c r="EM335" s="86"/>
      <c r="EN335" s="86"/>
      <c r="EO335" s="86"/>
      <c r="EP335" s="86"/>
      <c r="EQ335" s="86"/>
      <c r="ER335" s="86"/>
      <c r="ES335" s="86"/>
      <c r="ET335" s="86"/>
      <c r="EU335" s="86"/>
      <c r="EV335" s="86"/>
      <c r="EW335" s="86"/>
      <c r="EX335" s="86"/>
      <c r="EY335" s="86"/>
      <c r="EZ335" s="86"/>
      <c r="FA335" s="86"/>
    </row>
    <row r="336" spans="2:157" ht="9.75" customHeight="1">
      <c r="B336" s="845">
        <v>2</v>
      </c>
      <c r="C336" s="1344"/>
      <c r="D336" s="1344"/>
      <c r="E336" s="1344"/>
      <c r="F336" s="857"/>
      <c r="G336" s="857"/>
      <c r="H336" s="875" t="str">
        <f t="shared" si="15"/>
        <v/>
      </c>
      <c r="J336" s="101"/>
      <c r="K336" s="101"/>
      <c r="L336" s="101"/>
      <c r="Z336" s="86"/>
      <c r="AA336" s="86"/>
      <c r="AB336" s="86"/>
      <c r="AC336" s="86"/>
      <c r="AD336" s="86"/>
      <c r="AE336" s="86"/>
      <c r="AF336" s="86"/>
      <c r="AG336" s="86"/>
      <c r="AH336" s="86"/>
      <c r="AI336" s="86"/>
      <c r="AJ336" s="86"/>
      <c r="AK336" s="86"/>
      <c r="AL336" s="86"/>
      <c r="AM336" s="86"/>
      <c r="AN336" s="86"/>
      <c r="AO336" s="86"/>
      <c r="AP336" s="86"/>
      <c r="AQ336" s="86"/>
      <c r="AR336" s="86"/>
      <c r="AS336" s="86"/>
      <c r="AT336" s="86"/>
      <c r="AU336" s="86"/>
      <c r="AV336" s="86"/>
      <c r="AW336" s="86"/>
      <c r="AX336" s="86"/>
      <c r="AY336" s="86"/>
      <c r="AZ336" s="86"/>
      <c r="BA336" s="86"/>
      <c r="BB336" s="86"/>
      <c r="BC336" s="86"/>
      <c r="BD336" s="86"/>
      <c r="BE336" s="86"/>
      <c r="BF336" s="86"/>
      <c r="BG336" s="86"/>
      <c r="BH336" s="86"/>
      <c r="BI336" s="86"/>
      <c r="BJ336" s="86"/>
      <c r="BK336" s="86"/>
      <c r="BL336" s="86"/>
      <c r="BM336" s="86"/>
      <c r="BN336" s="86"/>
      <c r="BO336" s="86"/>
      <c r="BP336" s="86"/>
      <c r="BQ336" s="86"/>
      <c r="BR336" s="86"/>
      <c r="BS336" s="86"/>
      <c r="BT336" s="86"/>
      <c r="BU336" s="86"/>
      <c r="BV336" s="86"/>
      <c r="BW336" s="86"/>
      <c r="BX336" s="86"/>
      <c r="BY336" s="86"/>
      <c r="BZ336" s="86"/>
      <c r="CA336" s="86"/>
      <c r="CB336" s="86"/>
      <c r="CC336" s="86"/>
      <c r="CD336" s="86"/>
      <c r="CE336" s="86"/>
      <c r="CF336" s="86"/>
      <c r="CG336" s="86"/>
      <c r="CH336" s="86"/>
      <c r="CI336" s="86"/>
      <c r="CJ336" s="86"/>
      <c r="CK336" s="86"/>
      <c r="CL336" s="86"/>
      <c r="CM336" s="86"/>
      <c r="CN336" s="86"/>
      <c r="CO336" s="86"/>
      <c r="CP336" s="86"/>
      <c r="CQ336" s="86"/>
      <c r="CR336" s="86"/>
      <c r="CS336" s="86"/>
      <c r="CT336" s="86"/>
      <c r="CU336" s="86"/>
      <c r="CV336" s="86"/>
      <c r="CW336" s="86"/>
      <c r="CX336" s="86"/>
      <c r="CY336" s="86"/>
      <c r="CZ336" s="86"/>
      <c r="DA336" s="86"/>
      <c r="DB336" s="86"/>
      <c r="DC336" s="86"/>
      <c r="DD336" s="86"/>
      <c r="DE336" s="86"/>
      <c r="DF336" s="86"/>
      <c r="DG336" s="86"/>
      <c r="DH336" s="86"/>
      <c r="DI336" s="86"/>
      <c r="DJ336" s="86"/>
      <c r="DK336" s="86"/>
      <c r="DL336" s="86"/>
      <c r="DM336" s="86"/>
      <c r="DN336" s="86"/>
      <c r="DO336" s="86"/>
      <c r="DP336" s="86"/>
      <c r="DQ336" s="86"/>
      <c r="DR336" s="86"/>
      <c r="DS336" s="86"/>
      <c r="DT336" s="86"/>
      <c r="DU336" s="86"/>
      <c r="DV336" s="86"/>
      <c r="DW336" s="86"/>
      <c r="DX336" s="86"/>
      <c r="DY336" s="86"/>
      <c r="DZ336" s="86"/>
      <c r="EA336" s="86"/>
      <c r="EB336" s="86"/>
      <c r="EC336" s="86"/>
      <c r="ED336" s="86"/>
      <c r="EE336" s="86"/>
      <c r="EF336" s="86"/>
      <c r="EG336" s="86"/>
      <c r="EH336" s="86"/>
      <c r="EI336" s="86"/>
      <c r="EJ336" s="86"/>
      <c r="EK336" s="86"/>
      <c r="EL336" s="86"/>
      <c r="EM336" s="86"/>
      <c r="EN336" s="86"/>
      <c r="EO336" s="86"/>
      <c r="EP336" s="86"/>
      <c r="EQ336" s="86"/>
      <c r="ER336" s="86"/>
      <c r="ES336" s="86"/>
      <c r="ET336" s="86"/>
      <c r="EU336" s="86"/>
      <c r="EV336" s="86"/>
      <c r="EW336" s="86"/>
      <c r="EX336" s="86"/>
      <c r="EY336" s="86"/>
      <c r="EZ336" s="86"/>
      <c r="FA336" s="86"/>
    </row>
    <row r="337" spans="2:157" ht="9.75" customHeight="1">
      <c r="B337" s="845">
        <v>3</v>
      </c>
      <c r="C337" s="1344"/>
      <c r="D337" s="1344"/>
      <c r="E337" s="1344"/>
      <c r="F337" s="857"/>
      <c r="G337" s="857"/>
      <c r="H337" s="875" t="str">
        <f t="shared" si="15"/>
        <v/>
      </c>
      <c r="J337" s="101"/>
      <c r="K337" s="101"/>
      <c r="L337" s="101"/>
      <c r="Z337" s="86"/>
      <c r="AA337" s="86"/>
      <c r="AB337" s="86"/>
      <c r="AC337" s="86"/>
      <c r="AD337" s="86"/>
      <c r="AE337" s="86"/>
      <c r="AF337" s="86"/>
      <c r="AG337" s="86"/>
      <c r="AH337" s="86"/>
      <c r="AI337" s="86"/>
      <c r="AJ337" s="86"/>
      <c r="AK337" s="86"/>
      <c r="AL337" s="86"/>
      <c r="AM337" s="86"/>
      <c r="AN337" s="86"/>
      <c r="AO337" s="86"/>
      <c r="AP337" s="86"/>
      <c r="AQ337" s="86"/>
      <c r="AR337" s="86"/>
      <c r="AS337" s="86"/>
      <c r="AT337" s="86"/>
      <c r="AU337" s="86"/>
      <c r="AV337" s="86"/>
      <c r="AW337" s="86"/>
      <c r="AX337" s="86"/>
      <c r="AY337" s="86"/>
      <c r="AZ337" s="86"/>
      <c r="BA337" s="86"/>
      <c r="BB337" s="86"/>
      <c r="BC337" s="86"/>
      <c r="BD337" s="86"/>
      <c r="BE337" s="86"/>
      <c r="BF337" s="86"/>
      <c r="BG337" s="86"/>
      <c r="BH337" s="86"/>
      <c r="BI337" s="86"/>
      <c r="BJ337" s="86"/>
      <c r="BK337" s="86"/>
      <c r="BL337" s="86"/>
      <c r="BM337" s="86"/>
      <c r="BN337" s="86"/>
      <c r="BO337" s="86"/>
      <c r="BP337" s="86"/>
      <c r="BQ337" s="86"/>
      <c r="BR337" s="86"/>
      <c r="BS337" s="86"/>
      <c r="BT337" s="86"/>
      <c r="BU337" s="86"/>
      <c r="BV337" s="86"/>
      <c r="BW337" s="86"/>
      <c r="BX337" s="86"/>
      <c r="BY337" s="86"/>
      <c r="BZ337" s="86"/>
      <c r="CA337" s="86"/>
      <c r="CB337" s="86"/>
      <c r="CC337" s="86"/>
      <c r="CD337" s="86"/>
      <c r="CE337" s="86"/>
      <c r="CF337" s="86"/>
      <c r="CG337" s="86"/>
      <c r="CH337" s="86"/>
      <c r="CI337" s="86"/>
      <c r="CJ337" s="86"/>
      <c r="CK337" s="86"/>
      <c r="CL337" s="86"/>
      <c r="CM337" s="86"/>
      <c r="CN337" s="86"/>
      <c r="CO337" s="86"/>
      <c r="CP337" s="86"/>
      <c r="CQ337" s="86"/>
      <c r="CR337" s="86"/>
      <c r="CS337" s="86"/>
      <c r="CT337" s="86"/>
      <c r="CU337" s="86"/>
      <c r="CV337" s="86"/>
      <c r="CW337" s="86"/>
      <c r="CX337" s="86"/>
      <c r="CY337" s="86"/>
      <c r="CZ337" s="86"/>
      <c r="DA337" s="86"/>
      <c r="DB337" s="86"/>
      <c r="DC337" s="86"/>
      <c r="DD337" s="86"/>
      <c r="DE337" s="86"/>
      <c r="DF337" s="86"/>
      <c r="DG337" s="86"/>
      <c r="DH337" s="86"/>
      <c r="DI337" s="86"/>
      <c r="DJ337" s="86"/>
      <c r="DK337" s="86"/>
      <c r="DL337" s="86"/>
      <c r="DM337" s="86"/>
      <c r="DN337" s="86"/>
      <c r="DO337" s="86"/>
      <c r="DP337" s="86"/>
      <c r="DQ337" s="86"/>
      <c r="DR337" s="86"/>
      <c r="DS337" s="86"/>
      <c r="DT337" s="86"/>
      <c r="DU337" s="86"/>
      <c r="DV337" s="86"/>
      <c r="DW337" s="86"/>
      <c r="DX337" s="86"/>
      <c r="DY337" s="86"/>
      <c r="DZ337" s="86"/>
      <c r="EA337" s="86"/>
      <c r="EB337" s="86"/>
      <c r="EC337" s="86"/>
      <c r="ED337" s="86"/>
      <c r="EE337" s="86"/>
      <c r="EF337" s="86"/>
      <c r="EG337" s="86"/>
      <c r="EH337" s="86"/>
      <c r="EI337" s="86"/>
      <c r="EJ337" s="86"/>
      <c r="EK337" s="86"/>
      <c r="EL337" s="86"/>
      <c r="EM337" s="86"/>
      <c r="EN337" s="86"/>
      <c r="EO337" s="86"/>
      <c r="EP337" s="86"/>
      <c r="EQ337" s="86"/>
      <c r="ER337" s="86"/>
      <c r="ES337" s="86"/>
      <c r="ET337" s="86"/>
      <c r="EU337" s="86"/>
      <c r="EV337" s="86"/>
      <c r="EW337" s="86"/>
      <c r="EX337" s="86"/>
      <c r="EY337" s="86"/>
      <c r="EZ337" s="86"/>
      <c r="FA337" s="86"/>
    </row>
    <row r="338" spans="2:157" ht="9.75" customHeight="1">
      <c r="B338" s="845">
        <v>4</v>
      </c>
      <c r="C338" s="1344"/>
      <c r="D338" s="1344"/>
      <c r="E338" s="1344"/>
      <c r="F338" s="857"/>
      <c r="G338" s="857"/>
      <c r="H338" s="875" t="str">
        <f t="shared" si="15"/>
        <v/>
      </c>
      <c r="J338" s="101"/>
      <c r="K338" s="101"/>
      <c r="L338" s="101"/>
      <c r="Z338" s="86"/>
      <c r="AA338" s="86"/>
      <c r="AB338" s="86"/>
      <c r="AC338" s="86"/>
      <c r="AD338" s="86"/>
      <c r="AE338" s="86"/>
      <c r="AF338" s="86"/>
      <c r="AG338" s="86"/>
      <c r="AH338" s="86"/>
      <c r="AI338" s="86"/>
      <c r="AJ338" s="86"/>
      <c r="AK338" s="86"/>
      <c r="AL338" s="86"/>
      <c r="AM338" s="86"/>
      <c r="AN338" s="86"/>
      <c r="AO338" s="86"/>
      <c r="AP338" s="86"/>
      <c r="AQ338" s="86"/>
      <c r="AR338" s="86"/>
      <c r="AS338" s="86"/>
      <c r="AT338" s="86"/>
      <c r="AU338" s="86"/>
      <c r="AV338" s="86"/>
      <c r="AW338" s="86"/>
      <c r="AX338" s="86"/>
      <c r="AY338" s="86"/>
      <c r="AZ338" s="86"/>
      <c r="BA338" s="86"/>
      <c r="BB338" s="86"/>
      <c r="BC338" s="86"/>
      <c r="BD338" s="86"/>
      <c r="BE338" s="86"/>
      <c r="BF338" s="86"/>
      <c r="BG338" s="86"/>
      <c r="BH338" s="86"/>
      <c r="BI338" s="86"/>
      <c r="BJ338" s="86"/>
      <c r="BK338" s="86"/>
      <c r="BL338" s="86"/>
      <c r="BM338" s="86"/>
      <c r="BN338" s="86"/>
      <c r="BO338" s="86"/>
      <c r="BP338" s="86"/>
      <c r="BQ338" s="86"/>
      <c r="BR338" s="86"/>
      <c r="BS338" s="86"/>
      <c r="BT338" s="86"/>
      <c r="BU338" s="86"/>
      <c r="BV338" s="86"/>
      <c r="BW338" s="86"/>
      <c r="BX338" s="86"/>
      <c r="BY338" s="86"/>
      <c r="BZ338" s="86"/>
      <c r="CA338" s="86"/>
      <c r="CB338" s="86"/>
      <c r="CC338" s="86"/>
      <c r="CD338" s="86"/>
      <c r="CE338" s="86"/>
      <c r="CF338" s="86"/>
      <c r="CG338" s="86"/>
      <c r="CH338" s="86"/>
      <c r="CI338" s="86"/>
      <c r="CJ338" s="86"/>
      <c r="CK338" s="86"/>
      <c r="CL338" s="86"/>
      <c r="CM338" s="86"/>
      <c r="CN338" s="86"/>
      <c r="CO338" s="86"/>
      <c r="CP338" s="86"/>
      <c r="CQ338" s="86"/>
      <c r="CR338" s="86"/>
      <c r="CS338" s="86"/>
      <c r="CT338" s="86"/>
      <c r="CU338" s="86"/>
      <c r="CV338" s="86"/>
      <c r="CW338" s="86"/>
      <c r="CX338" s="86"/>
      <c r="CY338" s="86"/>
      <c r="CZ338" s="86"/>
      <c r="DA338" s="86"/>
      <c r="DB338" s="86"/>
      <c r="DC338" s="86"/>
      <c r="DD338" s="86"/>
      <c r="DE338" s="86"/>
      <c r="DF338" s="86"/>
      <c r="DG338" s="86"/>
      <c r="DH338" s="86"/>
      <c r="DI338" s="86"/>
      <c r="DJ338" s="86"/>
      <c r="DK338" s="86"/>
      <c r="DL338" s="86"/>
      <c r="DM338" s="86"/>
      <c r="DN338" s="86"/>
      <c r="DO338" s="86"/>
      <c r="DP338" s="86"/>
      <c r="DQ338" s="86"/>
      <c r="DR338" s="86"/>
      <c r="DS338" s="86"/>
      <c r="DT338" s="86"/>
      <c r="DU338" s="86"/>
      <c r="DV338" s="86"/>
      <c r="DW338" s="86"/>
      <c r="DX338" s="86"/>
      <c r="DY338" s="86"/>
      <c r="DZ338" s="86"/>
      <c r="EA338" s="86"/>
      <c r="EB338" s="86"/>
      <c r="EC338" s="86"/>
      <c r="ED338" s="86"/>
      <c r="EE338" s="86"/>
      <c r="EF338" s="86"/>
      <c r="EG338" s="86"/>
      <c r="EH338" s="86"/>
      <c r="EI338" s="86"/>
      <c r="EJ338" s="86"/>
      <c r="EK338" s="86"/>
      <c r="EL338" s="86"/>
      <c r="EM338" s="86"/>
      <c r="EN338" s="86"/>
      <c r="EO338" s="86"/>
      <c r="EP338" s="86"/>
      <c r="EQ338" s="86"/>
      <c r="ER338" s="86"/>
      <c r="ES338" s="86"/>
      <c r="ET338" s="86"/>
      <c r="EU338" s="86"/>
      <c r="EV338" s="86"/>
      <c r="EW338" s="86"/>
      <c r="EX338" s="86"/>
      <c r="EY338" s="86"/>
      <c r="EZ338" s="86"/>
      <c r="FA338" s="86"/>
    </row>
    <row r="339" spans="2:157" ht="9.75" customHeight="1">
      <c r="B339" s="845">
        <v>5</v>
      </c>
      <c r="C339" s="1344"/>
      <c r="D339" s="1344"/>
      <c r="E339" s="1344"/>
      <c r="F339" s="857"/>
      <c r="G339" s="857"/>
      <c r="H339" s="875" t="str">
        <f t="shared" si="15"/>
        <v/>
      </c>
      <c r="J339" s="101"/>
      <c r="K339" s="101"/>
      <c r="L339" s="101"/>
      <c r="Z339" s="86"/>
      <c r="AA339" s="86"/>
      <c r="AB339" s="86"/>
      <c r="AC339" s="86"/>
      <c r="AD339" s="86"/>
      <c r="AE339" s="86"/>
      <c r="AF339" s="86"/>
      <c r="AG339" s="86"/>
      <c r="AH339" s="86"/>
      <c r="AI339" s="86"/>
      <c r="AJ339" s="86"/>
      <c r="AK339" s="86"/>
      <c r="AL339" s="86"/>
      <c r="AM339" s="86"/>
      <c r="AN339" s="86"/>
      <c r="AO339" s="86"/>
      <c r="AP339" s="86"/>
      <c r="AQ339" s="86"/>
      <c r="AR339" s="86"/>
      <c r="AS339" s="86"/>
      <c r="AT339" s="86"/>
      <c r="AU339" s="86"/>
      <c r="AV339" s="86"/>
      <c r="AW339" s="86"/>
      <c r="AX339" s="86"/>
      <c r="AY339" s="86"/>
      <c r="AZ339" s="86"/>
      <c r="BA339" s="86"/>
      <c r="BB339" s="86"/>
      <c r="BC339" s="86"/>
      <c r="BD339" s="86"/>
      <c r="BE339" s="86"/>
      <c r="BF339" s="86"/>
      <c r="BG339" s="86"/>
      <c r="BH339" s="86"/>
      <c r="BI339" s="86"/>
      <c r="BJ339" s="86"/>
      <c r="BK339" s="86"/>
      <c r="BL339" s="86"/>
      <c r="BM339" s="86"/>
      <c r="BN339" s="86"/>
      <c r="BO339" s="86"/>
      <c r="BP339" s="86"/>
      <c r="BQ339" s="86"/>
      <c r="BR339" s="86"/>
      <c r="BS339" s="86"/>
      <c r="BT339" s="86"/>
      <c r="BU339" s="86"/>
      <c r="BV339" s="86"/>
      <c r="BW339" s="86"/>
      <c r="BX339" s="86"/>
      <c r="BY339" s="86"/>
      <c r="BZ339" s="86"/>
      <c r="CA339" s="86"/>
      <c r="CB339" s="86"/>
      <c r="CC339" s="86"/>
      <c r="CD339" s="86"/>
      <c r="CE339" s="86"/>
      <c r="CF339" s="86"/>
      <c r="CG339" s="86"/>
      <c r="CH339" s="86"/>
      <c r="CI339" s="86"/>
      <c r="CJ339" s="86"/>
      <c r="CK339" s="86"/>
      <c r="CL339" s="86"/>
      <c r="CM339" s="86"/>
      <c r="CN339" s="86"/>
      <c r="CO339" s="86"/>
      <c r="CP339" s="86"/>
      <c r="CQ339" s="86"/>
      <c r="CR339" s="86"/>
      <c r="CS339" s="86"/>
      <c r="CT339" s="86"/>
      <c r="CU339" s="86"/>
      <c r="CV339" s="86"/>
      <c r="CW339" s="86"/>
      <c r="CX339" s="86"/>
      <c r="CY339" s="86"/>
      <c r="CZ339" s="86"/>
      <c r="DA339" s="86"/>
      <c r="DB339" s="86"/>
      <c r="DC339" s="86"/>
      <c r="DD339" s="86"/>
      <c r="DE339" s="86"/>
      <c r="DF339" s="86"/>
      <c r="DG339" s="86"/>
      <c r="DH339" s="86"/>
      <c r="DI339" s="86"/>
      <c r="DJ339" s="86"/>
      <c r="DK339" s="86"/>
      <c r="DL339" s="86"/>
      <c r="DM339" s="86"/>
      <c r="DN339" s="86"/>
      <c r="DO339" s="86"/>
      <c r="DP339" s="86"/>
      <c r="DQ339" s="86"/>
      <c r="DR339" s="86"/>
      <c r="DS339" s="86"/>
      <c r="DT339" s="86"/>
      <c r="DU339" s="86"/>
      <c r="DV339" s="86"/>
      <c r="DW339" s="86"/>
      <c r="DX339" s="86"/>
      <c r="DY339" s="86"/>
      <c r="DZ339" s="86"/>
      <c r="EA339" s="86"/>
      <c r="EB339" s="86"/>
      <c r="EC339" s="86"/>
      <c r="ED339" s="86"/>
      <c r="EE339" s="86"/>
      <c r="EF339" s="86"/>
      <c r="EG339" s="86"/>
      <c r="EH339" s="86"/>
      <c r="EI339" s="86"/>
      <c r="EJ339" s="86"/>
      <c r="EK339" s="86"/>
      <c r="EL339" s="86"/>
      <c r="EM339" s="86"/>
      <c r="EN339" s="86"/>
      <c r="EO339" s="86"/>
      <c r="EP339" s="86"/>
      <c r="EQ339" s="86"/>
      <c r="ER339" s="86"/>
      <c r="ES339" s="86"/>
      <c r="ET339" s="86"/>
      <c r="EU339" s="86"/>
      <c r="EV339" s="86"/>
      <c r="EW339" s="86"/>
      <c r="EX339" s="86"/>
      <c r="EY339" s="86"/>
      <c r="EZ339" s="86"/>
      <c r="FA339" s="86"/>
    </row>
    <row r="340" spans="2:157" ht="9.75" customHeight="1">
      <c r="B340" s="845">
        <v>6</v>
      </c>
      <c r="C340" s="1344"/>
      <c r="D340" s="1344"/>
      <c r="E340" s="1344"/>
      <c r="F340" s="857"/>
      <c r="G340" s="857"/>
      <c r="H340" s="875" t="str">
        <f t="shared" si="15"/>
        <v/>
      </c>
      <c r="J340" s="101"/>
      <c r="K340" s="101"/>
      <c r="L340" s="101"/>
      <c r="Z340" s="86"/>
      <c r="AA340" s="86"/>
      <c r="AB340" s="86"/>
      <c r="AC340" s="86"/>
      <c r="AD340" s="86"/>
      <c r="AE340" s="86"/>
      <c r="AF340" s="86"/>
      <c r="AG340" s="86"/>
      <c r="AH340" s="86"/>
      <c r="AI340" s="86"/>
      <c r="AJ340" s="86"/>
      <c r="AK340" s="86"/>
      <c r="AL340" s="86"/>
      <c r="AM340" s="86"/>
      <c r="AN340" s="86"/>
      <c r="AO340" s="86"/>
      <c r="AP340" s="86"/>
      <c r="AQ340" s="86"/>
      <c r="AR340" s="86"/>
      <c r="AS340" s="86"/>
      <c r="AT340" s="86"/>
      <c r="AU340" s="86"/>
      <c r="AV340" s="86"/>
      <c r="AW340" s="86"/>
      <c r="AX340" s="86"/>
      <c r="AY340" s="86"/>
      <c r="AZ340" s="86"/>
      <c r="BA340" s="86"/>
      <c r="BB340" s="86"/>
      <c r="BC340" s="86"/>
      <c r="BD340" s="86"/>
      <c r="BE340" s="86"/>
      <c r="BF340" s="86"/>
      <c r="BG340" s="86"/>
      <c r="BH340" s="86"/>
      <c r="BI340" s="86"/>
      <c r="BJ340" s="86"/>
      <c r="BK340" s="86"/>
      <c r="BL340" s="86"/>
      <c r="BM340" s="86"/>
      <c r="BN340" s="86"/>
      <c r="BO340" s="86"/>
      <c r="BP340" s="86"/>
      <c r="BQ340" s="86"/>
      <c r="BR340" s="86"/>
      <c r="BS340" s="86"/>
      <c r="BT340" s="86"/>
      <c r="BU340" s="86"/>
      <c r="BV340" s="86"/>
      <c r="BW340" s="86"/>
      <c r="BX340" s="86"/>
      <c r="BY340" s="86"/>
      <c r="BZ340" s="86"/>
      <c r="CA340" s="86"/>
      <c r="CB340" s="86"/>
      <c r="CC340" s="86"/>
      <c r="CD340" s="86"/>
      <c r="CE340" s="86"/>
      <c r="CF340" s="86"/>
      <c r="CG340" s="86"/>
      <c r="CH340" s="86"/>
      <c r="CI340" s="86"/>
      <c r="CJ340" s="86"/>
      <c r="CK340" s="86"/>
      <c r="CL340" s="86"/>
      <c r="CM340" s="86"/>
      <c r="CN340" s="86"/>
      <c r="CO340" s="86"/>
      <c r="CP340" s="86"/>
      <c r="CQ340" s="86"/>
      <c r="CR340" s="86"/>
      <c r="CS340" s="86"/>
      <c r="CT340" s="86"/>
      <c r="CU340" s="86"/>
      <c r="CV340" s="86"/>
      <c r="CW340" s="86"/>
      <c r="CX340" s="86"/>
      <c r="CY340" s="86"/>
      <c r="CZ340" s="86"/>
      <c r="DA340" s="86"/>
      <c r="DB340" s="86"/>
      <c r="DC340" s="86"/>
      <c r="DD340" s="86"/>
      <c r="DE340" s="86"/>
      <c r="DF340" s="86"/>
      <c r="DG340" s="86"/>
      <c r="DH340" s="86"/>
      <c r="DI340" s="86"/>
      <c r="DJ340" s="86"/>
      <c r="DK340" s="86"/>
      <c r="DL340" s="86"/>
      <c r="DM340" s="86"/>
      <c r="DN340" s="86"/>
      <c r="DO340" s="86"/>
      <c r="DP340" s="86"/>
      <c r="DQ340" s="86"/>
      <c r="DR340" s="86"/>
      <c r="DS340" s="86"/>
      <c r="DT340" s="86"/>
      <c r="DU340" s="86"/>
      <c r="DV340" s="86"/>
      <c r="DW340" s="86"/>
      <c r="DX340" s="86"/>
      <c r="DY340" s="86"/>
      <c r="DZ340" s="86"/>
      <c r="EA340" s="86"/>
      <c r="EB340" s="86"/>
      <c r="EC340" s="86"/>
      <c r="ED340" s="86"/>
      <c r="EE340" s="86"/>
      <c r="EF340" s="86"/>
      <c r="EG340" s="86"/>
      <c r="EH340" s="86"/>
      <c r="EI340" s="86"/>
      <c r="EJ340" s="86"/>
      <c r="EK340" s="86"/>
      <c r="EL340" s="86"/>
      <c r="EM340" s="86"/>
      <c r="EN340" s="86"/>
      <c r="EO340" s="86"/>
      <c r="EP340" s="86"/>
      <c r="EQ340" s="86"/>
      <c r="ER340" s="86"/>
      <c r="ES340" s="86"/>
      <c r="ET340" s="86"/>
      <c r="EU340" s="86"/>
      <c r="EV340" s="86"/>
      <c r="EW340" s="86"/>
      <c r="EX340" s="86"/>
      <c r="EY340" s="86"/>
      <c r="EZ340" s="86"/>
      <c r="FA340" s="86"/>
    </row>
    <row r="341" spans="2:157" ht="9.75" customHeight="1">
      <c r="B341" s="845">
        <v>7</v>
      </c>
      <c r="C341" s="1344"/>
      <c r="D341" s="1344"/>
      <c r="E341" s="1344"/>
      <c r="F341" s="857"/>
      <c r="G341" s="857"/>
      <c r="H341" s="875" t="str">
        <f t="shared" si="15"/>
        <v/>
      </c>
      <c r="J341" s="101"/>
      <c r="K341" s="101"/>
      <c r="L341" s="101"/>
      <c r="Z341" s="86"/>
      <c r="AA341" s="86"/>
      <c r="AB341" s="86"/>
      <c r="AC341" s="86"/>
      <c r="AD341" s="86"/>
      <c r="AE341" s="86"/>
      <c r="AF341" s="86"/>
      <c r="AG341" s="86"/>
      <c r="AH341" s="86"/>
      <c r="AI341" s="86"/>
      <c r="AJ341" s="86"/>
      <c r="AK341" s="86"/>
      <c r="AL341" s="86"/>
      <c r="AM341" s="86"/>
      <c r="AN341" s="86"/>
      <c r="AO341" s="86"/>
      <c r="AP341" s="86"/>
      <c r="AQ341" s="86"/>
      <c r="AR341" s="86"/>
      <c r="AS341" s="86"/>
      <c r="AT341" s="86"/>
      <c r="AU341" s="86"/>
      <c r="AV341" s="86"/>
      <c r="AW341" s="86"/>
      <c r="AX341" s="86"/>
      <c r="AY341" s="86"/>
      <c r="AZ341" s="86"/>
      <c r="BA341" s="86"/>
      <c r="BB341" s="86"/>
      <c r="BC341" s="86"/>
      <c r="BD341" s="86"/>
      <c r="BE341" s="86"/>
      <c r="BF341" s="86"/>
      <c r="BG341" s="86"/>
      <c r="BH341" s="86"/>
      <c r="BI341" s="86"/>
      <c r="BJ341" s="86"/>
      <c r="BK341" s="86"/>
      <c r="BL341" s="86"/>
      <c r="BM341" s="86"/>
      <c r="BN341" s="86"/>
      <c r="BO341" s="86"/>
      <c r="BP341" s="86"/>
      <c r="BQ341" s="86"/>
      <c r="BR341" s="86"/>
      <c r="BS341" s="86"/>
      <c r="BT341" s="86"/>
      <c r="BU341" s="86"/>
      <c r="BV341" s="86"/>
      <c r="BW341" s="86"/>
      <c r="BX341" s="86"/>
      <c r="BY341" s="86"/>
      <c r="BZ341" s="86"/>
      <c r="CA341" s="86"/>
      <c r="CB341" s="86"/>
      <c r="CC341" s="86"/>
      <c r="CD341" s="86"/>
      <c r="CE341" s="86"/>
      <c r="CF341" s="86"/>
      <c r="CG341" s="86"/>
      <c r="CH341" s="86"/>
      <c r="CI341" s="86"/>
      <c r="CJ341" s="86"/>
      <c r="CK341" s="86"/>
      <c r="CL341" s="86"/>
      <c r="CM341" s="86"/>
      <c r="CN341" s="86"/>
      <c r="CO341" s="86"/>
      <c r="CP341" s="86"/>
      <c r="CQ341" s="86"/>
      <c r="CR341" s="86"/>
      <c r="CS341" s="86"/>
      <c r="CT341" s="86"/>
      <c r="CU341" s="86"/>
      <c r="CV341" s="86"/>
      <c r="CW341" s="86"/>
      <c r="CX341" s="86"/>
      <c r="CY341" s="86"/>
      <c r="CZ341" s="86"/>
      <c r="DA341" s="86"/>
      <c r="DB341" s="86"/>
      <c r="DC341" s="86"/>
      <c r="DD341" s="86"/>
      <c r="DE341" s="86"/>
      <c r="DF341" s="86"/>
      <c r="DG341" s="86"/>
      <c r="DH341" s="86"/>
      <c r="DI341" s="86"/>
      <c r="DJ341" s="86"/>
      <c r="DK341" s="86"/>
      <c r="DL341" s="86"/>
      <c r="DM341" s="86"/>
      <c r="DN341" s="86"/>
      <c r="DO341" s="86"/>
      <c r="DP341" s="86"/>
      <c r="DQ341" s="86"/>
      <c r="DR341" s="86"/>
      <c r="DS341" s="86"/>
      <c r="DT341" s="86"/>
      <c r="DU341" s="86"/>
      <c r="DV341" s="86"/>
      <c r="DW341" s="86"/>
      <c r="DX341" s="86"/>
      <c r="DY341" s="86"/>
      <c r="DZ341" s="86"/>
      <c r="EA341" s="86"/>
      <c r="EB341" s="86"/>
      <c r="EC341" s="86"/>
      <c r="ED341" s="86"/>
      <c r="EE341" s="86"/>
      <c r="EF341" s="86"/>
      <c r="EG341" s="86"/>
      <c r="EH341" s="86"/>
      <c r="EI341" s="86"/>
      <c r="EJ341" s="86"/>
      <c r="EK341" s="86"/>
      <c r="EL341" s="86"/>
      <c r="EM341" s="86"/>
      <c r="EN341" s="86"/>
      <c r="EO341" s="86"/>
      <c r="EP341" s="86"/>
      <c r="EQ341" s="86"/>
      <c r="ER341" s="86"/>
      <c r="ES341" s="86"/>
      <c r="ET341" s="86"/>
      <c r="EU341" s="86"/>
      <c r="EV341" s="86"/>
      <c r="EW341" s="86"/>
      <c r="EX341" s="86"/>
      <c r="EY341" s="86"/>
      <c r="EZ341" s="86"/>
      <c r="FA341" s="86"/>
    </row>
    <row r="342" spans="2:157" ht="9.75" customHeight="1">
      <c r="B342" s="845">
        <v>8</v>
      </c>
      <c r="C342" s="1344"/>
      <c r="D342" s="1344"/>
      <c r="E342" s="1344"/>
      <c r="F342" s="857"/>
      <c r="G342" s="857"/>
      <c r="H342" s="875" t="str">
        <f t="shared" si="15"/>
        <v/>
      </c>
      <c r="J342" s="101"/>
      <c r="K342" s="101"/>
      <c r="L342" s="101"/>
      <c r="Z342" s="86"/>
      <c r="AA342" s="86"/>
      <c r="AB342" s="86"/>
      <c r="AC342" s="86"/>
      <c r="AD342" s="86"/>
      <c r="AE342" s="86"/>
      <c r="AF342" s="86"/>
      <c r="AG342" s="86"/>
      <c r="AH342" s="86"/>
      <c r="AI342" s="86"/>
      <c r="AJ342" s="86"/>
      <c r="AK342" s="86"/>
      <c r="AL342" s="86"/>
      <c r="AM342" s="86"/>
      <c r="AN342" s="86"/>
      <c r="AO342" s="86"/>
      <c r="AP342" s="86"/>
      <c r="AQ342" s="86"/>
      <c r="AR342" s="86"/>
      <c r="AS342" s="86"/>
      <c r="AT342" s="86"/>
      <c r="AU342" s="86"/>
      <c r="AV342" s="86"/>
      <c r="AW342" s="86"/>
      <c r="AX342" s="86"/>
      <c r="AY342" s="86"/>
      <c r="AZ342" s="86"/>
      <c r="BA342" s="86"/>
      <c r="BB342" s="86"/>
      <c r="BC342" s="86"/>
      <c r="BD342" s="86"/>
      <c r="BE342" s="86"/>
      <c r="BF342" s="86"/>
      <c r="BG342" s="86"/>
      <c r="BH342" s="86"/>
      <c r="BI342" s="86"/>
      <c r="BJ342" s="86"/>
      <c r="BK342" s="86"/>
      <c r="BL342" s="86"/>
      <c r="BM342" s="86"/>
      <c r="BN342" s="86"/>
      <c r="BO342" s="86"/>
      <c r="BP342" s="86"/>
      <c r="BQ342" s="86"/>
      <c r="BR342" s="86"/>
      <c r="BS342" s="86"/>
      <c r="BT342" s="86"/>
      <c r="BU342" s="86"/>
      <c r="BV342" s="86"/>
      <c r="BW342" s="86"/>
      <c r="BX342" s="86"/>
      <c r="BY342" s="86"/>
      <c r="BZ342" s="86"/>
      <c r="CA342" s="86"/>
      <c r="CB342" s="86"/>
      <c r="CC342" s="86"/>
      <c r="CD342" s="86"/>
      <c r="CE342" s="86"/>
      <c r="CF342" s="86"/>
      <c r="CG342" s="86"/>
      <c r="CH342" s="86"/>
      <c r="CI342" s="86"/>
      <c r="CJ342" s="86"/>
      <c r="CK342" s="86"/>
      <c r="CL342" s="86"/>
      <c r="CM342" s="86"/>
      <c r="CN342" s="86"/>
      <c r="CO342" s="86"/>
      <c r="CP342" s="86"/>
      <c r="CQ342" s="86"/>
      <c r="CR342" s="86"/>
      <c r="CS342" s="86"/>
      <c r="CT342" s="86"/>
      <c r="CU342" s="86"/>
      <c r="CV342" s="86"/>
      <c r="CW342" s="86"/>
      <c r="CX342" s="86"/>
      <c r="CY342" s="86"/>
      <c r="CZ342" s="86"/>
      <c r="DA342" s="86"/>
      <c r="DB342" s="86"/>
      <c r="DC342" s="86"/>
      <c r="DD342" s="86"/>
      <c r="DE342" s="86"/>
      <c r="DF342" s="86"/>
      <c r="DG342" s="86"/>
      <c r="DH342" s="86"/>
      <c r="DI342" s="86"/>
      <c r="DJ342" s="86"/>
      <c r="DK342" s="86"/>
      <c r="DL342" s="86"/>
      <c r="DM342" s="86"/>
      <c r="DN342" s="86"/>
      <c r="DO342" s="86"/>
      <c r="DP342" s="86"/>
      <c r="DQ342" s="86"/>
      <c r="DR342" s="86"/>
      <c r="DS342" s="86"/>
      <c r="DT342" s="86"/>
      <c r="DU342" s="86"/>
      <c r="DV342" s="86"/>
      <c r="DW342" s="86"/>
      <c r="DX342" s="86"/>
      <c r="DY342" s="86"/>
      <c r="DZ342" s="86"/>
      <c r="EA342" s="86"/>
      <c r="EB342" s="86"/>
      <c r="EC342" s="86"/>
      <c r="ED342" s="86"/>
      <c r="EE342" s="86"/>
      <c r="EF342" s="86"/>
      <c r="EG342" s="86"/>
      <c r="EH342" s="86"/>
      <c r="EI342" s="86"/>
      <c r="EJ342" s="86"/>
      <c r="EK342" s="86"/>
      <c r="EL342" s="86"/>
      <c r="EM342" s="86"/>
      <c r="EN342" s="86"/>
      <c r="EO342" s="86"/>
      <c r="EP342" s="86"/>
      <c r="EQ342" s="86"/>
      <c r="ER342" s="86"/>
      <c r="ES342" s="86"/>
      <c r="ET342" s="86"/>
      <c r="EU342" s="86"/>
      <c r="EV342" s="86"/>
      <c r="EW342" s="86"/>
      <c r="EX342" s="86"/>
      <c r="EY342" s="86"/>
      <c r="EZ342" s="86"/>
      <c r="FA342" s="86"/>
    </row>
    <row r="343" spans="2:157" ht="9.75" customHeight="1">
      <c r="B343" s="845">
        <v>9</v>
      </c>
      <c r="C343" s="1344"/>
      <c r="D343" s="1344"/>
      <c r="E343" s="1344"/>
      <c r="F343" s="857"/>
      <c r="G343" s="857"/>
      <c r="H343" s="875" t="str">
        <f t="shared" si="15"/>
        <v/>
      </c>
      <c r="J343" s="101"/>
      <c r="K343" s="101"/>
      <c r="L343" s="101"/>
      <c r="Z343" s="86"/>
      <c r="AA343" s="86"/>
      <c r="AB343" s="86"/>
      <c r="AC343" s="86"/>
      <c r="AD343" s="86"/>
      <c r="AE343" s="86"/>
      <c r="AF343" s="86"/>
      <c r="AG343" s="86"/>
      <c r="AH343" s="86"/>
      <c r="AI343" s="86"/>
      <c r="AJ343" s="86"/>
      <c r="AK343" s="86"/>
      <c r="AL343" s="86"/>
      <c r="AM343" s="86"/>
      <c r="AN343" s="86"/>
      <c r="AO343" s="86"/>
      <c r="AP343" s="86"/>
      <c r="AQ343" s="86"/>
      <c r="AR343" s="86"/>
      <c r="AS343" s="86"/>
      <c r="AT343" s="86"/>
      <c r="AU343" s="86"/>
      <c r="AV343" s="86"/>
      <c r="AW343" s="86"/>
      <c r="AX343" s="86"/>
      <c r="AY343" s="86"/>
      <c r="AZ343" s="86"/>
      <c r="BA343" s="86"/>
      <c r="BB343" s="86"/>
      <c r="BC343" s="86"/>
      <c r="BD343" s="86"/>
      <c r="BE343" s="86"/>
      <c r="BF343" s="86"/>
      <c r="BG343" s="86"/>
      <c r="BH343" s="86"/>
      <c r="BI343" s="86"/>
      <c r="BJ343" s="86"/>
      <c r="BK343" s="86"/>
      <c r="BL343" s="86"/>
      <c r="BM343" s="86"/>
      <c r="BN343" s="86"/>
      <c r="BO343" s="86"/>
      <c r="BP343" s="86"/>
      <c r="BQ343" s="86"/>
      <c r="BR343" s="86"/>
      <c r="BS343" s="86"/>
      <c r="BT343" s="86"/>
      <c r="BU343" s="86"/>
      <c r="BV343" s="86"/>
      <c r="BW343" s="86"/>
      <c r="BX343" s="86"/>
      <c r="BY343" s="86"/>
      <c r="BZ343" s="86"/>
      <c r="CA343" s="86"/>
      <c r="CB343" s="86"/>
      <c r="CC343" s="86"/>
      <c r="CD343" s="86"/>
      <c r="CE343" s="86"/>
      <c r="CF343" s="86"/>
      <c r="CG343" s="86"/>
      <c r="CH343" s="86"/>
      <c r="CI343" s="86"/>
      <c r="CJ343" s="86"/>
      <c r="CK343" s="86"/>
      <c r="CL343" s="86"/>
      <c r="CM343" s="86"/>
      <c r="CN343" s="86"/>
      <c r="CO343" s="86"/>
      <c r="CP343" s="86"/>
      <c r="CQ343" s="86"/>
      <c r="CR343" s="86"/>
      <c r="CS343" s="86"/>
      <c r="CT343" s="86"/>
      <c r="CU343" s="86"/>
      <c r="CV343" s="86"/>
      <c r="CW343" s="86"/>
      <c r="CX343" s="86"/>
      <c r="CY343" s="86"/>
      <c r="CZ343" s="86"/>
      <c r="DA343" s="86"/>
      <c r="DB343" s="86"/>
      <c r="DC343" s="86"/>
      <c r="DD343" s="86"/>
      <c r="DE343" s="86"/>
      <c r="DF343" s="86"/>
      <c r="DG343" s="86"/>
      <c r="DH343" s="86"/>
      <c r="DI343" s="86"/>
      <c r="DJ343" s="86"/>
      <c r="DK343" s="86"/>
      <c r="DL343" s="86"/>
      <c r="DM343" s="86"/>
      <c r="DN343" s="86"/>
      <c r="DO343" s="86"/>
      <c r="DP343" s="86"/>
      <c r="DQ343" s="86"/>
      <c r="DR343" s="86"/>
      <c r="DS343" s="86"/>
      <c r="DT343" s="86"/>
      <c r="DU343" s="86"/>
      <c r="DV343" s="86"/>
      <c r="DW343" s="86"/>
      <c r="DX343" s="86"/>
      <c r="DY343" s="86"/>
      <c r="DZ343" s="86"/>
      <c r="EA343" s="86"/>
      <c r="EB343" s="86"/>
      <c r="EC343" s="86"/>
      <c r="ED343" s="86"/>
      <c r="EE343" s="86"/>
      <c r="EF343" s="86"/>
      <c r="EG343" s="86"/>
      <c r="EH343" s="86"/>
      <c r="EI343" s="86"/>
      <c r="EJ343" s="86"/>
      <c r="EK343" s="86"/>
      <c r="EL343" s="86"/>
      <c r="EM343" s="86"/>
      <c r="EN343" s="86"/>
      <c r="EO343" s="86"/>
      <c r="EP343" s="86"/>
      <c r="EQ343" s="86"/>
      <c r="ER343" s="86"/>
      <c r="ES343" s="86"/>
      <c r="ET343" s="86"/>
      <c r="EU343" s="86"/>
      <c r="EV343" s="86"/>
      <c r="EW343" s="86"/>
      <c r="EX343" s="86"/>
      <c r="EY343" s="86"/>
      <c r="EZ343" s="86"/>
      <c r="FA343" s="86"/>
    </row>
    <row r="344" spans="2:157" ht="10.050000000000001" customHeight="1">
      <c r="B344" s="845" t="s">
        <v>546</v>
      </c>
      <c r="C344" s="836" t="s">
        <v>73</v>
      </c>
      <c r="D344" s="839"/>
      <c r="E344" s="86"/>
      <c r="F344" s="848" t="s">
        <v>546</v>
      </c>
      <c r="G344" s="848" t="s">
        <v>546</v>
      </c>
      <c r="H344" s="858">
        <v>0.04</v>
      </c>
      <c r="J344" s="101"/>
      <c r="K344" s="101"/>
      <c r="L344" s="101"/>
      <c r="Z344" s="86"/>
      <c r="AA344" s="86"/>
      <c r="AB344" s="86"/>
      <c r="AC344" s="86"/>
      <c r="AD344" s="86"/>
      <c r="AE344" s="86"/>
      <c r="AF344" s="86"/>
      <c r="AG344" s="86"/>
      <c r="AH344" s="86"/>
      <c r="AI344" s="86"/>
      <c r="AJ344" s="86"/>
      <c r="AK344" s="86"/>
      <c r="AL344" s="86"/>
      <c r="AM344" s="86"/>
      <c r="AN344" s="86"/>
      <c r="AO344" s="86"/>
      <c r="AP344" s="86"/>
      <c r="AQ344" s="86"/>
      <c r="AR344" s="86"/>
      <c r="AS344" s="86"/>
      <c r="AT344" s="86"/>
      <c r="AU344" s="86"/>
      <c r="AV344" s="86"/>
      <c r="AW344" s="86"/>
      <c r="AX344" s="86"/>
      <c r="AY344" s="86"/>
      <c r="AZ344" s="86"/>
      <c r="BA344" s="86"/>
      <c r="BB344" s="86"/>
      <c r="BC344" s="86"/>
      <c r="BD344" s="86"/>
      <c r="BE344" s="86"/>
      <c r="BF344" s="86"/>
      <c r="BG344" s="86"/>
      <c r="BH344" s="86"/>
      <c r="BI344" s="86"/>
      <c r="BJ344" s="86"/>
      <c r="BK344" s="86"/>
      <c r="BL344" s="86"/>
      <c r="BM344" s="86"/>
      <c r="BN344" s="86"/>
      <c r="BO344" s="86"/>
      <c r="BP344" s="86"/>
      <c r="BQ344" s="86"/>
      <c r="BR344" s="86"/>
      <c r="BS344" s="86"/>
      <c r="BT344" s="86"/>
      <c r="BU344" s="86"/>
      <c r="BV344" s="86"/>
      <c r="BW344" s="86"/>
      <c r="BX344" s="86"/>
      <c r="BY344" s="86"/>
      <c r="BZ344" s="86"/>
      <c r="CA344" s="86"/>
      <c r="CB344" s="86"/>
      <c r="CC344" s="86"/>
      <c r="CD344" s="86"/>
      <c r="CE344" s="86"/>
      <c r="CF344" s="86"/>
      <c r="CG344" s="86"/>
      <c r="CH344" s="86"/>
      <c r="CI344" s="86"/>
      <c r="CJ344" s="86"/>
      <c r="CK344" s="86"/>
      <c r="CL344" s="86"/>
      <c r="CM344" s="86"/>
      <c r="CN344" s="86"/>
      <c r="CO344" s="86"/>
      <c r="CP344" s="86"/>
      <c r="CQ344" s="86"/>
      <c r="CR344" s="86"/>
      <c r="CS344" s="86"/>
      <c r="CT344" s="86"/>
      <c r="CU344" s="86"/>
      <c r="CV344" s="86"/>
      <c r="CW344" s="86"/>
      <c r="CX344" s="86"/>
      <c r="CY344" s="86"/>
      <c r="CZ344" s="86"/>
      <c r="DA344" s="86"/>
      <c r="DB344" s="86"/>
      <c r="DC344" s="86"/>
      <c r="DD344" s="86"/>
      <c r="DE344" s="86"/>
      <c r="DF344" s="86"/>
      <c r="DG344" s="86"/>
      <c r="DH344" s="86"/>
      <c r="DI344" s="86"/>
      <c r="DJ344" s="86"/>
      <c r="DK344" s="86"/>
      <c r="DL344" s="86"/>
      <c r="DM344" s="86"/>
      <c r="DN344" s="86"/>
      <c r="DO344" s="86"/>
      <c r="DP344" s="86"/>
      <c r="DQ344" s="86"/>
      <c r="DR344" s="86"/>
      <c r="DS344" s="86"/>
      <c r="DT344" s="86"/>
      <c r="DU344" s="86"/>
      <c r="DV344" s="86"/>
      <c r="DW344" s="86"/>
      <c r="DX344" s="86"/>
      <c r="DY344" s="86"/>
      <c r="DZ344" s="86"/>
      <c r="EA344" s="86"/>
      <c r="EB344" s="86"/>
      <c r="EC344" s="86"/>
      <c r="ED344" s="86"/>
      <c r="EE344" s="86"/>
      <c r="EF344" s="86"/>
      <c r="EG344" s="86"/>
      <c r="EH344" s="86"/>
      <c r="EI344" s="86"/>
      <c r="EJ344" s="86"/>
      <c r="EK344" s="86"/>
      <c r="EL344" s="86"/>
      <c r="EM344" s="86"/>
      <c r="EN344" s="86"/>
      <c r="EO344" s="86"/>
      <c r="EP344" s="86"/>
      <c r="EQ344" s="86"/>
      <c r="ER344" s="86"/>
      <c r="ES344" s="86"/>
      <c r="ET344" s="86"/>
      <c r="EU344" s="86"/>
      <c r="EV344" s="86"/>
      <c r="EW344" s="86"/>
      <c r="EX344" s="86"/>
      <c r="EY344" s="86"/>
      <c r="EZ344" s="86"/>
      <c r="FA344" s="86"/>
    </row>
    <row r="345" spans="2:157" ht="9.75" customHeight="1">
      <c r="B345" s="849"/>
      <c r="C345" s="849"/>
      <c r="D345" s="849"/>
      <c r="E345" s="849"/>
      <c r="F345" s="849"/>
      <c r="G345" s="849"/>
      <c r="H345" s="855"/>
      <c r="J345" s="101"/>
      <c r="K345" s="101"/>
      <c r="L345" s="101"/>
      <c r="Z345" s="86"/>
      <c r="AA345" s="86"/>
      <c r="AB345" s="86"/>
      <c r="AC345" s="86"/>
      <c r="AD345" s="86"/>
      <c r="AE345" s="86"/>
      <c r="AF345" s="86"/>
      <c r="AG345" s="86"/>
      <c r="AH345" s="86"/>
      <c r="AI345" s="86"/>
      <c r="AJ345" s="86"/>
      <c r="AK345" s="86"/>
      <c r="AL345" s="86"/>
      <c r="AM345" s="86"/>
      <c r="AN345" s="86"/>
      <c r="AO345" s="86"/>
      <c r="AP345" s="86"/>
      <c r="AQ345" s="86"/>
      <c r="AR345" s="86"/>
      <c r="AS345" s="86"/>
      <c r="AT345" s="86"/>
      <c r="AU345" s="86"/>
      <c r="AV345" s="86"/>
      <c r="AW345" s="86"/>
      <c r="AX345" s="86"/>
      <c r="AY345" s="86"/>
      <c r="AZ345" s="86"/>
      <c r="BA345" s="86"/>
      <c r="BB345" s="86"/>
      <c r="BC345" s="86"/>
      <c r="BD345" s="86"/>
      <c r="BE345" s="86"/>
      <c r="BF345" s="86"/>
      <c r="BG345" s="86"/>
      <c r="BH345" s="86"/>
      <c r="BI345" s="86"/>
      <c r="BJ345" s="86"/>
      <c r="BK345" s="86"/>
      <c r="BL345" s="86"/>
      <c r="BM345" s="86"/>
      <c r="BN345" s="86"/>
      <c r="BO345" s="86"/>
      <c r="BP345" s="86"/>
      <c r="BQ345" s="86"/>
      <c r="BR345" s="86"/>
      <c r="BS345" s="86"/>
      <c r="BT345" s="86"/>
      <c r="BU345" s="86"/>
      <c r="BV345" s="86"/>
      <c r="BW345" s="86"/>
      <c r="BX345" s="86"/>
      <c r="BY345" s="86"/>
      <c r="BZ345" s="86"/>
      <c r="CA345" s="86"/>
      <c r="CB345" s="86"/>
      <c r="CC345" s="86"/>
      <c r="CD345" s="86"/>
      <c r="CE345" s="86"/>
      <c r="CF345" s="86"/>
      <c r="CG345" s="86"/>
      <c r="CH345" s="86"/>
      <c r="CI345" s="86"/>
      <c r="CJ345" s="86"/>
      <c r="CK345" s="86"/>
      <c r="CL345" s="86"/>
      <c r="CM345" s="86"/>
      <c r="CN345" s="86"/>
      <c r="CO345" s="86"/>
      <c r="CP345" s="86"/>
      <c r="CQ345" s="86"/>
      <c r="CR345" s="86"/>
      <c r="CS345" s="86"/>
      <c r="CT345" s="86"/>
      <c r="CU345" s="86"/>
      <c r="CV345" s="86"/>
      <c r="CW345" s="86"/>
      <c r="CX345" s="86"/>
      <c r="CY345" s="86"/>
      <c r="CZ345" s="86"/>
      <c r="DA345" s="86"/>
      <c r="DB345" s="86"/>
      <c r="DC345" s="86"/>
      <c r="DD345" s="86"/>
      <c r="DE345" s="86"/>
      <c r="DF345" s="86"/>
      <c r="DG345" s="86"/>
      <c r="DH345" s="86"/>
      <c r="DI345" s="86"/>
      <c r="DJ345" s="86"/>
      <c r="DK345" s="86"/>
      <c r="DL345" s="86"/>
      <c r="DM345" s="86"/>
      <c r="DN345" s="86"/>
      <c r="DO345" s="86"/>
      <c r="DP345" s="86"/>
      <c r="DQ345" s="86"/>
      <c r="DR345" s="86"/>
      <c r="DS345" s="86"/>
      <c r="DT345" s="86"/>
      <c r="DU345" s="86"/>
      <c r="DV345" s="86"/>
      <c r="DW345" s="86"/>
      <c r="DX345" s="86"/>
      <c r="DY345" s="86"/>
      <c r="DZ345" s="86"/>
      <c r="EA345" s="86"/>
      <c r="EB345" s="86"/>
      <c r="EC345" s="86"/>
      <c r="ED345" s="86"/>
      <c r="EE345" s="86"/>
      <c r="EF345" s="86"/>
      <c r="EG345" s="86"/>
      <c r="EH345" s="86"/>
      <c r="EI345" s="86"/>
      <c r="EJ345" s="86"/>
      <c r="EK345" s="86"/>
      <c r="EL345" s="86"/>
      <c r="EM345" s="86"/>
      <c r="EN345" s="86"/>
      <c r="EO345" s="86"/>
      <c r="EP345" s="86"/>
      <c r="EQ345" s="86"/>
      <c r="ER345" s="86"/>
      <c r="ES345" s="86"/>
      <c r="ET345" s="86"/>
      <c r="EU345" s="86"/>
      <c r="EV345" s="86"/>
      <c r="EW345" s="86"/>
      <c r="EX345" s="86"/>
      <c r="EY345" s="86"/>
      <c r="EZ345" s="86"/>
      <c r="FA345" s="86"/>
    </row>
    <row r="346" spans="2:157" ht="10.050000000000001" customHeight="1">
      <c r="B346" s="27"/>
      <c r="C346" s="27"/>
      <c r="D346" s="27"/>
      <c r="E346" s="91"/>
      <c r="F346" s="171"/>
      <c r="G346" s="29"/>
      <c r="H346" s="27"/>
      <c r="J346" s="101"/>
      <c r="K346" s="101"/>
      <c r="L346" s="101"/>
      <c r="Z346" s="86"/>
      <c r="AA346" s="86"/>
      <c r="AB346" s="86"/>
      <c r="AC346" s="86"/>
      <c r="AD346" s="86"/>
      <c r="AE346" s="86"/>
      <c r="AF346" s="86"/>
      <c r="AG346" s="86"/>
      <c r="AH346" s="86"/>
      <c r="AI346" s="86"/>
      <c r="AJ346" s="86"/>
      <c r="AK346" s="86"/>
      <c r="AL346" s="86"/>
      <c r="AM346" s="86"/>
      <c r="AN346" s="86"/>
      <c r="AO346" s="86"/>
      <c r="AP346" s="86"/>
      <c r="AQ346" s="86"/>
      <c r="AR346" s="86"/>
      <c r="AS346" s="86"/>
      <c r="AT346" s="86"/>
      <c r="AU346" s="86"/>
      <c r="AV346" s="86"/>
      <c r="AW346" s="86"/>
      <c r="AX346" s="86"/>
      <c r="AY346" s="86"/>
      <c r="AZ346" s="86"/>
      <c r="BA346" s="86"/>
      <c r="BB346" s="86"/>
      <c r="BC346" s="86"/>
      <c r="BD346" s="86"/>
      <c r="BE346" s="86"/>
      <c r="BF346" s="86"/>
      <c r="BG346" s="86"/>
      <c r="BH346" s="86"/>
      <c r="BI346" s="86"/>
      <c r="BJ346" s="86"/>
      <c r="BK346" s="86"/>
      <c r="BL346" s="86"/>
      <c r="BM346" s="86"/>
      <c r="BN346" s="86"/>
      <c r="BO346" s="86"/>
      <c r="BP346" s="86"/>
      <c r="BQ346" s="86"/>
      <c r="BR346" s="86"/>
      <c r="BS346" s="86"/>
      <c r="BT346" s="86"/>
      <c r="BU346" s="86"/>
      <c r="BV346" s="86"/>
      <c r="BW346" s="86"/>
      <c r="BX346" s="86"/>
      <c r="BY346" s="86"/>
      <c r="BZ346" s="86"/>
      <c r="CA346" s="86"/>
      <c r="CB346" s="86"/>
      <c r="CC346" s="86"/>
      <c r="CD346" s="86"/>
      <c r="CE346" s="86"/>
      <c r="CF346" s="86"/>
      <c r="CG346" s="86"/>
      <c r="CH346" s="86"/>
      <c r="CI346" s="86"/>
      <c r="CJ346" s="86"/>
      <c r="CK346" s="86"/>
      <c r="CL346" s="86"/>
      <c r="CM346" s="86"/>
      <c r="CN346" s="86"/>
      <c r="CO346" s="86"/>
      <c r="CP346" s="86"/>
      <c r="CQ346" s="86"/>
      <c r="CR346" s="86"/>
      <c r="CS346" s="86"/>
      <c r="CT346" s="86"/>
      <c r="CU346" s="86"/>
      <c r="CV346" s="86"/>
      <c r="CW346" s="86"/>
      <c r="CX346" s="86"/>
      <c r="CY346" s="86"/>
      <c r="CZ346" s="86"/>
      <c r="DA346" s="86"/>
      <c r="DB346" s="86"/>
      <c r="DC346" s="86"/>
      <c r="DD346" s="86"/>
      <c r="DE346" s="86"/>
      <c r="DF346" s="86"/>
      <c r="DG346" s="86"/>
      <c r="DH346" s="86"/>
      <c r="DI346" s="86"/>
      <c r="DJ346" s="86"/>
      <c r="DK346" s="86"/>
      <c r="DL346" s="86"/>
      <c r="DM346" s="86"/>
      <c r="DN346" s="86"/>
      <c r="DO346" s="86"/>
      <c r="DP346" s="86"/>
      <c r="DQ346" s="86"/>
      <c r="DR346" s="86"/>
      <c r="DS346" s="86"/>
      <c r="DT346" s="86"/>
      <c r="DU346" s="86"/>
      <c r="DV346" s="86"/>
      <c r="DW346" s="86"/>
      <c r="DX346" s="86"/>
      <c r="DY346" s="86"/>
      <c r="DZ346" s="86"/>
      <c r="EA346" s="86"/>
      <c r="EB346" s="86"/>
      <c r="EC346" s="86"/>
      <c r="ED346" s="86"/>
      <c r="EE346" s="86"/>
      <c r="EF346" s="86"/>
      <c r="EG346" s="86"/>
      <c r="EH346" s="86"/>
      <c r="EI346" s="86"/>
      <c r="EJ346" s="86"/>
      <c r="EK346" s="86"/>
      <c r="EL346" s="86"/>
      <c r="EM346" s="86"/>
      <c r="EN346" s="86"/>
      <c r="EO346" s="86"/>
      <c r="EP346" s="86"/>
      <c r="EQ346" s="86"/>
      <c r="ER346" s="86"/>
      <c r="ES346" s="86"/>
      <c r="ET346" s="86"/>
      <c r="EU346" s="86"/>
      <c r="EV346" s="86"/>
      <c r="EW346" s="86"/>
      <c r="EX346" s="86"/>
      <c r="EY346" s="86"/>
      <c r="EZ346" s="86"/>
      <c r="FA346" s="86"/>
    </row>
    <row r="347" spans="2:157" ht="10.050000000000001" customHeight="1">
      <c r="B347" s="27"/>
      <c r="C347" s="27"/>
      <c r="D347" s="27"/>
      <c r="E347" s="91"/>
      <c r="F347" s="171"/>
      <c r="G347" s="29"/>
      <c r="H347" s="27"/>
      <c r="J347" s="101"/>
      <c r="K347" s="101"/>
      <c r="L347" s="101"/>
      <c r="Z347" s="86"/>
      <c r="AA347" s="86"/>
      <c r="AB347" s="86"/>
      <c r="AC347" s="86"/>
      <c r="AD347" s="86"/>
      <c r="AE347" s="86"/>
      <c r="AF347" s="86"/>
      <c r="AG347" s="86"/>
      <c r="AH347" s="86"/>
      <c r="AI347" s="86"/>
      <c r="AJ347" s="86"/>
      <c r="AK347" s="86"/>
      <c r="AL347" s="86"/>
      <c r="AM347" s="86"/>
      <c r="AN347" s="86"/>
      <c r="AO347" s="86"/>
      <c r="AP347" s="86"/>
      <c r="AQ347" s="86"/>
      <c r="AR347" s="86"/>
      <c r="AS347" s="86"/>
      <c r="AT347" s="86"/>
      <c r="AU347" s="86"/>
      <c r="AV347" s="86"/>
      <c r="AW347" s="86"/>
      <c r="AX347" s="86"/>
      <c r="AY347" s="86"/>
      <c r="AZ347" s="86"/>
      <c r="BA347" s="86"/>
      <c r="BB347" s="86"/>
      <c r="BC347" s="86"/>
      <c r="BD347" s="86"/>
      <c r="BE347" s="86"/>
      <c r="BF347" s="86"/>
      <c r="BG347" s="86"/>
      <c r="BH347" s="86"/>
      <c r="BI347" s="86"/>
      <c r="BJ347" s="86"/>
      <c r="BK347" s="86"/>
      <c r="BL347" s="86"/>
      <c r="BM347" s="86"/>
      <c r="BN347" s="86"/>
      <c r="BO347" s="86"/>
      <c r="BP347" s="86"/>
      <c r="BQ347" s="86"/>
      <c r="BR347" s="86"/>
      <c r="BS347" s="86"/>
      <c r="BT347" s="86"/>
      <c r="BU347" s="86"/>
      <c r="BV347" s="86"/>
      <c r="BW347" s="86"/>
      <c r="BX347" s="86"/>
      <c r="BY347" s="86"/>
      <c r="BZ347" s="86"/>
      <c r="CA347" s="86"/>
      <c r="CB347" s="86"/>
      <c r="CC347" s="86"/>
      <c r="CD347" s="86"/>
      <c r="CE347" s="86"/>
      <c r="CF347" s="86"/>
      <c r="CG347" s="86"/>
      <c r="CH347" s="86"/>
      <c r="CI347" s="86"/>
      <c r="CJ347" s="86"/>
      <c r="CK347" s="86"/>
      <c r="CL347" s="86"/>
      <c r="CM347" s="86"/>
      <c r="CN347" s="86"/>
      <c r="CO347" s="86"/>
      <c r="CP347" s="86"/>
      <c r="CQ347" s="86"/>
      <c r="CR347" s="86"/>
      <c r="CS347" s="86"/>
      <c r="CT347" s="86"/>
      <c r="CU347" s="86"/>
      <c r="CV347" s="86"/>
      <c r="CW347" s="86"/>
      <c r="CX347" s="86"/>
      <c r="CY347" s="86"/>
      <c r="CZ347" s="86"/>
      <c r="DA347" s="86"/>
      <c r="DB347" s="86"/>
      <c r="DC347" s="86"/>
      <c r="DD347" s="86"/>
      <c r="DE347" s="86"/>
      <c r="DF347" s="86"/>
      <c r="DG347" s="86"/>
      <c r="DH347" s="86"/>
      <c r="DI347" s="86"/>
      <c r="DJ347" s="86"/>
      <c r="DK347" s="86"/>
      <c r="DL347" s="86"/>
      <c r="DM347" s="86"/>
      <c r="DN347" s="86"/>
      <c r="DO347" s="86"/>
      <c r="DP347" s="86"/>
      <c r="DQ347" s="86"/>
      <c r="DR347" s="86"/>
      <c r="DS347" s="86"/>
      <c r="DT347" s="86"/>
      <c r="DU347" s="86"/>
      <c r="DV347" s="86"/>
      <c r="DW347" s="86"/>
      <c r="DX347" s="86"/>
      <c r="DY347" s="86"/>
      <c r="DZ347" s="86"/>
      <c r="EA347" s="86"/>
      <c r="EB347" s="86"/>
      <c r="EC347" s="86"/>
      <c r="ED347" s="86"/>
      <c r="EE347" s="86"/>
      <c r="EF347" s="86"/>
      <c r="EG347" s="86"/>
      <c r="EH347" s="86"/>
      <c r="EI347" s="86"/>
      <c r="EJ347" s="86"/>
      <c r="EK347" s="86"/>
      <c r="EL347" s="86"/>
      <c r="EM347" s="86"/>
      <c r="EN347" s="86"/>
      <c r="EO347" s="86"/>
      <c r="EP347" s="86"/>
      <c r="EQ347" s="86"/>
      <c r="ER347" s="86"/>
      <c r="ES347" s="86"/>
      <c r="ET347" s="86"/>
      <c r="EU347" s="86"/>
      <c r="EV347" s="86"/>
      <c r="EW347" s="86"/>
      <c r="EX347" s="86"/>
      <c r="EY347" s="86"/>
      <c r="EZ347" s="86"/>
      <c r="FA347" s="86"/>
    </row>
    <row r="348" spans="2:157" ht="10.050000000000001" customHeight="1">
      <c r="B348" s="27"/>
      <c r="C348" s="27"/>
      <c r="D348" s="27"/>
      <c r="E348" s="91"/>
      <c r="F348" s="171"/>
      <c r="G348" s="29"/>
      <c r="H348" s="27"/>
      <c r="J348" s="101"/>
      <c r="K348" s="101"/>
      <c r="L348" s="101"/>
      <c r="Z348" s="86"/>
      <c r="AA348" s="86"/>
      <c r="AB348" s="86"/>
      <c r="AC348" s="86"/>
      <c r="AD348" s="86"/>
      <c r="AE348" s="86"/>
      <c r="AF348" s="86"/>
      <c r="AG348" s="86"/>
      <c r="AH348" s="86"/>
      <c r="AI348" s="86"/>
      <c r="AJ348" s="86"/>
      <c r="AK348" s="86"/>
      <c r="AL348" s="86"/>
      <c r="AM348" s="86"/>
      <c r="AN348" s="86"/>
      <c r="AO348" s="86"/>
      <c r="AP348" s="86"/>
      <c r="AQ348" s="86"/>
      <c r="AR348" s="86"/>
      <c r="AS348" s="86"/>
      <c r="AT348" s="86"/>
      <c r="AU348" s="86"/>
      <c r="AV348" s="86"/>
      <c r="AW348" s="86"/>
      <c r="AX348" s="86"/>
      <c r="AY348" s="86"/>
      <c r="AZ348" s="86"/>
      <c r="BA348" s="86"/>
      <c r="BB348" s="86"/>
      <c r="BC348" s="86"/>
      <c r="BD348" s="86"/>
      <c r="BE348" s="86"/>
      <c r="BF348" s="86"/>
      <c r="BG348" s="86"/>
      <c r="BH348" s="86"/>
      <c r="BI348" s="86"/>
      <c r="BJ348" s="86"/>
      <c r="BK348" s="86"/>
      <c r="BL348" s="86"/>
      <c r="BM348" s="86"/>
      <c r="BN348" s="86"/>
      <c r="BO348" s="86"/>
      <c r="BP348" s="86"/>
      <c r="BQ348" s="86"/>
      <c r="BR348" s="86"/>
      <c r="BS348" s="86"/>
      <c r="BT348" s="86"/>
      <c r="BU348" s="86"/>
      <c r="BV348" s="86"/>
      <c r="BW348" s="86"/>
      <c r="BX348" s="86"/>
      <c r="BY348" s="86"/>
      <c r="BZ348" s="86"/>
      <c r="CA348" s="86"/>
      <c r="CB348" s="86"/>
      <c r="CC348" s="86"/>
      <c r="CD348" s="86"/>
      <c r="CE348" s="86"/>
      <c r="CF348" s="86"/>
      <c r="CG348" s="86"/>
      <c r="CH348" s="86"/>
      <c r="CI348" s="86"/>
      <c r="CJ348" s="86"/>
      <c r="CK348" s="86"/>
      <c r="CL348" s="86"/>
      <c r="CM348" s="86"/>
      <c r="CN348" s="86"/>
      <c r="CO348" s="86"/>
      <c r="CP348" s="86"/>
      <c r="CQ348" s="86"/>
      <c r="CR348" s="86"/>
      <c r="CS348" s="86"/>
      <c r="CT348" s="86"/>
      <c r="CU348" s="86"/>
      <c r="CV348" s="86"/>
      <c r="CW348" s="86"/>
      <c r="CX348" s="86"/>
      <c r="CY348" s="86"/>
      <c r="CZ348" s="86"/>
      <c r="DA348" s="86"/>
      <c r="DB348" s="86"/>
      <c r="DC348" s="86"/>
      <c r="DD348" s="86"/>
      <c r="DE348" s="86"/>
      <c r="DF348" s="86"/>
      <c r="DG348" s="86"/>
      <c r="DH348" s="86"/>
      <c r="DI348" s="86"/>
      <c r="DJ348" s="86"/>
      <c r="DK348" s="86"/>
      <c r="DL348" s="86"/>
      <c r="DM348" s="86"/>
      <c r="DN348" s="86"/>
      <c r="DO348" s="86"/>
      <c r="DP348" s="86"/>
      <c r="DQ348" s="86"/>
      <c r="DR348" s="86"/>
      <c r="DS348" s="86"/>
      <c r="DT348" s="86"/>
      <c r="DU348" s="86"/>
      <c r="DV348" s="86"/>
      <c r="DW348" s="86"/>
      <c r="DX348" s="86"/>
      <c r="DY348" s="86"/>
      <c r="DZ348" s="86"/>
      <c r="EA348" s="86"/>
      <c r="EB348" s="86"/>
      <c r="EC348" s="86"/>
      <c r="ED348" s="86"/>
      <c r="EE348" s="86"/>
      <c r="EF348" s="86"/>
      <c r="EG348" s="86"/>
      <c r="EH348" s="86"/>
      <c r="EI348" s="86"/>
      <c r="EJ348" s="86"/>
      <c r="EK348" s="86"/>
      <c r="EL348" s="86"/>
      <c r="EM348" s="86"/>
      <c r="EN348" s="86"/>
      <c r="EO348" s="86"/>
      <c r="EP348" s="86"/>
      <c r="EQ348" s="86"/>
      <c r="ER348" s="86"/>
      <c r="ES348" s="86"/>
      <c r="ET348" s="86"/>
      <c r="EU348" s="86"/>
      <c r="EV348" s="86"/>
      <c r="EW348" s="86"/>
      <c r="EX348" s="86"/>
      <c r="EY348" s="86"/>
      <c r="EZ348" s="86"/>
      <c r="FA348" s="86"/>
    </row>
    <row r="349" spans="2:157" ht="10.050000000000001" customHeight="1">
      <c r="B349" s="27"/>
      <c r="C349" s="27"/>
      <c r="D349" s="27"/>
      <c r="E349" s="91"/>
      <c r="F349" s="171"/>
      <c r="G349" s="29"/>
      <c r="H349" s="27"/>
      <c r="J349" s="101"/>
      <c r="K349" s="101"/>
      <c r="L349" s="101"/>
      <c r="Z349" s="86"/>
      <c r="AA349" s="86"/>
      <c r="AB349" s="86"/>
      <c r="AC349" s="86"/>
      <c r="AD349" s="86"/>
      <c r="AE349" s="86"/>
      <c r="AF349" s="86"/>
      <c r="AG349" s="86"/>
      <c r="AH349" s="86"/>
      <c r="AI349" s="86"/>
      <c r="AJ349" s="86"/>
      <c r="AK349" s="86"/>
      <c r="AL349" s="86"/>
      <c r="AM349" s="86"/>
      <c r="AN349" s="86"/>
      <c r="AO349" s="86"/>
      <c r="AP349" s="86"/>
      <c r="AQ349" s="86"/>
      <c r="AR349" s="86"/>
      <c r="AS349" s="86"/>
      <c r="AT349" s="86"/>
      <c r="AU349" s="86"/>
      <c r="AV349" s="86"/>
      <c r="AW349" s="86"/>
      <c r="AX349" s="86"/>
      <c r="AY349" s="86"/>
      <c r="AZ349" s="86"/>
      <c r="BA349" s="86"/>
      <c r="BB349" s="86"/>
      <c r="BC349" s="86"/>
      <c r="BD349" s="86"/>
      <c r="BE349" s="86"/>
      <c r="BF349" s="86"/>
      <c r="BG349" s="86"/>
      <c r="BH349" s="86"/>
      <c r="BI349" s="86"/>
      <c r="BJ349" s="86"/>
      <c r="BK349" s="86"/>
      <c r="BL349" s="86"/>
      <c r="BM349" s="86"/>
      <c r="BN349" s="86"/>
      <c r="BO349" s="86"/>
      <c r="BP349" s="86"/>
      <c r="BQ349" s="86"/>
      <c r="BR349" s="86"/>
      <c r="BS349" s="86"/>
      <c r="BT349" s="86"/>
      <c r="BU349" s="86"/>
      <c r="BV349" s="86"/>
      <c r="BW349" s="86"/>
      <c r="BX349" s="86"/>
      <c r="BY349" s="86"/>
      <c r="BZ349" s="86"/>
      <c r="CA349" s="86"/>
      <c r="CB349" s="86"/>
      <c r="CC349" s="86"/>
      <c r="CD349" s="86"/>
      <c r="CE349" s="86"/>
      <c r="CF349" s="86"/>
      <c r="CG349" s="86"/>
      <c r="CH349" s="86"/>
      <c r="CI349" s="86"/>
      <c r="CJ349" s="86"/>
      <c r="CK349" s="86"/>
      <c r="CL349" s="86"/>
      <c r="CM349" s="86"/>
      <c r="CN349" s="86"/>
      <c r="CO349" s="86"/>
      <c r="CP349" s="86"/>
      <c r="CQ349" s="86"/>
      <c r="CR349" s="86"/>
      <c r="CS349" s="86"/>
      <c r="CT349" s="86"/>
      <c r="CU349" s="86"/>
      <c r="CV349" s="86"/>
      <c r="CW349" s="86"/>
      <c r="CX349" s="86"/>
      <c r="CY349" s="86"/>
      <c r="CZ349" s="86"/>
      <c r="DA349" s="86"/>
      <c r="DB349" s="86"/>
      <c r="DC349" s="86"/>
      <c r="DD349" s="86"/>
      <c r="DE349" s="86"/>
      <c r="DF349" s="86"/>
      <c r="DG349" s="86"/>
      <c r="DH349" s="86"/>
      <c r="DI349" s="86"/>
      <c r="DJ349" s="86"/>
      <c r="DK349" s="86"/>
      <c r="DL349" s="86"/>
      <c r="DM349" s="86"/>
      <c r="DN349" s="86"/>
      <c r="DO349" s="86"/>
      <c r="DP349" s="86"/>
      <c r="DQ349" s="86"/>
      <c r="DR349" s="86"/>
      <c r="DS349" s="86"/>
      <c r="DT349" s="86"/>
      <c r="DU349" s="86"/>
      <c r="DV349" s="86"/>
      <c r="DW349" s="86"/>
      <c r="DX349" s="86"/>
      <c r="DY349" s="86"/>
      <c r="DZ349" s="86"/>
      <c r="EA349" s="86"/>
      <c r="EB349" s="86"/>
      <c r="EC349" s="86"/>
      <c r="ED349" s="86"/>
      <c r="EE349" s="86"/>
      <c r="EF349" s="86"/>
      <c r="EG349" s="86"/>
      <c r="EH349" s="86"/>
      <c r="EI349" s="86"/>
      <c r="EJ349" s="86"/>
      <c r="EK349" s="86"/>
      <c r="EL349" s="86"/>
      <c r="EM349" s="86"/>
      <c r="EN349" s="86"/>
      <c r="EO349" s="86"/>
      <c r="EP349" s="86"/>
      <c r="EQ349" s="86"/>
      <c r="ER349" s="86"/>
      <c r="ES349" s="86"/>
      <c r="ET349" s="86"/>
      <c r="EU349" s="86"/>
      <c r="EV349" s="86"/>
      <c r="EW349" s="86"/>
      <c r="EX349" s="86"/>
      <c r="EY349" s="86"/>
      <c r="EZ349" s="86"/>
      <c r="FA349" s="86"/>
    </row>
    <row r="350" spans="2:157" ht="10.050000000000001" customHeight="1">
      <c r="B350" s="27"/>
      <c r="C350" s="27"/>
      <c r="D350" s="27"/>
      <c r="E350" s="27"/>
      <c r="F350" s="27"/>
      <c r="G350" s="27"/>
      <c r="H350" s="27"/>
      <c r="J350" s="101"/>
      <c r="K350" s="101"/>
      <c r="L350" s="101"/>
      <c r="Z350" s="86"/>
      <c r="AA350" s="86"/>
      <c r="AB350" s="86"/>
      <c r="AC350" s="86"/>
      <c r="AD350" s="86"/>
      <c r="AE350" s="86"/>
      <c r="AF350" s="86"/>
      <c r="AG350" s="86"/>
      <c r="AH350" s="86"/>
      <c r="AI350" s="86"/>
      <c r="AJ350" s="86"/>
      <c r="AK350" s="86"/>
      <c r="AL350" s="86"/>
      <c r="AM350" s="86"/>
      <c r="AN350" s="86"/>
      <c r="AO350" s="86"/>
      <c r="AP350" s="86"/>
      <c r="AQ350" s="86"/>
      <c r="AR350" s="86"/>
      <c r="AS350" s="86"/>
      <c r="AT350" s="86"/>
      <c r="AU350" s="86"/>
      <c r="AV350" s="86"/>
      <c r="AW350" s="86"/>
      <c r="AX350" s="86"/>
      <c r="AY350" s="86"/>
      <c r="AZ350" s="86"/>
      <c r="BA350" s="86"/>
      <c r="BB350" s="86"/>
      <c r="BC350" s="86"/>
      <c r="BD350" s="86"/>
      <c r="BE350" s="86"/>
      <c r="BF350" s="86"/>
      <c r="BG350" s="86"/>
      <c r="BH350" s="86"/>
      <c r="BI350" s="86"/>
      <c r="BJ350" s="86"/>
      <c r="BK350" s="86"/>
      <c r="BL350" s="86"/>
      <c r="BM350" s="86"/>
      <c r="BN350" s="86"/>
      <c r="BO350" s="86"/>
      <c r="BP350" s="86"/>
      <c r="BQ350" s="86"/>
      <c r="BR350" s="86"/>
      <c r="BS350" s="86"/>
      <c r="BT350" s="86"/>
      <c r="BU350" s="86"/>
      <c r="BV350" s="86"/>
      <c r="BW350" s="86"/>
      <c r="BX350" s="86"/>
      <c r="BY350" s="86"/>
      <c r="BZ350" s="86"/>
      <c r="CA350" s="86"/>
      <c r="CB350" s="86"/>
      <c r="CC350" s="86"/>
      <c r="CD350" s="86"/>
      <c r="CE350" s="86"/>
      <c r="CF350" s="86"/>
      <c r="CG350" s="86"/>
      <c r="CH350" s="86"/>
      <c r="CI350" s="86"/>
      <c r="CJ350" s="86"/>
      <c r="CK350" s="86"/>
      <c r="CL350" s="86"/>
      <c r="CM350" s="86"/>
      <c r="CN350" s="86"/>
      <c r="CO350" s="86"/>
      <c r="CP350" s="86"/>
      <c r="CQ350" s="86"/>
      <c r="CR350" s="86"/>
      <c r="CS350" s="86"/>
      <c r="CT350" s="86"/>
      <c r="CU350" s="86"/>
      <c r="CV350" s="86"/>
      <c r="CW350" s="86"/>
      <c r="CX350" s="86"/>
      <c r="CY350" s="86"/>
      <c r="CZ350" s="86"/>
      <c r="DA350" s="86"/>
      <c r="DB350" s="86"/>
      <c r="DC350" s="86"/>
      <c r="DD350" s="86"/>
      <c r="DE350" s="86"/>
      <c r="DF350" s="86"/>
      <c r="DG350" s="86"/>
      <c r="DH350" s="86"/>
      <c r="DI350" s="86"/>
      <c r="DJ350" s="86"/>
      <c r="DK350" s="86"/>
      <c r="DL350" s="86"/>
      <c r="DM350" s="86"/>
      <c r="DN350" s="86"/>
      <c r="DO350" s="86"/>
      <c r="DP350" s="86"/>
      <c r="DQ350" s="86"/>
      <c r="DR350" s="86"/>
      <c r="DS350" s="86"/>
      <c r="DT350" s="86"/>
      <c r="DU350" s="86"/>
      <c r="DV350" s="86"/>
      <c r="DW350" s="86"/>
      <c r="DX350" s="86"/>
      <c r="DY350" s="86"/>
      <c r="DZ350" s="86"/>
      <c r="EA350" s="86"/>
      <c r="EB350" s="86"/>
      <c r="EC350" s="86"/>
      <c r="ED350" s="86"/>
      <c r="EE350" s="86"/>
      <c r="EF350" s="86"/>
      <c r="EG350" s="86"/>
      <c r="EH350" s="86"/>
      <c r="EI350" s="86"/>
      <c r="EJ350" s="86"/>
      <c r="EK350" s="86"/>
      <c r="EL350" s="86"/>
      <c r="EM350" s="86"/>
      <c r="EN350" s="86"/>
      <c r="EO350" s="86"/>
      <c r="EP350" s="86"/>
      <c r="EQ350" s="86"/>
      <c r="ER350" s="86"/>
      <c r="ES350" s="86"/>
      <c r="ET350" s="86"/>
      <c r="EU350" s="86"/>
      <c r="EV350" s="86"/>
      <c r="EW350" s="86"/>
      <c r="EX350" s="86"/>
      <c r="EY350" s="86"/>
      <c r="EZ350" s="86"/>
      <c r="FA350" s="86"/>
    </row>
    <row r="351" spans="2:157" ht="10.050000000000001" customHeight="1">
      <c r="B351" s="141"/>
      <c r="C351" s="141"/>
      <c r="D351" s="31"/>
      <c r="E351" s="31"/>
      <c r="F351" s="142"/>
      <c r="G351" s="1341">
        <f ca="1">NOW()</f>
        <v>42122.346852083334</v>
      </c>
      <c r="H351" s="1341"/>
      <c r="J351" s="101"/>
      <c r="K351" s="101"/>
      <c r="L351" s="101"/>
      <c r="Z351" s="86"/>
      <c r="AA351" s="86"/>
      <c r="AB351" s="86"/>
      <c r="AC351" s="86"/>
      <c r="AD351" s="86"/>
      <c r="AE351" s="86"/>
      <c r="AF351" s="86"/>
      <c r="AG351" s="86"/>
      <c r="AH351" s="86"/>
      <c r="AI351" s="86"/>
      <c r="AJ351" s="86"/>
      <c r="AK351" s="86"/>
      <c r="AL351" s="86"/>
      <c r="AM351" s="86"/>
      <c r="AN351" s="86"/>
      <c r="AO351" s="86"/>
      <c r="AP351" s="86"/>
      <c r="AQ351" s="86"/>
      <c r="AR351" s="86"/>
      <c r="AS351" s="86"/>
      <c r="AT351" s="86"/>
      <c r="AU351" s="86"/>
      <c r="AV351" s="86"/>
      <c r="AW351" s="86"/>
      <c r="AX351" s="86"/>
      <c r="AY351" s="86"/>
      <c r="AZ351" s="86"/>
      <c r="BA351" s="86"/>
      <c r="BB351" s="86"/>
      <c r="BC351" s="86"/>
      <c r="BD351" s="86"/>
      <c r="BE351" s="86"/>
      <c r="BF351" s="86"/>
      <c r="BG351" s="86"/>
      <c r="BH351" s="86"/>
      <c r="BI351" s="86"/>
      <c r="BJ351" s="86"/>
      <c r="BK351" s="86"/>
      <c r="BL351" s="86"/>
      <c r="BM351" s="86"/>
      <c r="BN351" s="86"/>
      <c r="BO351" s="86"/>
      <c r="BP351" s="86"/>
      <c r="BQ351" s="86"/>
      <c r="BR351" s="86"/>
      <c r="BS351" s="86"/>
      <c r="BT351" s="86"/>
      <c r="BU351" s="86"/>
      <c r="BV351" s="86"/>
      <c r="BW351" s="86"/>
      <c r="BX351" s="86"/>
      <c r="BY351" s="86"/>
      <c r="BZ351" s="86"/>
      <c r="CA351" s="86"/>
      <c r="CB351" s="86"/>
      <c r="CC351" s="86"/>
      <c r="CD351" s="86"/>
      <c r="CE351" s="86"/>
      <c r="CF351" s="86"/>
      <c r="CG351" s="86"/>
      <c r="CH351" s="86"/>
      <c r="CI351" s="86"/>
      <c r="CJ351" s="86"/>
      <c r="CK351" s="86"/>
      <c r="CL351" s="86"/>
      <c r="CM351" s="86"/>
      <c r="CN351" s="86"/>
      <c r="CO351" s="86"/>
      <c r="CP351" s="86"/>
      <c r="CQ351" s="86"/>
      <c r="CR351" s="86"/>
      <c r="CS351" s="86"/>
      <c r="CT351" s="86"/>
      <c r="CU351" s="86"/>
      <c r="CV351" s="86"/>
      <c r="CW351" s="86"/>
      <c r="CX351" s="86"/>
      <c r="CY351" s="86"/>
      <c r="CZ351" s="86"/>
      <c r="DA351" s="86"/>
      <c r="DB351" s="86"/>
      <c r="DC351" s="86"/>
      <c r="DD351" s="86"/>
      <c r="DE351" s="86"/>
      <c r="DF351" s="86"/>
      <c r="DG351" s="86"/>
      <c r="DH351" s="86"/>
      <c r="DI351" s="86"/>
      <c r="DJ351" s="86"/>
      <c r="DK351" s="86"/>
      <c r="DL351" s="86"/>
      <c r="DM351" s="86"/>
      <c r="DN351" s="86"/>
      <c r="DO351" s="86"/>
      <c r="DP351" s="86"/>
      <c r="DQ351" s="86"/>
      <c r="DR351" s="86"/>
      <c r="DS351" s="86"/>
      <c r="DT351" s="86"/>
      <c r="DU351" s="86"/>
      <c r="DV351" s="86"/>
      <c r="DW351" s="86"/>
      <c r="DX351" s="86"/>
      <c r="DY351" s="86"/>
      <c r="DZ351" s="86"/>
      <c r="EA351" s="86"/>
      <c r="EB351" s="86"/>
      <c r="EC351" s="86"/>
      <c r="ED351" s="86"/>
      <c r="EE351" s="86"/>
      <c r="EF351" s="86"/>
      <c r="EG351" s="86"/>
      <c r="EH351" s="86"/>
      <c r="EI351" s="86"/>
      <c r="EJ351" s="86"/>
      <c r="EK351" s="86"/>
      <c r="EL351" s="86"/>
      <c r="EM351" s="86"/>
      <c r="EN351" s="86"/>
      <c r="EO351" s="86"/>
      <c r="EP351" s="86"/>
      <c r="EQ351" s="86"/>
      <c r="ER351" s="86"/>
      <c r="ES351" s="86"/>
      <c r="ET351" s="86"/>
      <c r="EU351" s="86"/>
      <c r="EV351" s="86"/>
      <c r="EW351" s="86"/>
      <c r="EX351" s="86"/>
      <c r="EY351" s="86"/>
      <c r="EZ351" s="86"/>
      <c r="FA351" s="86"/>
    </row>
    <row r="352" spans="2:157" ht="10.050000000000001" customHeight="1">
      <c r="B352" s="1343">
        <f>B1</f>
        <v>0</v>
      </c>
      <c r="C352" s="1343"/>
      <c r="D352" s="139" t="str">
        <f>IF(Nutzung!$E$8="","",Nutzung!$E$8)</f>
        <v/>
      </c>
      <c r="E352" s="31"/>
      <c r="F352" s="31"/>
      <c r="G352" s="31"/>
      <c r="H352" s="140" t="s">
        <v>396</v>
      </c>
      <c r="J352" s="101"/>
      <c r="K352" s="101"/>
      <c r="L352" s="101"/>
      <c r="Z352" s="86"/>
      <c r="AA352" s="86"/>
      <c r="AB352" s="86"/>
      <c r="AC352" s="86"/>
      <c r="AD352" s="86"/>
      <c r="AE352" s="86"/>
      <c r="AF352" s="86"/>
      <c r="AG352" s="86"/>
      <c r="AH352" s="86"/>
      <c r="AI352" s="86"/>
      <c r="AJ352" s="86"/>
      <c r="AK352" s="86"/>
      <c r="AL352" s="86"/>
      <c r="AM352" s="86"/>
      <c r="AN352" s="86"/>
      <c r="AO352" s="86"/>
      <c r="AP352" s="86"/>
      <c r="AQ352" s="86"/>
      <c r="AR352" s="86"/>
      <c r="AS352" s="86"/>
      <c r="AT352" s="86"/>
      <c r="AU352" s="86"/>
      <c r="AV352" s="86"/>
      <c r="AW352" s="86"/>
      <c r="AX352" s="86"/>
      <c r="AY352" s="86"/>
      <c r="AZ352" s="86"/>
      <c r="BA352" s="86"/>
      <c r="BB352" s="86"/>
      <c r="BC352" s="86"/>
      <c r="BD352" s="86"/>
      <c r="BE352" s="86"/>
      <c r="BF352" s="86"/>
      <c r="BG352" s="86"/>
      <c r="BH352" s="86"/>
      <c r="BI352" s="86"/>
      <c r="BJ352" s="86"/>
      <c r="BK352" s="86"/>
      <c r="BL352" s="86"/>
      <c r="BM352" s="86"/>
      <c r="BN352" s="86"/>
      <c r="BO352" s="86"/>
      <c r="BP352" s="86"/>
      <c r="BQ352" s="86"/>
      <c r="BR352" s="86"/>
      <c r="BS352" s="86"/>
      <c r="BT352" s="86"/>
      <c r="BU352" s="86"/>
      <c r="BV352" s="86"/>
      <c r="BW352" s="86"/>
      <c r="BX352" s="86"/>
      <c r="BY352" s="86"/>
      <c r="BZ352" s="86"/>
      <c r="CA352" s="86"/>
      <c r="CB352" s="86"/>
      <c r="CC352" s="86"/>
      <c r="CD352" s="86"/>
      <c r="CE352" s="86"/>
      <c r="CF352" s="86"/>
      <c r="CG352" s="86"/>
      <c r="CH352" s="86"/>
      <c r="CI352" s="86"/>
      <c r="CJ352" s="86"/>
      <c r="CK352" s="86"/>
      <c r="CL352" s="86"/>
      <c r="CM352" s="86"/>
      <c r="CN352" s="86"/>
      <c r="CO352" s="86"/>
      <c r="CP352" s="86"/>
      <c r="CQ352" s="86"/>
      <c r="CR352" s="86"/>
      <c r="CS352" s="86"/>
      <c r="CT352" s="86"/>
      <c r="CU352" s="86"/>
      <c r="CV352" s="86"/>
      <c r="CW352" s="86"/>
      <c r="CX352" s="86"/>
      <c r="CY352" s="86"/>
      <c r="CZ352" s="86"/>
      <c r="DA352" s="86"/>
      <c r="DB352" s="86"/>
      <c r="DC352" s="86"/>
      <c r="DD352" s="86"/>
      <c r="DE352" s="86"/>
      <c r="DF352" s="86"/>
      <c r="DG352" s="86"/>
      <c r="DH352" s="86"/>
      <c r="DI352" s="86"/>
      <c r="DJ352" s="86"/>
      <c r="DK352" s="86"/>
      <c r="DL352" s="86"/>
      <c r="DM352" s="86"/>
      <c r="DN352" s="86"/>
      <c r="DO352" s="86"/>
      <c r="DP352" s="86"/>
      <c r="DQ352" s="86"/>
      <c r="DR352" s="86"/>
      <c r="DS352" s="86"/>
      <c r="DT352" s="86"/>
      <c r="DU352" s="86"/>
      <c r="DV352" s="86"/>
      <c r="DW352" s="86"/>
      <c r="DX352" s="86"/>
      <c r="DY352" s="86"/>
      <c r="DZ352" s="86"/>
      <c r="EA352" s="86"/>
      <c r="EB352" s="86"/>
      <c r="EC352" s="86"/>
      <c r="ED352" s="86"/>
      <c r="EE352" s="86"/>
      <c r="EF352" s="86"/>
      <c r="EG352" s="86"/>
      <c r="EH352" s="86"/>
      <c r="EI352" s="86"/>
      <c r="EJ352" s="86"/>
      <c r="EK352" s="86"/>
      <c r="EL352" s="86"/>
      <c r="EM352" s="86"/>
      <c r="EN352" s="86"/>
      <c r="EO352" s="86"/>
      <c r="EP352" s="86"/>
      <c r="EQ352" s="86"/>
      <c r="ER352" s="86"/>
      <c r="ES352" s="86"/>
      <c r="ET352" s="86"/>
      <c r="EU352" s="86"/>
      <c r="EV352" s="86"/>
      <c r="EW352" s="86"/>
      <c r="EX352" s="86"/>
      <c r="EY352" s="86"/>
      <c r="EZ352" s="86"/>
      <c r="FA352" s="86"/>
    </row>
    <row r="353" spans="2:157" ht="10.050000000000001" customHeight="1">
      <c r="B353" s="141"/>
      <c r="C353" s="31"/>
      <c r="D353" s="139"/>
      <c r="E353" s="31"/>
      <c r="F353" s="31"/>
      <c r="G353" s="31"/>
      <c r="H353" s="142"/>
      <c r="J353" s="101"/>
      <c r="K353" s="101"/>
      <c r="L353" s="101"/>
      <c r="Z353" s="86"/>
      <c r="AA353" s="86"/>
      <c r="AB353" s="86"/>
      <c r="AC353" s="86"/>
      <c r="AD353" s="86"/>
      <c r="AE353" s="86"/>
      <c r="AF353" s="86"/>
      <c r="AG353" s="86"/>
      <c r="AH353" s="86"/>
      <c r="AI353" s="86"/>
      <c r="AJ353" s="86"/>
      <c r="AK353" s="86"/>
      <c r="AL353" s="86"/>
      <c r="AM353" s="86"/>
      <c r="AN353" s="86"/>
      <c r="AO353" s="86"/>
      <c r="AP353" s="86"/>
      <c r="AQ353" s="86"/>
      <c r="AR353" s="86"/>
      <c r="AS353" s="86"/>
      <c r="AT353" s="86"/>
      <c r="AU353" s="86"/>
      <c r="AV353" s="86"/>
      <c r="AW353" s="86"/>
      <c r="AX353" s="86"/>
      <c r="AY353" s="86"/>
      <c r="AZ353" s="86"/>
      <c r="BA353" s="86"/>
      <c r="BB353" s="86"/>
      <c r="BC353" s="86"/>
      <c r="BD353" s="86"/>
      <c r="BE353" s="86"/>
      <c r="BF353" s="86"/>
      <c r="BG353" s="86"/>
      <c r="BH353" s="86"/>
      <c r="BI353" s="86"/>
      <c r="BJ353" s="86"/>
      <c r="BK353" s="86"/>
      <c r="BL353" s="86"/>
      <c r="BM353" s="86"/>
      <c r="BN353" s="86"/>
      <c r="BO353" s="86"/>
      <c r="BP353" s="86"/>
      <c r="BQ353" s="86"/>
      <c r="BR353" s="86"/>
      <c r="BS353" s="86"/>
      <c r="BT353" s="86"/>
      <c r="BU353" s="86"/>
      <c r="BV353" s="86"/>
      <c r="BW353" s="86"/>
      <c r="BX353" s="86"/>
      <c r="BY353" s="86"/>
      <c r="BZ353" s="86"/>
      <c r="CA353" s="86"/>
      <c r="CB353" s="86"/>
      <c r="CC353" s="86"/>
      <c r="CD353" s="86"/>
      <c r="CE353" s="86"/>
      <c r="CF353" s="86"/>
      <c r="CG353" s="86"/>
      <c r="CH353" s="86"/>
      <c r="CI353" s="86"/>
      <c r="CJ353" s="86"/>
      <c r="CK353" s="86"/>
      <c r="CL353" s="86"/>
      <c r="CM353" s="86"/>
      <c r="CN353" s="86"/>
      <c r="CO353" s="86"/>
      <c r="CP353" s="86"/>
      <c r="CQ353" s="86"/>
      <c r="CR353" s="86"/>
      <c r="CS353" s="86"/>
      <c r="CT353" s="86"/>
      <c r="CU353" s="86"/>
      <c r="CV353" s="86"/>
      <c r="CW353" s="86"/>
      <c r="CX353" s="86"/>
      <c r="CY353" s="86"/>
      <c r="CZ353" s="86"/>
      <c r="DA353" s="86"/>
      <c r="DB353" s="86"/>
      <c r="DC353" s="86"/>
      <c r="DD353" s="86"/>
      <c r="DE353" s="86"/>
      <c r="DF353" s="86"/>
      <c r="DG353" s="86"/>
      <c r="DH353" s="86"/>
      <c r="DI353" s="86"/>
      <c r="DJ353" s="86"/>
      <c r="DK353" s="86"/>
      <c r="DL353" s="86"/>
      <c r="DM353" s="86"/>
      <c r="DN353" s="86"/>
      <c r="DO353" s="86"/>
      <c r="DP353" s="86"/>
      <c r="DQ353" s="86"/>
      <c r="DR353" s="86"/>
      <c r="DS353" s="86"/>
      <c r="DT353" s="86"/>
      <c r="DU353" s="86"/>
      <c r="DV353" s="86"/>
      <c r="DW353" s="86"/>
      <c r="DX353" s="86"/>
      <c r="DY353" s="86"/>
      <c r="DZ353" s="86"/>
      <c r="EA353" s="86"/>
      <c r="EB353" s="86"/>
      <c r="EC353" s="86"/>
      <c r="ED353" s="86"/>
      <c r="EE353" s="86"/>
      <c r="EF353" s="86"/>
      <c r="EG353" s="86"/>
      <c r="EH353" s="86"/>
      <c r="EI353" s="86"/>
      <c r="EJ353" s="86"/>
      <c r="EK353" s="86"/>
      <c r="EL353" s="86"/>
      <c r="EM353" s="86"/>
      <c r="EN353" s="86"/>
      <c r="EO353" s="86"/>
      <c r="EP353" s="86"/>
      <c r="EQ353" s="86"/>
      <c r="ER353" s="86"/>
      <c r="ES353" s="86"/>
      <c r="ET353" s="86"/>
      <c r="EU353" s="86"/>
      <c r="EV353" s="86"/>
      <c r="EW353" s="86"/>
      <c r="EX353" s="86"/>
      <c r="EY353" s="86"/>
      <c r="EZ353" s="86"/>
      <c r="FA353" s="86"/>
    </row>
    <row r="354" spans="2:157" ht="10.050000000000001" customHeight="1">
      <c r="C354" s="31"/>
      <c r="D354" s="25"/>
      <c r="E354" s="31"/>
      <c r="F354" s="31"/>
      <c r="G354" s="31"/>
      <c r="H354" s="138"/>
      <c r="J354" s="101"/>
      <c r="K354" s="101"/>
      <c r="L354" s="101"/>
      <c r="Z354" s="86"/>
      <c r="AA354" s="86"/>
      <c r="AB354" s="86"/>
      <c r="AC354" s="86"/>
      <c r="AD354" s="86"/>
      <c r="AE354" s="86"/>
      <c r="AF354" s="86"/>
      <c r="AG354" s="86"/>
      <c r="AH354" s="86"/>
      <c r="AI354" s="86"/>
      <c r="AJ354" s="86"/>
      <c r="AK354" s="86"/>
      <c r="AL354" s="86"/>
      <c r="AM354" s="86"/>
      <c r="AN354" s="86"/>
      <c r="AO354" s="86"/>
      <c r="AP354" s="86"/>
      <c r="AQ354" s="86"/>
      <c r="AR354" s="86"/>
      <c r="AS354" s="86"/>
      <c r="AT354" s="86"/>
      <c r="AU354" s="86"/>
      <c r="AV354" s="86"/>
      <c r="AW354" s="86"/>
      <c r="AX354" s="86"/>
      <c r="AY354" s="86"/>
      <c r="AZ354" s="86"/>
      <c r="BA354" s="86"/>
      <c r="BB354" s="86"/>
      <c r="BC354" s="86"/>
      <c r="BD354" s="86"/>
      <c r="BE354" s="86"/>
      <c r="BF354" s="86"/>
      <c r="BG354" s="86"/>
      <c r="BH354" s="86"/>
      <c r="BI354" s="86"/>
      <c r="BJ354" s="86"/>
      <c r="BK354" s="86"/>
      <c r="BL354" s="86"/>
      <c r="BM354" s="86"/>
      <c r="BN354" s="86"/>
      <c r="BO354" s="86"/>
      <c r="BP354" s="86"/>
      <c r="BQ354" s="86"/>
      <c r="BR354" s="86"/>
      <c r="BS354" s="86"/>
      <c r="BT354" s="86"/>
      <c r="BU354" s="86"/>
      <c r="BV354" s="86"/>
      <c r="BW354" s="86"/>
      <c r="BX354" s="86"/>
      <c r="BY354" s="86"/>
      <c r="BZ354" s="86"/>
      <c r="CA354" s="86"/>
      <c r="CB354" s="86"/>
      <c r="CC354" s="86"/>
      <c r="CD354" s="86"/>
      <c r="CE354" s="86"/>
      <c r="CF354" s="86"/>
      <c r="CG354" s="86"/>
      <c r="CH354" s="86"/>
      <c r="CI354" s="86"/>
      <c r="CJ354" s="86"/>
      <c r="CK354" s="86"/>
      <c r="CL354" s="86"/>
      <c r="CM354" s="86"/>
      <c r="CN354" s="86"/>
      <c r="CO354" s="86"/>
      <c r="CP354" s="86"/>
      <c r="CQ354" s="86"/>
      <c r="CR354" s="86"/>
      <c r="CS354" s="86"/>
      <c r="CT354" s="86"/>
      <c r="CU354" s="86"/>
      <c r="CV354" s="86"/>
      <c r="CW354" s="86"/>
      <c r="CX354" s="86"/>
      <c r="CY354" s="86"/>
      <c r="CZ354" s="86"/>
      <c r="DA354" s="86"/>
      <c r="DB354" s="86"/>
      <c r="DC354" s="86"/>
      <c r="DD354" s="86"/>
      <c r="DE354" s="86"/>
      <c r="DF354" s="86"/>
      <c r="DG354" s="86"/>
      <c r="DH354" s="86"/>
      <c r="DI354" s="86"/>
      <c r="DJ354" s="86"/>
      <c r="DK354" s="86"/>
      <c r="DL354" s="86"/>
      <c r="DM354" s="86"/>
      <c r="DN354" s="86"/>
      <c r="DO354" s="86"/>
      <c r="DP354" s="86"/>
      <c r="DQ354" s="86"/>
      <c r="DR354" s="86"/>
      <c r="DS354" s="86"/>
      <c r="DT354" s="86"/>
      <c r="DU354" s="86"/>
      <c r="DV354" s="86"/>
      <c r="DW354" s="86"/>
      <c r="DX354" s="86"/>
      <c r="DY354" s="86"/>
      <c r="DZ354" s="86"/>
      <c r="EA354" s="86"/>
      <c r="EB354" s="86"/>
      <c r="EC354" s="86"/>
      <c r="ED354" s="86"/>
      <c r="EE354" s="86"/>
      <c r="EF354" s="86"/>
      <c r="EG354" s="86"/>
      <c r="EH354" s="86"/>
      <c r="EI354" s="86"/>
      <c r="EJ354" s="86"/>
      <c r="EK354" s="86"/>
      <c r="EL354" s="86"/>
      <c r="EM354" s="86"/>
      <c r="EN354" s="86"/>
      <c r="EO354" s="86"/>
      <c r="EP354" s="86"/>
      <c r="EQ354" s="86"/>
      <c r="ER354" s="86"/>
      <c r="ES354" s="86"/>
      <c r="ET354" s="86"/>
      <c r="EU354" s="86"/>
      <c r="EV354" s="86"/>
      <c r="EW354" s="86"/>
      <c r="EX354" s="86"/>
      <c r="EY354" s="86"/>
      <c r="EZ354" s="86"/>
      <c r="FA354" s="86"/>
    </row>
    <row r="355" spans="2:157" ht="18" customHeight="1">
      <c r="C355" s="31"/>
      <c r="D355" s="25"/>
      <c r="E355" s="31"/>
      <c r="F355" s="31"/>
      <c r="G355" s="31"/>
      <c r="H355" s="138"/>
      <c r="J355" s="101"/>
      <c r="K355" s="101"/>
      <c r="L355" s="101"/>
      <c r="Z355" s="86"/>
      <c r="AA355" s="86"/>
      <c r="AB355" s="86"/>
      <c r="AC355" s="86"/>
      <c r="AD355" s="86"/>
      <c r="AE355" s="86"/>
      <c r="AF355" s="86"/>
      <c r="AG355" s="86"/>
      <c r="AH355" s="86"/>
      <c r="AI355" s="86"/>
      <c r="AJ355" s="86"/>
      <c r="AK355" s="86"/>
      <c r="AL355" s="86"/>
      <c r="AM355" s="86"/>
      <c r="AN355" s="86"/>
      <c r="AO355" s="86"/>
      <c r="AP355" s="86"/>
      <c r="AQ355" s="86"/>
      <c r="AR355" s="86"/>
      <c r="AS355" s="86"/>
      <c r="AT355" s="86"/>
      <c r="AU355" s="86"/>
      <c r="AV355" s="86"/>
      <c r="AW355" s="86"/>
      <c r="AX355" s="86"/>
      <c r="AY355" s="86"/>
      <c r="AZ355" s="86"/>
      <c r="BA355" s="86"/>
      <c r="BB355" s="86"/>
      <c r="BC355" s="86"/>
      <c r="BD355" s="86"/>
      <c r="BE355" s="86"/>
      <c r="BF355" s="86"/>
      <c r="BG355" s="86"/>
      <c r="BH355" s="86"/>
      <c r="BI355" s="86"/>
      <c r="BJ355" s="86"/>
      <c r="BK355" s="86"/>
      <c r="BL355" s="86"/>
      <c r="BM355" s="86"/>
      <c r="BN355" s="86"/>
      <c r="BO355" s="86"/>
      <c r="BP355" s="86"/>
      <c r="BQ355" s="86"/>
      <c r="BR355" s="86"/>
      <c r="BS355" s="86"/>
      <c r="BT355" s="86"/>
      <c r="BU355" s="86"/>
      <c r="BV355" s="86"/>
      <c r="BW355" s="86"/>
      <c r="BX355" s="86"/>
      <c r="BY355" s="86"/>
      <c r="BZ355" s="86"/>
      <c r="CA355" s="86"/>
      <c r="CB355" s="86"/>
      <c r="CC355" s="86"/>
      <c r="CD355" s="86"/>
      <c r="CE355" s="86"/>
      <c r="CF355" s="86"/>
      <c r="CG355" s="86"/>
      <c r="CH355" s="86"/>
      <c r="CI355" s="86"/>
      <c r="CJ355" s="86"/>
      <c r="CK355" s="86"/>
      <c r="CL355" s="86"/>
      <c r="CM355" s="86"/>
      <c r="CN355" s="86"/>
      <c r="CO355" s="86"/>
      <c r="CP355" s="86"/>
      <c r="CQ355" s="86"/>
      <c r="CR355" s="86"/>
      <c r="CS355" s="86"/>
      <c r="CT355" s="86"/>
      <c r="CU355" s="86"/>
      <c r="CV355" s="86"/>
      <c r="CW355" s="86"/>
      <c r="CX355" s="86"/>
      <c r="CY355" s="86"/>
      <c r="CZ355" s="86"/>
      <c r="DA355" s="86"/>
      <c r="DB355" s="86"/>
      <c r="DC355" s="86"/>
      <c r="DD355" s="86"/>
      <c r="DE355" s="86"/>
      <c r="DF355" s="86"/>
      <c r="DG355" s="86"/>
      <c r="DH355" s="86"/>
      <c r="DI355" s="86"/>
      <c r="DJ355" s="86"/>
      <c r="DK355" s="86"/>
      <c r="DL355" s="86"/>
      <c r="DM355" s="86"/>
      <c r="DN355" s="86"/>
      <c r="DO355" s="86"/>
      <c r="DP355" s="86"/>
      <c r="DQ355" s="86"/>
      <c r="DR355" s="86"/>
      <c r="DS355" s="86"/>
      <c r="DT355" s="86"/>
      <c r="DU355" s="86"/>
      <c r="DV355" s="86"/>
      <c r="DW355" s="86"/>
      <c r="DX355" s="86"/>
      <c r="DY355" s="86"/>
      <c r="DZ355" s="86"/>
      <c r="EA355" s="86"/>
      <c r="EB355" s="86"/>
      <c r="EC355" s="86"/>
      <c r="ED355" s="86"/>
      <c r="EE355" s="86"/>
      <c r="EF355" s="86"/>
      <c r="EG355" s="86"/>
      <c r="EH355" s="86"/>
      <c r="EI355" s="86"/>
      <c r="EJ355" s="86"/>
      <c r="EK355" s="86"/>
      <c r="EL355" s="86"/>
      <c r="EM355" s="86"/>
      <c r="EN355" s="86"/>
      <c r="EO355" s="86"/>
      <c r="EP355" s="86"/>
      <c r="EQ355" s="86"/>
      <c r="ER355" s="86"/>
      <c r="ES355" s="86"/>
      <c r="ET355" s="86"/>
      <c r="EU355" s="86"/>
      <c r="EV355" s="86"/>
      <c r="EW355" s="86"/>
      <c r="EX355" s="86"/>
      <c r="EY355" s="86"/>
      <c r="EZ355" s="86"/>
      <c r="FA355" s="86"/>
    </row>
    <row r="356" spans="2:157" ht="10.050000000000001" customHeight="1">
      <c r="B356" s="31"/>
      <c r="C356" s="31"/>
      <c r="D356" s="31"/>
      <c r="E356" s="31"/>
      <c r="F356" s="31"/>
      <c r="G356" s="31"/>
      <c r="H356" s="31"/>
      <c r="J356" s="101"/>
      <c r="K356" s="101"/>
      <c r="L356" s="101"/>
      <c r="Z356" s="86"/>
      <c r="AA356" s="86"/>
      <c r="AB356" s="86"/>
      <c r="AC356" s="86"/>
      <c r="AD356" s="86"/>
      <c r="AE356" s="86"/>
      <c r="AF356" s="86"/>
      <c r="AG356" s="86"/>
      <c r="AH356" s="86"/>
      <c r="AI356" s="86"/>
      <c r="AJ356" s="86"/>
      <c r="AK356" s="86"/>
      <c r="AL356" s="86"/>
      <c r="AM356" s="86"/>
      <c r="AN356" s="86"/>
      <c r="AO356" s="86"/>
      <c r="AP356" s="86"/>
      <c r="AQ356" s="86"/>
      <c r="AR356" s="86"/>
      <c r="AS356" s="86"/>
      <c r="AT356" s="86"/>
      <c r="AU356" s="86"/>
      <c r="AV356" s="86"/>
      <c r="AW356" s="86"/>
      <c r="AX356" s="86"/>
      <c r="AY356" s="86"/>
      <c r="AZ356" s="86"/>
      <c r="BA356" s="86"/>
      <c r="BB356" s="86"/>
      <c r="BC356" s="86"/>
      <c r="BD356" s="86"/>
      <c r="BE356" s="86"/>
      <c r="BF356" s="86"/>
      <c r="BG356" s="86"/>
      <c r="BH356" s="86"/>
      <c r="BI356" s="86"/>
      <c r="BJ356" s="86"/>
      <c r="BK356" s="86"/>
      <c r="BL356" s="86"/>
      <c r="BM356" s="86"/>
      <c r="BN356" s="86"/>
      <c r="BO356" s="86"/>
      <c r="BP356" s="86"/>
      <c r="BQ356" s="86"/>
      <c r="BR356" s="86"/>
      <c r="BS356" s="86"/>
      <c r="BT356" s="86"/>
      <c r="BU356" s="86"/>
      <c r="BV356" s="86"/>
      <c r="BW356" s="86"/>
      <c r="BX356" s="86"/>
      <c r="BY356" s="86"/>
      <c r="BZ356" s="86"/>
      <c r="CA356" s="86"/>
      <c r="CB356" s="86"/>
      <c r="CC356" s="86"/>
      <c r="CD356" s="86"/>
      <c r="CE356" s="86"/>
      <c r="CF356" s="86"/>
      <c r="CG356" s="86"/>
      <c r="CH356" s="86"/>
      <c r="CI356" s="86"/>
      <c r="CJ356" s="86"/>
      <c r="CK356" s="86"/>
      <c r="CL356" s="86"/>
      <c r="CM356" s="86"/>
      <c r="CN356" s="86"/>
      <c r="CO356" s="86"/>
      <c r="CP356" s="86"/>
      <c r="CQ356" s="86"/>
      <c r="CR356" s="86"/>
      <c r="CS356" s="86"/>
      <c r="CT356" s="86"/>
      <c r="CU356" s="86"/>
      <c r="CV356" s="86"/>
      <c r="CW356" s="86"/>
      <c r="CX356" s="86"/>
      <c r="CY356" s="86"/>
      <c r="CZ356" s="86"/>
      <c r="DA356" s="86"/>
      <c r="DB356" s="86"/>
      <c r="DC356" s="86"/>
      <c r="DD356" s="86"/>
      <c r="DE356" s="86"/>
      <c r="DF356" s="86"/>
      <c r="DG356" s="86"/>
      <c r="DH356" s="86"/>
      <c r="DI356" s="86"/>
      <c r="DJ356" s="86"/>
      <c r="DK356" s="86"/>
      <c r="DL356" s="86"/>
      <c r="DM356" s="86"/>
      <c r="DN356" s="86"/>
      <c r="DO356" s="86"/>
      <c r="DP356" s="86"/>
      <c r="DQ356" s="86"/>
      <c r="DR356" s="86"/>
      <c r="DS356" s="86"/>
      <c r="DT356" s="86"/>
      <c r="DU356" s="86"/>
      <c r="DV356" s="86"/>
      <c r="DW356" s="86"/>
      <c r="DX356" s="86"/>
      <c r="DY356" s="86"/>
      <c r="DZ356" s="86"/>
      <c r="EA356" s="86"/>
      <c r="EB356" s="86"/>
      <c r="EC356" s="86"/>
      <c r="ED356" s="86"/>
      <c r="EE356" s="86"/>
      <c r="EF356" s="86"/>
      <c r="EG356" s="86"/>
      <c r="EH356" s="86"/>
      <c r="EI356" s="86"/>
      <c r="EJ356" s="86"/>
      <c r="EK356" s="86"/>
      <c r="EL356" s="86"/>
      <c r="EM356" s="86"/>
      <c r="EN356" s="86"/>
      <c r="EO356" s="86"/>
      <c r="EP356" s="86"/>
      <c r="EQ356" s="86"/>
      <c r="ER356" s="86"/>
      <c r="ES356" s="86"/>
      <c r="ET356" s="86"/>
      <c r="EU356" s="86"/>
      <c r="EV356" s="86"/>
      <c r="EW356" s="86"/>
      <c r="EX356" s="86"/>
      <c r="EY356" s="86"/>
      <c r="EZ356" s="86"/>
      <c r="FA356" s="86"/>
    </row>
    <row r="357" spans="2:157" ht="10.050000000000001" customHeight="1">
      <c r="B357" s="31"/>
      <c r="C357" s="31"/>
      <c r="D357" s="31"/>
      <c r="E357" s="31"/>
      <c r="F357" s="31"/>
      <c r="G357" s="31"/>
      <c r="H357" s="31"/>
      <c r="J357" s="101"/>
      <c r="K357" s="101"/>
      <c r="L357" s="101"/>
      <c r="Z357" s="86"/>
      <c r="AA357" s="86"/>
      <c r="AB357" s="86"/>
      <c r="AC357" s="86"/>
      <c r="AD357" s="86"/>
      <c r="AE357" s="86"/>
      <c r="AF357" s="86"/>
      <c r="AG357" s="86"/>
      <c r="AH357" s="86"/>
      <c r="AI357" s="86"/>
      <c r="AJ357" s="86"/>
      <c r="AK357" s="86"/>
      <c r="AL357" s="86"/>
      <c r="AM357" s="86"/>
      <c r="AN357" s="86"/>
      <c r="AO357" s="86"/>
      <c r="AP357" s="86"/>
      <c r="AQ357" s="86"/>
      <c r="AR357" s="86"/>
      <c r="AS357" s="86"/>
      <c r="AT357" s="86"/>
      <c r="AU357" s="86"/>
      <c r="AV357" s="86"/>
      <c r="AW357" s="86"/>
      <c r="AX357" s="86"/>
      <c r="AY357" s="86"/>
      <c r="AZ357" s="86"/>
      <c r="BA357" s="86"/>
      <c r="BB357" s="86"/>
      <c r="BC357" s="86"/>
      <c r="BD357" s="86"/>
      <c r="BE357" s="86"/>
      <c r="BF357" s="86"/>
      <c r="BG357" s="86"/>
      <c r="BH357" s="86"/>
      <c r="BI357" s="86"/>
      <c r="BJ357" s="86"/>
      <c r="BK357" s="86"/>
      <c r="BL357" s="86"/>
      <c r="BM357" s="86"/>
      <c r="BN357" s="86"/>
      <c r="BO357" s="86"/>
      <c r="BP357" s="86"/>
      <c r="BQ357" s="86"/>
      <c r="BR357" s="86"/>
      <c r="BS357" s="86"/>
      <c r="BT357" s="86"/>
      <c r="BU357" s="86"/>
      <c r="BV357" s="86"/>
      <c r="BW357" s="86"/>
      <c r="BX357" s="86"/>
      <c r="BY357" s="86"/>
      <c r="BZ357" s="86"/>
      <c r="CA357" s="86"/>
      <c r="CB357" s="86"/>
      <c r="CC357" s="86"/>
      <c r="CD357" s="86"/>
      <c r="CE357" s="86"/>
      <c r="CF357" s="86"/>
      <c r="CG357" s="86"/>
      <c r="CH357" s="86"/>
      <c r="CI357" s="86"/>
      <c r="CJ357" s="86"/>
      <c r="CK357" s="86"/>
      <c r="CL357" s="86"/>
      <c r="CM357" s="86"/>
      <c r="CN357" s="86"/>
      <c r="CO357" s="86"/>
      <c r="CP357" s="86"/>
      <c r="CQ357" s="86"/>
      <c r="CR357" s="86"/>
      <c r="CS357" s="86"/>
      <c r="CT357" s="86"/>
      <c r="CU357" s="86"/>
      <c r="CV357" s="86"/>
      <c r="CW357" s="86"/>
      <c r="CX357" s="86"/>
      <c r="CY357" s="86"/>
      <c r="CZ357" s="86"/>
      <c r="DA357" s="86"/>
      <c r="DB357" s="86"/>
      <c r="DC357" s="86"/>
      <c r="DD357" s="86"/>
      <c r="DE357" s="86"/>
      <c r="DF357" s="86"/>
      <c r="DG357" s="86"/>
      <c r="DH357" s="86"/>
      <c r="DI357" s="86"/>
      <c r="DJ357" s="86"/>
      <c r="DK357" s="86"/>
      <c r="DL357" s="86"/>
      <c r="DM357" s="86"/>
      <c r="DN357" s="86"/>
      <c r="DO357" s="86"/>
      <c r="DP357" s="86"/>
      <c r="DQ357" s="86"/>
      <c r="DR357" s="86"/>
      <c r="DS357" s="86"/>
      <c r="DT357" s="86"/>
      <c r="DU357" s="86"/>
      <c r="DV357" s="86"/>
      <c r="DW357" s="86"/>
      <c r="DX357" s="86"/>
      <c r="DY357" s="86"/>
      <c r="DZ357" s="86"/>
      <c r="EA357" s="86"/>
      <c r="EB357" s="86"/>
      <c r="EC357" s="86"/>
      <c r="ED357" s="86"/>
      <c r="EE357" s="86"/>
      <c r="EF357" s="86"/>
      <c r="EG357" s="86"/>
      <c r="EH357" s="86"/>
      <c r="EI357" s="86"/>
      <c r="EJ357" s="86"/>
      <c r="EK357" s="86"/>
      <c r="EL357" s="86"/>
      <c r="EM357" s="86"/>
      <c r="EN357" s="86"/>
      <c r="EO357" s="86"/>
      <c r="EP357" s="86"/>
      <c r="EQ357" s="86"/>
      <c r="ER357" s="86"/>
      <c r="ES357" s="86"/>
      <c r="ET357" s="86"/>
      <c r="EU357" s="86"/>
      <c r="EV357" s="86"/>
      <c r="EW357" s="86"/>
      <c r="EX357" s="86"/>
      <c r="EY357" s="86"/>
      <c r="EZ357" s="86"/>
      <c r="FA357" s="86"/>
    </row>
    <row r="358" spans="2:157" ht="10.95" customHeight="1">
      <c r="B358" s="1347" t="s">
        <v>510</v>
      </c>
      <c r="C358" s="1348"/>
      <c r="D358" s="1345"/>
      <c r="E358" s="1346"/>
      <c r="F358" s="842"/>
      <c r="G358" s="837" t="s">
        <v>4</v>
      </c>
      <c r="H358" s="856"/>
      <c r="J358" s="101"/>
      <c r="K358" s="101"/>
      <c r="L358" s="101"/>
      <c r="Z358" s="86"/>
      <c r="AA358" s="86"/>
      <c r="AB358" s="86"/>
      <c r="AC358" s="86"/>
      <c r="AD358" s="86"/>
      <c r="AE358" s="86"/>
      <c r="AF358" s="86"/>
      <c r="AG358" s="86"/>
      <c r="AH358" s="86"/>
      <c r="AI358" s="86"/>
      <c r="AJ358" s="86"/>
      <c r="AK358" s="86"/>
      <c r="AL358" s="86"/>
      <c r="AM358" s="86"/>
      <c r="AN358" s="86"/>
      <c r="AO358" s="86"/>
      <c r="AP358" s="86"/>
      <c r="AQ358" s="86"/>
      <c r="AR358" s="86"/>
      <c r="AS358" s="86"/>
      <c r="AT358" s="86"/>
      <c r="AU358" s="86"/>
      <c r="AV358" s="86"/>
      <c r="AW358" s="86"/>
      <c r="AX358" s="86"/>
      <c r="AY358" s="86"/>
      <c r="AZ358" s="86"/>
      <c r="BA358" s="86"/>
      <c r="BB358" s="86"/>
      <c r="BC358" s="86"/>
      <c r="BD358" s="86"/>
      <c r="BE358" s="86"/>
      <c r="BF358" s="86"/>
      <c r="BG358" s="86"/>
      <c r="BH358" s="86"/>
      <c r="BI358" s="86"/>
      <c r="BJ358" s="86"/>
      <c r="BK358" s="86"/>
      <c r="BL358" s="86"/>
      <c r="BM358" s="86"/>
      <c r="BN358" s="86"/>
      <c r="BO358" s="86"/>
      <c r="BP358" s="86"/>
      <c r="BQ358" s="86"/>
      <c r="BR358" s="86"/>
      <c r="BS358" s="86"/>
      <c r="BT358" s="86"/>
      <c r="BU358" s="86"/>
      <c r="BV358" s="86"/>
      <c r="BW358" s="86"/>
      <c r="BX358" s="86"/>
      <c r="BY358" s="86"/>
      <c r="BZ358" s="86"/>
      <c r="CA358" s="86"/>
      <c r="CB358" s="86"/>
      <c r="CC358" s="86"/>
      <c r="CD358" s="86"/>
      <c r="CE358" s="86"/>
      <c r="CF358" s="86"/>
      <c r="CG358" s="86"/>
      <c r="CH358" s="86"/>
      <c r="CI358" s="86"/>
      <c r="CJ358" s="86"/>
      <c r="CK358" s="86"/>
      <c r="CL358" s="86"/>
      <c r="CM358" s="86"/>
      <c r="CN358" s="86"/>
      <c r="CO358" s="86"/>
      <c r="CP358" s="86"/>
      <c r="CQ358" s="86"/>
      <c r="CR358" s="86"/>
      <c r="CS358" s="86"/>
      <c r="CT358" s="86"/>
      <c r="CU358" s="86"/>
      <c r="CV358" s="86"/>
      <c r="CW358" s="86"/>
      <c r="CX358" s="86"/>
      <c r="CY358" s="86"/>
      <c r="CZ358" s="86"/>
      <c r="DA358" s="86"/>
      <c r="DB358" s="86"/>
      <c r="DC358" s="86"/>
      <c r="DD358" s="86"/>
      <c r="DE358" s="86"/>
      <c r="DF358" s="86"/>
      <c r="DG358" s="86"/>
      <c r="DH358" s="86"/>
      <c r="DI358" s="86"/>
      <c r="DJ358" s="86"/>
      <c r="DK358" s="86"/>
      <c r="DL358" s="86"/>
      <c r="DM358" s="86"/>
      <c r="DN358" s="86"/>
      <c r="DO358" s="86"/>
      <c r="DP358" s="86"/>
      <c r="DQ358" s="86"/>
      <c r="DR358" s="86"/>
      <c r="DS358" s="86"/>
      <c r="DT358" s="86"/>
      <c r="DU358" s="86"/>
      <c r="DV358" s="86"/>
      <c r="DW358" s="86"/>
      <c r="DX358" s="86"/>
      <c r="DY358" s="86"/>
      <c r="DZ358" s="86"/>
      <c r="EA358" s="86"/>
      <c r="EB358" s="86"/>
      <c r="EC358" s="86"/>
      <c r="ED358" s="86"/>
      <c r="EE358" s="86"/>
      <c r="EF358" s="86"/>
      <c r="EG358" s="86"/>
      <c r="EH358" s="86"/>
      <c r="EI358" s="86"/>
      <c r="EJ358" s="86"/>
      <c r="EK358" s="86"/>
      <c r="EL358" s="86"/>
      <c r="EM358" s="86"/>
      <c r="EN358" s="86"/>
      <c r="EO358" s="86"/>
      <c r="EP358" s="86"/>
      <c r="EQ358" s="86"/>
      <c r="ER358" s="86"/>
      <c r="ES358" s="86"/>
      <c r="ET358" s="86"/>
      <c r="EU358" s="86"/>
      <c r="EV358" s="86"/>
      <c r="EW358" s="86"/>
      <c r="EX358" s="86"/>
      <c r="EY358" s="86"/>
      <c r="EZ358" s="86"/>
      <c r="FA358" s="86"/>
    </row>
    <row r="359" spans="2:157" ht="10.95" customHeight="1">
      <c r="B359" s="1347" t="s">
        <v>582</v>
      </c>
      <c r="C359" s="1349"/>
      <c r="D359" s="1345"/>
      <c r="E359" s="1346"/>
      <c r="F359" s="839"/>
      <c r="G359" s="853" t="s">
        <v>345</v>
      </c>
      <c r="H359" s="854">
        <f>ROUND(1/(SUM(H362:H372)),2)</f>
        <v>5.88</v>
      </c>
      <c r="J359" s="101"/>
      <c r="K359" s="101"/>
      <c r="L359" s="101"/>
      <c r="Z359" s="86"/>
      <c r="AA359" s="86"/>
      <c r="AB359" s="86"/>
      <c r="AC359" s="86"/>
      <c r="AD359" s="86"/>
      <c r="AE359" s="86"/>
      <c r="AF359" s="86"/>
      <c r="AG359" s="86"/>
      <c r="AH359" s="86"/>
      <c r="AI359" s="86"/>
      <c r="AJ359" s="86"/>
      <c r="AK359" s="86"/>
      <c r="AL359" s="86"/>
      <c r="AM359" s="86"/>
      <c r="AN359" s="86"/>
      <c r="AO359" s="86"/>
      <c r="AP359" s="86"/>
      <c r="AQ359" s="86"/>
      <c r="AR359" s="86"/>
      <c r="AS359" s="86"/>
      <c r="AT359" s="86"/>
      <c r="AU359" s="86"/>
      <c r="AV359" s="86"/>
      <c r="AW359" s="86"/>
      <c r="AX359" s="86"/>
      <c r="AY359" s="86"/>
      <c r="AZ359" s="86"/>
      <c r="BA359" s="86"/>
      <c r="BB359" s="86"/>
      <c r="BC359" s="86"/>
      <c r="BD359" s="86"/>
      <c r="BE359" s="86"/>
      <c r="BF359" s="86"/>
      <c r="BG359" s="86"/>
      <c r="BH359" s="86"/>
      <c r="BI359" s="86"/>
      <c r="BJ359" s="86"/>
      <c r="BK359" s="86"/>
      <c r="BL359" s="86"/>
      <c r="BM359" s="86"/>
      <c r="BN359" s="86"/>
      <c r="BO359" s="86"/>
      <c r="BP359" s="86"/>
      <c r="BQ359" s="86"/>
      <c r="BR359" s="86"/>
      <c r="BS359" s="86"/>
      <c r="BT359" s="86"/>
      <c r="BU359" s="86"/>
      <c r="BV359" s="86"/>
      <c r="BW359" s="86"/>
      <c r="BX359" s="86"/>
      <c r="BY359" s="86"/>
      <c r="BZ359" s="86"/>
      <c r="CA359" s="86"/>
      <c r="CB359" s="86"/>
      <c r="CC359" s="86"/>
      <c r="CD359" s="86"/>
      <c r="CE359" s="86"/>
      <c r="CF359" s="86"/>
      <c r="CG359" s="86"/>
      <c r="CH359" s="86"/>
      <c r="CI359" s="86"/>
      <c r="CJ359" s="86"/>
      <c r="CK359" s="86"/>
      <c r="CL359" s="86"/>
      <c r="CM359" s="86"/>
      <c r="CN359" s="86"/>
      <c r="CO359" s="86"/>
      <c r="CP359" s="86"/>
      <c r="CQ359" s="86"/>
      <c r="CR359" s="86"/>
      <c r="CS359" s="86"/>
      <c r="CT359" s="86"/>
      <c r="CU359" s="86"/>
      <c r="CV359" s="86"/>
      <c r="CW359" s="86"/>
      <c r="CX359" s="86"/>
      <c r="CY359" s="86"/>
      <c r="CZ359" s="86"/>
      <c r="DA359" s="86"/>
      <c r="DB359" s="86"/>
      <c r="DC359" s="86"/>
      <c r="DD359" s="86"/>
      <c r="DE359" s="86"/>
      <c r="DF359" s="86"/>
      <c r="DG359" s="86"/>
      <c r="DH359" s="86"/>
      <c r="DI359" s="86"/>
      <c r="DJ359" s="86"/>
      <c r="DK359" s="86"/>
      <c r="DL359" s="86"/>
      <c r="DM359" s="86"/>
      <c r="DN359" s="86"/>
      <c r="DO359" s="86"/>
      <c r="DP359" s="86"/>
      <c r="DQ359" s="86"/>
      <c r="DR359" s="86"/>
      <c r="DS359" s="86"/>
      <c r="DT359" s="86"/>
      <c r="DU359" s="86"/>
      <c r="DV359" s="86"/>
      <c r="DW359" s="86"/>
      <c r="DX359" s="86"/>
      <c r="DY359" s="86"/>
      <c r="DZ359" s="86"/>
      <c r="EA359" s="86"/>
      <c r="EB359" s="86"/>
      <c r="EC359" s="86"/>
      <c r="ED359" s="86"/>
      <c r="EE359" s="86"/>
      <c r="EF359" s="86"/>
      <c r="EG359" s="86"/>
      <c r="EH359" s="86"/>
      <c r="EI359" s="86"/>
      <c r="EJ359" s="86"/>
      <c r="EK359" s="86"/>
      <c r="EL359" s="86"/>
      <c r="EM359" s="86"/>
      <c r="EN359" s="86"/>
      <c r="EO359" s="86"/>
      <c r="EP359" s="86"/>
      <c r="EQ359" s="86"/>
      <c r="ER359" s="86"/>
      <c r="ES359" s="86"/>
      <c r="ET359" s="86"/>
      <c r="EU359" s="86"/>
      <c r="EV359" s="86"/>
      <c r="EW359" s="86"/>
      <c r="EX359" s="86"/>
      <c r="EY359" s="86"/>
      <c r="EZ359" s="86"/>
      <c r="FA359" s="86"/>
    </row>
    <row r="360" spans="2:157" ht="9.75" customHeight="1">
      <c r="B360" s="839"/>
      <c r="C360" s="839"/>
      <c r="D360" s="844"/>
      <c r="E360" s="839"/>
      <c r="F360" s="839"/>
      <c r="G360" s="852"/>
      <c r="H360" s="850"/>
      <c r="J360" s="101"/>
      <c r="K360" s="101"/>
      <c r="L360" s="101"/>
      <c r="Z360" s="86"/>
      <c r="AA360" s="86"/>
      <c r="AB360" s="86"/>
      <c r="AC360" s="86"/>
      <c r="AD360" s="86"/>
      <c r="AE360" s="86"/>
      <c r="AF360" s="86"/>
      <c r="AG360" s="86"/>
      <c r="AH360" s="86"/>
      <c r="AI360" s="86"/>
      <c r="AJ360" s="86"/>
      <c r="AK360" s="86"/>
      <c r="AL360" s="86"/>
      <c r="AM360" s="86"/>
      <c r="AN360" s="86"/>
      <c r="AO360" s="86"/>
      <c r="AP360" s="86"/>
      <c r="AQ360" s="86"/>
      <c r="AR360" s="86"/>
      <c r="AS360" s="86"/>
      <c r="AT360" s="86"/>
      <c r="AU360" s="86"/>
      <c r="AV360" s="86"/>
      <c r="AW360" s="86"/>
      <c r="AX360" s="86"/>
      <c r="AY360" s="86"/>
      <c r="AZ360" s="86"/>
      <c r="BA360" s="86"/>
      <c r="BB360" s="86"/>
      <c r="BC360" s="86"/>
      <c r="BD360" s="86"/>
      <c r="BE360" s="86"/>
      <c r="BF360" s="86"/>
      <c r="BG360" s="86"/>
      <c r="BH360" s="86"/>
      <c r="BI360" s="86"/>
      <c r="BJ360" s="86"/>
      <c r="BK360" s="86"/>
      <c r="BL360" s="86"/>
      <c r="BM360" s="86"/>
      <c r="BN360" s="86"/>
      <c r="BO360" s="86"/>
      <c r="BP360" s="86"/>
      <c r="BQ360" s="86"/>
      <c r="BR360" s="86"/>
      <c r="BS360" s="86"/>
      <c r="BT360" s="86"/>
      <c r="BU360" s="86"/>
      <c r="BV360" s="86"/>
      <c r="BW360" s="86"/>
      <c r="BX360" s="86"/>
      <c r="BY360" s="86"/>
      <c r="BZ360" s="86"/>
      <c r="CA360" s="86"/>
      <c r="CB360" s="86"/>
      <c r="CC360" s="86"/>
      <c r="CD360" s="86"/>
      <c r="CE360" s="86"/>
      <c r="CF360" s="86"/>
      <c r="CG360" s="86"/>
      <c r="CH360" s="86"/>
      <c r="CI360" s="86"/>
      <c r="CJ360" s="86"/>
      <c r="CK360" s="86"/>
      <c r="CL360" s="86"/>
      <c r="CM360" s="86"/>
      <c r="CN360" s="86"/>
      <c r="CO360" s="86"/>
      <c r="CP360" s="86"/>
      <c r="CQ360" s="86"/>
      <c r="CR360" s="86"/>
      <c r="CS360" s="86"/>
      <c r="CT360" s="86"/>
      <c r="CU360" s="86"/>
      <c r="CV360" s="86"/>
      <c r="CW360" s="86"/>
      <c r="CX360" s="86"/>
      <c r="CY360" s="86"/>
      <c r="CZ360" s="86"/>
      <c r="DA360" s="86"/>
      <c r="DB360" s="86"/>
      <c r="DC360" s="86"/>
      <c r="DD360" s="86"/>
      <c r="DE360" s="86"/>
      <c r="DF360" s="86"/>
      <c r="DG360" s="86"/>
      <c r="DH360" s="86"/>
      <c r="DI360" s="86"/>
      <c r="DJ360" s="86"/>
      <c r="DK360" s="86"/>
      <c r="DL360" s="86"/>
      <c r="DM360" s="86"/>
      <c r="DN360" s="86"/>
      <c r="DO360" s="86"/>
      <c r="DP360" s="86"/>
      <c r="DQ360" s="86"/>
      <c r="DR360" s="86"/>
      <c r="DS360" s="86"/>
      <c r="DT360" s="86"/>
      <c r="DU360" s="86"/>
      <c r="DV360" s="86"/>
      <c r="DW360" s="86"/>
      <c r="DX360" s="86"/>
      <c r="DY360" s="86"/>
      <c r="DZ360" s="86"/>
      <c r="EA360" s="86"/>
      <c r="EB360" s="86"/>
      <c r="EC360" s="86"/>
      <c r="ED360" s="86"/>
      <c r="EE360" s="86"/>
      <c r="EF360" s="86"/>
      <c r="EG360" s="86"/>
      <c r="EH360" s="86"/>
      <c r="EI360" s="86"/>
      <c r="EJ360" s="86"/>
      <c r="EK360" s="86"/>
      <c r="EL360" s="86"/>
      <c r="EM360" s="86"/>
      <c r="EN360" s="86"/>
      <c r="EO360" s="86"/>
      <c r="EP360" s="86"/>
      <c r="EQ360" s="86"/>
      <c r="ER360" s="86"/>
      <c r="ES360" s="86"/>
      <c r="ET360" s="86"/>
      <c r="EU360" s="86"/>
      <c r="EV360" s="86"/>
      <c r="EW360" s="86"/>
      <c r="EX360" s="86"/>
      <c r="EY360" s="86"/>
      <c r="EZ360" s="86"/>
      <c r="FA360" s="86"/>
    </row>
    <row r="361" spans="2:157" ht="9.75" customHeight="1">
      <c r="B361" s="844" t="s">
        <v>349</v>
      </c>
      <c r="C361" s="1352" t="s">
        <v>344</v>
      </c>
      <c r="D361" s="1352"/>
      <c r="E361" s="87"/>
      <c r="F361" s="846" t="s">
        <v>170</v>
      </c>
      <c r="G361" s="847" t="s">
        <v>361</v>
      </c>
      <c r="H361" s="846" t="s">
        <v>281</v>
      </c>
      <c r="J361" s="101"/>
      <c r="K361" s="101"/>
      <c r="L361" s="101"/>
      <c r="Z361" s="86"/>
      <c r="AA361" s="86"/>
      <c r="AB361" s="86"/>
      <c r="AC361" s="86"/>
      <c r="AD361" s="86"/>
      <c r="AE361" s="86"/>
      <c r="AF361" s="86"/>
      <c r="AG361" s="86"/>
      <c r="AH361" s="86"/>
      <c r="AI361" s="86"/>
      <c r="AJ361" s="86"/>
      <c r="AK361" s="86"/>
      <c r="AL361" s="86"/>
      <c r="AM361" s="86"/>
      <c r="AN361" s="86"/>
      <c r="AO361" s="86"/>
      <c r="AP361" s="86"/>
      <c r="AQ361" s="86"/>
      <c r="AR361" s="86"/>
      <c r="AS361" s="86"/>
      <c r="AT361" s="86"/>
      <c r="AU361" s="86"/>
      <c r="AV361" s="86"/>
      <c r="AW361" s="86"/>
      <c r="AX361" s="86"/>
      <c r="AY361" s="86"/>
      <c r="AZ361" s="86"/>
      <c r="BA361" s="86"/>
      <c r="BB361" s="86"/>
      <c r="BC361" s="86"/>
      <c r="BD361" s="86"/>
      <c r="BE361" s="86"/>
      <c r="BF361" s="86"/>
      <c r="BG361" s="86"/>
      <c r="BH361" s="86"/>
      <c r="BI361" s="86"/>
      <c r="BJ361" s="86"/>
      <c r="BK361" s="86"/>
      <c r="BL361" s="86"/>
      <c r="BM361" s="86"/>
      <c r="BN361" s="86"/>
      <c r="BO361" s="86"/>
      <c r="BP361" s="86"/>
      <c r="BQ361" s="86"/>
      <c r="BR361" s="86"/>
      <c r="BS361" s="86"/>
      <c r="BT361" s="86"/>
      <c r="BU361" s="86"/>
      <c r="BV361" s="86"/>
      <c r="BW361" s="86"/>
      <c r="BX361" s="86"/>
      <c r="BY361" s="86"/>
      <c r="BZ361" s="86"/>
      <c r="CA361" s="86"/>
      <c r="CB361" s="86"/>
      <c r="CC361" s="86"/>
      <c r="CD361" s="86"/>
      <c r="CE361" s="86"/>
      <c r="CF361" s="86"/>
      <c r="CG361" s="86"/>
      <c r="CH361" s="86"/>
      <c r="CI361" s="86"/>
      <c r="CJ361" s="86"/>
      <c r="CK361" s="86"/>
      <c r="CL361" s="86"/>
      <c r="CM361" s="86"/>
      <c r="CN361" s="86"/>
      <c r="CO361" s="86"/>
      <c r="CP361" s="86"/>
      <c r="CQ361" s="86"/>
      <c r="CR361" s="86"/>
      <c r="CS361" s="86"/>
      <c r="CT361" s="86"/>
      <c r="CU361" s="86"/>
      <c r="CV361" s="86"/>
      <c r="CW361" s="86"/>
      <c r="CX361" s="86"/>
      <c r="CY361" s="86"/>
      <c r="CZ361" s="86"/>
      <c r="DA361" s="86"/>
      <c r="DB361" s="86"/>
      <c r="DC361" s="86"/>
      <c r="DD361" s="86"/>
      <c r="DE361" s="86"/>
      <c r="DF361" s="86"/>
      <c r="DG361" s="86"/>
      <c r="DH361" s="86"/>
      <c r="DI361" s="86"/>
      <c r="DJ361" s="86"/>
      <c r="DK361" s="86"/>
      <c r="DL361" s="86"/>
      <c r="DM361" s="86"/>
      <c r="DN361" s="86"/>
      <c r="DO361" s="86"/>
      <c r="DP361" s="86"/>
      <c r="DQ361" s="86"/>
      <c r="DR361" s="86"/>
      <c r="DS361" s="86"/>
      <c r="DT361" s="86"/>
      <c r="DU361" s="86"/>
      <c r="DV361" s="86"/>
      <c r="DW361" s="86"/>
      <c r="DX361" s="86"/>
      <c r="DY361" s="86"/>
      <c r="DZ361" s="86"/>
      <c r="EA361" s="86"/>
      <c r="EB361" s="86"/>
      <c r="EC361" s="86"/>
      <c r="ED361" s="86"/>
      <c r="EE361" s="86"/>
      <c r="EF361" s="86"/>
      <c r="EG361" s="86"/>
      <c r="EH361" s="86"/>
      <c r="EI361" s="86"/>
      <c r="EJ361" s="86"/>
      <c r="EK361" s="86"/>
      <c r="EL361" s="86"/>
      <c r="EM361" s="86"/>
      <c r="EN361" s="86"/>
      <c r="EO361" s="86"/>
      <c r="EP361" s="86"/>
      <c r="EQ361" s="86"/>
      <c r="ER361" s="86"/>
      <c r="ES361" s="86"/>
      <c r="ET361" s="86"/>
      <c r="EU361" s="86"/>
      <c r="EV361" s="86"/>
      <c r="EW361" s="86"/>
      <c r="EX361" s="86"/>
      <c r="EY361" s="86"/>
      <c r="EZ361" s="86"/>
      <c r="FA361" s="86"/>
    </row>
    <row r="362" spans="2:157" ht="10.050000000000001" customHeight="1">
      <c r="B362" s="845" t="s">
        <v>546</v>
      </c>
      <c r="C362" s="1350" t="s">
        <v>106</v>
      </c>
      <c r="D362" s="1350"/>
      <c r="E362" s="87"/>
      <c r="F362" s="848" t="s">
        <v>546</v>
      </c>
      <c r="G362" s="848" t="s">
        <v>546</v>
      </c>
      <c r="H362" s="1016">
        <v>0.13</v>
      </c>
      <c r="J362" s="101"/>
      <c r="K362" s="101"/>
      <c r="L362" s="101"/>
      <c r="Z362" s="86"/>
      <c r="AA362" s="86"/>
      <c r="AB362" s="86"/>
      <c r="AC362" s="86"/>
      <c r="AD362" s="86"/>
      <c r="AE362" s="86"/>
      <c r="AF362" s="86"/>
      <c r="AG362" s="86"/>
      <c r="AH362" s="86"/>
      <c r="AI362" s="86"/>
      <c r="AJ362" s="86"/>
      <c r="AK362" s="86"/>
      <c r="AL362" s="86"/>
      <c r="AM362" s="86"/>
      <c r="AN362" s="86"/>
      <c r="AO362" s="86"/>
      <c r="AP362" s="86"/>
      <c r="AQ362" s="86"/>
      <c r="AR362" s="86"/>
      <c r="AS362" s="86"/>
      <c r="AT362" s="86"/>
      <c r="AU362" s="86"/>
      <c r="AV362" s="86"/>
      <c r="AW362" s="86"/>
      <c r="AX362" s="86"/>
      <c r="AY362" s="86"/>
      <c r="AZ362" s="86"/>
      <c r="BA362" s="86"/>
      <c r="BB362" s="86"/>
      <c r="BC362" s="86"/>
      <c r="BD362" s="86"/>
      <c r="BE362" s="86"/>
      <c r="BF362" s="86"/>
      <c r="BG362" s="86"/>
      <c r="BH362" s="86"/>
      <c r="BI362" s="86"/>
      <c r="BJ362" s="86"/>
      <c r="BK362" s="86"/>
      <c r="BL362" s="86"/>
      <c r="BM362" s="86"/>
      <c r="BN362" s="86"/>
      <c r="BO362" s="86"/>
      <c r="BP362" s="86"/>
      <c r="BQ362" s="86"/>
      <c r="BR362" s="86"/>
      <c r="BS362" s="86"/>
      <c r="BT362" s="86"/>
      <c r="BU362" s="86"/>
      <c r="BV362" s="86"/>
      <c r="BW362" s="86"/>
      <c r="BX362" s="86"/>
      <c r="BY362" s="86"/>
      <c r="BZ362" s="86"/>
      <c r="CA362" s="86"/>
      <c r="CB362" s="86"/>
      <c r="CC362" s="86"/>
      <c r="CD362" s="86"/>
      <c r="CE362" s="86"/>
      <c r="CF362" s="86"/>
      <c r="CG362" s="86"/>
      <c r="CH362" s="86"/>
      <c r="CI362" s="86"/>
      <c r="CJ362" s="86"/>
      <c r="CK362" s="86"/>
      <c r="CL362" s="86"/>
      <c r="CM362" s="86"/>
      <c r="CN362" s="86"/>
      <c r="CO362" s="86"/>
      <c r="CP362" s="86"/>
      <c r="CQ362" s="86"/>
      <c r="CR362" s="86"/>
      <c r="CS362" s="86"/>
      <c r="CT362" s="86"/>
      <c r="CU362" s="86"/>
      <c r="CV362" s="86"/>
      <c r="CW362" s="86"/>
      <c r="CX362" s="86"/>
      <c r="CY362" s="86"/>
      <c r="CZ362" s="86"/>
      <c r="DA362" s="86"/>
      <c r="DB362" s="86"/>
      <c r="DC362" s="86"/>
      <c r="DD362" s="86"/>
      <c r="DE362" s="86"/>
      <c r="DF362" s="86"/>
      <c r="DG362" s="86"/>
      <c r="DH362" s="86"/>
      <c r="DI362" s="86"/>
      <c r="DJ362" s="86"/>
      <c r="DK362" s="86"/>
      <c r="DL362" s="86"/>
      <c r="DM362" s="86"/>
      <c r="DN362" s="86"/>
      <c r="DO362" s="86"/>
      <c r="DP362" s="86"/>
      <c r="DQ362" s="86"/>
      <c r="DR362" s="86"/>
      <c r="DS362" s="86"/>
      <c r="DT362" s="86"/>
      <c r="DU362" s="86"/>
      <c r="DV362" s="86"/>
      <c r="DW362" s="86"/>
      <c r="DX362" s="86"/>
      <c r="DY362" s="86"/>
      <c r="DZ362" s="86"/>
      <c r="EA362" s="86"/>
      <c r="EB362" s="86"/>
      <c r="EC362" s="86"/>
      <c r="ED362" s="86"/>
      <c r="EE362" s="86"/>
      <c r="EF362" s="86"/>
      <c r="EG362" s="86"/>
      <c r="EH362" s="86"/>
      <c r="EI362" s="86"/>
      <c r="EJ362" s="86"/>
      <c r="EK362" s="86"/>
      <c r="EL362" s="86"/>
      <c r="EM362" s="86"/>
      <c r="EN362" s="86"/>
      <c r="EO362" s="86"/>
      <c r="EP362" s="86"/>
      <c r="EQ362" s="86"/>
      <c r="ER362" s="86"/>
      <c r="ES362" s="86"/>
      <c r="ET362" s="86"/>
      <c r="EU362" s="86"/>
      <c r="EV362" s="86"/>
      <c r="EW362" s="86"/>
      <c r="EX362" s="86"/>
      <c r="EY362" s="86"/>
      <c r="EZ362" s="86"/>
      <c r="FA362" s="86"/>
    </row>
    <row r="363" spans="2:157" ht="9.75" customHeight="1">
      <c r="B363" s="845">
        <v>1</v>
      </c>
      <c r="C363" s="1344"/>
      <c r="D363" s="1344"/>
      <c r="E363" s="1344"/>
      <c r="F363" s="857"/>
      <c r="G363" s="857"/>
      <c r="H363" s="875" t="str">
        <f t="shared" ref="H363:H371" si="16">IF(G363=0,"",(F363/(G363+0.00000000001)))</f>
        <v/>
      </c>
      <c r="J363" s="101"/>
      <c r="K363" s="101"/>
      <c r="L363" s="101"/>
      <c r="Z363" s="86"/>
      <c r="AA363" s="86"/>
      <c r="AB363" s="86"/>
      <c r="AC363" s="86"/>
      <c r="AD363" s="86"/>
      <c r="AE363" s="86"/>
      <c r="AF363" s="86"/>
      <c r="AG363" s="86"/>
      <c r="AH363" s="86"/>
      <c r="AI363" s="86"/>
      <c r="AJ363" s="86"/>
      <c r="AK363" s="86"/>
      <c r="AL363" s="86"/>
      <c r="AM363" s="86"/>
      <c r="AN363" s="86"/>
      <c r="AO363" s="86"/>
      <c r="AP363" s="86"/>
      <c r="AQ363" s="86"/>
      <c r="AR363" s="86"/>
      <c r="AS363" s="86"/>
      <c r="AT363" s="86"/>
      <c r="AU363" s="86"/>
      <c r="AV363" s="86"/>
      <c r="AW363" s="86"/>
      <c r="AX363" s="86"/>
      <c r="AY363" s="86"/>
      <c r="AZ363" s="86"/>
      <c r="BA363" s="86"/>
      <c r="BB363" s="86"/>
      <c r="BC363" s="86"/>
      <c r="BD363" s="86"/>
      <c r="BE363" s="86"/>
      <c r="BF363" s="86"/>
      <c r="BG363" s="86"/>
      <c r="BH363" s="86"/>
      <c r="BI363" s="86"/>
      <c r="BJ363" s="86"/>
      <c r="BK363" s="86"/>
      <c r="BL363" s="86"/>
      <c r="BM363" s="86"/>
      <c r="BN363" s="86"/>
      <c r="BO363" s="86"/>
      <c r="BP363" s="86"/>
      <c r="BQ363" s="86"/>
      <c r="BR363" s="86"/>
      <c r="BS363" s="86"/>
      <c r="BT363" s="86"/>
      <c r="BU363" s="86"/>
      <c r="BV363" s="86"/>
      <c r="BW363" s="86"/>
      <c r="BX363" s="86"/>
      <c r="BY363" s="86"/>
      <c r="BZ363" s="86"/>
      <c r="CA363" s="86"/>
      <c r="CB363" s="86"/>
      <c r="CC363" s="86"/>
      <c r="CD363" s="86"/>
      <c r="CE363" s="86"/>
      <c r="CF363" s="86"/>
      <c r="CG363" s="86"/>
      <c r="CH363" s="86"/>
      <c r="CI363" s="86"/>
      <c r="CJ363" s="86"/>
      <c r="CK363" s="86"/>
      <c r="CL363" s="86"/>
      <c r="CM363" s="86"/>
      <c r="CN363" s="86"/>
      <c r="CO363" s="86"/>
      <c r="CP363" s="86"/>
      <c r="CQ363" s="86"/>
      <c r="CR363" s="86"/>
      <c r="CS363" s="86"/>
      <c r="CT363" s="86"/>
      <c r="CU363" s="86"/>
      <c r="CV363" s="86"/>
      <c r="CW363" s="86"/>
      <c r="CX363" s="86"/>
      <c r="CY363" s="86"/>
      <c r="CZ363" s="86"/>
      <c r="DA363" s="86"/>
      <c r="DB363" s="86"/>
      <c r="DC363" s="86"/>
      <c r="DD363" s="86"/>
      <c r="DE363" s="86"/>
      <c r="DF363" s="86"/>
      <c r="DG363" s="86"/>
      <c r="DH363" s="86"/>
      <c r="DI363" s="86"/>
      <c r="DJ363" s="86"/>
      <c r="DK363" s="86"/>
      <c r="DL363" s="86"/>
      <c r="DM363" s="86"/>
      <c r="DN363" s="86"/>
      <c r="DO363" s="86"/>
      <c r="DP363" s="86"/>
      <c r="DQ363" s="86"/>
      <c r="DR363" s="86"/>
      <c r="DS363" s="86"/>
      <c r="DT363" s="86"/>
      <c r="DU363" s="86"/>
      <c r="DV363" s="86"/>
      <c r="DW363" s="86"/>
      <c r="DX363" s="86"/>
      <c r="DY363" s="86"/>
      <c r="DZ363" s="86"/>
      <c r="EA363" s="86"/>
      <c r="EB363" s="86"/>
      <c r="EC363" s="86"/>
      <c r="ED363" s="86"/>
      <c r="EE363" s="86"/>
      <c r="EF363" s="86"/>
      <c r="EG363" s="86"/>
      <c r="EH363" s="86"/>
      <c r="EI363" s="86"/>
      <c r="EJ363" s="86"/>
      <c r="EK363" s="86"/>
      <c r="EL363" s="86"/>
      <c r="EM363" s="86"/>
      <c r="EN363" s="86"/>
      <c r="EO363" s="86"/>
      <c r="EP363" s="86"/>
      <c r="EQ363" s="86"/>
      <c r="ER363" s="86"/>
      <c r="ES363" s="86"/>
      <c r="ET363" s="86"/>
      <c r="EU363" s="86"/>
      <c r="EV363" s="86"/>
      <c r="EW363" s="86"/>
      <c r="EX363" s="86"/>
      <c r="EY363" s="86"/>
      <c r="EZ363" s="86"/>
      <c r="FA363" s="86"/>
    </row>
    <row r="364" spans="2:157" ht="9.75" customHeight="1">
      <c r="B364" s="845">
        <v>2</v>
      </c>
      <c r="C364" s="1344"/>
      <c r="D364" s="1344"/>
      <c r="E364" s="1344"/>
      <c r="F364" s="857"/>
      <c r="G364" s="857"/>
      <c r="H364" s="875" t="str">
        <f t="shared" si="16"/>
        <v/>
      </c>
      <c r="J364" s="101"/>
      <c r="K364" s="101"/>
      <c r="L364" s="101"/>
      <c r="Z364" s="86"/>
      <c r="AA364" s="86"/>
      <c r="AB364" s="86"/>
      <c r="AC364" s="86"/>
      <c r="AD364" s="86"/>
      <c r="AE364" s="86"/>
      <c r="AF364" s="86"/>
      <c r="AG364" s="86"/>
      <c r="AH364" s="86"/>
      <c r="AI364" s="86"/>
      <c r="AJ364" s="86"/>
      <c r="AK364" s="86"/>
      <c r="AL364" s="86"/>
      <c r="AM364" s="86"/>
      <c r="AN364" s="86"/>
      <c r="AO364" s="86"/>
      <c r="AP364" s="86"/>
      <c r="AQ364" s="86"/>
      <c r="AR364" s="86"/>
      <c r="AS364" s="86"/>
      <c r="AT364" s="86"/>
      <c r="AU364" s="86"/>
      <c r="AV364" s="86"/>
      <c r="AW364" s="86"/>
      <c r="AX364" s="86"/>
      <c r="AY364" s="86"/>
      <c r="AZ364" s="86"/>
      <c r="BA364" s="86"/>
      <c r="BB364" s="86"/>
      <c r="BC364" s="86"/>
      <c r="BD364" s="86"/>
      <c r="BE364" s="86"/>
      <c r="BF364" s="86"/>
      <c r="BG364" s="86"/>
      <c r="BH364" s="86"/>
      <c r="BI364" s="86"/>
      <c r="BJ364" s="86"/>
      <c r="BK364" s="86"/>
      <c r="BL364" s="86"/>
      <c r="BM364" s="86"/>
      <c r="BN364" s="86"/>
      <c r="BO364" s="86"/>
      <c r="BP364" s="86"/>
      <c r="BQ364" s="86"/>
      <c r="BR364" s="86"/>
      <c r="BS364" s="86"/>
      <c r="BT364" s="86"/>
      <c r="BU364" s="86"/>
      <c r="BV364" s="86"/>
      <c r="BW364" s="86"/>
      <c r="BX364" s="86"/>
      <c r="BY364" s="86"/>
      <c r="BZ364" s="86"/>
      <c r="CA364" s="86"/>
      <c r="CB364" s="86"/>
      <c r="CC364" s="86"/>
      <c r="CD364" s="86"/>
      <c r="CE364" s="86"/>
      <c r="CF364" s="86"/>
      <c r="CG364" s="86"/>
      <c r="CH364" s="86"/>
      <c r="CI364" s="86"/>
      <c r="CJ364" s="86"/>
      <c r="CK364" s="86"/>
      <c r="CL364" s="86"/>
      <c r="CM364" s="86"/>
      <c r="CN364" s="86"/>
      <c r="CO364" s="86"/>
      <c r="CP364" s="86"/>
      <c r="CQ364" s="86"/>
      <c r="CR364" s="86"/>
      <c r="CS364" s="86"/>
      <c r="CT364" s="86"/>
      <c r="CU364" s="86"/>
      <c r="CV364" s="86"/>
      <c r="CW364" s="86"/>
      <c r="CX364" s="86"/>
      <c r="CY364" s="86"/>
      <c r="CZ364" s="86"/>
      <c r="DA364" s="86"/>
      <c r="DB364" s="86"/>
      <c r="DC364" s="86"/>
      <c r="DD364" s="86"/>
      <c r="DE364" s="86"/>
      <c r="DF364" s="86"/>
      <c r="DG364" s="86"/>
      <c r="DH364" s="86"/>
      <c r="DI364" s="86"/>
      <c r="DJ364" s="86"/>
      <c r="DK364" s="86"/>
      <c r="DL364" s="86"/>
      <c r="DM364" s="86"/>
      <c r="DN364" s="86"/>
      <c r="DO364" s="86"/>
      <c r="DP364" s="86"/>
      <c r="DQ364" s="86"/>
      <c r="DR364" s="86"/>
      <c r="DS364" s="86"/>
      <c r="DT364" s="86"/>
      <c r="DU364" s="86"/>
      <c r="DV364" s="86"/>
      <c r="DW364" s="86"/>
      <c r="DX364" s="86"/>
      <c r="DY364" s="86"/>
      <c r="DZ364" s="86"/>
      <c r="EA364" s="86"/>
      <c r="EB364" s="86"/>
      <c r="EC364" s="86"/>
      <c r="ED364" s="86"/>
      <c r="EE364" s="86"/>
      <c r="EF364" s="86"/>
      <c r="EG364" s="86"/>
      <c r="EH364" s="86"/>
      <c r="EI364" s="86"/>
      <c r="EJ364" s="86"/>
      <c r="EK364" s="86"/>
      <c r="EL364" s="86"/>
      <c r="EM364" s="86"/>
      <c r="EN364" s="86"/>
      <c r="EO364" s="86"/>
      <c r="EP364" s="86"/>
      <c r="EQ364" s="86"/>
      <c r="ER364" s="86"/>
      <c r="ES364" s="86"/>
      <c r="ET364" s="86"/>
      <c r="EU364" s="86"/>
      <c r="EV364" s="86"/>
      <c r="EW364" s="86"/>
      <c r="EX364" s="86"/>
      <c r="EY364" s="86"/>
      <c r="EZ364" s="86"/>
      <c r="FA364" s="86"/>
    </row>
    <row r="365" spans="2:157" ht="9.75" customHeight="1">
      <c r="B365" s="845">
        <v>3</v>
      </c>
      <c r="C365" s="1344"/>
      <c r="D365" s="1344"/>
      <c r="E365" s="1344"/>
      <c r="F365" s="857"/>
      <c r="G365" s="857"/>
      <c r="H365" s="875" t="str">
        <f t="shared" si="16"/>
        <v/>
      </c>
      <c r="J365" s="101"/>
      <c r="K365" s="101"/>
      <c r="L365" s="101"/>
      <c r="Z365" s="86"/>
      <c r="AA365" s="86"/>
      <c r="AB365" s="86"/>
      <c r="AC365" s="86"/>
      <c r="AD365" s="86"/>
      <c r="AE365" s="86"/>
      <c r="AF365" s="86"/>
      <c r="AG365" s="86"/>
      <c r="AH365" s="86"/>
      <c r="AI365" s="86"/>
      <c r="AJ365" s="86"/>
      <c r="AK365" s="86"/>
      <c r="AL365" s="86"/>
      <c r="AM365" s="86"/>
      <c r="AN365" s="86"/>
      <c r="AO365" s="86"/>
      <c r="AP365" s="86"/>
      <c r="AQ365" s="86"/>
      <c r="AR365" s="86"/>
      <c r="AS365" s="86"/>
      <c r="AT365" s="86"/>
      <c r="AU365" s="86"/>
      <c r="AV365" s="86"/>
      <c r="AW365" s="86"/>
      <c r="AX365" s="86"/>
      <c r="AY365" s="86"/>
      <c r="AZ365" s="86"/>
      <c r="BA365" s="86"/>
      <c r="BB365" s="86"/>
      <c r="BC365" s="86"/>
      <c r="BD365" s="86"/>
      <c r="BE365" s="86"/>
      <c r="BF365" s="86"/>
      <c r="BG365" s="86"/>
      <c r="BH365" s="86"/>
      <c r="BI365" s="86"/>
      <c r="BJ365" s="86"/>
      <c r="BK365" s="86"/>
      <c r="BL365" s="86"/>
      <c r="BM365" s="86"/>
      <c r="BN365" s="86"/>
      <c r="BO365" s="86"/>
      <c r="BP365" s="86"/>
      <c r="BQ365" s="86"/>
      <c r="BR365" s="86"/>
      <c r="BS365" s="86"/>
      <c r="BT365" s="86"/>
      <c r="BU365" s="86"/>
      <c r="BV365" s="86"/>
      <c r="BW365" s="86"/>
      <c r="BX365" s="86"/>
      <c r="BY365" s="86"/>
      <c r="BZ365" s="86"/>
      <c r="CA365" s="86"/>
      <c r="CB365" s="86"/>
      <c r="CC365" s="86"/>
      <c r="CD365" s="86"/>
      <c r="CE365" s="86"/>
      <c r="CF365" s="86"/>
      <c r="CG365" s="86"/>
      <c r="CH365" s="86"/>
      <c r="CI365" s="86"/>
      <c r="CJ365" s="86"/>
      <c r="CK365" s="86"/>
      <c r="CL365" s="86"/>
      <c r="CM365" s="86"/>
      <c r="CN365" s="86"/>
      <c r="CO365" s="86"/>
      <c r="CP365" s="86"/>
      <c r="CQ365" s="86"/>
      <c r="CR365" s="86"/>
      <c r="CS365" s="86"/>
      <c r="CT365" s="86"/>
      <c r="CU365" s="86"/>
      <c r="CV365" s="86"/>
      <c r="CW365" s="86"/>
      <c r="CX365" s="86"/>
      <c r="CY365" s="86"/>
      <c r="CZ365" s="86"/>
      <c r="DA365" s="86"/>
      <c r="DB365" s="86"/>
      <c r="DC365" s="86"/>
      <c r="DD365" s="86"/>
      <c r="DE365" s="86"/>
      <c r="DF365" s="86"/>
      <c r="DG365" s="86"/>
      <c r="DH365" s="86"/>
      <c r="DI365" s="86"/>
      <c r="DJ365" s="86"/>
      <c r="DK365" s="86"/>
      <c r="DL365" s="86"/>
      <c r="DM365" s="86"/>
      <c r="DN365" s="86"/>
      <c r="DO365" s="86"/>
      <c r="DP365" s="86"/>
      <c r="DQ365" s="86"/>
      <c r="DR365" s="86"/>
      <c r="DS365" s="86"/>
      <c r="DT365" s="86"/>
      <c r="DU365" s="86"/>
      <c r="DV365" s="86"/>
      <c r="DW365" s="86"/>
      <c r="DX365" s="86"/>
      <c r="DY365" s="86"/>
      <c r="DZ365" s="86"/>
      <c r="EA365" s="86"/>
      <c r="EB365" s="86"/>
      <c r="EC365" s="86"/>
      <c r="ED365" s="86"/>
      <c r="EE365" s="86"/>
      <c r="EF365" s="86"/>
      <c r="EG365" s="86"/>
      <c r="EH365" s="86"/>
      <c r="EI365" s="86"/>
      <c r="EJ365" s="86"/>
      <c r="EK365" s="86"/>
      <c r="EL365" s="86"/>
      <c r="EM365" s="86"/>
      <c r="EN365" s="86"/>
      <c r="EO365" s="86"/>
      <c r="EP365" s="86"/>
      <c r="EQ365" s="86"/>
      <c r="ER365" s="86"/>
      <c r="ES365" s="86"/>
      <c r="ET365" s="86"/>
      <c r="EU365" s="86"/>
      <c r="EV365" s="86"/>
      <c r="EW365" s="86"/>
      <c r="EX365" s="86"/>
      <c r="EY365" s="86"/>
      <c r="EZ365" s="86"/>
      <c r="FA365" s="86"/>
    </row>
    <row r="366" spans="2:157" ht="9.75" customHeight="1">
      <c r="B366" s="845">
        <v>4</v>
      </c>
      <c r="C366" s="1344"/>
      <c r="D366" s="1344"/>
      <c r="E366" s="1344"/>
      <c r="F366" s="857"/>
      <c r="G366" s="857"/>
      <c r="H366" s="875" t="str">
        <f t="shared" si="16"/>
        <v/>
      </c>
      <c r="J366" s="101"/>
      <c r="K366" s="101"/>
      <c r="L366" s="101"/>
      <c r="Z366" s="86"/>
      <c r="AA366" s="86"/>
      <c r="AB366" s="86"/>
      <c r="AC366" s="86"/>
      <c r="AD366" s="86"/>
      <c r="AE366" s="86"/>
      <c r="AF366" s="86"/>
      <c r="AG366" s="86"/>
      <c r="AH366" s="86"/>
      <c r="AI366" s="86"/>
      <c r="AJ366" s="86"/>
      <c r="AK366" s="86"/>
      <c r="AL366" s="86"/>
      <c r="AM366" s="86"/>
      <c r="AN366" s="86"/>
      <c r="AO366" s="86"/>
      <c r="AP366" s="86"/>
      <c r="AQ366" s="86"/>
      <c r="AR366" s="86"/>
      <c r="AS366" s="86"/>
      <c r="AT366" s="86"/>
      <c r="AU366" s="86"/>
      <c r="AV366" s="86"/>
      <c r="AW366" s="86"/>
      <c r="AX366" s="86"/>
      <c r="AY366" s="86"/>
      <c r="AZ366" s="86"/>
      <c r="BA366" s="86"/>
      <c r="BB366" s="86"/>
      <c r="BC366" s="86"/>
      <c r="BD366" s="86"/>
      <c r="BE366" s="86"/>
      <c r="BF366" s="86"/>
      <c r="BG366" s="86"/>
      <c r="BH366" s="86"/>
      <c r="BI366" s="86"/>
      <c r="BJ366" s="86"/>
      <c r="BK366" s="86"/>
      <c r="BL366" s="86"/>
      <c r="BM366" s="86"/>
      <c r="BN366" s="86"/>
      <c r="BO366" s="86"/>
      <c r="BP366" s="86"/>
      <c r="BQ366" s="86"/>
      <c r="BR366" s="86"/>
      <c r="BS366" s="86"/>
      <c r="BT366" s="86"/>
      <c r="BU366" s="86"/>
      <c r="BV366" s="86"/>
      <c r="BW366" s="86"/>
      <c r="BX366" s="86"/>
      <c r="BY366" s="86"/>
      <c r="BZ366" s="86"/>
      <c r="CA366" s="86"/>
      <c r="CB366" s="86"/>
      <c r="CC366" s="86"/>
      <c r="CD366" s="86"/>
      <c r="CE366" s="86"/>
      <c r="CF366" s="86"/>
      <c r="CG366" s="86"/>
      <c r="CH366" s="86"/>
      <c r="CI366" s="86"/>
      <c r="CJ366" s="86"/>
      <c r="CK366" s="86"/>
      <c r="CL366" s="86"/>
      <c r="CM366" s="86"/>
      <c r="CN366" s="86"/>
      <c r="CO366" s="86"/>
      <c r="CP366" s="86"/>
      <c r="CQ366" s="86"/>
      <c r="CR366" s="86"/>
      <c r="CS366" s="86"/>
      <c r="CT366" s="86"/>
      <c r="CU366" s="86"/>
      <c r="CV366" s="86"/>
      <c r="CW366" s="86"/>
      <c r="CX366" s="86"/>
      <c r="CY366" s="86"/>
      <c r="CZ366" s="86"/>
      <c r="DA366" s="86"/>
      <c r="DB366" s="86"/>
      <c r="DC366" s="86"/>
      <c r="DD366" s="86"/>
      <c r="DE366" s="86"/>
      <c r="DF366" s="86"/>
      <c r="DG366" s="86"/>
      <c r="DH366" s="86"/>
      <c r="DI366" s="86"/>
      <c r="DJ366" s="86"/>
      <c r="DK366" s="86"/>
      <c r="DL366" s="86"/>
      <c r="DM366" s="86"/>
      <c r="DN366" s="86"/>
      <c r="DO366" s="86"/>
      <c r="DP366" s="86"/>
      <c r="DQ366" s="86"/>
      <c r="DR366" s="86"/>
      <c r="DS366" s="86"/>
      <c r="DT366" s="86"/>
      <c r="DU366" s="86"/>
      <c r="DV366" s="86"/>
      <c r="DW366" s="86"/>
      <c r="DX366" s="86"/>
      <c r="DY366" s="86"/>
      <c r="DZ366" s="86"/>
      <c r="EA366" s="86"/>
      <c r="EB366" s="86"/>
      <c r="EC366" s="86"/>
      <c r="ED366" s="86"/>
      <c r="EE366" s="86"/>
      <c r="EF366" s="86"/>
      <c r="EG366" s="86"/>
      <c r="EH366" s="86"/>
      <c r="EI366" s="86"/>
      <c r="EJ366" s="86"/>
      <c r="EK366" s="86"/>
      <c r="EL366" s="86"/>
      <c r="EM366" s="86"/>
      <c r="EN366" s="86"/>
      <c r="EO366" s="86"/>
      <c r="EP366" s="86"/>
      <c r="EQ366" s="86"/>
      <c r="ER366" s="86"/>
      <c r="ES366" s="86"/>
      <c r="ET366" s="86"/>
      <c r="EU366" s="86"/>
      <c r="EV366" s="86"/>
      <c r="EW366" s="86"/>
      <c r="EX366" s="86"/>
      <c r="EY366" s="86"/>
      <c r="EZ366" s="86"/>
      <c r="FA366" s="86"/>
    </row>
    <row r="367" spans="2:157" ht="9.75" customHeight="1">
      <c r="B367" s="845">
        <v>5</v>
      </c>
      <c r="C367" s="1344"/>
      <c r="D367" s="1344"/>
      <c r="E367" s="1344"/>
      <c r="F367" s="857"/>
      <c r="G367" s="857"/>
      <c r="H367" s="875" t="str">
        <f t="shared" si="16"/>
        <v/>
      </c>
      <c r="J367" s="101"/>
      <c r="K367" s="101"/>
      <c r="L367" s="101"/>
      <c r="Z367" s="86"/>
      <c r="AA367" s="86"/>
      <c r="AB367" s="86"/>
      <c r="AC367" s="86"/>
      <c r="AD367" s="86"/>
      <c r="AE367" s="86"/>
      <c r="AF367" s="86"/>
      <c r="AG367" s="86"/>
      <c r="AH367" s="86"/>
      <c r="AI367" s="86"/>
      <c r="AJ367" s="86"/>
      <c r="AK367" s="86"/>
      <c r="AL367" s="86"/>
      <c r="AM367" s="86"/>
      <c r="AN367" s="86"/>
      <c r="AO367" s="86"/>
      <c r="AP367" s="86"/>
      <c r="AQ367" s="86"/>
      <c r="AR367" s="86"/>
      <c r="AS367" s="86"/>
      <c r="AT367" s="86"/>
      <c r="AU367" s="86"/>
      <c r="AV367" s="86"/>
      <c r="AW367" s="86"/>
      <c r="AX367" s="86"/>
      <c r="AY367" s="86"/>
      <c r="AZ367" s="86"/>
      <c r="BA367" s="86"/>
      <c r="BB367" s="86"/>
      <c r="BC367" s="86"/>
      <c r="BD367" s="86"/>
      <c r="BE367" s="86"/>
      <c r="BF367" s="86"/>
      <c r="BG367" s="86"/>
      <c r="BH367" s="86"/>
      <c r="BI367" s="86"/>
      <c r="BJ367" s="86"/>
      <c r="BK367" s="86"/>
      <c r="BL367" s="86"/>
      <c r="BM367" s="86"/>
      <c r="BN367" s="86"/>
      <c r="BO367" s="86"/>
      <c r="BP367" s="86"/>
      <c r="BQ367" s="86"/>
      <c r="BR367" s="86"/>
      <c r="BS367" s="86"/>
      <c r="BT367" s="86"/>
      <c r="BU367" s="86"/>
      <c r="BV367" s="86"/>
      <c r="BW367" s="86"/>
      <c r="BX367" s="86"/>
      <c r="BY367" s="86"/>
      <c r="BZ367" s="86"/>
      <c r="CA367" s="86"/>
      <c r="CB367" s="86"/>
      <c r="CC367" s="86"/>
      <c r="CD367" s="86"/>
      <c r="CE367" s="86"/>
      <c r="CF367" s="86"/>
      <c r="CG367" s="86"/>
      <c r="CH367" s="86"/>
      <c r="CI367" s="86"/>
      <c r="CJ367" s="86"/>
      <c r="CK367" s="86"/>
      <c r="CL367" s="86"/>
      <c r="CM367" s="86"/>
      <c r="CN367" s="86"/>
      <c r="CO367" s="86"/>
      <c r="CP367" s="86"/>
      <c r="CQ367" s="86"/>
      <c r="CR367" s="86"/>
      <c r="CS367" s="86"/>
      <c r="CT367" s="86"/>
      <c r="CU367" s="86"/>
      <c r="CV367" s="86"/>
      <c r="CW367" s="86"/>
      <c r="CX367" s="86"/>
      <c r="CY367" s="86"/>
      <c r="CZ367" s="86"/>
      <c r="DA367" s="86"/>
      <c r="DB367" s="86"/>
      <c r="DC367" s="86"/>
      <c r="DD367" s="86"/>
      <c r="DE367" s="86"/>
      <c r="DF367" s="86"/>
      <c r="DG367" s="86"/>
      <c r="DH367" s="86"/>
      <c r="DI367" s="86"/>
      <c r="DJ367" s="86"/>
      <c r="DK367" s="86"/>
      <c r="DL367" s="86"/>
      <c r="DM367" s="86"/>
      <c r="DN367" s="86"/>
      <c r="DO367" s="86"/>
      <c r="DP367" s="86"/>
      <c r="DQ367" s="86"/>
      <c r="DR367" s="86"/>
      <c r="DS367" s="86"/>
      <c r="DT367" s="86"/>
      <c r="DU367" s="86"/>
      <c r="DV367" s="86"/>
      <c r="DW367" s="86"/>
      <c r="DX367" s="86"/>
      <c r="DY367" s="86"/>
      <c r="DZ367" s="86"/>
      <c r="EA367" s="86"/>
      <c r="EB367" s="86"/>
      <c r="EC367" s="86"/>
      <c r="ED367" s="86"/>
      <c r="EE367" s="86"/>
      <c r="EF367" s="86"/>
      <c r="EG367" s="86"/>
      <c r="EH367" s="86"/>
      <c r="EI367" s="86"/>
      <c r="EJ367" s="86"/>
      <c r="EK367" s="86"/>
      <c r="EL367" s="86"/>
      <c r="EM367" s="86"/>
      <c r="EN367" s="86"/>
      <c r="EO367" s="86"/>
      <c r="EP367" s="86"/>
      <c r="EQ367" s="86"/>
      <c r="ER367" s="86"/>
      <c r="ES367" s="86"/>
      <c r="ET367" s="86"/>
      <c r="EU367" s="86"/>
      <c r="EV367" s="86"/>
      <c r="EW367" s="86"/>
      <c r="EX367" s="86"/>
      <c r="EY367" s="86"/>
      <c r="EZ367" s="86"/>
      <c r="FA367" s="86"/>
    </row>
    <row r="368" spans="2:157" ht="9.75" customHeight="1">
      <c r="B368" s="845">
        <v>6</v>
      </c>
      <c r="C368" s="1344"/>
      <c r="D368" s="1344"/>
      <c r="E368" s="1344"/>
      <c r="F368" s="857"/>
      <c r="G368" s="857"/>
      <c r="H368" s="875" t="str">
        <f t="shared" si="16"/>
        <v/>
      </c>
      <c r="J368" s="101"/>
      <c r="K368" s="101"/>
      <c r="L368" s="101"/>
      <c r="Z368" s="86"/>
      <c r="AA368" s="86"/>
      <c r="AB368" s="86"/>
      <c r="AC368" s="86"/>
      <c r="AD368" s="86"/>
      <c r="AE368" s="86"/>
      <c r="AF368" s="86"/>
      <c r="AG368" s="86"/>
      <c r="AH368" s="86"/>
      <c r="AI368" s="86"/>
      <c r="AJ368" s="86"/>
      <c r="AK368" s="86"/>
      <c r="AL368" s="86"/>
      <c r="AM368" s="86"/>
      <c r="AN368" s="86"/>
      <c r="AO368" s="86"/>
      <c r="AP368" s="86"/>
      <c r="AQ368" s="86"/>
      <c r="AR368" s="86"/>
      <c r="AS368" s="86"/>
      <c r="AT368" s="86"/>
      <c r="AU368" s="86"/>
      <c r="AV368" s="86"/>
      <c r="AW368" s="86"/>
      <c r="AX368" s="86"/>
      <c r="AY368" s="86"/>
      <c r="AZ368" s="86"/>
      <c r="BA368" s="86"/>
      <c r="BB368" s="86"/>
      <c r="BC368" s="86"/>
      <c r="BD368" s="86"/>
      <c r="BE368" s="86"/>
      <c r="BF368" s="86"/>
      <c r="BG368" s="86"/>
      <c r="BH368" s="86"/>
      <c r="BI368" s="86"/>
      <c r="BJ368" s="86"/>
      <c r="BK368" s="86"/>
      <c r="BL368" s="86"/>
      <c r="BM368" s="86"/>
      <c r="BN368" s="86"/>
      <c r="BO368" s="86"/>
      <c r="BP368" s="86"/>
      <c r="BQ368" s="86"/>
      <c r="BR368" s="86"/>
      <c r="BS368" s="86"/>
      <c r="BT368" s="86"/>
      <c r="BU368" s="86"/>
      <c r="BV368" s="86"/>
      <c r="BW368" s="86"/>
      <c r="BX368" s="86"/>
      <c r="BY368" s="86"/>
      <c r="BZ368" s="86"/>
      <c r="CA368" s="86"/>
      <c r="CB368" s="86"/>
      <c r="CC368" s="86"/>
      <c r="CD368" s="86"/>
      <c r="CE368" s="86"/>
      <c r="CF368" s="86"/>
      <c r="CG368" s="86"/>
      <c r="CH368" s="86"/>
      <c r="CI368" s="86"/>
      <c r="CJ368" s="86"/>
      <c r="CK368" s="86"/>
      <c r="CL368" s="86"/>
      <c r="CM368" s="86"/>
      <c r="CN368" s="86"/>
      <c r="CO368" s="86"/>
      <c r="CP368" s="86"/>
      <c r="CQ368" s="86"/>
      <c r="CR368" s="86"/>
      <c r="CS368" s="86"/>
      <c r="CT368" s="86"/>
      <c r="CU368" s="86"/>
      <c r="CV368" s="86"/>
      <c r="CW368" s="86"/>
      <c r="CX368" s="86"/>
      <c r="CY368" s="86"/>
      <c r="CZ368" s="86"/>
      <c r="DA368" s="86"/>
      <c r="DB368" s="86"/>
      <c r="DC368" s="86"/>
      <c r="DD368" s="86"/>
      <c r="DE368" s="86"/>
      <c r="DF368" s="86"/>
      <c r="DG368" s="86"/>
      <c r="DH368" s="86"/>
      <c r="DI368" s="86"/>
      <c r="DJ368" s="86"/>
      <c r="DK368" s="86"/>
      <c r="DL368" s="86"/>
      <c r="DM368" s="86"/>
      <c r="DN368" s="86"/>
      <c r="DO368" s="86"/>
      <c r="DP368" s="86"/>
      <c r="DQ368" s="86"/>
      <c r="DR368" s="86"/>
      <c r="DS368" s="86"/>
      <c r="DT368" s="86"/>
      <c r="DU368" s="86"/>
      <c r="DV368" s="86"/>
      <c r="DW368" s="86"/>
      <c r="DX368" s="86"/>
      <c r="DY368" s="86"/>
      <c r="DZ368" s="86"/>
      <c r="EA368" s="86"/>
      <c r="EB368" s="86"/>
      <c r="EC368" s="86"/>
      <c r="ED368" s="86"/>
      <c r="EE368" s="86"/>
      <c r="EF368" s="86"/>
      <c r="EG368" s="86"/>
      <c r="EH368" s="86"/>
      <c r="EI368" s="86"/>
      <c r="EJ368" s="86"/>
      <c r="EK368" s="86"/>
      <c r="EL368" s="86"/>
      <c r="EM368" s="86"/>
      <c r="EN368" s="86"/>
      <c r="EO368" s="86"/>
      <c r="EP368" s="86"/>
      <c r="EQ368" s="86"/>
      <c r="ER368" s="86"/>
      <c r="ES368" s="86"/>
      <c r="ET368" s="86"/>
      <c r="EU368" s="86"/>
      <c r="EV368" s="86"/>
      <c r="EW368" s="86"/>
      <c r="EX368" s="86"/>
      <c r="EY368" s="86"/>
      <c r="EZ368" s="86"/>
      <c r="FA368" s="86"/>
    </row>
    <row r="369" spans="2:157" ht="9.75" customHeight="1">
      <c r="B369" s="845">
        <v>7</v>
      </c>
      <c r="C369" s="1344"/>
      <c r="D369" s="1344"/>
      <c r="E369" s="1344"/>
      <c r="F369" s="857"/>
      <c r="G369" s="857"/>
      <c r="H369" s="875" t="str">
        <f t="shared" si="16"/>
        <v/>
      </c>
      <c r="J369" s="101"/>
      <c r="K369" s="101"/>
      <c r="L369" s="101"/>
      <c r="Z369" s="86"/>
      <c r="AA369" s="86"/>
      <c r="AB369" s="86"/>
      <c r="AC369" s="86"/>
      <c r="AD369" s="86"/>
      <c r="AE369" s="86"/>
      <c r="AF369" s="86"/>
      <c r="AG369" s="86"/>
      <c r="AH369" s="86"/>
      <c r="AI369" s="86"/>
      <c r="AJ369" s="86"/>
      <c r="AK369" s="86"/>
      <c r="AL369" s="86"/>
      <c r="AM369" s="86"/>
      <c r="AN369" s="86"/>
      <c r="AO369" s="86"/>
      <c r="AP369" s="86"/>
      <c r="AQ369" s="86"/>
      <c r="AR369" s="86"/>
      <c r="AS369" s="86"/>
      <c r="AT369" s="86"/>
      <c r="AU369" s="86"/>
      <c r="AV369" s="86"/>
      <c r="AW369" s="86"/>
      <c r="AX369" s="86"/>
      <c r="AY369" s="86"/>
      <c r="AZ369" s="86"/>
      <c r="BA369" s="86"/>
      <c r="BB369" s="86"/>
      <c r="BC369" s="86"/>
      <c r="BD369" s="86"/>
      <c r="BE369" s="86"/>
      <c r="BF369" s="86"/>
      <c r="BG369" s="86"/>
      <c r="BH369" s="86"/>
      <c r="BI369" s="86"/>
      <c r="BJ369" s="86"/>
      <c r="BK369" s="86"/>
      <c r="BL369" s="86"/>
      <c r="BM369" s="86"/>
      <c r="BN369" s="86"/>
      <c r="BO369" s="86"/>
      <c r="BP369" s="86"/>
      <c r="BQ369" s="86"/>
      <c r="BR369" s="86"/>
      <c r="BS369" s="86"/>
      <c r="BT369" s="86"/>
      <c r="BU369" s="86"/>
      <c r="BV369" s="86"/>
      <c r="BW369" s="86"/>
      <c r="BX369" s="86"/>
      <c r="BY369" s="86"/>
      <c r="BZ369" s="86"/>
      <c r="CA369" s="86"/>
      <c r="CB369" s="86"/>
      <c r="CC369" s="86"/>
      <c r="CD369" s="86"/>
      <c r="CE369" s="86"/>
      <c r="CF369" s="86"/>
      <c r="CG369" s="86"/>
      <c r="CH369" s="86"/>
      <c r="CI369" s="86"/>
      <c r="CJ369" s="86"/>
      <c r="CK369" s="86"/>
      <c r="CL369" s="86"/>
      <c r="CM369" s="86"/>
      <c r="CN369" s="86"/>
      <c r="CO369" s="86"/>
      <c r="CP369" s="86"/>
      <c r="CQ369" s="86"/>
      <c r="CR369" s="86"/>
      <c r="CS369" s="86"/>
      <c r="CT369" s="86"/>
      <c r="CU369" s="86"/>
      <c r="CV369" s="86"/>
      <c r="CW369" s="86"/>
      <c r="CX369" s="86"/>
      <c r="CY369" s="86"/>
      <c r="CZ369" s="86"/>
      <c r="DA369" s="86"/>
      <c r="DB369" s="86"/>
      <c r="DC369" s="86"/>
      <c r="DD369" s="86"/>
      <c r="DE369" s="86"/>
      <c r="DF369" s="86"/>
      <c r="DG369" s="86"/>
      <c r="DH369" s="86"/>
      <c r="DI369" s="86"/>
      <c r="DJ369" s="86"/>
      <c r="DK369" s="86"/>
      <c r="DL369" s="86"/>
      <c r="DM369" s="86"/>
      <c r="DN369" s="86"/>
      <c r="DO369" s="86"/>
      <c r="DP369" s="86"/>
      <c r="DQ369" s="86"/>
      <c r="DR369" s="86"/>
      <c r="DS369" s="86"/>
      <c r="DT369" s="86"/>
      <c r="DU369" s="86"/>
      <c r="DV369" s="86"/>
      <c r="DW369" s="86"/>
      <c r="DX369" s="86"/>
      <c r="DY369" s="86"/>
      <c r="DZ369" s="86"/>
      <c r="EA369" s="86"/>
      <c r="EB369" s="86"/>
      <c r="EC369" s="86"/>
      <c r="ED369" s="86"/>
      <c r="EE369" s="86"/>
      <c r="EF369" s="86"/>
      <c r="EG369" s="86"/>
      <c r="EH369" s="86"/>
      <c r="EI369" s="86"/>
      <c r="EJ369" s="86"/>
      <c r="EK369" s="86"/>
      <c r="EL369" s="86"/>
      <c r="EM369" s="86"/>
      <c r="EN369" s="86"/>
      <c r="EO369" s="86"/>
      <c r="EP369" s="86"/>
      <c r="EQ369" s="86"/>
      <c r="ER369" s="86"/>
      <c r="ES369" s="86"/>
      <c r="ET369" s="86"/>
      <c r="EU369" s="86"/>
      <c r="EV369" s="86"/>
      <c r="EW369" s="86"/>
      <c r="EX369" s="86"/>
      <c r="EY369" s="86"/>
      <c r="EZ369" s="86"/>
      <c r="FA369" s="86"/>
    </row>
    <row r="370" spans="2:157" ht="9.75" customHeight="1">
      <c r="B370" s="845">
        <v>8</v>
      </c>
      <c r="C370" s="1344"/>
      <c r="D370" s="1344"/>
      <c r="E370" s="1344"/>
      <c r="F370" s="857"/>
      <c r="G370" s="857"/>
      <c r="H370" s="875" t="str">
        <f t="shared" si="16"/>
        <v/>
      </c>
      <c r="J370" s="101"/>
      <c r="K370" s="101"/>
      <c r="L370" s="101"/>
      <c r="Z370" s="86"/>
      <c r="AA370" s="86"/>
      <c r="AB370" s="86"/>
      <c r="AC370" s="86"/>
      <c r="AD370" s="86"/>
      <c r="AE370" s="86"/>
      <c r="AF370" s="86"/>
      <c r="AG370" s="86"/>
      <c r="AH370" s="86"/>
      <c r="AI370" s="86"/>
      <c r="AJ370" s="86"/>
      <c r="AK370" s="86"/>
      <c r="AL370" s="86"/>
      <c r="AM370" s="86"/>
      <c r="AN370" s="86"/>
      <c r="AO370" s="86"/>
      <c r="AP370" s="86"/>
      <c r="AQ370" s="86"/>
      <c r="AR370" s="86"/>
      <c r="AS370" s="86"/>
      <c r="AT370" s="86"/>
      <c r="AU370" s="86"/>
      <c r="AV370" s="86"/>
      <c r="AW370" s="86"/>
      <c r="AX370" s="86"/>
      <c r="AY370" s="86"/>
      <c r="AZ370" s="86"/>
      <c r="BA370" s="86"/>
      <c r="BB370" s="86"/>
      <c r="BC370" s="86"/>
      <c r="BD370" s="86"/>
      <c r="BE370" s="86"/>
      <c r="BF370" s="86"/>
      <c r="BG370" s="86"/>
      <c r="BH370" s="86"/>
      <c r="BI370" s="86"/>
      <c r="BJ370" s="86"/>
      <c r="BK370" s="86"/>
      <c r="BL370" s="86"/>
      <c r="BM370" s="86"/>
      <c r="BN370" s="86"/>
      <c r="BO370" s="86"/>
      <c r="BP370" s="86"/>
      <c r="BQ370" s="86"/>
      <c r="BR370" s="86"/>
      <c r="BS370" s="86"/>
      <c r="BT370" s="86"/>
      <c r="BU370" s="86"/>
      <c r="BV370" s="86"/>
      <c r="BW370" s="86"/>
      <c r="BX370" s="86"/>
      <c r="BY370" s="86"/>
      <c r="BZ370" s="86"/>
      <c r="CA370" s="86"/>
      <c r="CB370" s="86"/>
      <c r="CC370" s="86"/>
      <c r="CD370" s="86"/>
      <c r="CE370" s="86"/>
      <c r="CF370" s="86"/>
      <c r="CG370" s="86"/>
      <c r="CH370" s="86"/>
      <c r="CI370" s="86"/>
      <c r="CJ370" s="86"/>
      <c r="CK370" s="86"/>
      <c r="CL370" s="86"/>
      <c r="CM370" s="86"/>
      <c r="CN370" s="86"/>
      <c r="CO370" s="86"/>
      <c r="CP370" s="86"/>
      <c r="CQ370" s="86"/>
      <c r="CR370" s="86"/>
      <c r="CS370" s="86"/>
      <c r="CT370" s="86"/>
      <c r="CU370" s="86"/>
      <c r="CV370" s="86"/>
      <c r="CW370" s="86"/>
      <c r="CX370" s="86"/>
      <c r="CY370" s="86"/>
      <c r="CZ370" s="86"/>
      <c r="DA370" s="86"/>
      <c r="DB370" s="86"/>
      <c r="DC370" s="86"/>
      <c r="DD370" s="86"/>
      <c r="DE370" s="86"/>
      <c r="DF370" s="86"/>
      <c r="DG370" s="86"/>
      <c r="DH370" s="86"/>
      <c r="DI370" s="86"/>
      <c r="DJ370" s="86"/>
      <c r="DK370" s="86"/>
      <c r="DL370" s="86"/>
      <c r="DM370" s="86"/>
      <c r="DN370" s="86"/>
      <c r="DO370" s="86"/>
      <c r="DP370" s="86"/>
      <c r="DQ370" s="86"/>
      <c r="DR370" s="86"/>
      <c r="DS370" s="86"/>
      <c r="DT370" s="86"/>
      <c r="DU370" s="86"/>
      <c r="DV370" s="86"/>
      <c r="DW370" s="86"/>
      <c r="DX370" s="86"/>
      <c r="DY370" s="86"/>
      <c r="DZ370" s="86"/>
      <c r="EA370" s="86"/>
      <c r="EB370" s="86"/>
      <c r="EC370" s="86"/>
      <c r="ED370" s="86"/>
      <c r="EE370" s="86"/>
      <c r="EF370" s="86"/>
      <c r="EG370" s="86"/>
      <c r="EH370" s="86"/>
      <c r="EI370" s="86"/>
      <c r="EJ370" s="86"/>
      <c r="EK370" s="86"/>
      <c r="EL370" s="86"/>
      <c r="EM370" s="86"/>
      <c r="EN370" s="86"/>
      <c r="EO370" s="86"/>
      <c r="EP370" s="86"/>
      <c r="EQ370" s="86"/>
      <c r="ER370" s="86"/>
      <c r="ES370" s="86"/>
      <c r="ET370" s="86"/>
      <c r="EU370" s="86"/>
      <c r="EV370" s="86"/>
      <c r="EW370" s="86"/>
      <c r="EX370" s="86"/>
      <c r="EY370" s="86"/>
      <c r="EZ370" s="86"/>
      <c r="FA370" s="86"/>
    </row>
    <row r="371" spans="2:157" ht="9.75" customHeight="1">
      <c r="B371" s="845">
        <v>9</v>
      </c>
      <c r="C371" s="1344"/>
      <c r="D371" s="1344"/>
      <c r="E371" s="1344"/>
      <c r="F371" s="857"/>
      <c r="G371" s="857"/>
      <c r="H371" s="875" t="str">
        <f t="shared" si="16"/>
        <v/>
      </c>
      <c r="J371" s="101"/>
      <c r="K371" s="101"/>
      <c r="L371" s="101"/>
      <c r="Z371" s="86"/>
      <c r="AA371" s="86"/>
      <c r="AB371" s="86"/>
      <c r="AC371" s="86"/>
      <c r="AD371" s="86"/>
      <c r="AE371" s="86"/>
      <c r="AF371" s="86"/>
      <c r="AG371" s="86"/>
      <c r="AH371" s="86"/>
      <c r="AI371" s="86"/>
      <c r="AJ371" s="86"/>
      <c r="AK371" s="86"/>
      <c r="AL371" s="86"/>
      <c r="AM371" s="86"/>
      <c r="AN371" s="86"/>
      <c r="AO371" s="86"/>
      <c r="AP371" s="86"/>
      <c r="AQ371" s="86"/>
      <c r="AR371" s="86"/>
      <c r="AS371" s="86"/>
      <c r="AT371" s="86"/>
      <c r="AU371" s="86"/>
      <c r="AV371" s="86"/>
      <c r="AW371" s="86"/>
      <c r="AX371" s="86"/>
      <c r="AY371" s="86"/>
      <c r="AZ371" s="86"/>
      <c r="BA371" s="86"/>
      <c r="BB371" s="86"/>
      <c r="BC371" s="86"/>
      <c r="BD371" s="86"/>
      <c r="BE371" s="86"/>
      <c r="BF371" s="86"/>
      <c r="BG371" s="86"/>
      <c r="BH371" s="86"/>
      <c r="BI371" s="86"/>
      <c r="BJ371" s="86"/>
      <c r="BK371" s="86"/>
      <c r="BL371" s="86"/>
      <c r="BM371" s="86"/>
      <c r="BN371" s="86"/>
      <c r="BO371" s="86"/>
      <c r="BP371" s="86"/>
      <c r="BQ371" s="86"/>
      <c r="BR371" s="86"/>
      <c r="BS371" s="86"/>
      <c r="BT371" s="86"/>
      <c r="BU371" s="86"/>
      <c r="BV371" s="86"/>
      <c r="BW371" s="86"/>
      <c r="BX371" s="86"/>
      <c r="BY371" s="86"/>
      <c r="BZ371" s="86"/>
      <c r="CA371" s="86"/>
      <c r="CB371" s="86"/>
      <c r="CC371" s="86"/>
      <c r="CD371" s="86"/>
      <c r="CE371" s="86"/>
      <c r="CF371" s="86"/>
      <c r="CG371" s="86"/>
      <c r="CH371" s="86"/>
      <c r="CI371" s="86"/>
      <c r="CJ371" s="86"/>
      <c r="CK371" s="86"/>
      <c r="CL371" s="86"/>
      <c r="CM371" s="86"/>
      <c r="CN371" s="86"/>
      <c r="CO371" s="86"/>
      <c r="CP371" s="86"/>
      <c r="CQ371" s="86"/>
      <c r="CR371" s="86"/>
      <c r="CS371" s="86"/>
      <c r="CT371" s="86"/>
      <c r="CU371" s="86"/>
      <c r="CV371" s="86"/>
      <c r="CW371" s="86"/>
      <c r="CX371" s="86"/>
      <c r="CY371" s="86"/>
      <c r="CZ371" s="86"/>
      <c r="DA371" s="86"/>
      <c r="DB371" s="86"/>
      <c r="DC371" s="86"/>
      <c r="DD371" s="86"/>
      <c r="DE371" s="86"/>
      <c r="DF371" s="86"/>
      <c r="DG371" s="86"/>
      <c r="DH371" s="86"/>
      <c r="DI371" s="86"/>
      <c r="DJ371" s="86"/>
      <c r="DK371" s="86"/>
      <c r="DL371" s="86"/>
      <c r="DM371" s="86"/>
      <c r="DN371" s="86"/>
      <c r="DO371" s="86"/>
      <c r="DP371" s="86"/>
      <c r="DQ371" s="86"/>
      <c r="DR371" s="86"/>
      <c r="DS371" s="86"/>
      <c r="DT371" s="86"/>
      <c r="DU371" s="86"/>
      <c r="DV371" s="86"/>
      <c r="DW371" s="86"/>
      <c r="DX371" s="86"/>
      <c r="DY371" s="86"/>
      <c r="DZ371" s="86"/>
      <c r="EA371" s="86"/>
      <c r="EB371" s="86"/>
      <c r="EC371" s="86"/>
      <c r="ED371" s="86"/>
      <c r="EE371" s="86"/>
      <c r="EF371" s="86"/>
      <c r="EG371" s="86"/>
      <c r="EH371" s="86"/>
      <c r="EI371" s="86"/>
      <c r="EJ371" s="86"/>
      <c r="EK371" s="86"/>
      <c r="EL371" s="86"/>
      <c r="EM371" s="86"/>
      <c r="EN371" s="86"/>
      <c r="EO371" s="86"/>
      <c r="EP371" s="86"/>
      <c r="EQ371" s="86"/>
      <c r="ER371" s="86"/>
      <c r="ES371" s="86"/>
      <c r="ET371" s="86"/>
      <c r="EU371" s="86"/>
      <c r="EV371" s="86"/>
      <c r="EW371" s="86"/>
      <c r="EX371" s="86"/>
      <c r="EY371" s="86"/>
      <c r="EZ371" s="86"/>
      <c r="FA371" s="86"/>
    </row>
    <row r="372" spans="2:157" ht="10.050000000000001" customHeight="1">
      <c r="B372" s="845" t="s">
        <v>546</v>
      </c>
      <c r="C372" s="836" t="s">
        <v>73</v>
      </c>
      <c r="D372" s="839"/>
      <c r="E372" s="86"/>
      <c r="F372" s="848" t="s">
        <v>546</v>
      </c>
      <c r="G372" s="848" t="s">
        <v>546</v>
      </c>
      <c r="H372" s="858">
        <v>0.04</v>
      </c>
      <c r="J372" s="101"/>
      <c r="K372" s="101"/>
      <c r="L372" s="101"/>
      <c r="Z372" s="86"/>
      <c r="AA372" s="86"/>
      <c r="AB372" s="86"/>
      <c r="AC372" s="86"/>
      <c r="AD372" s="86"/>
      <c r="AE372" s="86"/>
      <c r="AF372" s="86"/>
      <c r="AG372" s="86"/>
      <c r="AH372" s="86"/>
      <c r="AI372" s="86"/>
      <c r="AJ372" s="86"/>
      <c r="AK372" s="86"/>
      <c r="AL372" s="86"/>
      <c r="AM372" s="86"/>
      <c r="AN372" s="86"/>
      <c r="AO372" s="86"/>
      <c r="AP372" s="86"/>
      <c r="AQ372" s="86"/>
      <c r="AR372" s="86"/>
      <c r="AS372" s="86"/>
      <c r="AT372" s="86"/>
      <c r="AU372" s="86"/>
      <c r="AV372" s="86"/>
      <c r="AW372" s="86"/>
      <c r="AX372" s="86"/>
      <c r="AY372" s="86"/>
      <c r="AZ372" s="86"/>
      <c r="BA372" s="86"/>
      <c r="BB372" s="86"/>
      <c r="BC372" s="86"/>
      <c r="BD372" s="86"/>
      <c r="BE372" s="86"/>
      <c r="BF372" s="86"/>
      <c r="BG372" s="86"/>
      <c r="BH372" s="86"/>
      <c r="BI372" s="86"/>
      <c r="BJ372" s="86"/>
      <c r="BK372" s="86"/>
      <c r="BL372" s="86"/>
      <c r="BM372" s="86"/>
      <c r="BN372" s="86"/>
      <c r="BO372" s="86"/>
      <c r="BP372" s="86"/>
      <c r="BQ372" s="86"/>
      <c r="BR372" s="86"/>
      <c r="BS372" s="86"/>
      <c r="BT372" s="86"/>
      <c r="BU372" s="86"/>
      <c r="BV372" s="86"/>
      <c r="BW372" s="86"/>
      <c r="BX372" s="86"/>
      <c r="BY372" s="86"/>
      <c r="BZ372" s="86"/>
      <c r="CA372" s="86"/>
      <c r="CB372" s="86"/>
      <c r="CC372" s="86"/>
      <c r="CD372" s="86"/>
      <c r="CE372" s="86"/>
      <c r="CF372" s="86"/>
      <c r="CG372" s="86"/>
      <c r="CH372" s="86"/>
      <c r="CI372" s="86"/>
      <c r="CJ372" s="86"/>
      <c r="CK372" s="86"/>
      <c r="CL372" s="86"/>
      <c r="CM372" s="86"/>
      <c r="CN372" s="86"/>
      <c r="CO372" s="86"/>
      <c r="CP372" s="86"/>
      <c r="CQ372" s="86"/>
      <c r="CR372" s="86"/>
      <c r="CS372" s="86"/>
      <c r="CT372" s="86"/>
      <c r="CU372" s="86"/>
      <c r="CV372" s="86"/>
      <c r="CW372" s="86"/>
      <c r="CX372" s="86"/>
      <c r="CY372" s="86"/>
      <c r="CZ372" s="86"/>
      <c r="DA372" s="86"/>
      <c r="DB372" s="86"/>
      <c r="DC372" s="86"/>
      <c r="DD372" s="86"/>
      <c r="DE372" s="86"/>
      <c r="DF372" s="86"/>
      <c r="DG372" s="86"/>
      <c r="DH372" s="86"/>
      <c r="DI372" s="86"/>
      <c r="DJ372" s="86"/>
      <c r="DK372" s="86"/>
      <c r="DL372" s="86"/>
      <c r="DM372" s="86"/>
      <c r="DN372" s="86"/>
      <c r="DO372" s="86"/>
      <c r="DP372" s="86"/>
      <c r="DQ372" s="86"/>
      <c r="DR372" s="86"/>
      <c r="DS372" s="86"/>
      <c r="DT372" s="86"/>
      <c r="DU372" s="86"/>
      <c r="DV372" s="86"/>
      <c r="DW372" s="86"/>
      <c r="DX372" s="86"/>
      <c r="DY372" s="86"/>
      <c r="DZ372" s="86"/>
      <c r="EA372" s="86"/>
      <c r="EB372" s="86"/>
      <c r="EC372" s="86"/>
      <c r="ED372" s="86"/>
      <c r="EE372" s="86"/>
      <c r="EF372" s="86"/>
      <c r="EG372" s="86"/>
      <c r="EH372" s="86"/>
      <c r="EI372" s="86"/>
      <c r="EJ372" s="86"/>
      <c r="EK372" s="86"/>
      <c r="EL372" s="86"/>
      <c r="EM372" s="86"/>
      <c r="EN372" s="86"/>
      <c r="EO372" s="86"/>
      <c r="EP372" s="86"/>
      <c r="EQ372" s="86"/>
      <c r="ER372" s="86"/>
      <c r="ES372" s="86"/>
      <c r="ET372" s="86"/>
      <c r="EU372" s="86"/>
      <c r="EV372" s="86"/>
      <c r="EW372" s="86"/>
      <c r="EX372" s="86"/>
      <c r="EY372" s="86"/>
      <c r="EZ372" s="86"/>
      <c r="FA372" s="86"/>
    </row>
    <row r="373" spans="2:157" ht="9.75" customHeight="1">
      <c r="B373" s="849"/>
      <c r="C373" s="849"/>
      <c r="D373" s="849"/>
      <c r="E373" s="849"/>
      <c r="F373" s="849"/>
      <c r="G373" s="849"/>
      <c r="H373" s="855"/>
      <c r="J373" s="101"/>
      <c r="K373" s="101"/>
      <c r="L373" s="101"/>
      <c r="Z373" s="86"/>
      <c r="AA373" s="86"/>
      <c r="AB373" s="86"/>
      <c r="AC373" s="86"/>
      <c r="AD373" s="86"/>
      <c r="AE373" s="86"/>
      <c r="AF373" s="86"/>
      <c r="AG373" s="86"/>
      <c r="AH373" s="86"/>
      <c r="AI373" s="86"/>
      <c r="AJ373" s="86"/>
      <c r="AK373" s="86"/>
      <c r="AL373" s="86"/>
      <c r="AM373" s="86"/>
      <c r="AN373" s="86"/>
      <c r="AO373" s="86"/>
      <c r="AP373" s="86"/>
      <c r="AQ373" s="86"/>
      <c r="AR373" s="86"/>
      <c r="AS373" s="86"/>
      <c r="AT373" s="86"/>
      <c r="AU373" s="86"/>
      <c r="AV373" s="86"/>
      <c r="AW373" s="86"/>
      <c r="AX373" s="86"/>
      <c r="AY373" s="86"/>
      <c r="AZ373" s="86"/>
      <c r="BA373" s="86"/>
      <c r="BB373" s="86"/>
      <c r="BC373" s="86"/>
      <c r="BD373" s="86"/>
      <c r="BE373" s="86"/>
      <c r="BF373" s="86"/>
      <c r="BG373" s="86"/>
      <c r="BH373" s="86"/>
      <c r="BI373" s="86"/>
      <c r="BJ373" s="86"/>
      <c r="BK373" s="86"/>
      <c r="BL373" s="86"/>
      <c r="BM373" s="86"/>
      <c r="BN373" s="86"/>
      <c r="BO373" s="86"/>
      <c r="BP373" s="86"/>
      <c r="BQ373" s="86"/>
      <c r="BR373" s="86"/>
      <c r="BS373" s="86"/>
      <c r="BT373" s="86"/>
      <c r="BU373" s="86"/>
      <c r="BV373" s="86"/>
      <c r="BW373" s="86"/>
      <c r="BX373" s="86"/>
      <c r="BY373" s="86"/>
      <c r="BZ373" s="86"/>
      <c r="CA373" s="86"/>
      <c r="CB373" s="86"/>
      <c r="CC373" s="86"/>
      <c r="CD373" s="86"/>
      <c r="CE373" s="86"/>
      <c r="CF373" s="86"/>
      <c r="CG373" s="86"/>
      <c r="CH373" s="86"/>
      <c r="CI373" s="86"/>
      <c r="CJ373" s="86"/>
      <c r="CK373" s="86"/>
      <c r="CL373" s="86"/>
      <c r="CM373" s="86"/>
      <c r="CN373" s="86"/>
      <c r="CO373" s="86"/>
      <c r="CP373" s="86"/>
      <c r="CQ373" s="86"/>
      <c r="CR373" s="86"/>
      <c r="CS373" s="86"/>
      <c r="CT373" s="86"/>
      <c r="CU373" s="86"/>
      <c r="CV373" s="86"/>
      <c r="CW373" s="86"/>
      <c r="CX373" s="86"/>
      <c r="CY373" s="86"/>
      <c r="CZ373" s="86"/>
      <c r="DA373" s="86"/>
      <c r="DB373" s="86"/>
      <c r="DC373" s="86"/>
      <c r="DD373" s="86"/>
      <c r="DE373" s="86"/>
      <c r="DF373" s="86"/>
      <c r="DG373" s="86"/>
      <c r="DH373" s="86"/>
      <c r="DI373" s="86"/>
      <c r="DJ373" s="86"/>
      <c r="DK373" s="86"/>
      <c r="DL373" s="86"/>
      <c r="DM373" s="86"/>
      <c r="DN373" s="86"/>
      <c r="DO373" s="86"/>
      <c r="DP373" s="86"/>
      <c r="DQ373" s="86"/>
      <c r="DR373" s="86"/>
      <c r="DS373" s="86"/>
      <c r="DT373" s="86"/>
      <c r="DU373" s="86"/>
      <c r="DV373" s="86"/>
      <c r="DW373" s="86"/>
      <c r="DX373" s="86"/>
      <c r="DY373" s="86"/>
      <c r="DZ373" s="86"/>
      <c r="EA373" s="86"/>
      <c r="EB373" s="86"/>
      <c r="EC373" s="86"/>
      <c r="ED373" s="86"/>
      <c r="EE373" s="86"/>
      <c r="EF373" s="86"/>
      <c r="EG373" s="86"/>
      <c r="EH373" s="86"/>
      <c r="EI373" s="86"/>
      <c r="EJ373" s="86"/>
      <c r="EK373" s="86"/>
      <c r="EL373" s="86"/>
      <c r="EM373" s="86"/>
      <c r="EN373" s="86"/>
      <c r="EO373" s="86"/>
      <c r="EP373" s="86"/>
      <c r="EQ373" s="86"/>
      <c r="ER373" s="86"/>
      <c r="ES373" s="86"/>
      <c r="ET373" s="86"/>
      <c r="EU373" s="86"/>
      <c r="EV373" s="86"/>
      <c r="EW373" s="86"/>
      <c r="EX373" s="86"/>
      <c r="EY373" s="86"/>
      <c r="EZ373" s="86"/>
      <c r="FA373" s="86"/>
    </row>
    <row r="374" spans="2:157" ht="9.75" customHeight="1">
      <c r="B374" s="27"/>
      <c r="C374" s="27"/>
      <c r="D374" s="27"/>
      <c r="E374" s="91"/>
      <c r="F374" s="171"/>
      <c r="G374" s="29"/>
      <c r="H374" s="27"/>
      <c r="J374" s="101"/>
      <c r="K374" s="101"/>
      <c r="L374" s="101"/>
      <c r="Z374" s="86"/>
      <c r="AA374" s="86"/>
      <c r="AB374" s="86"/>
      <c r="AC374" s="86"/>
      <c r="AD374" s="86"/>
      <c r="AE374" s="86"/>
      <c r="AF374" s="86"/>
      <c r="AG374" s="86"/>
      <c r="AH374" s="86"/>
      <c r="AI374" s="86"/>
      <c r="AJ374" s="86"/>
      <c r="AK374" s="86"/>
      <c r="AL374" s="86"/>
      <c r="AM374" s="86"/>
      <c r="AN374" s="86"/>
      <c r="AO374" s="86"/>
      <c r="AP374" s="86"/>
      <c r="AQ374" s="86"/>
      <c r="AR374" s="86"/>
      <c r="AS374" s="86"/>
      <c r="AT374" s="86"/>
      <c r="AU374" s="86"/>
      <c r="AV374" s="86"/>
      <c r="AW374" s="86"/>
      <c r="AX374" s="86"/>
      <c r="AY374" s="86"/>
      <c r="AZ374" s="86"/>
      <c r="BA374" s="86"/>
      <c r="BB374" s="86"/>
      <c r="BC374" s="86"/>
      <c r="BD374" s="86"/>
      <c r="BE374" s="86"/>
      <c r="BF374" s="86"/>
      <c r="BG374" s="86"/>
      <c r="BH374" s="86"/>
      <c r="BI374" s="86"/>
      <c r="BJ374" s="86"/>
      <c r="BK374" s="86"/>
      <c r="BL374" s="86"/>
      <c r="BM374" s="86"/>
      <c r="BN374" s="86"/>
      <c r="BO374" s="86"/>
      <c r="BP374" s="86"/>
      <c r="BQ374" s="86"/>
      <c r="BR374" s="86"/>
      <c r="BS374" s="86"/>
      <c r="BT374" s="86"/>
      <c r="BU374" s="86"/>
      <c r="BV374" s="86"/>
      <c r="BW374" s="86"/>
      <c r="BX374" s="86"/>
      <c r="BY374" s="86"/>
      <c r="BZ374" s="86"/>
      <c r="CA374" s="86"/>
      <c r="CB374" s="86"/>
      <c r="CC374" s="86"/>
      <c r="CD374" s="86"/>
      <c r="CE374" s="86"/>
      <c r="CF374" s="86"/>
      <c r="CG374" s="86"/>
      <c r="CH374" s="86"/>
      <c r="CI374" s="86"/>
      <c r="CJ374" s="86"/>
      <c r="CK374" s="86"/>
      <c r="CL374" s="86"/>
      <c r="CM374" s="86"/>
      <c r="CN374" s="86"/>
      <c r="CO374" s="86"/>
      <c r="CP374" s="86"/>
      <c r="CQ374" s="86"/>
      <c r="CR374" s="86"/>
      <c r="CS374" s="86"/>
      <c r="CT374" s="86"/>
      <c r="CU374" s="86"/>
      <c r="CV374" s="86"/>
      <c r="CW374" s="86"/>
      <c r="CX374" s="86"/>
      <c r="CY374" s="86"/>
      <c r="CZ374" s="86"/>
      <c r="DA374" s="86"/>
      <c r="DB374" s="86"/>
      <c r="DC374" s="86"/>
      <c r="DD374" s="86"/>
      <c r="DE374" s="86"/>
      <c r="DF374" s="86"/>
      <c r="DG374" s="86"/>
      <c r="DH374" s="86"/>
      <c r="DI374" s="86"/>
      <c r="DJ374" s="86"/>
      <c r="DK374" s="86"/>
      <c r="DL374" s="86"/>
      <c r="DM374" s="86"/>
      <c r="DN374" s="86"/>
      <c r="DO374" s="86"/>
      <c r="DP374" s="86"/>
      <c r="DQ374" s="86"/>
      <c r="DR374" s="86"/>
      <c r="DS374" s="86"/>
      <c r="DT374" s="86"/>
      <c r="DU374" s="86"/>
      <c r="DV374" s="86"/>
      <c r="DW374" s="86"/>
      <c r="DX374" s="86"/>
      <c r="DY374" s="86"/>
      <c r="DZ374" s="86"/>
      <c r="EA374" s="86"/>
      <c r="EB374" s="86"/>
      <c r="EC374" s="86"/>
      <c r="ED374" s="86"/>
      <c r="EE374" s="86"/>
      <c r="EF374" s="86"/>
      <c r="EG374" s="86"/>
      <c r="EH374" s="86"/>
      <c r="EI374" s="86"/>
      <c r="EJ374" s="86"/>
      <c r="EK374" s="86"/>
      <c r="EL374" s="86"/>
      <c r="EM374" s="86"/>
      <c r="EN374" s="86"/>
      <c r="EO374" s="86"/>
      <c r="EP374" s="86"/>
      <c r="EQ374" s="86"/>
      <c r="ER374" s="86"/>
      <c r="ES374" s="86"/>
      <c r="ET374" s="86"/>
      <c r="EU374" s="86"/>
      <c r="EV374" s="86"/>
      <c r="EW374" s="86"/>
      <c r="EX374" s="86"/>
      <c r="EY374" s="86"/>
      <c r="EZ374" s="86"/>
      <c r="FA374" s="86"/>
    </row>
    <row r="375" spans="2:157" ht="9.75" customHeight="1">
      <c r="B375" s="27"/>
      <c r="C375" s="27"/>
      <c r="D375" s="27"/>
      <c r="E375" s="27"/>
      <c r="F375" s="27"/>
      <c r="G375" s="27"/>
      <c r="H375" s="27"/>
      <c r="J375" s="101"/>
      <c r="K375" s="101"/>
      <c r="L375" s="101"/>
      <c r="Z375" s="86"/>
      <c r="AA375" s="86"/>
      <c r="AB375" s="86"/>
      <c r="AC375" s="86"/>
      <c r="AD375" s="86"/>
      <c r="AE375" s="86"/>
      <c r="AF375" s="86"/>
      <c r="AG375" s="86"/>
      <c r="AH375" s="86"/>
      <c r="AI375" s="86"/>
      <c r="AJ375" s="86"/>
      <c r="AK375" s="86"/>
      <c r="AL375" s="86"/>
      <c r="AM375" s="86"/>
      <c r="AN375" s="86"/>
      <c r="AO375" s="86"/>
      <c r="AP375" s="86"/>
      <c r="AQ375" s="86"/>
      <c r="AR375" s="86"/>
      <c r="AS375" s="86"/>
      <c r="AT375" s="86"/>
      <c r="AU375" s="86"/>
      <c r="AV375" s="86"/>
      <c r="AW375" s="86"/>
      <c r="AX375" s="86"/>
      <c r="AY375" s="86"/>
      <c r="AZ375" s="86"/>
      <c r="BA375" s="86"/>
      <c r="BB375" s="86"/>
      <c r="BC375" s="86"/>
      <c r="BD375" s="86"/>
      <c r="BE375" s="86"/>
      <c r="BF375" s="86"/>
      <c r="BG375" s="86"/>
      <c r="BH375" s="86"/>
      <c r="BI375" s="86"/>
      <c r="BJ375" s="86"/>
      <c r="BK375" s="86"/>
      <c r="BL375" s="86"/>
      <c r="BM375" s="86"/>
      <c r="BN375" s="86"/>
      <c r="BO375" s="86"/>
      <c r="BP375" s="86"/>
      <c r="BQ375" s="86"/>
      <c r="BR375" s="86"/>
      <c r="BS375" s="86"/>
      <c r="BT375" s="86"/>
      <c r="BU375" s="86"/>
      <c r="BV375" s="86"/>
      <c r="BW375" s="86"/>
      <c r="BX375" s="86"/>
      <c r="BY375" s="86"/>
      <c r="BZ375" s="86"/>
      <c r="CA375" s="86"/>
      <c r="CB375" s="86"/>
      <c r="CC375" s="86"/>
      <c r="CD375" s="86"/>
      <c r="CE375" s="86"/>
      <c r="CF375" s="86"/>
      <c r="CG375" s="86"/>
      <c r="CH375" s="86"/>
      <c r="CI375" s="86"/>
      <c r="CJ375" s="86"/>
      <c r="CK375" s="86"/>
      <c r="CL375" s="86"/>
      <c r="CM375" s="86"/>
      <c r="CN375" s="86"/>
      <c r="CO375" s="86"/>
      <c r="CP375" s="86"/>
      <c r="CQ375" s="86"/>
      <c r="CR375" s="86"/>
      <c r="CS375" s="86"/>
      <c r="CT375" s="86"/>
      <c r="CU375" s="86"/>
      <c r="CV375" s="86"/>
      <c r="CW375" s="86"/>
      <c r="CX375" s="86"/>
      <c r="CY375" s="86"/>
      <c r="CZ375" s="86"/>
      <c r="DA375" s="86"/>
      <c r="DB375" s="86"/>
      <c r="DC375" s="86"/>
      <c r="DD375" s="86"/>
      <c r="DE375" s="86"/>
      <c r="DF375" s="86"/>
      <c r="DG375" s="86"/>
      <c r="DH375" s="86"/>
      <c r="DI375" s="86"/>
      <c r="DJ375" s="86"/>
      <c r="DK375" s="86"/>
      <c r="DL375" s="86"/>
      <c r="DM375" s="86"/>
      <c r="DN375" s="86"/>
      <c r="DO375" s="86"/>
      <c r="DP375" s="86"/>
      <c r="DQ375" s="86"/>
      <c r="DR375" s="86"/>
      <c r="DS375" s="86"/>
      <c r="DT375" s="86"/>
      <c r="DU375" s="86"/>
      <c r="DV375" s="86"/>
      <c r="DW375" s="86"/>
      <c r="DX375" s="86"/>
      <c r="DY375" s="86"/>
      <c r="DZ375" s="86"/>
      <c r="EA375" s="86"/>
      <c r="EB375" s="86"/>
      <c r="EC375" s="86"/>
      <c r="ED375" s="86"/>
      <c r="EE375" s="86"/>
      <c r="EF375" s="86"/>
      <c r="EG375" s="86"/>
      <c r="EH375" s="86"/>
      <c r="EI375" s="86"/>
      <c r="EJ375" s="86"/>
      <c r="EK375" s="86"/>
      <c r="EL375" s="86"/>
      <c r="EM375" s="86"/>
      <c r="EN375" s="86"/>
      <c r="EO375" s="86"/>
      <c r="EP375" s="86"/>
      <c r="EQ375" s="86"/>
      <c r="ER375" s="86"/>
      <c r="ES375" s="86"/>
      <c r="ET375" s="86"/>
      <c r="EU375" s="86"/>
      <c r="EV375" s="86"/>
      <c r="EW375" s="86"/>
      <c r="EX375" s="86"/>
      <c r="EY375" s="86"/>
      <c r="EZ375" s="86"/>
      <c r="FA375" s="86"/>
    </row>
    <row r="376" spans="2:157" ht="9.75" customHeight="1">
      <c r="B376" s="27"/>
      <c r="C376" s="27"/>
      <c r="D376" s="27"/>
      <c r="E376" s="27"/>
      <c r="F376" s="27"/>
      <c r="G376" s="27"/>
      <c r="H376" s="27"/>
      <c r="J376" s="101"/>
      <c r="K376" s="101"/>
      <c r="L376" s="101"/>
      <c r="Z376" s="86"/>
      <c r="AA376" s="86"/>
      <c r="AB376" s="86"/>
      <c r="AC376" s="86"/>
      <c r="AD376" s="86"/>
      <c r="AE376" s="86"/>
      <c r="AF376" s="86"/>
      <c r="AG376" s="86"/>
      <c r="AH376" s="86"/>
      <c r="AI376" s="86"/>
      <c r="AJ376" s="86"/>
      <c r="AK376" s="86"/>
      <c r="AL376" s="86"/>
      <c r="AM376" s="86"/>
      <c r="AN376" s="86"/>
      <c r="AO376" s="86"/>
      <c r="AP376" s="86"/>
      <c r="AQ376" s="86"/>
      <c r="AR376" s="86"/>
      <c r="AS376" s="86"/>
      <c r="AT376" s="86"/>
      <c r="AU376" s="86"/>
      <c r="AV376" s="86"/>
      <c r="AW376" s="86"/>
      <c r="AX376" s="86"/>
      <c r="AY376" s="86"/>
      <c r="AZ376" s="86"/>
      <c r="BA376" s="86"/>
      <c r="BB376" s="86"/>
      <c r="BC376" s="86"/>
      <c r="BD376" s="86"/>
      <c r="BE376" s="86"/>
      <c r="BF376" s="86"/>
      <c r="BG376" s="86"/>
      <c r="BH376" s="86"/>
      <c r="BI376" s="86"/>
      <c r="BJ376" s="86"/>
      <c r="BK376" s="86"/>
      <c r="BL376" s="86"/>
      <c r="BM376" s="86"/>
      <c r="BN376" s="86"/>
      <c r="BO376" s="86"/>
      <c r="BP376" s="86"/>
      <c r="BQ376" s="86"/>
      <c r="BR376" s="86"/>
      <c r="BS376" s="86"/>
      <c r="BT376" s="86"/>
      <c r="BU376" s="86"/>
      <c r="BV376" s="86"/>
      <c r="BW376" s="86"/>
      <c r="BX376" s="86"/>
      <c r="BY376" s="86"/>
      <c r="BZ376" s="86"/>
      <c r="CA376" s="86"/>
      <c r="CB376" s="86"/>
      <c r="CC376" s="86"/>
      <c r="CD376" s="86"/>
      <c r="CE376" s="86"/>
      <c r="CF376" s="86"/>
      <c r="CG376" s="86"/>
      <c r="CH376" s="86"/>
      <c r="CI376" s="86"/>
      <c r="CJ376" s="86"/>
      <c r="CK376" s="86"/>
      <c r="CL376" s="86"/>
      <c r="CM376" s="86"/>
      <c r="CN376" s="86"/>
      <c r="CO376" s="86"/>
      <c r="CP376" s="86"/>
      <c r="CQ376" s="86"/>
      <c r="CR376" s="86"/>
      <c r="CS376" s="86"/>
      <c r="CT376" s="86"/>
      <c r="CU376" s="86"/>
      <c r="CV376" s="86"/>
      <c r="CW376" s="86"/>
      <c r="CX376" s="86"/>
      <c r="CY376" s="86"/>
      <c r="CZ376" s="86"/>
      <c r="DA376" s="86"/>
      <c r="DB376" s="86"/>
      <c r="DC376" s="86"/>
      <c r="DD376" s="86"/>
      <c r="DE376" s="86"/>
      <c r="DF376" s="86"/>
      <c r="DG376" s="86"/>
      <c r="DH376" s="86"/>
      <c r="DI376" s="86"/>
      <c r="DJ376" s="86"/>
      <c r="DK376" s="86"/>
      <c r="DL376" s="86"/>
      <c r="DM376" s="86"/>
      <c r="DN376" s="86"/>
      <c r="DO376" s="86"/>
      <c r="DP376" s="86"/>
      <c r="DQ376" s="86"/>
      <c r="DR376" s="86"/>
      <c r="DS376" s="86"/>
      <c r="DT376" s="86"/>
      <c r="DU376" s="86"/>
      <c r="DV376" s="86"/>
      <c r="DW376" s="86"/>
      <c r="DX376" s="86"/>
      <c r="DY376" s="86"/>
      <c r="DZ376" s="86"/>
      <c r="EA376" s="86"/>
      <c r="EB376" s="86"/>
      <c r="EC376" s="86"/>
      <c r="ED376" s="86"/>
      <c r="EE376" s="86"/>
      <c r="EF376" s="86"/>
      <c r="EG376" s="86"/>
      <c r="EH376" s="86"/>
      <c r="EI376" s="86"/>
      <c r="EJ376" s="86"/>
      <c r="EK376" s="86"/>
      <c r="EL376" s="86"/>
      <c r="EM376" s="86"/>
      <c r="EN376" s="86"/>
      <c r="EO376" s="86"/>
      <c r="EP376" s="86"/>
      <c r="EQ376" s="86"/>
      <c r="ER376" s="86"/>
      <c r="ES376" s="86"/>
      <c r="ET376" s="86"/>
      <c r="EU376" s="86"/>
      <c r="EV376" s="86"/>
      <c r="EW376" s="86"/>
      <c r="EX376" s="86"/>
      <c r="EY376" s="86"/>
      <c r="EZ376" s="86"/>
      <c r="FA376" s="86"/>
    </row>
    <row r="377" spans="2:157" ht="9.75" customHeight="1">
      <c r="B377" s="31"/>
      <c r="C377" s="31"/>
      <c r="D377" s="31"/>
      <c r="E377" s="31"/>
      <c r="F377" s="31"/>
      <c r="G377" s="31"/>
      <c r="H377" s="31"/>
      <c r="J377" s="101"/>
      <c r="K377" s="101"/>
      <c r="L377" s="101"/>
      <c r="Z377" s="86"/>
      <c r="AA377" s="86"/>
      <c r="AB377" s="86"/>
      <c r="AC377" s="86"/>
      <c r="AD377" s="86"/>
      <c r="AE377" s="86"/>
      <c r="AF377" s="86"/>
      <c r="AG377" s="86"/>
      <c r="AH377" s="86"/>
      <c r="AI377" s="86"/>
      <c r="AJ377" s="86"/>
      <c r="AK377" s="86"/>
      <c r="AL377" s="86"/>
      <c r="AM377" s="86"/>
      <c r="AN377" s="86"/>
      <c r="AO377" s="86"/>
      <c r="AP377" s="86"/>
      <c r="AQ377" s="86"/>
      <c r="AR377" s="86"/>
      <c r="AS377" s="86"/>
      <c r="AT377" s="86"/>
      <c r="AU377" s="86"/>
      <c r="AV377" s="86"/>
      <c r="AW377" s="86"/>
      <c r="AX377" s="86"/>
      <c r="AY377" s="86"/>
      <c r="AZ377" s="86"/>
      <c r="BA377" s="86"/>
      <c r="BB377" s="86"/>
      <c r="BC377" s="86"/>
      <c r="BD377" s="86"/>
      <c r="BE377" s="86"/>
      <c r="BF377" s="86"/>
      <c r="BG377" s="86"/>
      <c r="BH377" s="86"/>
      <c r="BI377" s="86"/>
      <c r="BJ377" s="86"/>
      <c r="BK377" s="86"/>
      <c r="BL377" s="86"/>
      <c r="BM377" s="86"/>
      <c r="BN377" s="86"/>
      <c r="BO377" s="86"/>
      <c r="BP377" s="86"/>
      <c r="BQ377" s="86"/>
      <c r="BR377" s="86"/>
      <c r="BS377" s="86"/>
      <c r="BT377" s="86"/>
      <c r="BU377" s="86"/>
      <c r="BV377" s="86"/>
      <c r="BW377" s="86"/>
      <c r="BX377" s="86"/>
      <c r="BY377" s="86"/>
      <c r="BZ377" s="86"/>
      <c r="CA377" s="86"/>
      <c r="CB377" s="86"/>
      <c r="CC377" s="86"/>
      <c r="CD377" s="86"/>
      <c r="CE377" s="86"/>
      <c r="CF377" s="86"/>
      <c r="CG377" s="86"/>
      <c r="CH377" s="86"/>
      <c r="CI377" s="86"/>
      <c r="CJ377" s="86"/>
      <c r="CK377" s="86"/>
      <c r="CL377" s="86"/>
      <c r="CM377" s="86"/>
      <c r="CN377" s="86"/>
      <c r="CO377" s="86"/>
      <c r="CP377" s="86"/>
      <c r="CQ377" s="86"/>
      <c r="CR377" s="86"/>
      <c r="CS377" s="86"/>
      <c r="CT377" s="86"/>
      <c r="CU377" s="86"/>
      <c r="CV377" s="86"/>
      <c r="CW377" s="86"/>
      <c r="CX377" s="86"/>
      <c r="CY377" s="86"/>
      <c r="CZ377" s="86"/>
      <c r="DA377" s="86"/>
      <c r="DB377" s="86"/>
      <c r="DC377" s="86"/>
      <c r="DD377" s="86"/>
      <c r="DE377" s="86"/>
      <c r="DF377" s="86"/>
      <c r="DG377" s="86"/>
      <c r="DH377" s="86"/>
      <c r="DI377" s="86"/>
      <c r="DJ377" s="86"/>
      <c r="DK377" s="86"/>
      <c r="DL377" s="86"/>
      <c r="DM377" s="86"/>
      <c r="DN377" s="86"/>
      <c r="DO377" s="86"/>
      <c r="DP377" s="86"/>
      <c r="DQ377" s="86"/>
      <c r="DR377" s="86"/>
      <c r="DS377" s="86"/>
      <c r="DT377" s="86"/>
      <c r="DU377" s="86"/>
      <c r="DV377" s="86"/>
      <c r="DW377" s="86"/>
      <c r="DX377" s="86"/>
      <c r="DY377" s="86"/>
      <c r="DZ377" s="86"/>
      <c r="EA377" s="86"/>
      <c r="EB377" s="86"/>
      <c r="EC377" s="86"/>
      <c r="ED377" s="86"/>
      <c r="EE377" s="86"/>
      <c r="EF377" s="86"/>
      <c r="EG377" s="86"/>
      <c r="EH377" s="86"/>
      <c r="EI377" s="86"/>
      <c r="EJ377" s="86"/>
      <c r="EK377" s="86"/>
      <c r="EL377" s="86"/>
      <c r="EM377" s="86"/>
      <c r="EN377" s="86"/>
      <c r="EO377" s="86"/>
      <c r="EP377" s="86"/>
      <c r="EQ377" s="86"/>
      <c r="ER377" s="86"/>
      <c r="ES377" s="86"/>
      <c r="ET377" s="86"/>
      <c r="EU377" s="86"/>
      <c r="EV377" s="86"/>
      <c r="EW377" s="86"/>
      <c r="EX377" s="86"/>
      <c r="EY377" s="86"/>
      <c r="EZ377" s="86"/>
      <c r="FA377" s="86"/>
    </row>
    <row r="378" spans="2:157" ht="10.95" customHeight="1">
      <c r="B378" s="1347" t="s">
        <v>510</v>
      </c>
      <c r="C378" s="1348"/>
      <c r="D378" s="1345"/>
      <c r="E378" s="1346"/>
      <c r="F378" s="842"/>
      <c r="G378" s="837" t="s">
        <v>4</v>
      </c>
      <c r="H378" s="856"/>
      <c r="J378" s="101"/>
      <c r="K378" s="101"/>
      <c r="L378" s="101"/>
      <c r="Z378" s="86"/>
      <c r="AA378" s="86"/>
      <c r="AB378" s="86"/>
      <c r="AC378" s="86"/>
      <c r="AD378" s="86"/>
      <c r="AE378" s="86"/>
      <c r="AF378" s="86"/>
      <c r="AG378" s="86"/>
      <c r="AH378" s="86"/>
      <c r="AI378" s="86"/>
      <c r="AJ378" s="86"/>
      <c r="AK378" s="86"/>
      <c r="AL378" s="86"/>
      <c r="AM378" s="86"/>
      <c r="AN378" s="86"/>
      <c r="AO378" s="86"/>
      <c r="AP378" s="86"/>
      <c r="AQ378" s="86"/>
      <c r="AR378" s="86"/>
      <c r="AS378" s="86"/>
      <c r="AT378" s="86"/>
      <c r="AU378" s="86"/>
      <c r="AV378" s="86"/>
      <c r="AW378" s="86"/>
      <c r="AX378" s="86"/>
      <c r="AY378" s="86"/>
      <c r="AZ378" s="86"/>
      <c r="BA378" s="86"/>
      <c r="BB378" s="86"/>
      <c r="BC378" s="86"/>
      <c r="BD378" s="86"/>
      <c r="BE378" s="86"/>
      <c r="BF378" s="86"/>
      <c r="BG378" s="86"/>
      <c r="BH378" s="86"/>
      <c r="BI378" s="86"/>
      <c r="BJ378" s="86"/>
      <c r="BK378" s="86"/>
      <c r="BL378" s="86"/>
      <c r="BM378" s="86"/>
      <c r="BN378" s="86"/>
      <c r="BO378" s="86"/>
      <c r="BP378" s="86"/>
      <c r="BQ378" s="86"/>
      <c r="BR378" s="86"/>
      <c r="BS378" s="86"/>
      <c r="BT378" s="86"/>
      <c r="BU378" s="86"/>
      <c r="BV378" s="86"/>
      <c r="BW378" s="86"/>
      <c r="BX378" s="86"/>
      <c r="BY378" s="86"/>
      <c r="BZ378" s="86"/>
      <c r="CA378" s="86"/>
      <c r="CB378" s="86"/>
      <c r="CC378" s="86"/>
      <c r="CD378" s="86"/>
      <c r="CE378" s="86"/>
      <c r="CF378" s="86"/>
      <c r="CG378" s="86"/>
      <c r="CH378" s="86"/>
      <c r="CI378" s="86"/>
      <c r="CJ378" s="86"/>
      <c r="CK378" s="86"/>
      <c r="CL378" s="86"/>
      <c r="CM378" s="86"/>
      <c r="CN378" s="86"/>
      <c r="CO378" s="86"/>
      <c r="CP378" s="86"/>
      <c r="CQ378" s="86"/>
      <c r="CR378" s="86"/>
      <c r="CS378" s="86"/>
      <c r="CT378" s="86"/>
      <c r="CU378" s="86"/>
      <c r="CV378" s="86"/>
      <c r="CW378" s="86"/>
      <c r="CX378" s="86"/>
      <c r="CY378" s="86"/>
      <c r="CZ378" s="86"/>
      <c r="DA378" s="86"/>
      <c r="DB378" s="86"/>
      <c r="DC378" s="86"/>
      <c r="DD378" s="86"/>
      <c r="DE378" s="86"/>
      <c r="DF378" s="86"/>
      <c r="DG378" s="86"/>
      <c r="DH378" s="86"/>
      <c r="DI378" s="86"/>
      <c r="DJ378" s="86"/>
      <c r="DK378" s="86"/>
      <c r="DL378" s="86"/>
      <c r="DM378" s="86"/>
      <c r="DN378" s="86"/>
      <c r="DO378" s="86"/>
      <c r="DP378" s="86"/>
      <c r="DQ378" s="86"/>
      <c r="DR378" s="86"/>
      <c r="DS378" s="86"/>
      <c r="DT378" s="86"/>
      <c r="DU378" s="86"/>
      <c r="DV378" s="86"/>
      <c r="DW378" s="86"/>
      <c r="DX378" s="86"/>
      <c r="DY378" s="86"/>
      <c r="DZ378" s="86"/>
      <c r="EA378" s="86"/>
      <c r="EB378" s="86"/>
      <c r="EC378" s="86"/>
      <c r="ED378" s="86"/>
      <c r="EE378" s="86"/>
      <c r="EF378" s="86"/>
      <c r="EG378" s="86"/>
      <c r="EH378" s="86"/>
      <c r="EI378" s="86"/>
      <c r="EJ378" s="86"/>
      <c r="EK378" s="86"/>
      <c r="EL378" s="86"/>
      <c r="EM378" s="86"/>
      <c r="EN378" s="86"/>
      <c r="EO378" s="86"/>
      <c r="EP378" s="86"/>
      <c r="EQ378" s="86"/>
      <c r="ER378" s="86"/>
      <c r="ES378" s="86"/>
      <c r="ET378" s="86"/>
      <c r="EU378" s="86"/>
      <c r="EV378" s="86"/>
      <c r="EW378" s="86"/>
      <c r="EX378" s="86"/>
      <c r="EY378" s="86"/>
      <c r="EZ378" s="86"/>
      <c r="FA378" s="86"/>
    </row>
    <row r="379" spans="2:157" ht="10.95" customHeight="1">
      <c r="B379" s="1347" t="s">
        <v>582</v>
      </c>
      <c r="C379" s="1349"/>
      <c r="D379" s="1345"/>
      <c r="E379" s="1346"/>
      <c r="F379" s="839"/>
      <c r="G379" s="853" t="s">
        <v>345</v>
      </c>
      <c r="H379" s="854">
        <f>ROUND(1/(SUM(H382:H392)),2)</f>
        <v>5.88</v>
      </c>
      <c r="J379" s="101"/>
      <c r="K379" s="101"/>
      <c r="L379" s="101"/>
      <c r="Z379" s="86"/>
      <c r="AA379" s="86"/>
      <c r="AB379" s="86"/>
      <c r="AC379" s="86"/>
      <c r="AD379" s="86"/>
      <c r="AE379" s="86"/>
      <c r="AF379" s="86"/>
      <c r="AG379" s="86"/>
      <c r="AH379" s="86"/>
      <c r="AI379" s="86"/>
      <c r="AJ379" s="86"/>
      <c r="AK379" s="86"/>
      <c r="AL379" s="86"/>
      <c r="AM379" s="86"/>
      <c r="AN379" s="86"/>
      <c r="AO379" s="86"/>
      <c r="AP379" s="86"/>
      <c r="AQ379" s="86"/>
      <c r="AR379" s="86"/>
      <c r="AS379" s="86"/>
      <c r="AT379" s="86"/>
      <c r="AU379" s="86"/>
      <c r="AV379" s="86"/>
      <c r="AW379" s="86"/>
      <c r="AX379" s="86"/>
      <c r="AY379" s="86"/>
      <c r="AZ379" s="86"/>
      <c r="BA379" s="86"/>
      <c r="BB379" s="86"/>
      <c r="BC379" s="86"/>
      <c r="BD379" s="86"/>
      <c r="BE379" s="86"/>
      <c r="BF379" s="86"/>
      <c r="BG379" s="86"/>
      <c r="BH379" s="86"/>
      <c r="BI379" s="86"/>
      <c r="BJ379" s="86"/>
      <c r="BK379" s="86"/>
      <c r="BL379" s="86"/>
      <c r="BM379" s="86"/>
      <c r="BN379" s="86"/>
      <c r="BO379" s="86"/>
      <c r="BP379" s="86"/>
      <c r="BQ379" s="86"/>
      <c r="BR379" s="86"/>
      <c r="BS379" s="86"/>
      <c r="BT379" s="86"/>
      <c r="BU379" s="86"/>
      <c r="BV379" s="86"/>
      <c r="BW379" s="86"/>
      <c r="BX379" s="86"/>
      <c r="BY379" s="86"/>
      <c r="BZ379" s="86"/>
      <c r="CA379" s="86"/>
      <c r="CB379" s="86"/>
      <c r="CC379" s="86"/>
      <c r="CD379" s="86"/>
      <c r="CE379" s="86"/>
      <c r="CF379" s="86"/>
      <c r="CG379" s="86"/>
      <c r="CH379" s="86"/>
      <c r="CI379" s="86"/>
      <c r="CJ379" s="86"/>
      <c r="CK379" s="86"/>
      <c r="CL379" s="86"/>
      <c r="CM379" s="86"/>
      <c r="CN379" s="86"/>
      <c r="CO379" s="86"/>
      <c r="CP379" s="86"/>
      <c r="CQ379" s="86"/>
      <c r="CR379" s="86"/>
      <c r="CS379" s="86"/>
      <c r="CT379" s="86"/>
      <c r="CU379" s="86"/>
      <c r="CV379" s="86"/>
      <c r="CW379" s="86"/>
      <c r="CX379" s="86"/>
      <c r="CY379" s="86"/>
      <c r="CZ379" s="86"/>
      <c r="DA379" s="86"/>
      <c r="DB379" s="86"/>
      <c r="DC379" s="86"/>
      <c r="DD379" s="86"/>
      <c r="DE379" s="86"/>
      <c r="DF379" s="86"/>
      <c r="DG379" s="86"/>
      <c r="DH379" s="86"/>
      <c r="DI379" s="86"/>
      <c r="DJ379" s="86"/>
      <c r="DK379" s="86"/>
      <c r="DL379" s="86"/>
      <c r="DM379" s="86"/>
      <c r="DN379" s="86"/>
      <c r="DO379" s="86"/>
      <c r="DP379" s="86"/>
      <c r="DQ379" s="86"/>
      <c r="DR379" s="86"/>
      <c r="DS379" s="86"/>
      <c r="DT379" s="86"/>
      <c r="DU379" s="86"/>
      <c r="DV379" s="86"/>
      <c r="DW379" s="86"/>
      <c r="DX379" s="86"/>
      <c r="DY379" s="86"/>
      <c r="DZ379" s="86"/>
      <c r="EA379" s="86"/>
      <c r="EB379" s="86"/>
      <c r="EC379" s="86"/>
      <c r="ED379" s="86"/>
      <c r="EE379" s="86"/>
      <c r="EF379" s="86"/>
      <c r="EG379" s="86"/>
      <c r="EH379" s="86"/>
      <c r="EI379" s="86"/>
      <c r="EJ379" s="86"/>
      <c r="EK379" s="86"/>
      <c r="EL379" s="86"/>
      <c r="EM379" s="86"/>
      <c r="EN379" s="86"/>
      <c r="EO379" s="86"/>
      <c r="EP379" s="86"/>
      <c r="EQ379" s="86"/>
      <c r="ER379" s="86"/>
      <c r="ES379" s="86"/>
      <c r="ET379" s="86"/>
      <c r="EU379" s="86"/>
      <c r="EV379" s="86"/>
      <c r="EW379" s="86"/>
      <c r="EX379" s="86"/>
      <c r="EY379" s="86"/>
      <c r="EZ379" s="86"/>
      <c r="FA379" s="86"/>
    </row>
    <row r="380" spans="2:157" ht="9.75" customHeight="1">
      <c r="B380" s="839"/>
      <c r="C380" s="839"/>
      <c r="D380" s="844"/>
      <c r="E380" s="839"/>
      <c r="F380" s="839"/>
      <c r="G380" s="852"/>
      <c r="H380" s="850"/>
      <c r="J380" s="101"/>
      <c r="K380" s="101"/>
      <c r="L380" s="101"/>
      <c r="Z380" s="86"/>
      <c r="AA380" s="86"/>
      <c r="AB380" s="86"/>
      <c r="AC380" s="86"/>
      <c r="AD380" s="86"/>
      <c r="AE380" s="86"/>
      <c r="AF380" s="86"/>
      <c r="AG380" s="86"/>
      <c r="AH380" s="86"/>
      <c r="AI380" s="86"/>
      <c r="AJ380" s="86"/>
      <c r="AK380" s="86"/>
      <c r="AL380" s="86"/>
      <c r="AM380" s="86"/>
      <c r="AN380" s="86"/>
      <c r="AO380" s="86"/>
      <c r="AP380" s="86"/>
      <c r="AQ380" s="86"/>
      <c r="AR380" s="86"/>
      <c r="AS380" s="86"/>
      <c r="AT380" s="86"/>
      <c r="AU380" s="86"/>
      <c r="AV380" s="86"/>
      <c r="AW380" s="86"/>
      <c r="AX380" s="86"/>
      <c r="AY380" s="86"/>
      <c r="AZ380" s="86"/>
      <c r="BA380" s="86"/>
      <c r="BB380" s="86"/>
      <c r="BC380" s="86"/>
      <c r="BD380" s="86"/>
      <c r="BE380" s="86"/>
      <c r="BF380" s="86"/>
      <c r="BG380" s="86"/>
      <c r="BH380" s="86"/>
      <c r="BI380" s="86"/>
      <c r="BJ380" s="86"/>
      <c r="BK380" s="86"/>
      <c r="BL380" s="86"/>
      <c r="BM380" s="86"/>
      <c r="BN380" s="86"/>
      <c r="BO380" s="86"/>
      <c r="BP380" s="86"/>
      <c r="BQ380" s="86"/>
      <c r="BR380" s="86"/>
      <c r="BS380" s="86"/>
      <c r="BT380" s="86"/>
      <c r="BU380" s="86"/>
      <c r="BV380" s="86"/>
      <c r="BW380" s="86"/>
      <c r="BX380" s="86"/>
      <c r="BY380" s="86"/>
      <c r="BZ380" s="86"/>
      <c r="CA380" s="86"/>
      <c r="CB380" s="86"/>
      <c r="CC380" s="86"/>
      <c r="CD380" s="86"/>
      <c r="CE380" s="86"/>
      <c r="CF380" s="86"/>
      <c r="CG380" s="86"/>
      <c r="CH380" s="86"/>
      <c r="CI380" s="86"/>
      <c r="CJ380" s="86"/>
      <c r="CK380" s="86"/>
      <c r="CL380" s="86"/>
      <c r="CM380" s="86"/>
      <c r="CN380" s="86"/>
      <c r="CO380" s="86"/>
      <c r="CP380" s="86"/>
      <c r="CQ380" s="86"/>
      <c r="CR380" s="86"/>
      <c r="CS380" s="86"/>
      <c r="CT380" s="86"/>
      <c r="CU380" s="86"/>
      <c r="CV380" s="86"/>
      <c r="CW380" s="86"/>
      <c r="CX380" s="86"/>
      <c r="CY380" s="86"/>
      <c r="CZ380" s="86"/>
      <c r="DA380" s="86"/>
      <c r="DB380" s="86"/>
      <c r="DC380" s="86"/>
      <c r="DD380" s="86"/>
      <c r="DE380" s="86"/>
      <c r="DF380" s="86"/>
      <c r="DG380" s="86"/>
      <c r="DH380" s="86"/>
      <c r="DI380" s="86"/>
      <c r="DJ380" s="86"/>
      <c r="DK380" s="86"/>
      <c r="DL380" s="86"/>
      <c r="DM380" s="86"/>
      <c r="DN380" s="86"/>
      <c r="DO380" s="86"/>
      <c r="DP380" s="86"/>
      <c r="DQ380" s="86"/>
      <c r="DR380" s="86"/>
      <c r="DS380" s="86"/>
      <c r="DT380" s="86"/>
      <c r="DU380" s="86"/>
      <c r="DV380" s="86"/>
      <c r="DW380" s="86"/>
      <c r="DX380" s="86"/>
      <c r="DY380" s="86"/>
      <c r="DZ380" s="86"/>
      <c r="EA380" s="86"/>
      <c r="EB380" s="86"/>
      <c r="EC380" s="86"/>
      <c r="ED380" s="86"/>
      <c r="EE380" s="86"/>
      <c r="EF380" s="86"/>
      <c r="EG380" s="86"/>
      <c r="EH380" s="86"/>
      <c r="EI380" s="86"/>
      <c r="EJ380" s="86"/>
      <c r="EK380" s="86"/>
      <c r="EL380" s="86"/>
      <c r="EM380" s="86"/>
      <c r="EN380" s="86"/>
      <c r="EO380" s="86"/>
      <c r="EP380" s="86"/>
      <c r="EQ380" s="86"/>
      <c r="ER380" s="86"/>
      <c r="ES380" s="86"/>
      <c r="ET380" s="86"/>
      <c r="EU380" s="86"/>
      <c r="EV380" s="86"/>
      <c r="EW380" s="86"/>
      <c r="EX380" s="86"/>
      <c r="EY380" s="86"/>
      <c r="EZ380" s="86"/>
      <c r="FA380" s="86"/>
    </row>
    <row r="381" spans="2:157" ht="9.75" customHeight="1">
      <c r="B381" s="844" t="s">
        <v>349</v>
      </c>
      <c r="C381" s="1352" t="s">
        <v>344</v>
      </c>
      <c r="D381" s="1352"/>
      <c r="E381" s="87"/>
      <c r="F381" s="846" t="s">
        <v>170</v>
      </c>
      <c r="G381" s="847" t="s">
        <v>361</v>
      </c>
      <c r="H381" s="846" t="s">
        <v>281</v>
      </c>
      <c r="J381" s="101"/>
      <c r="K381" s="101"/>
      <c r="L381" s="101"/>
      <c r="Z381" s="86"/>
      <c r="AA381" s="86"/>
      <c r="AB381" s="86"/>
      <c r="AC381" s="86"/>
      <c r="AD381" s="86"/>
      <c r="AE381" s="86"/>
      <c r="AF381" s="86"/>
      <c r="AG381" s="86"/>
      <c r="AH381" s="86"/>
      <c r="AI381" s="86"/>
      <c r="AJ381" s="86"/>
      <c r="AK381" s="86"/>
      <c r="AL381" s="86"/>
      <c r="AM381" s="86"/>
      <c r="AN381" s="86"/>
      <c r="AO381" s="86"/>
      <c r="AP381" s="86"/>
      <c r="AQ381" s="86"/>
      <c r="AR381" s="86"/>
      <c r="AS381" s="86"/>
      <c r="AT381" s="86"/>
      <c r="AU381" s="86"/>
      <c r="AV381" s="86"/>
      <c r="AW381" s="86"/>
      <c r="AX381" s="86"/>
      <c r="AY381" s="86"/>
      <c r="AZ381" s="86"/>
      <c r="BA381" s="86"/>
      <c r="BB381" s="86"/>
      <c r="BC381" s="86"/>
      <c r="BD381" s="86"/>
      <c r="BE381" s="86"/>
      <c r="BF381" s="86"/>
      <c r="BG381" s="86"/>
      <c r="BH381" s="86"/>
      <c r="BI381" s="86"/>
      <c r="BJ381" s="86"/>
      <c r="BK381" s="86"/>
      <c r="BL381" s="86"/>
      <c r="BM381" s="86"/>
      <c r="BN381" s="86"/>
      <c r="BO381" s="86"/>
      <c r="BP381" s="86"/>
      <c r="BQ381" s="86"/>
      <c r="BR381" s="86"/>
      <c r="BS381" s="86"/>
      <c r="BT381" s="86"/>
      <c r="BU381" s="86"/>
      <c r="BV381" s="86"/>
      <c r="BW381" s="86"/>
      <c r="BX381" s="86"/>
      <c r="BY381" s="86"/>
      <c r="BZ381" s="86"/>
      <c r="CA381" s="86"/>
      <c r="CB381" s="86"/>
      <c r="CC381" s="86"/>
      <c r="CD381" s="86"/>
      <c r="CE381" s="86"/>
      <c r="CF381" s="86"/>
      <c r="CG381" s="86"/>
      <c r="CH381" s="86"/>
      <c r="CI381" s="86"/>
      <c r="CJ381" s="86"/>
      <c r="CK381" s="86"/>
      <c r="CL381" s="86"/>
      <c r="CM381" s="86"/>
      <c r="CN381" s="86"/>
      <c r="CO381" s="86"/>
      <c r="CP381" s="86"/>
      <c r="CQ381" s="86"/>
      <c r="CR381" s="86"/>
      <c r="CS381" s="86"/>
      <c r="CT381" s="86"/>
      <c r="CU381" s="86"/>
      <c r="CV381" s="86"/>
      <c r="CW381" s="86"/>
      <c r="CX381" s="86"/>
      <c r="CY381" s="86"/>
      <c r="CZ381" s="86"/>
      <c r="DA381" s="86"/>
      <c r="DB381" s="86"/>
      <c r="DC381" s="86"/>
      <c r="DD381" s="86"/>
      <c r="DE381" s="86"/>
      <c r="DF381" s="86"/>
      <c r="DG381" s="86"/>
      <c r="DH381" s="86"/>
      <c r="DI381" s="86"/>
      <c r="DJ381" s="86"/>
      <c r="DK381" s="86"/>
      <c r="DL381" s="86"/>
      <c r="DM381" s="86"/>
      <c r="DN381" s="86"/>
      <c r="DO381" s="86"/>
      <c r="DP381" s="86"/>
      <c r="DQ381" s="86"/>
      <c r="DR381" s="86"/>
      <c r="DS381" s="86"/>
      <c r="DT381" s="86"/>
      <c r="DU381" s="86"/>
      <c r="DV381" s="86"/>
      <c r="DW381" s="86"/>
      <c r="DX381" s="86"/>
      <c r="DY381" s="86"/>
      <c r="DZ381" s="86"/>
      <c r="EA381" s="86"/>
      <c r="EB381" s="86"/>
      <c r="EC381" s="86"/>
      <c r="ED381" s="86"/>
      <c r="EE381" s="86"/>
      <c r="EF381" s="86"/>
      <c r="EG381" s="86"/>
      <c r="EH381" s="86"/>
      <c r="EI381" s="86"/>
      <c r="EJ381" s="86"/>
      <c r="EK381" s="86"/>
      <c r="EL381" s="86"/>
      <c r="EM381" s="86"/>
      <c r="EN381" s="86"/>
      <c r="EO381" s="86"/>
      <c r="EP381" s="86"/>
      <c r="EQ381" s="86"/>
      <c r="ER381" s="86"/>
      <c r="ES381" s="86"/>
      <c r="ET381" s="86"/>
      <c r="EU381" s="86"/>
      <c r="EV381" s="86"/>
      <c r="EW381" s="86"/>
      <c r="EX381" s="86"/>
      <c r="EY381" s="86"/>
      <c r="EZ381" s="86"/>
      <c r="FA381" s="86"/>
    </row>
    <row r="382" spans="2:157" ht="10.050000000000001" customHeight="1">
      <c r="B382" s="845" t="s">
        <v>546</v>
      </c>
      <c r="C382" s="1350" t="s">
        <v>106</v>
      </c>
      <c r="D382" s="1350"/>
      <c r="E382" s="87"/>
      <c r="F382" s="848" t="s">
        <v>546</v>
      </c>
      <c r="G382" s="848" t="s">
        <v>546</v>
      </c>
      <c r="H382" s="1016">
        <v>0.13</v>
      </c>
      <c r="J382" s="101"/>
      <c r="K382" s="101"/>
      <c r="L382" s="101"/>
      <c r="Z382" s="86"/>
      <c r="AA382" s="86"/>
      <c r="AB382" s="86"/>
      <c r="AC382" s="86"/>
      <c r="AD382" s="86"/>
      <c r="AE382" s="86"/>
      <c r="AF382" s="86"/>
      <c r="AG382" s="86"/>
      <c r="AH382" s="86"/>
      <c r="AI382" s="86"/>
      <c r="AJ382" s="86"/>
      <c r="AK382" s="86"/>
      <c r="AL382" s="86"/>
      <c r="AM382" s="86"/>
      <c r="AN382" s="86"/>
      <c r="AO382" s="86"/>
      <c r="AP382" s="86"/>
      <c r="AQ382" s="86"/>
      <c r="AR382" s="86"/>
      <c r="AS382" s="86"/>
      <c r="AT382" s="86"/>
      <c r="AU382" s="86"/>
      <c r="AV382" s="86"/>
      <c r="AW382" s="86"/>
      <c r="AX382" s="86"/>
      <c r="AY382" s="86"/>
      <c r="AZ382" s="86"/>
      <c r="BA382" s="86"/>
      <c r="BB382" s="86"/>
      <c r="BC382" s="86"/>
      <c r="BD382" s="86"/>
      <c r="BE382" s="86"/>
      <c r="BF382" s="86"/>
      <c r="BG382" s="86"/>
      <c r="BH382" s="86"/>
      <c r="BI382" s="86"/>
      <c r="BJ382" s="86"/>
      <c r="BK382" s="86"/>
      <c r="BL382" s="86"/>
      <c r="BM382" s="86"/>
      <c r="BN382" s="86"/>
      <c r="BO382" s="86"/>
      <c r="BP382" s="86"/>
      <c r="BQ382" s="86"/>
      <c r="BR382" s="86"/>
      <c r="BS382" s="86"/>
      <c r="BT382" s="86"/>
      <c r="BU382" s="86"/>
      <c r="BV382" s="86"/>
      <c r="BW382" s="86"/>
      <c r="BX382" s="86"/>
      <c r="BY382" s="86"/>
      <c r="BZ382" s="86"/>
      <c r="CA382" s="86"/>
      <c r="CB382" s="86"/>
      <c r="CC382" s="86"/>
      <c r="CD382" s="86"/>
      <c r="CE382" s="86"/>
      <c r="CF382" s="86"/>
      <c r="CG382" s="86"/>
      <c r="CH382" s="86"/>
      <c r="CI382" s="86"/>
      <c r="CJ382" s="86"/>
      <c r="CK382" s="86"/>
      <c r="CL382" s="86"/>
      <c r="CM382" s="86"/>
      <c r="CN382" s="86"/>
      <c r="CO382" s="86"/>
      <c r="CP382" s="86"/>
      <c r="CQ382" s="86"/>
      <c r="CR382" s="86"/>
      <c r="CS382" s="86"/>
      <c r="CT382" s="86"/>
      <c r="CU382" s="86"/>
      <c r="CV382" s="86"/>
      <c r="CW382" s="86"/>
      <c r="CX382" s="86"/>
      <c r="CY382" s="86"/>
      <c r="CZ382" s="86"/>
      <c r="DA382" s="86"/>
      <c r="DB382" s="86"/>
      <c r="DC382" s="86"/>
      <c r="DD382" s="86"/>
      <c r="DE382" s="86"/>
      <c r="DF382" s="86"/>
      <c r="DG382" s="86"/>
      <c r="DH382" s="86"/>
      <c r="DI382" s="86"/>
      <c r="DJ382" s="86"/>
      <c r="DK382" s="86"/>
      <c r="DL382" s="86"/>
      <c r="DM382" s="86"/>
      <c r="DN382" s="86"/>
      <c r="DO382" s="86"/>
      <c r="DP382" s="86"/>
      <c r="DQ382" s="86"/>
      <c r="DR382" s="86"/>
      <c r="DS382" s="86"/>
      <c r="DT382" s="86"/>
      <c r="DU382" s="86"/>
      <c r="DV382" s="86"/>
      <c r="DW382" s="86"/>
      <c r="DX382" s="86"/>
      <c r="DY382" s="86"/>
      <c r="DZ382" s="86"/>
      <c r="EA382" s="86"/>
      <c r="EB382" s="86"/>
      <c r="EC382" s="86"/>
      <c r="ED382" s="86"/>
      <c r="EE382" s="86"/>
      <c r="EF382" s="86"/>
      <c r="EG382" s="86"/>
      <c r="EH382" s="86"/>
      <c r="EI382" s="86"/>
      <c r="EJ382" s="86"/>
      <c r="EK382" s="86"/>
      <c r="EL382" s="86"/>
      <c r="EM382" s="86"/>
      <c r="EN382" s="86"/>
      <c r="EO382" s="86"/>
      <c r="EP382" s="86"/>
      <c r="EQ382" s="86"/>
      <c r="ER382" s="86"/>
      <c r="ES382" s="86"/>
      <c r="ET382" s="86"/>
      <c r="EU382" s="86"/>
      <c r="EV382" s="86"/>
      <c r="EW382" s="86"/>
      <c r="EX382" s="86"/>
      <c r="EY382" s="86"/>
      <c r="EZ382" s="86"/>
      <c r="FA382" s="86"/>
    </row>
    <row r="383" spans="2:157" ht="9.75" customHeight="1">
      <c r="B383" s="845">
        <v>1</v>
      </c>
      <c r="C383" s="1344"/>
      <c r="D383" s="1344"/>
      <c r="E383" s="1344"/>
      <c r="F383" s="857"/>
      <c r="G383" s="857"/>
      <c r="H383" s="875" t="str">
        <f t="shared" ref="H383:H391" si="17">IF(G383=0,"",(F383/(G383+0.00000000001)))</f>
        <v/>
      </c>
      <c r="J383" s="101"/>
      <c r="K383" s="101"/>
      <c r="L383" s="101"/>
      <c r="Z383" s="86"/>
      <c r="AA383" s="86"/>
      <c r="AB383" s="86"/>
      <c r="AC383" s="86"/>
      <c r="AD383" s="86"/>
      <c r="AE383" s="86"/>
      <c r="AF383" s="86"/>
      <c r="AG383" s="86"/>
      <c r="AH383" s="86"/>
      <c r="AI383" s="86"/>
      <c r="AJ383" s="86"/>
      <c r="AK383" s="86"/>
      <c r="AL383" s="86"/>
      <c r="AM383" s="86"/>
      <c r="AN383" s="86"/>
      <c r="AO383" s="86"/>
      <c r="AP383" s="86"/>
      <c r="AQ383" s="86"/>
      <c r="AR383" s="86"/>
      <c r="AS383" s="86"/>
      <c r="AT383" s="86"/>
      <c r="AU383" s="86"/>
      <c r="AV383" s="86"/>
      <c r="AW383" s="86"/>
      <c r="AX383" s="86"/>
      <c r="AY383" s="86"/>
      <c r="AZ383" s="86"/>
      <c r="BA383" s="86"/>
      <c r="BB383" s="86"/>
      <c r="BC383" s="86"/>
      <c r="BD383" s="86"/>
      <c r="BE383" s="86"/>
      <c r="BF383" s="86"/>
      <c r="BG383" s="86"/>
      <c r="BH383" s="86"/>
      <c r="BI383" s="86"/>
      <c r="BJ383" s="86"/>
      <c r="BK383" s="86"/>
      <c r="BL383" s="86"/>
      <c r="BM383" s="86"/>
      <c r="BN383" s="86"/>
      <c r="BO383" s="86"/>
      <c r="BP383" s="86"/>
      <c r="BQ383" s="86"/>
      <c r="BR383" s="86"/>
      <c r="BS383" s="86"/>
      <c r="BT383" s="86"/>
      <c r="BU383" s="86"/>
      <c r="BV383" s="86"/>
      <c r="BW383" s="86"/>
      <c r="BX383" s="86"/>
      <c r="BY383" s="86"/>
      <c r="BZ383" s="86"/>
      <c r="CA383" s="86"/>
      <c r="CB383" s="86"/>
      <c r="CC383" s="86"/>
      <c r="CD383" s="86"/>
      <c r="CE383" s="86"/>
      <c r="CF383" s="86"/>
      <c r="CG383" s="86"/>
      <c r="CH383" s="86"/>
      <c r="CI383" s="86"/>
      <c r="CJ383" s="86"/>
      <c r="CK383" s="86"/>
      <c r="CL383" s="86"/>
      <c r="CM383" s="86"/>
      <c r="CN383" s="86"/>
      <c r="CO383" s="86"/>
      <c r="CP383" s="86"/>
      <c r="CQ383" s="86"/>
      <c r="CR383" s="86"/>
      <c r="CS383" s="86"/>
      <c r="CT383" s="86"/>
      <c r="CU383" s="86"/>
      <c r="CV383" s="86"/>
      <c r="CW383" s="86"/>
      <c r="CX383" s="86"/>
      <c r="CY383" s="86"/>
      <c r="CZ383" s="86"/>
      <c r="DA383" s="86"/>
      <c r="DB383" s="86"/>
      <c r="DC383" s="86"/>
      <c r="DD383" s="86"/>
      <c r="DE383" s="86"/>
      <c r="DF383" s="86"/>
      <c r="DG383" s="86"/>
      <c r="DH383" s="86"/>
      <c r="DI383" s="86"/>
      <c r="DJ383" s="86"/>
      <c r="DK383" s="86"/>
      <c r="DL383" s="86"/>
      <c r="DM383" s="86"/>
      <c r="DN383" s="86"/>
      <c r="DO383" s="86"/>
      <c r="DP383" s="86"/>
      <c r="DQ383" s="86"/>
      <c r="DR383" s="86"/>
      <c r="DS383" s="86"/>
      <c r="DT383" s="86"/>
      <c r="DU383" s="86"/>
      <c r="DV383" s="86"/>
      <c r="DW383" s="86"/>
      <c r="DX383" s="86"/>
      <c r="DY383" s="86"/>
      <c r="DZ383" s="86"/>
      <c r="EA383" s="86"/>
      <c r="EB383" s="86"/>
      <c r="EC383" s="86"/>
      <c r="ED383" s="86"/>
      <c r="EE383" s="86"/>
      <c r="EF383" s="86"/>
      <c r="EG383" s="86"/>
      <c r="EH383" s="86"/>
      <c r="EI383" s="86"/>
      <c r="EJ383" s="86"/>
      <c r="EK383" s="86"/>
      <c r="EL383" s="86"/>
      <c r="EM383" s="86"/>
      <c r="EN383" s="86"/>
      <c r="EO383" s="86"/>
      <c r="EP383" s="86"/>
      <c r="EQ383" s="86"/>
      <c r="ER383" s="86"/>
      <c r="ES383" s="86"/>
      <c r="ET383" s="86"/>
      <c r="EU383" s="86"/>
      <c r="EV383" s="86"/>
      <c r="EW383" s="86"/>
      <c r="EX383" s="86"/>
      <c r="EY383" s="86"/>
      <c r="EZ383" s="86"/>
      <c r="FA383" s="86"/>
    </row>
    <row r="384" spans="2:157" ht="9.75" customHeight="1">
      <c r="B384" s="845">
        <v>2</v>
      </c>
      <c r="C384" s="1344"/>
      <c r="D384" s="1344"/>
      <c r="E384" s="1344"/>
      <c r="F384" s="857"/>
      <c r="G384" s="857"/>
      <c r="H384" s="875" t="str">
        <f t="shared" si="17"/>
        <v/>
      </c>
      <c r="J384" s="101"/>
      <c r="K384" s="101"/>
      <c r="L384" s="101"/>
      <c r="Z384" s="86"/>
      <c r="AA384" s="86"/>
      <c r="AB384" s="86"/>
      <c r="AC384" s="86"/>
      <c r="AD384" s="86"/>
      <c r="AE384" s="86"/>
      <c r="AF384" s="86"/>
      <c r="AG384" s="86"/>
      <c r="AH384" s="86"/>
      <c r="AI384" s="86"/>
      <c r="AJ384" s="86"/>
      <c r="AK384" s="86"/>
      <c r="AL384" s="86"/>
      <c r="AM384" s="86"/>
      <c r="AN384" s="86"/>
      <c r="AO384" s="86"/>
      <c r="AP384" s="86"/>
      <c r="AQ384" s="86"/>
      <c r="AR384" s="86"/>
      <c r="AS384" s="86"/>
      <c r="AT384" s="86"/>
      <c r="AU384" s="86"/>
      <c r="AV384" s="86"/>
      <c r="AW384" s="86"/>
      <c r="AX384" s="86"/>
      <c r="AY384" s="86"/>
      <c r="AZ384" s="86"/>
      <c r="BA384" s="86"/>
      <c r="BB384" s="86"/>
      <c r="BC384" s="86"/>
      <c r="BD384" s="86"/>
      <c r="BE384" s="86"/>
      <c r="BF384" s="86"/>
      <c r="BG384" s="86"/>
      <c r="BH384" s="86"/>
      <c r="BI384" s="86"/>
      <c r="BJ384" s="86"/>
      <c r="BK384" s="86"/>
      <c r="BL384" s="86"/>
      <c r="BM384" s="86"/>
      <c r="BN384" s="86"/>
      <c r="BO384" s="86"/>
      <c r="BP384" s="86"/>
      <c r="BQ384" s="86"/>
      <c r="BR384" s="86"/>
      <c r="BS384" s="86"/>
      <c r="BT384" s="86"/>
      <c r="BU384" s="86"/>
      <c r="BV384" s="86"/>
      <c r="BW384" s="86"/>
      <c r="BX384" s="86"/>
      <c r="BY384" s="86"/>
      <c r="BZ384" s="86"/>
      <c r="CA384" s="86"/>
      <c r="CB384" s="86"/>
      <c r="CC384" s="86"/>
      <c r="CD384" s="86"/>
      <c r="CE384" s="86"/>
      <c r="CF384" s="86"/>
      <c r="CG384" s="86"/>
      <c r="CH384" s="86"/>
      <c r="CI384" s="86"/>
      <c r="CJ384" s="86"/>
      <c r="CK384" s="86"/>
      <c r="CL384" s="86"/>
      <c r="CM384" s="86"/>
      <c r="CN384" s="86"/>
      <c r="CO384" s="86"/>
      <c r="CP384" s="86"/>
      <c r="CQ384" s="86"/>
      <c r="CR384" s="86"/>
      <c r="CS384" s="86"/>
      <c r="CT384" s="86"/>
      <c r="CU384" s="86"/>
      <c r="CV384" s="86"/>
      <c r="CW384" s="86"/>
      <c r="CX384" s="86"/>
      <c r="CY384" s="86"/>
      <c r="CZ384" s="86"/>
      <c r="DA384" s="86"/>
      <c r="DB384" s="86"/>
      <c r="DC384" s="86"/>
      <c r="DD384" s="86"/>
      <c r="DE384" s="86"/>
      <c r="DF384" s="86"/>
      <c r="DG384" s="86"/>
      <c r="DH384" s="86"/>
      <c r="DI384" s="86"/>
      <c r="DJ384" s="86"/>
      <c r="DK384" s="86"/>
      <c r="DL384" s="86"/>
      <c r="DM384" s="86"/>
      <c r="DN384" s="86"/>
      <c r="DO384" s="86"/>
      <c r="DP384" s="86"/>
      <c r="DQ384" s="86"/>
      <c r="DR384" s="86"/>
      <c r="DS384" s="86"/>
      <c r="DT384" s="86"/>
      <c r="DU384" s="86"/>
      <c r="DV384" s="86"/>
      <c r="DW384" s="86"/>
      <c r="DX384" s="86"/>
      <c r="DY384" s="86"/>
      <c r="DZ384" s="86"/>
      <c r="EA384" s="86"/>
      <c r="EB384" s="86"/>
      <c r="EC384" s="86"/>
      <c r="ED384" s="86"/>
      <c r="EE384" s="86"/>
      <c r="EF384" s="86"/>
      <c r="EG384" s="86"/>
      <c r="EH384" s="86"/>
      <c r="EI384" s="86"/>
      <c r="EJ384" s="86"/>
      <c r="EK384" s="86"/>
      <c r="EL384" s="86"/>
      <c r="EM384" s="86"/>
      <c r="EN384" s="86"/>
      <c r="EO384" s="86"/>
      <c r="EP384" s="86"/>
      <c r="EQ384" s="86"/>
      <c r="ER384" s="86"/>
      <c r="ES384" s="86"/>
      <c r="ET384" s="86"/>
      <c r="EU384" s="86"/>
      <c r="EV384" s="86"/>
      <c r="EW384" s="86"/>
      <c r="EX384" s="86"/>
      <c r="EY384" s="86"/>
      <c r="EZ384" s="86"/>
      <c r="FA384" s="86"/>
    </row>
    <row r="385" spans="2:157" ht="9.75" customHeight="1">
      <c r="B385" s="845">
        <v>3</v>
      </c>
      <c r="C385" s="1344"/>
      <c r="D385" s="1344"/>
      <c r="E385" s="1344"/>
      <c r="F385" s="857"/>
      <c r="G385" s="857"/>
      <c r="H385" s="875" t="str">
        <f t="shared" si="17"/>
        <v/>
      </c>
      <c r="J385" s="101"/>
      <c r="K385" s="101"/>
      <c r="L385" s="101"/>
      <c r="Z385" s="86"/>
      <c r="AA385" s="86"/>
      <c r="AB385" s="86"/>
      <c r="AC385" s="86"/>
      <c r="AD385" s="86"/>
      <c r="AE385" s="86"/>
      <c r="AF385" s="86"/>
      <c r="AG385" s="86"/>
      <c r="AH385" s="86"/>
      <c r="AI385" s="86"/>
      <c r="AJ385" s="86"/>
      <c r="AK385" s="86"/>
      <c r="AL385" s="86"/>
      <c r="AM385" s="86"/>
      <c r="AN385" s="86"/>
      <c r="AO385" s="86"/>
      <c r="AP385" s="86"/>
      <c r="AQ385" s="86"/>
      <c r="AR385" s="86"/>
      <c r="AS385" s="86"/>
      <c r="AT385" s="86"/>
      <c r="AU385" s="86"/>
      <c r="AV385" s="86"/>
      <c r="AW385" s="86"/>
      <c r="AX385" s="86"/>
      <c r="AY385" s="86"/>
      <c r="AZ385" s="86"/>
      <c r="BA385" s="86"/>
      <c r="BB385" s="86"/>
      <c r="BC385" s="86"/>
      <c r="BD385" s="86"/>
      <c r="BE385" s="86"/>
      <c r="BF385" s="86"/>
      <c r="BG385" s="86"/>
      <c r="BH385" s="86"/>
      <c r="BI385" s="86"/>
      <c r="BJ385" s="86"/>
      <c r="BK385" s="86"/>
      <c r="BL385" s="86"/>
      <c r="BM385" s="86"/>
      <c r="BN385" s="86"/>
      <c r="BO385" s="86"/>
      <c r="BP385" s="86"/>
      <c r="BQ385" s="86"/>
      <c r="BR385" s="86"/>
      <c r="BS385" s="86"/>
      <c r="BT385" s="86"/>
      <c r="BU385" s="86"/>
      <c r="BV385" s="86"/>
      <c r="BW385" s="86"/>
      <c r="BX385" s="86"/>
      <c r="BY385" s="86"/>
      <c r="BZ385" s="86"/>
      <c r="CA385" s="86"/>
      <c r="CB385" s="86"/>
      <c r="CC385" s="86"/>
      <c r="CD385" s="86"/>
      <c r="CE385" s="86"/>
      <c r="CF385" s="86"/>
      <c r="CG385" s="86"/>
      <c r="CH385" s="86"/>
      <c r="CI385" s="86"/>
      <c r="CJ385" s="86"/>
      <c r="CK385" s="86"/>
      <c r="CL385" s="86"/>
      <c r="CM385" s="86"/>
      <c r="CN385" s="86"/>
      <c r="CO385" s="86"/>
      <c r="CP385" s="86"/>
      <c r="CQ385" s="86"/>
      <c r="CR385" s="86"/>
      <c r="CS385" s="86"/>
      <c r="CT385" s="86"/>
      <c r="CU385" s="86"/>
      <c r="CV385" s="86"/>
      <c r="CW385" s="86"/>
      <c r="CX385" s="86"/>
      <c r="CY385" s="86"/>
      <c r="CZ385" s="86"/>
      <c r="DA385" s="86"/>
      <c r="DB385" s="86"/>
      <c r="DC385" s="86"/>
      <c r="DD385" s="86"/>
      <c r="DE385" s="86"/>
      <c r="DF385" s="86"/>
      <c r="DG385" s="86"/>
      <c r="DH385" s="86"/>
      <c r="DI385" s="86"/>
      <c r="DJ385" s="86"/>
      <c r="DK385" s="86"/>
      <c r="DL385" s="86"/>
      <c r="DM385" s="86"/>
      <c r="DN385" s="86"/>
      <c r="DO385" s="86"/>
      <c r="DP385" s="86"/>
      <c r="DQ385" s="86"/>
      <c r="DR385" s="86"/>
      <c r="DS385" s="86"/>
      <c r="DT385" s="86"/>
      <c r="DU385" s="86"/>
      <c r="DV385" s="86"/>
      <c r="DW385" s="86"/>
      <c r="DX385" s="86"/>
      <c r="DY385" s="86"/>
      <c r="DZ385" s="86"/>
      <c r="EA385" s="86"/>
      <c r="EB385" s="86"/>
      <c r="EC385" s="86"/>
      <c r="ED385" s="86"/>
      <c r="EE385" s="86"/>
      <c r="EF385" s="86"/>
      <c r="EG385" s="86"/>
      <c r="EH385" s="86"/>
      <c r="EI385" s="86"/>
      <c r="EJ385" s="86"/>
      <c r="EK385" s="86"/>
      <c r="EL385" s="86"/>
      <c r="EM385" s="86"/>
      <c r="EN385" s="86"/>
      <c r="EO385" s="86"/>
      <c r="EP385" s="86"/>
      <c r="EQ385" s="86"/>
      <c r="ER385" s="86"/>
      <c r="ES385" s="86"/>
      <c r="ET385" s="86"/>
      <c r="EU385" s="86"/>
      <c r="EV385" s="86"/>
      <c r="EW385" s="86"/>
      <c r="EX385" s="86"/>
      <c r="EY385" s="86"/>
      <c r="EZ385" s="86"/>
      <c r="FA385" s="86"/>
    </row>
    <row r="386" spans="2:157" ht="9.75" customHeight="1">
      <c r="B386" s="845">
        <v>4</v>
      </c>
      <c r="C386" s="1344"/>
      <c r="D386" s="1344"/>
      <c r="E386" s="1344"/>
      <c r="F386" s="857"/>
      <c r="G386" s="857"/>
      <c r="H386" s="875" t="str">
        <f t="shared" si="17"/>
        <v/>
      </c>
      <c r="J386" s="101"/>
      <c r="K386" s="101"/>
      <c r="L386" s="101"/>
      <c r="Z386" s="86"/>
      <c r="AA386" s="86"/>
      <c r="AB386" s="86"/>
      <c r="AC386" s="86"/>
      <c r="AD386" s="86"/>
      <c r="AE386" s="86"/>
      <c r="AF386" s="86"/>
      <c r="AG386" s="86"/>
      <c r="AH386" s="86"/>
      <c r="AI386" s="86"/>
      <c r="AJ386" s="86"/>
      <c r="AK386" s="86"/>
      <c r="AL386" s="86"/>
      <c r="AM386" s="86"/>
      <c r="AN386" s="86"/>
      <c r="AO386" s="86"/>
      <c r="AP386" s="86"/>
      <c r="AQ386" s="86"/>
      <c r="AR386" s="86"/>
      <c r="AS386" s="86"/>
      <c r="AT386" s="86"/>
      <c r="AU386" s="86"/>
      <c r="AV386" s="86"/>
      <c r="AW386" s="86"/>
      <c r="AX386" s="86"/>
      <c r="AY386" s="86"/>
      <c r="AZ386" s="86"/>
      <c r="BA386" s="86"/>
      <c r="BB386" s="86"/>
      <c r="BC386" s="86"/>
      <c r="BD386" s="86"/>
      <c r="BE386" s="86"/>
      <c r="BF386" s="86"/>
      <c r="BG386" s="86"/>
      <c r="BH386" s="86"/>
      <c r="BI386" s="86"/>
      <c r="BJ386" s="86"/>
      <c r="BK386" s="86"/>
      <c r="BL386" s="86"/>
      <c r="BM386" s="86"/>
      <c r="BN386" s="86"/>
      <c r="BO386" s="86"/>
      <c r="BP386" s="86"/>
      <c r="BQ386" s="86"/>
      <c r="BR386" s="86"/>
      <c r="BS386" s="86"/>
      <c r="BT386" s="86"/>
      <c r="BU386" s="86"/>
      <c r="BV386" s="86"/>
      <c r="BW386" s="86"/>
      <c r="BX386" s="86"/>
      <c r="BY386" s="86"/>
      <c r="BZ386" s="86"/>
      <c r="CA386" s="86"/>
      <c r="CB386" s="86"/>
      <c r="CC386" s="86"/>
      <c r="CD386" s="86"/>
      <c r="CE386" s="86"/>
      <c r="CF386" s="86"/>
      <c r="CG386" s="86"/>
      <c r="CH386" s="86"/>
      <c r="CI386" s="86"/>
      <c r="CJ386" s="86"/>
      <c r="CK386" s="86"/>
      <c r="CL386" s="86"/>
      <c r="CM386" s="86"/>
      <c r="CN386" s="86"/>
      <c r="CO386" s="86"/>
      <c r="CP386" s="86"/>
      <c r="CQ386" s="86"/>
      <c r="CR386" s="86"/>
      <c r="CS386" s="86"/>
      <c r="CT386" s="86"/>
      <c r="CU386" s="86"/>
      <c r="CV386" s="86"/>
      <c r="CW386" s="86"/>
      <c r="CX386" s="86"/>
      <c r="CY386" s="86"/>
      <c r="CZ386" s="86"/>
      <c r="DA386" s="86"/>
      <c r="DB386" s="86"/>
      <c r="DC386" s="86"/>
      <c r="DD386" s="86"/>
      <c r="DE386" s="86"/>
      <c r="DF386" s="86"/>
      <c r="DG386" s="86"/>
      <c r="DH386" s="86"/>
      <c r="DI386" s="86"/>
      <c r="DJ386" s="86"/>
      <c r="DK386" s="86"/>
      <c r="DL386" s="86"/>
      <c r="DM386" s="86"/>
      <c r="DN386" s="86"/>
      <c r="DO386" s="86"/>
      <c r="DP386" s="86"/>
      <c r="DQ386" s="86"/>
      <c r="DR386" s="86"/>
      <c r="DS386" s="86"/>
      <c r="DT386" s="86"/>
      <c r="DU386" s="86"/>
      <c r="DV386" s="86"/>
      <c r="DW386" s="86"/>
      <c r="DX386" s="86"/>
      <c r="DY386" s="86"/>
      <c r="DZ386" s="86"/>
      <c r="EA386" s="86"/>
      <c r="EB386" s="86"/>
      <c r="EC386" s="86"/>
      <c r="ED386" s="86"/>
      <c r="EE386" s="86"/>
      <c r="EF386" s="86"/>
      <c r="EG386" s="86"/>
      <c r="EH386" s="86"/>
      <c r="EI386" s="86"/>
      <c r="EJ386" s="86"/>
      <c r="EK386" s="86"/>
      <c r="EL386" s="86"/>
      <c r="EM386" s="86"/>
      <c r="EN386" s="86"/>
      <c r="EO386" s="86"/>
      <c r="EP386" s="86"/>
      <c r="EQ386" s="86"/>
      <c r="ER386" s="86"/>
      <c r="ES386" s="86"/>
      <c r="ET386" s="86"/>
      <c r="EU386" s="86"/>
      <c r="EV386" s="86"/>
      <c r="EW386" s="86"/>
      <c r="EX386" s="86"/>
      <c r="EY386" s="86"/>
      <c r="EZ386" s="86"/>
      <c r="FA386" s="86"/>
    </row>
    <row r="387" spans="2:157" ht="9.75" customHeight="1">
      <c r="B387" s="845">
        <v>5</v>
      </c>
      <c r="C387" s="1344"/>
      <c r="D387" s="1344"/>
      <c r="E387" s="1344"/>
      <c r="F387" s="857"/>
      <c r="G387" s="857"/>
      <c r="H387" s="875" t="str">
        <f t="shared" si="17"/>
        <v/>
      </c>
      <c r="J387" s="101"/>
      <c r="K387" s="101"/>
      <c r="L387" s="101"/>
      <c r="Z387" s="86"/>
      <c r="AA387" s="86"/>
      <c r="AB387" s="86"/>
      <c r="AC387" s="86"/>
      <c r="AD387" s="86"/>
      <c r="AE387" s="86"/>
      <c r="AF387" s="86"/>
      <c r="AG387" s="86"/>
      <c r="AH387" s="86"/>
      <c r="AI387" s="86"/>
      <c r="AJ387" s="86"/>
      <c r="AK387" s="86"/>
      <c r="AL387" s="86"/>
      <c r="AM387" s="86"/>
      <c r="AN387" s="86"/>
      <c r="AO387" s="86"/>
      <c r="AP387" s="86"/>
      <c r="AQ387" s="86"/>
      <c r="AR387" s="86"/>
      <c r="AS387" s="86"/>
      <c r="AT387" s="86"/>
      <c r="AU387" s="86"/>
      <c r="AV387" s="86"/>
      <c r="AW387" s="86"/>
      <c r="AX387" s="86"/>
      <c r="AY387" s="86"/>
      <c r="AZ387" s="86"/>
      <c r="BA387" s="86"/>
      <c r="BB387" s="86"/>
      <c r="BC387" s="86"/>
      <c r="BD387" s="86"/>
      <c r="BE387" s="86"/>
      <c r="BF387" s="86"/>
      <c r="BG387" s="86"/>
      <c r="BH387" s="86"/>
      <c r="BI387" s="86"/>
      <c r="BJ387" s="86"/>
      <c r="BK387" s="86"/>
      <c r="BL387" s="86"/>
      <c r="BM387" s="86"/>
      <c r="BN387" s="86"/>
      <c r="BO387" s="86"/>
      <c r="BP387" s="86"/>
      <c r="BQ387" s="86"/>
      <c r="BR387" s="86"/>
      <c r="BS387" s="86"/>
      <c r="BT387" s="86"/>
      <c r="BU387" s="86"/>
      <c r="BV387" s="86"/>
      <c r="BW387" s="86"/>
      <c r="BX387" s="86"/>
      <c r="BY387" s="86"/>
      <c r="BZ387" s="86"/>
      <c r="CA387" s="86"/>
      <c r="CB387" s="86"/>
      <c r="CC387" s="86"/>
      <c r="CD387" s="86"/>
      <c r="CE387" s="86"/>
      <c r="CF387" s="86"/>
      <c r="CG387" s="86"/>
      <c r="CH387" s="86"/>
      <c r="CI387" s="86"/>
      <c r="CJ387" s="86"/>
      <c r="CK387" s="86"/>
      <c r="CL387" s="86"/>
      <c r="CM387" s="86"/>
      <c r="CN387" s="86"/>
      <c r="CO387" s="86"/>
      <c r="CP387" s="86"/>
      <c r="CQ387" s="86"/>
      <c r="CR387" s="86"/>
      <c r="CS387" s="86"/>
      <c r="CT387" s="86"/>
      <c r="CU387" s="86"/>
      <c r="CV387" s="86"/>
      <c r="CW387" s="86"/>
      <c r="CX387" s="86"/>
      <c r="CY387" s="86"/>
      <c r="CZ387" s="86"/>
      <c r="DA387" s="86"/>
      <c r="DB387" s="86"/>
      <c r="DC387" s="86"/>
      <c r="DD387" s="86"/>
      <c r="DE387" s="86"/>
      <c r="DF387" s="86"/>
      <c r="DG387" s="86"/>
      <c r="DH387" s="86"/>
      <c r="DI387" s="86"/>
      <c r="DJ387" s="86"/>
      <c r="DK387" s="86"/>
      <c r="DL387" s="86"/>
      <c r="DM387" s="86"/>
      <c r="DN387" s="86"/>
      <c r="DO387" s="86"/>
      <c r="DP387" s="86"/>
      <c r="DQ387" s="86"/>
      <c r="DR387" s="86"/>
      <c r="DS387" s="86"/>
      <c r="DT387" s="86"/>
      <c r="DU387" s="86"/>
      <c r="DV387" s="86"/>
      <c r="DW387" s="86"/>
      <c r="DX387" s="86"/>
      <c r="DY387" s="86"/>
      <c r="DZ387" s="86"/>
      <c r="EA387" s="86"/>
      <c r="EB387" s="86"/>
      <c r="EC387" s="86"/>
      <c r="ED387" s="86"/>
      <c r="EE387" s="86"/>
      <c r="EF387" s="86"/>
      <c r="EG387" s="86"/>
      <c r="EH387" s="86"/>
      <c r="EI387" s="86"/>
      <c r="EJ387" s="86"/>
      <c r="EK387" s="86"/>
      <c r="EL387" s="86"/>
      <c r="EM387" s="86"/>
      <c r="EN387" s="86"/>
      <c r="EO387" s="86"/>
      <c r="EP387" s="86"/>
      <c r="EQ387" s="86"/>
      <c r="ER387" s="86"/>
      <c r="ES387" s="86"/>
      <c r="ET387" s="86"/>
      <c r="EU387" s="86"/>
      <c r="EV387" s="86"/>
      <c r="EW387" s="86"/>
      <c r="EX387" s="86"/>
      <c r="EY387" s="86"/>
      <c r="EZ387" s="86"/>
      <c r="FA387" s="86"/>
    </row>
    <row r="388" spans="2:157" ht="9.75" customHeight="1">
      <c r="B388" s="845">
        <v>6</v>
      </c>
      <c r="C388" s="1344"/>
      <c r="D388" s="1344"/>
      <c r="E388" s="1344"/>
      <c r="F388" s="857"/>
      <c r="G388" s="857"/>
      <c r="H388" s="875" t="str">
        <f t="shared" si="17"/>
        <v/>
      </c>
      <c r="J388" s="101"/>
      <c r="K388" s="101"/>
      <c r="L388" s="101"/>
      <c r="Z388" s="86"/>
      <c r="AA388" s="86"/>
      <c r="AB388" s="86"/>
      <c r="AC388" s="86"/>
      <c r="AD388" s="86"/>
      <c r="AE388" s="86"/>
      <c r="AF388" s="86"/>
      <c r="AG388" s="86"/>
      <c r="AH388" s="86"/>
      <c r="AI388" s="86"/>
      <c r="AJ388" s="86"/>
      <c r="AK388" s="86"/>
      <c r="AL388" s="86"/>
      <c r="AM388" s="86"/>
      <c r="AN388" s="86"/>
      <c r="AO388" s="86"/>
      <c r="AP388" s="86"/>
      <c r="AQ388" s="86"/>
      <c r="AR388" s="86"/>
      <c r="AS388" s="86"/>
      <c r="AT388" s="86"/>
      <c r="AU388" s="86"/>
      <c r="AV388" s="86"/>
      <c r="AW388" s="86"/>
      <c r="AX388" s="86"/>
      <c r="AY388" s="86"/>
      <c r="AZ388" s="86"/>
      <c r="BA388" s="86"/>
      <c r="BB388" s="86"/>
      <c r="BC388" s="86"/>
      <c r="BD388" s="86"/>
      <c r="BE388" s="86"/>
      <c r="BF388" s="86"/>
      <c r="BG388" s="86"/>
      <c r="BH388" s="86"/>
      <c r="BI388" s="86"/>
      <c r="BJ388" s="86"/>
      <c r="BK388" s="86"/>
      <c r="BL388" s="86"/>
      <c r="BM388" s="86"/>
      <c r="BN388" s="86"/>
      <c r="BO388" s="86"/>
      <c r="BP388" s="86"/>
      <c r="BQ388" s="86"/>
      <c r="BR388" s="86"/>
      <c r="BS388" s="86"/>
      <c r="BT388" s="86"/>
      <c r="BU388" s="86"/>
      <c r="BV388" s="86"/>
      <c r="BW388" s="86"/>
      <c r="BX388" s="86"/>
      <c r="BY388" s="86"/>
      <c r="BZ388" s="86"/>
      <c r="CA388" s="86"/>
      <c r="CB388" s="86"/>
      <c r="CC388" s="86"/>
      <c r="CD388" s="86"/>
      <c r="CE388" s="86"/>
      <c r="CF388" s="86"/>
      <c r="CG388" s="86"/>
      <c r="CH388" s="86"/>
      <c r="CI388" s="86"/>
      <c r="CJ388" s="86"/>
      <c r="CK388" s="86"/>
      <c r="CL388" s="86"/>
      <c r="CM388" s="86"/>
      <c r="CN388" s="86"/>
      <c r="CO388" s="86"/>
      <c r="CP388" s="86"/>
      <c r="CQ388" s="86"/>
      <c r="CR388" s="86"/>
      <c r="CS388" s="86"/>
      <c r="CT388" s="86"/>
      <c r="CU388" s="86"/>
      <c r="CV388" s="86"/>
      <c r="CW388" s="86"/>
      <c r="CX388" s="86"/>
      <c r="CY388" s="86"/>
      <c r="CZ388" s="86"/>
      <c r="DA388" s="86"/>
      <c r="DB388" s="86"/>
      <c r="DC388" s="86"/>
      <c r="DD388" s="86"/>
      <c r="DE388" s="86"/>
      <c r="DF388" s="86"/>
      <c r="DG388" s="86"/>
      <c r="DH388" s="86"/>
      <c r="DI388" s="86"/>
      <c r="DJ388" s="86"/>
      <c r="DK388" s="86"/>
      <c r="DL388" s="86"/>
      <c r="DM388" s="86"/>
      <c r="DN388" s="86"/>
      <c r="DO388" s="86"/>
      <c r="DP388" s="86"/>
      <c r="DQ388" s="86"/>
      <c r="DR388" s="86"/>
      <c r="DS388" s="86"/>
      <c r="DT388" s="86"/>
      <c r="DU388" s="86"/>
      <c r="DV388" s="86"/>
      <c r="DW388" s="86"/>
      <c r="DX388" s="86"/>
      <c r="DY388" s="86"/>
      <c r="DZ388" s="86"/>
      <c r="EA388" s="86"/>
      <c r="EB388" s="86"/>
      <c r="EC388" s="86"/>
      <c r="ED388" s="86"/>
      <c r="EE388" s="86"/>
      <c r="EF388" s="86"/>
      <c r="EG388" s="86"/>
      <c r="EH388" s="86"/>
      <c r="EI388" s="86"/>
      <c r="EJ388" s="86"/>
      <c r="EK388" s="86"/>
      <c r="EL388" s="86"/>
      <c r="EM388" s="86"/>
      <c r="EN388" s="86"/>
      <c r="EO388" s="86"/>
      <c r="EP388" s="86"/>
      <c r="EQ388" s="86"/>
      <c r="ER388" s="86"/>
      <c r="ES388" s="86"/>
      <c r="ET388" s="86"/>
      <c r="EU388" s="86"/>
      <c r="EV388" s="86"/>
      <c r="EW388" s="86"/>
      <c r="EX388" s="86"/>
      <c r="EY388" s="86"/>
      <c r="EZ388" s="86"/>
      <c r="FA388" s="86"/>
    </row>
    <row r="389" spans="2:157" ht="9.75" customHeight="1">
      <c r="B389" s="845">
        <v>7</v>
      </c>
      <c r="C389" s="1344"/>
      <c r="D389" s="1344"/>
      <c r="E389" s="1344"/>
      <c r="F389" s="857"/>
      <c r="G389" s="857"/>
      <c r="H389" s="875" t="str">
        <f t="shared" si="17"/>
        <v/>
      </c>
      <c r="J389" s="101"/>
      <c r="K389" s="101"/>
      <c r="L389" s="101"/>
      <c r="Z389" s="86"/>
      <c r="AA389" s="86"/>
      <c r="AB389" s="86"/>
      <c r="AC389" s="86"/>
      <c r="AD389" s="86"/>
      <c r="AE389" s="86"/>
      <c r="AF389" s="86"/>
      <c r="AG389" s="86"/>
      <c r="AH389" s="86"/>
      <c r="AI389" s="86"/>
      <c r="AJ389" s="86"/>
      <c r="AK389" s="86"/>
      <c r="AL389" s="86"/>
      <c r="AM389" s="86"/>
      <c r="AN389" s="86"/>
      <c r="AO389" s="86"/>
      <c r="AP389" s="86"/>
      <c r="AQ389" s="86"/>
      <c r="AR389" s="86"/>
      <c r="AS389" s="86"/>
      <c r="AT389" s="86"/>
      <c r="AU389" s="86"/>
      <c r="AV389" s="86"/>
      <c r="AW389" s="86"/>
      <c r="AX389" s="86"/>
      <c r="AY389" s="86"/>
      <c r="AZ389" s="86"/>
      <c r="BA389" s="86"/>
      <c r="BB389" s="86"/>
      <c r="BC389" s="86"/>
      <c r="BD389" s="86"/>
      <c r="BE389" s="86"/>
      <c r="BF389" s="86"/>
      <c r="BG389" s="86"/>
      <c r="BH389" s="86"/>
      <c r="BI389" s="86"/>
      <c r="BJ389" s="86"/>
      <c r="BK389" s="86"/>
      <c r="BL389" s="86"/>
      <c r="BM389" s="86"/>
      <c r="BN389" s="86"/>
      <c r="BO389" s="86"/>
      <c r="BP389" s="86"/>
      <c r="BQ389" s="86"/>
      <c r="BR389" s="86"/>
      <c r="BS389" s="86"/>
      <c r="BT389" s="86"/>
      <c r="BU389" s="86"/>
      <c r="BV389" s="86"/>
      <c r="BW389" s="86"/>
      <c r="BX389" s="86"/>
      <c r="BY389" s="86"/>
      <c r="BZ389" s="86"/>
      <c r="CA389" s="86"/>
      <c r="CB389" s="86"/>
      <c r="CC389" s="86"/>
      <c r="CD389" s="86"/>
      <c r="CE389" s="86"/>
      <c r="CF389" s="86"/>
      <c r="CG389" s="86"/>
      <c r="CH389" s="86"/>
      <c r="CI389" s="86"/>
      <c r="CJ389" s="86"/>
      <c r="CK389" s="86"/>
      <c r="CL389" s="86"/>
      <c r="CM389" s="86"/>
      <c r="CN389" s="86"/>
      <c r="CO389" s="86"/>
      <c r="CP389" s="86"/>
      <c r="CQ389" s="86"/>
      <c r="CR389" s="86"/>
      <c r="CS389" s="86"/>
      <c r="CT389" s="86"/>
      <c r="CU389" s="86"/>
      <c r="CV389" s="86"/>
      <c r="CW389" s="86"/>
      <c r="CX389" s="86"/>
      <c r="CY389" s="86"/>
      <c r="CZ389" s="86"/>
      <c r="DA389" s="86"/>
      <c r="DB389" s="86"/>
      <c r="DC389" s="86"/>
      <c r="DD389" s="86"/>
      <c r="DE389" s="86"/>
      <c r="DF389" s="86"/>
      <c r="DG389" s="86"/>
      <c r="DH389" s="86"/>
      <c r="DI389" s="86"/>
      <c r="DJ389" s="86"/>
      <c r="DK389" s="86"/>
      <c r="DL389" s="86"/>
      <c r="DM389" s="86"/>
      <c r="DN389" s="86"/>
      <c r="DO389" s="86"/>
      <c r="DP389" s="86"/>
      <c r="DQ389" s="86"/>
      <c r="DR389" s="86"/>
      <c r="DS389" s="86"/>
      <c r="DT389" s="86"/>
      <c r="DU389" s="86"/>
      <c r="DV389" s="86"/>
      <c r="DW389" s="86"/>
      <c r="DX389" s="86"/>
      <c r="DY389" s="86"/>
      <c r="DZ389" s="86"/>
      <c r="EA389" s="86"/>
      <c r="EB389" s="86"/>
      <c r="EC389" s="86"/>
      <c r="ED389" s="86"/>
      <c r="EE389" s="86"/>
      <c r="EF389" s="86"/>
      <c r="EG389" s="86"/>
      <c r="EH389" s="86"/>
      <c r="EI389" s="86"/>
      <c r="EJ389" s="86"/>
      <c r="EK389" s="86"/>
      <c r="EL389" s="86"/>
      <c r="EM389" s="86"/>
      <c r="EN389" s="86"/>
      <c r="EO389" s="86"/>
      <c r="EP389" s="86"/>
      <c r="EQ389" s="86"/>
      <c r="ER389" s="86"/>
      <c r="ES389" s="86"/>
      <c r="ET389" s="86"/>
      <c r="EU389" s="86"/>
      <c r="EV389" s="86"/>
      <c r="EW389" s="86"/>
      <c r="EX389" s="86"/>
      <c r="EY389" s="86"/>
      <c r="EZ389" s="86"/>
      <c r="FA389" s="86"/>
    </row>
    <row r="390" spans="2:157" ht="9.75" customHeight="1">
      <c r="B390" s="845">
        <v>8</v>
      </c>
      <c r="C390" s="1344"/>
      <c r="D390" s="1344"/>
      <c r="E390" s="1344"/>
      <c r="F390" s="857"/>
      <c r="G390" s="857"/>
      <c r="H390" s="875" t="str">
        <f t="shared" si="17"/>
        <v/>
      </c>
      <c r="J390" s="101"/>
      <c r="K390" s="101"/>
      <c r="L390" s="101"/>
      <c r="Z390" s="86"/>
      <c r="AA390" s="86"/>
      <c r="AB390" s="86"/>
      <c r="AC390" s="86"/>
      <c r="AD390" s="86"/>
      <c r="AE390" s="86"/>
      <c r="AF390" s="86"/>
      <c r="AG390" s="86"/>
      <c r="AH390" s="86"/>
      <c r="AI390" s="86"/>
      <c r="AJ390" s="86"/>
      <c r="AK390" s="86"/>
      <c r="AL390" s="86"/>
      <c r="AM390" s="86"/>
      <c r="AN390" s="86"/>
      <c r="AO390" s="86"/>
      <c r="AP390" s="86"/>
      <c r="AQ390" s="86"/>
      <c r="AR390" s="86"/>
      <c r="AS390" s="86"/>
      <c r="AT390" s="86"/>
      <c r="AU390" s="86"/>
      <c r="AV390" s="86"/>
      <c r="AW390" s="86"/>
      <c r="AX390" s="86"/>
      <c r="AY390" s="86"/>
      <c r="AZ390" s="86"/>
      <c r="BA390" s="86"/>
      <c r="BB390" s="86"/>
      <c r="BC390" s="86"/>
      <c r="BD390" s="86"/>
      <c r="BE390" s="86"/>
      <c r="BF390" s="86"/>
      <c r="BG390" s="86"/>
      <c r="BH390" s="86"/>
      <c r="BI390" s="86"/>
      <c r="BJ390" s="86"/>
      <c r="BK390" s="86"/>
      <c r="BL390" s="86"/>
      <c r="BM390" s="86"/>
      <c r="BN390" s="86"/>
      <c r="BO390" s="86"/>
      <c r="BP390" s="86"/>
      <c r="BQ390" s="86"/>
      <c r="BR390" s="86"/>
      <c r="BS390" s="86"/>
      <c r="BT390" s="86"/>
      <c r="BU390" s="86"/>
      <c r="BV390" s="86"/>
      <c r="BW390" s="86"/>
      <c r="BX390" s="86"/>
      <c r="BY390" s="86"/>
      <c r="BZ390" s="86"/>
      <c r="CA390" s="86"/>
      <c r="CB390" s="86"/>
      <c r="CC390" s="86"/>
      <c r="CD390" s="86"/>
      <c r="CE390" s="86"/>
      <c r="CF390" s="86"/>
      <c r="CG390" s="86"/>
      <c r="CH390" s="86"/>
      <c r="CI390" s="86"/>
      <c r="CJ390" s="86"/>
      <c r="CK390" s="86"/>
      <c r="CL390" s="86"/>
      <c r="CM390" s="86"/>
      <c r="CN390" s="86"/>
      <c r="CO390" s="86"/>
      <c r="CP390" s="86"/>
      <c r="CQ390" s="86"/>
      <c r="CR390" s="86"/>
      <c r="CS390" s="86"/>
      <c r="CT390" s="86"/>
      <c r="CU390" s="86"/>
      <c r="CV390" s="86"/>
      <c r="CW390" s="86"/>
      <c r="CX390" s="86"/>
      <c r="CY390" s="86"/>
      <c r="CZ390" s="86"/>
      <c r="DA390" s="86"/>
      <c r="DB390" s="86"/>
      <c r="DC390" s="86"/>
      <c r="DD390" s="86"/>
      <c r="DE390" s="86"/>
      <c r="DF390" s="86"/>
      <c r="DG390" s="86"/>
      <c r="DH390" s="86"/>
      <c r="DI390" s="86"/>
      <c r="DJ390" s="86"/>
      <c r="DK390" s="86"/>
      <c r="DL390" s="86"/>
      <c r="DM390" s="86"/>
      <c r="DN390" s="86"/>
      <c r="DO390" s="86"/>
      <c r="DP390" s="86"/>
      <c r="DQ390" s="86"/>
      <c r="DR390" s="86"/>
      <c r="DS390" s="86"/>
      <c r="DT390" s="86"/>
      <c r="DU390" s="86"/>
      <c r="DV390" s="86"/>
      <c r="DW390" s="86"/>
      <c r="DX390" s="86"/>
      <c r="DY390" s="86"/>
      <c r="DZ390" s="86"/>
      <c r="EA390" s="86"/>
      <c r="EB390" s="86"/>
      <c r="EC390" s="86"/>
      <c r="ED390" s="86"/>
      <c r="EE390" s="86"/>
      <c r="EF390" s="86"/>
      <c r="EG390" s="86"/>
      <c r="EH390" s="86"/>
      <c r="EI390" s="86"/>
      <c r="EJ390" s="86"/>
      <c r="EK390" s="86"/>
      <c r="EL390" s="86"/>
      <c r="EM390" s="86"/>
      <c r="EN390" s="86"/>
      <c r="EO390" s="86"/>
      <c r="EP390" s="86"/>
      <c r="EQ390" s="86"/>
      <c r="ER390" s="86"/>
      <c r="ES390" s="86"/>
      <c r="ET390" s="86"/>
      <c r="EU390" s="86"/>
      <c r="EV390" s="86"/>
      <c r="EW390" s="86"/>
      <c r="EX390" s="86"/>
      <c r="EY390" s="86"/>
      <c r="EZ390" s="86"/>
      <c r="FA390" s="86"/>
    </row>
    <row r="391" spans="2:157" ht="9.75" customHeight="1">
      <c r="B391" s="845">
        <v>9</v>
      </c>
      <c r="C391" s="1344"/>
      <c r="D391" s="1344"/>
      <c r="E391" s="1344"/>
      <c r="F391" s="857"/>
      <c r="G391" s="857"/>
      <c r="H391" s="875" t="str">
        <f t="shared" si="17"/>
        <v/>
      </c>
      <c r="J391" s="101"/>
      <c r="K391" s="101"/>
      <c r="L391" s="101"/>
      <c r="Z391" s="86"/>
      <c r="AA391" s="86"/>
      <c r="AB391" s="86"/>
      <c r="AC391" s="86"/>
      <c r="AD391" s="86"/>
      <c r="AE391" s="86"/>
      <c r="AF391" s="86"/>
      <c r="AG391" s="86"/>
      <c r="AH391" s="86"/>
      <c r="AI391" s="86"/>
      <c r="AJ391" s="86"/>
      <c r="AK391" s="86"/>
      <c r="AL391" s="86"/>
      <c r="AM391" s="86"/>
      <c r="AN391" s="86"/>
      <c r="AO391" s="86"/>
      <c r="AP391" s="86"/>
      <c r="AQ391" s="86"/>
      <c r="AR391" s="86"/>
      <c r="AS391" s="86"/>
      <c r="AT391" s="86"/>
      <c r="AU391" s="86"/>
      <c r="AV391" s="86"/>
      <c r="AW391" s="86"/>
      <c r="AX391" s="86"/>
      <c r="AY391" s="86"/>
      <c r="AZ391" s="86"/>
      <c r="BA391" s="86"/>
      <c r="BB391" s="86"/>
      <c r="BC391" s="86"/>
      <c r="BD391" s="86"/>
      <c r="BE391" s="86"/>
      <c r="BF391" s="86"/>
      <c r="BG391" s="86"/>
      <c r="BH391" s="86"/>
      <c r="BI391" s="86"/>
      <c r="BJ391" s="86"/>
      <c r="BK391" s="86"/>
      <c r="BL391" s="86"/>
      <c r="BM391" s="86"/>
      <c r="BN391" s="86"/>
      <c r="BO391" s="86"/>
      <c r="BP391" s="86"/>
      <c r="BQ391" s="86"/>
      <c r="BR391" s="86"/>
      <c r="BS391" s="86"/>
      <c r="BT391" s="86"/>
      <c r="BU391" s="86"/>
      <c r="BV391" s="86"/>
      <c r="BW391" s="86"/>
      <c r="BX391" s="86"/>
      <c r="BY391" s="86"/>
      <c r="BZ391" s="86"/>
      <c r="CA391" s="86"/>
      <c r="CB391" s="86"/>
      <c r="CC391" s="86"/>
      <c r="CD391" s="86"/>
      <c r="CE391" s="86"/>
      <c r="CF391" s="86"/>
      <c r="CG391" s="86"/>
      <c r="CH391" s="86"/>
      <c r="CI391" s="86"/>
      <c r="CJ391" s="86"/>
      <c r="CK391" s="86"/>
      <c r="CL391" s="86"/>
      <c r="CM391" s="86"/>
      <c r="CN391" s="86"/>
      <c r="CO391" s="86"/>
      <c r="CP391" s="86"/>
      <c r="CQ391" s="86"/>
      <c r="CR391" s="86"/>
      <c r="CS391" s="86"/>
      <c r="CT391" s="86"/>
      <c r="CU391" s="86"/>
      <c r="CV391" s="86"/>
      <c r="CW391" s="86"/>
      <c r="CX391" s="86"/>
      <c r="CY391" s="86"/>
      <c r="CZ391" s="86"/>
      <c r="DA391" s="86"/>
      <c r="DB391" s="86"/>
      <c r="DC391" s="86"/>
      <c r="DD391" s="86"/>
      <c r="DE391" s="86"/>
      <c r="DF391" s="86"/>
      <c r="DG391" s="86"/>
      <c r="DH391" s="86"/>
      <c r="DI391" s="86"/>
      <c r="DJ391" s="86"/>
      <c r="DK391" s="86"/>
      <c r="DL391" s="86"/>
      <c r="DM391" s="86"/>
      <c r="DN391" s="86"/>
      <c r="DO391" s="86"/>
      <c r="DP391" s="86"/>
      <c r="DQ391" s="86"/>
      <c r="DR391" s="86"/>
      <c r="DS391" s="86"/>
      <c r="DT391" s="86"/>
      <c r="DU391" s="86"/>
      <c r="DV391" s="86"/>
      <c r="DW391" s="86"/>
      <c r="DX391" s="86"/>
      <c r="DY391" s="86"/>
      <c r="DZ391" s="86"/>
      <c r="EA391" s="86"/>
      <c r="EB391" s="86"/>
      <c r="EC391" s="86"/>
      <c r="ED391" s="86"/>
      <c r="EE391" s="86"/>
      <c r="EF391" s="86"/>
      <c r="EG391" s="86"/>
      <c r="EH391" s="86"/>
      <c r="EI391" s="86"/>
      <c r="EJ391" s="86"/>
      <c r="EK391" s="86"/>
      <c r="EL391" s="86"/>
      <c r="EM391" s="86"/>
      <c r="EN391" s="86"/>
      <c r="EO391" s="86"/>
      <c r="EP391" s="86"/>
      <c r="EQ391" s="86"/>
      <c r="ER391" s="86"/>
      <c r="ES391" s="86"/>
      <c r="ET391" s="86"/>
      <c r="EU391" s="86"/>
      <c r="EV391" s="86"/>
      <c r="EW391" s="86"/>
      <c r="EX391" s="86"/>
      <c r="EY391" s="86"/>
      <c r="EZ391" s="86"/>
      <c r="FA391" s="86"/>
    </row>
    <row r="392" spans="2:157" ht="10.050000000000001" customHeight="1">
      <c r="B392" s="845" t="s">
        <v>546</v>
      </c>
      <c r="C392" s="836" t="s">
        <v>73</v>
      </c>
      <c r="D392" s="839"/>
      <c r="E392" s="86"/>
      <c r="F392" s="848" t="s">
        <v>546</v>
      </c>
      <c r="G392" s="848" t="s">
        <v>546</v>
      </c>
      <c r="H392" s="858">
        <v>0.04</v>
      </c>
      <c r="J392" s="101"/>
      <c r="K392" s="101"/>
      <c r="L392" s="101"/>
      <c r="Z392" s="86"/>
      <c r="AA392" s="86"/>
      <c r="AB392" s="86"/>
      <c r="AC392" s="86"/>
      <c r="AD392" s="86"/>
      <c r="AE392" s="86"/>
      <c r="AF392" s="86"/>
      <c r="AG392" s="86"/>
      <c r="AH392" s="86"/>
      <c r="AI392" s="86"/>
      <c r="AJ392" s="86"/>
      <c r="AK392" s="86"/>
      <c r="AL392" s="86"/>
      <c r="AM392" s="86"/>
      <c r="AN392" s="86"/>
      <c r="AO392" s="86"/>
      <c r="AP392" s="86"/>
      <c r="AQ392" s="86"/>
      <c r="AR392" s="86"/>
      <c r="AS392" s="86"/>
      <c r="AT392" s="86"/>
      <c r="AU392" s="86"/>
      <c r="AV392" s="86"/>
      <c r="AW392" s="86"/>
      <c r="AX392" s="86"/>
      <c r="AY392" s="86"/>
      <c r="AZ392" s="86"/>
      <c r="BA392" s="86"/>
      <c r="BB392" s="86"/>
      <c r="BC392" s="86"/>
      <c r="BD392" s="86"/>
      <c r="BE392" s="86"/>
      <c r="BF392" s="86"/>
      <c r="BG392" s="86"/>
      <c r="BH392" s="86"/>
      <c r="BI392" s="86"/>
      <c r="BJ392" s="86"/>
      <c r="BK392" s="86"/>
      <c r="BL392" s="86"/>
      <c r="BM392" s="86"/>
      <c r="BN392" s="86"/>
      <c r="BO392" s="86"/>
      <c r="BP392" s="86"/>
      <c r="BQ392" s="86"/>
      <c r="BR392" s="86"/>
      <c r="BS392" s="86"/>
      <c r="BT392" s="86"/>
      <c r="BU392" s="86"/>
      <c r="BV392" s="86"/>
      <c r="BW392" s="86"/>
      <c r="BX392" s="86"/>
      <c r="BY392" s="86"/>
      <c r="BZ392" s="86"/>
      <c r="CA392" s="86"/>
      <c r="CB392" s="86"/>
      <c r="CC392" s="86"/>
      <c r="CD392" s="86"/>
      <c r="CE392" s="86"/>
      <c r="CF392" s="86"/>
      <c r="CG392" s="86"/>
      <c r="CH392" s="86"/>
      <c r="CI392" s="86"/>
      <c r="CJ392" s="86"/>
      <c r="CK392" s="86"/>
      <c r="CL392" s="86"/>
      <c r="CM392" s="86"/>
      <c r="CN392" s="86"/>
      <c r="CO392" s="86"/>
      <c r="CP392" s="86"/>
      <c r="CQ392" s="86"/>
      <c r="CR392" s="86"/>
      <c r="CS392" s="86"/>
      <c r="CT392" s="86"/>
      <c r="CU392" s="86"/>
      <c r="CV392" s="86"/>
      <c r="CW392" s="86"/>
      <c r="CX392" s="86"/>
      <c r="CY392" s="86"/>
      <c r="CZ392" s="86"/>
      <c r="DA392" s="86"/>
      <c r="DB392" s="86"/>
      <c r="DC392" s="86"/>
      <c r="DD392" s="86"/>
      <c r="DE392" s="86"/>
      <c r="DF392" s="86"/>
      <c r="DG392" s="86"/>
      <c r="DH392" s="86"/>
      <c r="DI392" s="86"/>
      <c r="DJ392" s="86"/>
      <c r="DK392" s="86"/>
      <c r="DL392" s="86"/>
      <c r="DM392" s="86"/>
      <c r="DN392" s="86"/>
      <c r="DO392" s="86"/>
      <c r="DP392" s="86"/>
      <c r="DQ392" s="86"/>
      <c r="DR392" s="86"/>
      <c r="DS392" s="86"/>
      <c r="DT392" s="86"/>
      <c r="DU392" s="86"/>
      <c r="DV392" s="86"/>
      <c r="DW392" s="86"/>
      <c r="DX392" s="86"/>
      <c r="DY392" s="86"/>
      <c r="DZ392" s="86"/>
      <c r="EA392" s="86"/>
      <c r="EB392" s="86"/>
      <c r="EC392" s="86"/>
      <c r="ED392" s="86"/>
      <c r="EE392" s="86"/>
      <c r="EF392" s="86"/>
      <c r="EG392" s="86"/>
      <c r="EH392" s="86"/>
      <c r="EI392" s="86"/>
      <c r="EJ392" s="86"/>
      <c r="EK392" s="86"/>
      <c r="EL392" s="86"/>
      <c r="EM392" s="86"/>
      <c r="EN392" s="86"/>
      <c r="EO392" s="86"/>
      <c r="EP392" s="86"/>
      <c r="EQ392" s="86"/>
      <c r="ER392" s="86"/>
      <c r="ES392" s="86"/>
      <c r="ET392" s="86"/>
      <c r="EU392" s="86"/>
      <c r="EV392" s="86"/>
      <c r="EW392" s="86"/>
      <c r="EX392" s="86"/>
      <c r="EY392" s="86"/>
      <c r="EZ392" s="86"/>
      <c r="FA392" s="86"/>
    </row>
    <row r="393" spans="2:157" ht="9.75" customHeight="1">
      <c r="B393" s="849"/>
      <c r="C393" s="849"/>
      <c r="D393" s="849"/>
      <c r="E393" s="849"/>
      <c r="F393" s="849"/>
      <c r="G393" s="849"/>
      <c r="H393" s="855"/>
      <c r="J393" s="101"/>
      <c r="K393" s="101"/>
      <c r="L393" s="101"/>
      <c r="Z393" s="86"/>
      <c r="AA393" s="86"/>
      <c r="AB393" s="86"/>
      <c r="AC393" s="86"/>
      <c r="AD393" s="86"/>
      <c r="AE393" s="86"/>
      <c r="AF393" s="86"/>
      <c r="AG393" s="86"/>
      <c r="AH393" s="86"/>
      <c r="AI393" s="86"/>
      <c r="AJ393" s="86"/>
      <c r="AK393" s="86"/>
      <c r="AL393" s="86"/>
      <c r="AM393" s="86"/>
      <c r="AN393" s="86"/>
      <c r="AO393" s="86"/>
      <c r="AP393" s="86"/>
      <c r="AQ393" s="86"/>
      <c r="AR393" s="86"/>
      <c r="AS393" s="86"/>
      <c r="AT393" s="86"/>
      <c r="AU393" s="86"/>
      <c r="AV393" s="86"/>
      <c r="AW393" s="86"/>
      <c r="AX393" s="86"/>
      <c r="AY393" s="86"/>
      <c r="AZ393" s="86"/>
      <c r="BA393" s="86"/>
      <c r="BB393" s="86"/>
      <c r="BC393" s="86"/>
      <c r="BD393" s="86"/>
      <c r="BE393" s="86"/>
      <c r="BF393" s="86"/>
      <c r="BG393" s="86"/>
      <c r="BH393" s="86"/>
      <c r="BI393" s="86"/>
      <c r="BJ393" s="86"/>
      <c r="BK393" s="86"/>
      <c r="BL393" s="86"/>
      <c r="BM393" s="86"/>
      <c r="BN393" s="86"/>
      <c r="BO393" s="86"/>
      <c r="BP393" s="86"/>
      <c r="BQ393" s="86"/>
      <c r="BR393" s="86"/>
      <c r="BS393" s="86"/>
      <c r="BT393" s="86"/>
      <c r="BU393" s="86"/>
      <c r="BV393" s="86"/>
      <c r="BW393" s="86"/>
      <c r="BX393" s="86"/>
      <c r="BY393" s="86"/>
      <c r="BZ393" s="86"/>
      <c r="CA393" s="86"/>
      <c r="CB393" s="86"/>
      <c r="CC393" s="86"/>
      <c r="CD393" s="86"/>
      <c r="CE393" s="86"/>
      <c r="CF393" s="86"/>
      <c r="CG393" s="86"/>
      <c r="CH393" s="86"/>
      <c r="CI393" s="86"/>
      <c r="CJ393" s="86"/>
      <c r="CK393" s="86"/>
      <c r="CL393" s="86"/>
      <c r="CM393" s="86"/>
      <c r="CN393" s="86"/>
      <c r="CO393" s="86"/>
      <c r="CP393" s="86"/>
      <c r="CQ393" s="86"/>
      <c r="CR393" s="86"/>
      <c r="CS393" s="86"/>
      <c r="CT393" s="86"/>
      <c r="CU393" s="86"/>
      <c r="CV393" s="86"/>
      <c r="CW393" s="86"/>
      <c r="CX393" s="86"/>
      <c r="CY393" s="86"/>
      <c r="CZ393" s="86"/>
      <c r="DA393" s="86"/>
      <c r="DB393" s="86"/>
      <c r="DC393" s="86"/>
      <c r="DD393" s="86"/>
      <c r="DE393" s="86"/>
      <c r="DF393" s="86"/>
      <c r="DG393" s="86"/>
      <c r="DH393" s="86"/>
      <c r="DI393" s="86"/>
      <c r="DJ393" s="86"/>
      <c r="DK393" s="86"/>
      <c r="DL393" s="86"/>
      <c r="DM393" s="86"/>
      <c r="DN393" s="86"/>
      <c r="DO393" s="86"/>
      <c r="DP393" s="86"/>
      <c r="DQ393" s="86"/>
      <c r="DR393" s="86"/>
      <c r="DS393" s="86"/>
      <c r="DT393" s="86"/>
      <c r="DU393" s="86"/>
      <c r="DV393" s="86"/>
      <c r="DW393" s="86"/>
      <c r="DX393" s="86"/>
      <c r="DY393" s="86"/>
      <c r="DZ393" s="86"/>
      <c r="EA393" s="86"/>
      <c r="EB393" s="86"/>
      <c r="EC393" s="86"/>
      <c r="ED393" s="86"/>
      <c r="EE393" s="86"/>
      <c r="EF393" s="86"/>
      <c r="EG393" s="86"/>
      <c r="EH393" s="86"/>
      <c r="EI393" s="86"/>
      <c r="EJ393" s="86"/>
      <c r="EK393" s="86"/>
      <c r="EL393" s="86"/>
      <c r="EM393" s="86"/>
      <c r="EN393" s="86"/>
      <c r="EO393" s="86"/>
      <c r="EP393" s="86"/>
      <c r="EQ393" s="86"/>
      <c r="ER393" s="86"/>
      <c r="ES393" s="86"/>
      <c r="ET393" s="86"/>
      <c r="EU393" s="86"/>
      <c r="EV393" s="86"/>
      <c r="EW393" s="86"/>
      <c r="EX393" s="86"/>
      <c r="EY393" s="86"/>
      <c r="EZ393" s="86"/>
      <c r="FA393" s="86"/>
    </row>
    <row r="394" spans="2:157" ht="9.75" customHeight="1">
      <c r="B394" s="27"/>
      <c r="C394" s="27"/>
      <c r="D394" s="27"/>
      <c r="E394" s="91"/>
      <c r="F394" s="171"/>
      <c r="G394" s="29"/>
      <c r="H394" s="27"/>
      <c r="J394" s="101"/>
      <c r="K394" s="101"/>
      <c r="L394" s="101"/>
      <c r="Z394" s="86"/>
      <c r="AA394" s="86"/>
      <c r="AB394" s="86"/>
      <c r="AC394" s="86"/>
      <c r="AD394" s="86"/>
      <c r="AE394" s="86"/>
      <c r="AF394" s="86"/>
      <c r="AG394" s="86"/>
      <c r="AH394" s="86"/>
      <c r="AI394" s="86"/>
      <c r="AJ394" s="86"/>
      <c r="AK394" s="86"/>
      <c r="AL394" s="86"/>
      <c r="AM394" s="86"/>
      <c r="AN394" s="86"/>
      <c r="AO394" s="86"/>
      <c r="AP394" s="86"/>
      <c r="AQ394" s="86"/>
      <c r="AR394" s="86"/>
      <c r="AS394" s="86"/>
      <c r="AT394" s="86"/>
      <c r="AU394" s="86"/>
      <c r="AV394" s="86"/>
      <c r="AW394" s="86"/>
      <c r="AX394" s="86"/>
      <c r="AY394" s="86"/>
      <c r="AZ394" s="86"/>
      <c r="BA394" s="86"/>
      <c r="BB394" s="86"/>
      <c r="BC394" s="86"/>
      <c r="BD394" s="86"/>
      <c r="BE394" s="86"/>
      <c r="BF394" s="86"/>
      <c r="BG394" s="86"/>
      <c r="BH394" s="86"/>
      <c r="BI394" s="86"/>
      <c r="BJ394" s="86"/>
      <c r="BK394" s="86"/>
      <c r="BL394" s="86"/>
      <c r="BM394" s="86"/>
      <c r="BN394" s="86"/>
      <c r="BO394" s="86"/>
      <c r="BP394" s="86"/>
      <c r="BQ394" s="86"/>
      <c r="BR394" s="86"/>
      <c r="BS394" s="86"/>
      <c r="BT394" s="86"/>
      <c r="BU394" s="86"/>
      <c r="BV394" s="86"/>
      <c r="BW394" s="86"/>
      <c r="BX394" s="86"/>
      <c r="BY394" s="86"/>
      <c r="BZ394" s="86"/>
      <c r="CA394" s="86"/>
      <c r="CB394" s="86"/>
      <c r="CC394" s="86"/>
      <c r="CD394" s="86"/>
      <c r="CE394" s="86"/>
      <c r="CF394" s="86"/>
      <c r="CG394" s="86"/>
      <c r="CH394" s="86"/>
      <c r="CI394" s="86"/>
      <c r="CJ394" s="86"/>
      <c r="CK394" s="86"/>
      <c r="CL394" s="86"/>
      <c r="CM394" s="86"/>
      <c r="CN394" s="86"/>
      <c r="CO394" s="86"/>
      <c r="CP394" s="86"/>
      <c r="CQ394" s="86"/>
      <c r="CR394" s="86"/>
      <c r="CS394" s="86"/>
      <c r="CT394" s="86"/>
      <c r="CU394" s="86"/>
      <c r="CV394" s="86"/>
      <c r="CW394" s="86"/>
      <c r="CX394" s="86"/>
      <c r="CY394" s="86"/>
      <c r="CZ394" s="86"/>
      <c r="DA394" s="86"/>
      <c r="DB394" s="86"/>
      <c r="DC394" s="86"/>
      <c r="DD394" s="86"/>
      <c r="DE394" s="86"/>
      <c r="DF394" s="86"/>
      <c r="DG394" s="86"/>
      <c r="DH394" s="86"/>
      <c r="DI394" s="86"/>
      <c r="DJ394" s="86"/>
      <c r="DK394" s="86"/>
      <c r="DL394" s="86"/>
      <c r="DM394" s="86"/>
      <c r="DN394" s="86"/>
      <c r="DO394" s="86"/>
      <c r="DP394" s="86"/>
      <c r="DQ394" s="86"/>
      <c r="DR394" s="86"/>
      <c r="DS394" s="86"/>
      <c r="DT394" s="86"/>
      <c r="DU394" s="86"/>
      <c r="DV394" s="86"/>
      <c r="DW394" s="86"/>
      <c r="DX394" s="86"/>
      <c r="DY394" s="86"/>
      <c r="DZ394" s="86"/>
      <c r="EA394" s="86"/>
      <c r="EB394" s="86"/>
      <c r="EC394" s="86"/>
      <c r="ED394" s="86"/>
      <c r="EE394" s="86"/>
      <c r="EF394" s="86"/>
      <c r="EG394" s="86"/>
      <c r="EH394" s="86"/>
      <c r="EI394" s="86"/>
      <c r="EJ394" s="86"/>
      <c r="EK394" s="86"/>
      <c r="EL394" s="86"/>
      <c r="EM394" s="86"/>
      <c r="EN394" s="86"/>
      <c r="EO394" s="86"/>
      <c r="EP394" s="86"/>
      <c r="EQ394" s="86"/>
      <c r="ER394" s="86"/>
      <c r="ES394" s="86"/>
      <c r="ET394" s="86"/>
      <c r="EU394" s="86"/>
      <c r="EV394" s="86"/>
      <c r="EW394" s="86"/>
      <c r="EX394" s="86"/>
      <c r="EY394" s="86"/>
      <c r="EZ394" s="86"/>
      <c r="FA394" s="86"/>
    </row>
    <row r="395" spans="2:157" ht="9.75" customHeight="1">
      <c r="B395" s="27"/>
      <c r="C395" s="27"/>
      <c r="D395" s="27"/>
      <c r="E395" s="27"/>
      <c r="F395" s="27"/>
      <c r="G395" s="27"/>
      <c r="H395" s="27"/>
      <c r="J395" s="101"/>
      <c r="K395" s="101"/>
      <c r="L395" s="101"/>
      <c r="Z395" s="86"/>
      <c r="AA395" s="86"/>
      <c r="AB395" s="86"/>
      <c r="AC395" s="86"/>
      <c r="AD395" s="86"/>
      <c r="AE395" s="86"/>
      <c r="AF395" s="86"/>
      <c r="AG395" s="86"/>
      <c r="AH395" s="86"/>
      <c r="AI395" s="86"/>
      <c r="AJ395" s="86"/>
      <c r="AK395" s="86"/>
      <c r="AL395" s="86"/>
      <c r="AM395" s="86"/>
      <c r="AN395" s="86"/>
      <c r="AO395" s="86"/>
      <c r="AP395" s="86"/>
      <c r="AQ395" s="86"/>
      <c r="AR395" s="86"/>
      <c r="AS395" s="86"/>
      <c r="AT395" s="86"/>
      <c r="AU395" s="86"/>
      <c r="AV395" s="86"/>
      <c r="AW395" s="86"/>
      <c r="AX395" s="86"/>
      <c r="AY395" s="86"/>
      <c r="AZ395" s="86"/>
      <c r="BA395" s="86"/>
      <c r="BB395" s="86"/>
      <c r="BC395" s="86"/>
      <c r="BD395" s="86"/>
      <c r="BE395" s="86"/>
      <c r="BF395" s="86"/>
      <c r="BG395" s="86"/>
      <c r="BH395" s="86"/>
      <c r="BI395" s="86"/>
      <c r="BJ395" s="86"/>
      <c r="BK395" s="86"/>
      <c r="BL395" s="86"/>
      <c r="BM395" s="86"/>
      <c r="BN395" s="86"/>
      <c r="BO395" s="86"/>
      <c r="BP395" s="86"/>
      <c r="BQ395" s="86"/>
      <c r="BR395" s="86"/>
      <c r="BS395" s="86"/>
      <c r="BT395" s="86"/>
      <c r="BU395" s="86"/>
      <c r="BV395" s="86"/>
      <c r="BW395" s="86"/>
      <c r="BX395" s="86"/>
      <c r="BY395" s="86"/>
      <c r="BZ395" s="86"/>
      <c r="CA395" s="86"/>
      <c r="CB395" s="86"/>
      <c r="CC395" s="86"/>
      <c r="CD395" s="86"/>
      <c r="CE395" s="86"/>
      <c r="CF395" s="86"/>
      <c r="CG395" s="86"/>
      <c r="CH395" s="86"/>
      <c r="CI395" s="86"/>
      <c r="CJ395" s="86"/>
      <c r="CK395" s="86"/>
      <c r="CL395" s="86"/>
      <c r="CM395" s="86"/>
      <c r="CN395" s="86"/>
      <c r="CO395" s="86"/>
      <c r="CP395" s="86"/>
      <c r="CQ395" s="86"/>
      <c r="CR395" s="86"/>
      <c r="CS395" s="86"/>
      <c r="CT395" s="86"/>
      <c r="CU395" s="86"/>
      <c r="CV395" s="86"/>
      <c r="CW395" s="86"/>
      <c r="CX395" s="86"/>
      <c r="CY395" s="86"/>
      <c r="CZ395" s="86"/>
      <c r="DA395" s="86"/>
      <c r="DB395" s="86"/>
      <c r="DC395" s="86"/>
      <c r="DD395" s="86"/>
      <c r="DE395" s="86"/>
      <c r="DF395" s="86"/>
      <c r="DG395" s="86"/>
      <c r="DH395" s="86"/>
      <c r="DI395" s="86"/>
      <c r="DJ395" s="86"/>
      <c r="DK395" s="86"/>
      <c r="DL395" s="86"/>
      <c r="DM395" s="86"/>
      <c r="DN395" s="86"/>
      <c r="DO395" s="86"/>
      <c r="DP395" s="86"/>
      <c r="DQ395" s="86"/>
      <c r="DR395" s="86"/>
      <c r="DS395" s="86"/>
      <c r="DT395" s="86"/>
      <c r="DU395" s="86"/>
      <c r="DV395" s="86"/>
      <c r="DW395" s="86"/>
      <c r="DX395" s="86"/>
      <c r="DY395" s="86"/>
      <c r="DZ395" s="86"/>
      <c r="EA395" s="86"/>
      <c r="EB395" s="86"/>
      <c r="EC395" s="86"/>
      <c r="ED395" s="86"/>
      <c r="EE395" s="86"/>
      <c r="EF395" s="86"/>
      <c r="EG395" s="86"/>
      <c r="EH395" s="86"/>
      <c r="EI395" s="86"/>
      <c r="EJ395" s="86"/>
      <c r="EK395" s="86"/>
      <c r="EL395" s="86"/>
      <c r="EM395" s="86"/>
      <c r="EN395" s="86"/>
      <c r="EO395" s="86"/>
      <c r="EP395" s="86"/>
      <c r="EQ395" s="86"/>
      <c r="ER395" s="86"/>
      <c r="ES395" s="86"/>
      <c r="ET395" s="86"/>
      <c r="EU395" s="86"/>
      <c r="EV395" s="86"/>
      <c r="EW395" s="86"/>
      <c r="EX395" s="86"/>
      <c r="EY395" s="86"/>
      <c r="EZ395" s="86"/>
      <c r="FA395" s="86"/>
    </row>
    <row r="396" spans="2:157" ht="9.75" customHeight="1">
      <c r="B396" s="27"/>
      <c r="C396" s="27"/>
      <c r="D396" s="27"/>
      <c r="E396" s="27"/>
      <c r="F396" s="27"/>
      <c r="G396" s="27"/>
      <c r="H396" s="27"/>
      <c r="J396" s="101"/>
      <c r="K396" s="101"/>
      <c r="L396" s="101"/>
      <c r="Z396" s="86"/>
      <c r="AA396" s="86"/>
      <c r="AB396" s="86"/>
      <c r="AC396" s="86"/>
      <c r="AD396" s="86"/>
      <c r="AE396" s="86"/>
      <c r="AF396" s="86"/>
      <c r="AG396" s="86"/>
      <c r="AH396" s="86"/>
      <c r="AI396" s="86"/>
      <c r="AJ396" s="86"/>
      <c r="AK396" s="86"/>
      <c r="AL396" s="86"/>
      <c r="AM396" s="86"/>
      <c r="AN396" s="86"/>
      <c r="AO396" s="86"/>
      <c r="AP396" s="86"/>
      <c r="AQ396" s="86"/>
      <c r="AR396" s="86"/>
      <c r="AS396" s="86"/>
      <c r="AT396" s="86"/>
      <c r="AU396" s="86"/>
      <c r="AV396" s="86"/>
      <c r="AW396" s="86"/>
      <c r="AX396" s="86"/>
      <c r="AY396" s="86"/>
      <c r="AZ396" s="86"/>
      <c r="BA396" s="86"/>
      <c r="BB396" s="86"/>
      <c r="BC396" s="86"/>
      <c r="BD396" s="86"/>
      <c r="BE396" s="86"/>
      <c r="BF396" s="86"/>
      <c r="BG396" s="86"/>
      <c r="BH396" s="86"/>
      <c r="BI396" s="86"/>
      <c r="BJ396" s="86"/>
      <c r="BK396" s="86"/>
      <c r="BL396" s="86"/>
      <c r="BM396" s="86"/>
      <c r="BN396" s="86"/>
      <c r="BO396" s="86"/>
      <c r="BP396" s="86"/>
      <c r="BQ396" s="86"/>
      <c r="BR396" s="86"/>
      <c r="BS396" s="86"/>
      <c r="BT396" s="86"/>
      <c r="BU396" s="86"/>
      <c r="BV396" s="86"/>
      <c r="BW396" s="86"/>
      <c r="BX396" s="86"/>
      <c r="BY396" s="86"/>
      <c r="BZ396" s="86"/>
      <c r="CA396" s="86"/>
      <c r="CB396" s="86"/>
      <c r="CC396" s="86"/>
      <c r="CD396" s="86"/>
      <c r="CE396" s="86"/>
      <c r="CF396" s="86"/>
      <c r="CG396" s="86"/>
      <c r="CH396" s="86"/>
      <c r="CI396" s="86"/>
      <c r="CJ396" s="86"/>
      <c r="CK396" s="86"/>
      <c r="CL396" s="86"/>
      <c r="CM396" s="86"/>
      <c r="CN396" s="86"/>
      <c r="CO396" s="86"/>
      <c r="CP396" s="86"/>
      <c r="CQ396" s="86"/>
      <c r="CR396" s="86"/>
      <c r="CS396" s="86"/>
      <c r="CT396" s="86"/>
      <c r="CU396" s="86"/>
      <c r="CV396" s="86"/>
      <c r="CW396" s="86"/>
      <c r="CX396" s="86"/>
      <c r="CY396" s="86"/>
      <c r="CZ396" s="86"/>
      <c r="DA396" s="86"/>
      <c r="DB396" s="86"/>
      <c r="DC396" s="86"/>
      <c r="DD396" s="86"/>
      <c r="DE396" s="86"/>
      <c r="DF396" s="86"/>
      <c r="DG396" s="86"/>
      <c r="DH396" s="86"/>
      <c r="DI396" s="86"/>
      <c r="DJ396" s="86"/>
      <c r="DK396" s="86"/>
      <c r="DL396" s="86"/>
      <c r="DM396" s="86"/>
      <c r="DN396" s="86"/>
      <c r="DO396" s="86"/>
      <c r="DP396" s="86"/>
      <c r="DQ396" s="86"/>
      <c r="DR396" s="86"/>
      <c r="DS396" s="86"/>
      <c r="DT396" s="86"/>
      <c r="DU396" s="86"/>
      <c r="DV396" s="86"/>
      <c r="DW396" s="86"/>
      <c r="DX396" s="86"/>
      <c r="DY396" s="86"/>
      <c r="DZ396" s="86"/>
      <c r="EA396" s="86"/>
      <c r="EB396" s="86"/>
      <c r="EC396" s="86"/>
      <c r="ED396" s="86"/>
      <c r="EE396" s="86"/>
      <c r="EF396" s="86"/>
      <c r="EG396" s="86"/>
      <c r="EH396" s="86"/>
      <c r="EI396" s="86"/>
      <c r="EJ396" s="86"/>
      <c r="EK396" s="86"/>
      <c r="EL396" s="86"/>
      <c r="EM396" s="86"/>
      <c r="EN396" s="86"/>
      <c r="EO396" s="86"/>
      <c r="EP396" s="86"/>
      <c r="EQ396" s="86"/>
      <c r="ER396" s="86"/>
      <c r="ES396" s="86"/>
      <c r="ET396" s="86"/>
      <c r="EU396" s="86"/>
      <c r="EV396" s="86"/>
      <c r="EW396" s="86"/>
      <c r="EX396" s="86"/>
      <c r="EY396" s="86"/>
      <c r="EZ396" s="86"/>
      <c r="FA396" s="86"/>
    </row>
    <row r="397" spans="2:157" ht="9.75" customHeight="1">
      <c r="B397" s="31"/>
      <c r="C397" s="31"/>
      <c r="D397" s="34"/>
      <c r="E397" s="31"/>
      <c r="F397" s="31"/>
      <c r="G397" s="31"/>
      <c r="H397" s="31"/>
      <c r="J397" s="101"/>
      <c r="K397" s="101"/>
      <c r="L397" s="101"/>
      <c r="Z397" s="86"/>
      <c r="AA397" s="86"/>
      <c r="AB397" s="86"/>
      <c r="AC397" s="86"/>
      <c r="AD397" s="86"/>
      <c r="AE397" s="86"/>
      <c r="AF397" s="86"/>
      <c r="AG397" s="86"/>
      <c r="AH397" s="86"/>
      <c r="AI397" s="86"/>
      <c r="AJ397" s="86"/>
      <c r="AK397" s="86"/>
      <c r="AL397" s="86"/>
      <c r="AM397" s="86"/>
      <c r="AN397" s="86"/>
      <c r="AO397" s="86"/>
      <c r="AP397" s="86"/>
      <c r="AQ397" s="86"/>
      <c r="AR397" s="86"/>
      <c r="AS397" s="86"/>
      <c r="AT397" s="86"/>
      <c r="AU397" s="86"/>
      <c r="AV397" s="86"/>
      <c r="AW397" s="86"/>
      <c r="AX397" s="86"/>
      <c r="AY397" s="86"/>
      <c r="AZ397" s="86"/>
      <c r="BA397" s="86"/>
      <c r="BB397" s="86"/>
      <c r="BC397" s="86"/>
      <c r="BD397" s="86"/>
      <c r="BE397" s="86"/>
      <c r="BF397" s="86"/>
      <c r="BG397" s="86"/>
      <c r="BH397" s="86"/>
      <c r="BI397" s="86"/>
      <c r="BJ397" s="86"/>
      <c r="BK397" s="86"/>
      <c r="BL397" s="86"/>
      <c r="BM397" s="86"/>
      <c r="BN397" s="86"/>
      <c r="BO397" s="86"/>
      <c r="BP397" s="86"/>
      <c r="BQ397" s="86"/>
      <c r="BR397" s="86"/>
      <c r="BS397" s="86"/>
      <c r="BT397" s="86"/>
      <c r="BU397" s="86"/>
      <c r="BV397" s="86"/>
      <c r="BW397" s="86"/>
      <c r="BX397" s="86"/>
      <c r="BY397" s="86"/>
      <c r="BZ397" s="86"/>
      <c r="CA397" s="86"/>
      <c r="CB397" s="86"/>
      <c r="CC397" s="86"/>
      <c r="CD397" s="86"/>
      <c r="CE397" s="86"/>
      <c r="CF397" s="86"/>
      <c r="CG397" s="86"/>
      <c r="CH397" s="86"/>
      <c r="CI397" s="86"/>
      <c r="CJ397" s="86"/>
      <c r="CK397" s="86"/>
      <c r="CL397" s="86"/>
      <c r="CM397" s="86"/>
      <c r="CN397" s="86"/>
      <c r="CO397" s="86"/>
      <c r="CP397" s="86"/>
      <c r="CQ397" s="86"/>
      <c r="CR397" s="86"/>
      <c r="CS397" s="86"/>
      <c r="CT397" s="86"/>
      <c r="CU397" s="86"/>
      <c r="CV397" s="86"/>
      <c r="CW397" s="86"/>
      <c r="CX397" s="86"/>
      <c r="CY397" s="86"/>
      <c r="CZ397" s="86"/>
      <c r="DA397" s="86"/>
      <c r="DB397" s="86"/>
      <c r="DC397" s="86"/>
      <c r="DD397" s="86"/>
      <c r="DE397" s="86"/>
      <c r="DF397" s="86"/>
      <c r="DG397" s="86"/>
      <c r="DH397" s="86"/>
      <c r="DI397" s="86"/>
      <c r="DJ397" s="86"/>
      <c r="DK397" s="86"/>
      <c r="DL397" s="86"/>
      <c r="DM397" s="86"/>
      <c r="DN397" s="86"/>
      <c r="DO397" s="86"/>
      <c r="DP397" s="86"/>
      <c r="DQ397" s="86"/>
      <c r="DR397" s="86"/>
      <c r="DS397" s="86"/>
      <c r="DT397" s="86"/>
      <c r="DU397" s="86"/>
      <c r="DV397" s="86"/>
      <c r="DW397" s="86"/>
      <c r="DX397" s="86"/>
      <c r="DY397" s="86"/>
      <c r="DZ397" s="86"/>
      <c r="EA397" s="86"/>
      <c r="EB397" s="86"/>
      <c r="EC397" s="86"/>
      <c r="ED397" s="86"/>
      <c r="EE397" s="86"/>
      <c r="EF397" s="86"/>
      <c r="EG397" s="86"/>
      <c r="EH397" s="86"/>
      <c r="EI397" s="86"/>
      <c r="EJ397" s="86"/>
      <c r="EK397" s="86"/>
      <c r="EL397" s="86"/>
      <c r="EM397" s="86"/>
      <c r="EN397" s="86"/>
      <c r="EO397" s="86"/>
      <c r="EP397" s="86"/>
      <c r="EQ397" s="86"/>
      <c r="ER397" s="86"/>
      <c r="ES397" s="86"/>
      <c r="ET397" s="86"/>
      <c r="EU397" s="86"/>
      <c r="EV397" s="86"/>
      <c r="EW397" s="86"/>
      <c r="EX397" s="86"/>
      <c r="EY397" s="86"/>
      <c r="EZ397" s="86"/>
      <c r="FA397" s="86"/>
    </row>
    <row r="398" spans="2:157" ht="10.95" customHeight="1">
      <c r="B398" s="1347" t="s">
        <v>510</v>
      </c>
      <c r="C398" s="1348"/>
      <c r="D398" s="1345"/>
      <c r="E398" s="1346"/>
      <c r="F398" s="842"/>
      <c r="G398" s="837" t="s">
        <v>4</v>
      </c>
      <c r="H398" s="856"/>
      <c r="J398" s="101"/>
      <c r="K398" s="101"/>
      <c r="L398" s="101"/>
      <c r="Z398" s="86"/>
      <c r="AA398" s="86"/>
      <c r="AB398" s="86"/>
      <c r="AC398" s="86"/>
      <c r="AD398" s="86"/>
      <c r="AE398" s="86"/>
      <c r="AF398" s="86"/>
      <c r="AG398" s="86"/>
      <c r="AH398" s="86"/>
      <c r="AI398" s="86"/>
      <c r="AJ398" s="86"/>
      <c r="AK398" s="86"/>
      <c r="AL398" s="86"/>
      <c r="AM398" s="86"/>
      <c r="AN398" s="86"/>
      <c r="AO398" s="86"/>
      <c r="AP398" s="86"/>
      <c r="AQ398" s="86"/>
      <c r="AR398" s="86"/>
      <c r="AS398" s="86"/>
      <c r="AT398" s="86"/>
      <c r="AU398" s="86"/>
      <c r="AV398" s="86"/>
      <c r="AW398" s="86"/>
      <c r="AX398" s="86"/>
      <c r="AY398" s="86"/>
      <c r="AZ398" s="86"/>
      <c r="BA398" s="86"/>
      <c r="BB398" s="86"/>
      <c r="BC398" s="86"/>
      <c r="BD398" s="86"/>
      <c r="BE398" s="86"/>
      <c r="BF398" s="86"/>
      <c r="BG398" s="86"/>
      <c r="BH398" s="86"/>
      <c r="BI398" s="86"/>
      <c r="BJ398" s="86"/>
      <c r="BK398" s="86"/>
      <c r="BL398" s="86"/>
      <c r="BM398" s="86"/>
      <c r="BN398" s="86"/>
      <c r="BO398" s="86"/>
      <c r="BP398" s="86"/>
      <c r="BQ398" s="86"/>
      <c r="BR398" s="86"/>
      <c r="BS398" s="86"/>
      <c r="BT398" s="86"/>
      <c r="BU398" s="86"/>
      <c r="BV398" s="86"/>
      <c r="BW398" s="86"/>
      <c r="BX398" s="86"/>
      <c r="BY398" s="86"/>
      <c r="BZ398" s="86"/>
      <c r="CA398" s="86"/>
      <c r="CB398" s="86"/>
      <c r="CC398" s="86"/>
      <c r="CD398" s="86"/>
      <c r="CE398" s="86"/>
      <c r="CF398" s="86"/>
      <c r="CG398" s="86"/>
      <c r="CH398" s="86"/>
      <c r="CI398" s="86"/>
      <c r="CJ398" s="86"/>
      <c r="CK398" s="86"/>
      <c r="CL398" s="86"/>
      <c r="CM398" s="86"/>
      <c r="CN398" s="86"/>
      <c r="CO398" s="86"/>
      <c r="CP398" s="86"/>
      <c r="CQ398" s="86"/>
      <c r="CR398" s="86"/>
      <c r="CS398" s="86"/>
      <c r="CT398" s="86"/>
      <c r="CU398" s="86"/>
      <c r="CV398" s="86"/>
      <c r="CW398" s="86"/>
      <c r="CX398" s="86"/>
      <c r="CY398" s="86"/>
      <c r="CZ398" s="86"/>
      <c r="DA398" s="86"/>
      <c r="DB398" s="86"/>
      <c r="DC398" s="86"/>
      <c r="DD398" s="86"/>
      <c r="DE398" s="86"/>
      <c r="DF398" s="86"/>
      <c r="DG398" s="86"/>
      <c r="DH398" s="86"/>
      <c r="DI398" s="86"/>
      <c r="DJ398" s="86"/>
      <c r="DK398" s="86"/>
      <c r="DL398" s="86"/>
      <c r="DM398" s="86"/>
      <c r="DN398" s="86"/>
      <c r="DO398" s="86"/>
      <c r="DP398" s="86"/>
      <c r="DQ398" s="86"/>
      <c r="DR398" s="86"/>
      <c r="DS398" s="86"/>
      <c r="DT398" s="86"/>
      <c r="DU398" s="86"/>
      <c r="DV398" s="86"/>
      <c r="DW398" s="86"/>
      <c r="DX398" s="86"/>
      <c r="DY398" s="86"/>
      <c r="DZ398" s="86"/>
      <c r="EA398" s="86"/>
      <c r="EB398" s="86"/>
      <c r="EC398" s="86"/>
      <c r="ED398" s="86"/>
      <c r="EE398" s="86"/>
      <c r="EF398" s="86"/>
      <c r="EG398" s="86"/>
      <c r="EH398" s="86"/>
      <c r="EI398" s="86"/>
      <c r="EJ398" s="86"/>
      <c r="EK398" s="86"/>
      <c r="EL398" s="86"/>
      <c r="EM398" s="86"/>
      <c r="EN398" s="86"/>
      <c r="EO398" s="86"/>
      <c r="EP398" s="86"/>
      <c r="EQ398" s="86"/>
      <c r="ER398" s="86"/>
      <c r="ES398" s="86"/>
      <c r="ET398" s="86"/>
      <c r="EU398" s="86"/>
      <c r="EV398" s="86"/>
      <c r="EW398" s="86"/>
      <c r="EX398" s="86"/>
      <c r="EY398" s="86"/>
      <c r="EZ398" s="86"/>
      <c r="FA398" s="86"/>
    </row>
    <row r="399" spans="2:157" ht="10.95" customHeight="1">
      <c r="B399" s="1347" t="s">
        <v>582</v>
      </c>
      <c r="C399" s="1349"/>
      <c r="D399" s="1345"/>
      <c r="E399" s="1346"/>
      <c r="F399" s="839"/>
      <c r="G399" s="853" t="s">
        <v>345</v>
      </c>
      <c r="H399" s="854">
        <f>ROUND(1/(SUM(H402:H412)),2)</f>
        <v>5.88</v>
      </c>
      <c r="J399" s="101"/>
      <c r="K399" s="101"/>
      <c r="L399" s="101"/>
      <c r="Z399" s="86"/>
      <c r="AA399" s="86"/>
      <c r="AB399" s="86"/>
      <c r="AC399" s="86"/>
      <c r="AD399" s="86"/>
      <c r="AE399" s="86"/>
      <c r="AF399" s="86"/>
      <c r="AG399" s="86"/>
      <c r="AH399" s="86"/>
      <c r="AI399" s="86"/>
      <c r="AJ399" s="86"/>
      <c r="AK399" s="86"/>
      <c r="AL399" s="86"/>
      <c r="AM399" s="86"/>
      <c r="AN399" s="86"/>
      <c r="AO399" s="86"/>
      <c r="AP399" s="86"/>
      <c r="AQ399" s="86"/>
      <c r="AR399" s="86"/>
      <c r="AS399" s="86"/>
      <c r="AT399" s="86"/>
      <c r="AU399" s="86"/>
      <c r="AV399" s="86"/>
      <c r="AW399" s="86"/>
      <c r="AX399" s="86"/>
      <c r="AY399" s="86"/>
      <c r="AZ399" s="86"/>
      <c r="BA399" s="86"/>
      <c r="BB399" s="86"/>
      <c r="BC399" s="86"/>
      <c r="BD399" s="86"/>
      <c r="BE399" s="86"/>
      <c r="BF399" s="86"/>
      <c r="BG399" s="86"/>
      <c r="BH399" s="86"/>
      <c r="BI399" s="86"/>
      <c r="BJ399" s="86"/>
      <c r="BK399" s="86"/>
      <c r="BL399" s="86"/>
      <c r="BM399" s="86"/>
      <c r="BN399" s="86"/>
      <c r="BO399" s="86"/>
      <c r="BP399" s="86"/>
      <c r="BQ399" s="86"/>
      <c r="BR399" s="86"/>
      <c r="BS399" s="86"/>
      <c r="BT399" s="86"/>
      <c r="BU399" s="86"/>
      <c r="BV399" s="86"/>
      <c r="BW399" s="86"/>
      <c r="BX399" s="86"/>
      <c r="BY399" s="86"/>
      <c r="BZ399" s="86"/>
      <c r="CA399" s="86"/>
      <c r="CB399" s="86"/>
      <c r="CC399" s="86"/>
      <c r="CD399" s="86"/>
      <c r="CE399" s="86"/>
      <c r="CF399" s="86"/>
      <c r="CG399" s="86"/>
      <c r="CH399" s="86"/>
      <c r="CI399" s="86"/>
      <c r="CJ399" s="86"/>
      <c r="CK399" s="86"/>
      <c r="CL399" s="86"/>
      <c r="CM399" s="86"/>
      <c r="CN399" s="86"/>
      <c r="CO399" s="86"/>
      <c r="CP399" s="86"/>
      <c r="CQ399" s="86"/>
      <c r="CR399" s="86"/>
      <c r="CS399" s="86"/>
      <c r="CT399" s="86"/>
      <c r="CU399" s="86"/>
      <c r="CV399" s="86"/>
      <c r="CW399" s="86"/>
      <c r="CX399" s="86"/>
      <c r="CY399" s="86"/>
      <c r="CZ399" s="86"/>
      <c r="DA399" s="86"/>
      <c r="DB399" s="86"/>
      <c r="DC399" s="86"/>
      <c r="DD399" s="86"/>
      <c r="DE399" s="86"/>
      <c r="DF399" s="86"/>
      <c r="DG399" s="86"/>
      <c r="DH399" s="86"/>
      <c r="DI399" s="86"/>
      <c r="DJ399" s="86"/>
      <c r="DK399" s="86"/>
      <c r="DL399" s="86"/>
      <c r="DM399" s="86"/>
      <c r="DN399" s="86"/>
      <c r="DO399" s="86"/>
      <c r="DP399" s="86"/>
      <c r="DQ399" s="86"/>
      <c r="DR399" s="86"/>
      <c r="DS399" s="86"/>
      <c r="DT399" s="86"/>
      <c r="DU399" s="86"/>
      <c r="DV399" s="86"/>
      <c r="DW399" s="86"/>
      <c r="DX399" s="86"/>
      <c r="DY399" s="86"/>
      <c r="DZ399" s="86"/>
      <c r="EA399" s="86"/>
      <c r="EB399" s="86"/>
      <c r="EC399" s="86"/>
      <c r="ED399" s="86"/>
      <c r="EE399" s="86"/>
      <c r="EF399" s="86"/>
      <c r="EG399" s="86"/>
      <c r="EH399" s="86"/>
      <c r="EI399" s="86"/>
      <c r="EJ399" s="86"/>
      <c r="EK399" s="86"/>
      <c r="EL399" s="86"/>
      <c r="EM399" s="86"/>
      <c r="EN399" s="86"/>
      <c r="EO399" s="86"/>
      <c r="EP399" s="86"/>
      <c r="EQ399" s="86"/>
      <c r="ER399" s="86"/>
      <c r="ES399" s="86"/>
      <c r="ET399" s="86"/>
      <c r="EU399" s="86"/>
      <c r="EV399" s="86"/>
      <c r="EW399" s="86"/>
      <c r="EX399" s="86"/>
      <c r="EY399" s="86"/>
      <c r="EZ399" s="86"/>
      <c r="FA399" s="86"/>
    </row>
    <row r="400" spans="2:157" ht="9.75" customHeight="1">
      <c r="B400" s="839"/>
      <c r="C400" s="839"/>
      <c r="D400" s="844"/>
      <c r="E400" s="839"/>
      <c r="F400" s="839"/>
      <c r="G400" s="852"/>
      <c r="H400" s="850"/>
      <c r="J400" s="101"/>
      <c r="K400" s="101"/>
      <c r="L400" s="101"/>
      <c r="Z400" s="86"/>
      <c r="AA400" s="86"/>
      <c r="AB400" s="86"/>
      <c r="AC400" s="86"/>
      <c r="AD400" s="86"/>
      <c r="AE400" s="86"/>
      <c r="AF400" s="86"/>
      <c r="AG400" s="86"/>
      <c r="AH400" s="86"/>
      <c r="AI400" s="86"/>
      <c r="AJ400" s="86"/>
      <c r="AK400" s="86"/>
      <c r="AL400" s="86"/>
      <c r="AM400" s="86"/>
      <c r="AN400" s="86"/>
      <c r="AO400" s="86"/>
      <c r="AP400" s="86"/>
      <c r="AQ400" s="86"/>
      <c r="AR400" s="86"/>
      <c r="AS400" s="86"/>
      <c r="AT400" s="86"/>
      <c r="AU400" s="86"/>
      <c r="AV400" s="86"/>
      <c r="AW400" s="86"/>
      <c r="AX400" s="86"/>
      <c r="AY400" s="86"/>
      <c r="AZ400" s="86"/>
      <c r="BA400" s="86"/>
      <c r="BB400" s="86"/>
      <c r="BC400" s="86"/>
      <c r="BD400" s="86"/>
      <c r="BE400" s="86"/>
      <c r="BF400" s="86"/>
      <c r="BG400" s="86"/>
      <c r="BH400" s="86"/>
      <c r="BI400" s="86"/>
      <c r="BJ400" s="86"/>
      <c r="BK400" s="86"/>
      <c r="BL400" s="86"/>
      <c r="BM400" s="86"/>
      <c r="BN400" s="86"/>
      <c r="BO400" s="86"/>
      <c r="BP400" s="86"/>
      <c r="BQ400" s="86"/>
      <c r="BR400" s="86"/>
      <c r="BS400" s="86"/>
      <c r="BT400" s="86"/>
      <c r="BU400" s="86"/>
      <c r="BV400" s="86"/>
      <c r="BW400" s="86"/>
      <c r="BX400" s="86"/>
      <c r="BY400" s="86"/>
      <c r="BZ400" s="86"/>
      <c r="CA400" s="86"/>
      <c r="CB400" s="86"/>
      <c r="CC400" s="86"/>
      <c r="CD400" s="86"/>
      <c r="CE400" s="86"/>
      <c r="CF400" s="86"/>
      <c r="CG400" s="86"/>
      <c r="CH400" s="86"/>
      <c r="CI400" s="86"/>
      <c r="CJ400" s="86"/>
      <c r="CK400" s="86"/>
      <c r="CL400" s="86"/>
      <c r="CM400" s="86"/>
      <c r="CN400" s="86"/>
      <c r="CO400" s="86"/>
      <c r="CP400" s="86"/>
      <c r="CQ400" s="86"/>
      <c r="CR400" s="86"/>
      <c r="CS400" s="86"/>
      <c r="CT400" s="86"/>
      <c r="CU400" s="86"/>
      <c r="CV400" s="86"/>
      <c r="CW400" s="86"/>
      <c r="CX400" s="86"/>
      <c r="CY400" s="86"/>
      <c r="CZ400" s="86"/>
      <c r="DA400" s="86"/>
      <c r="DB400" s="86"/>
      <c r="DC400" s="86"/>
      <c r="DD400" s="86"/>
      <c r="DE400" s="86"/>
      <c r="DF400" s="86"/>
      <c r="DG400" s="86"/>
      <c r="DH400" s="86"/>
      <c r="DI400" s="86"/>
      <c r="DJ400" s="86"/>
      <c r="DK400" s="86"/>
      <c r="DL400" s="86"/>
      <c r="DM400" s="86"/>
      <c r="DN400" s="86"/>
      <c r="DO400" s="86"/>
      <c r="DP400" s="86"/>
      <c r="DQ400" s="86"/>
      <c r="DR400" s="86"/>
      <c r="DS400" s="86"/>
      <c r="DT400" s="86"/>
      <c r="DU400" s="86"/>
      <c r="DV400" s="86"/>
      <c r="DW400" s="86"/>
      <c r="DX400" s="86"/>
      <c r="DY400" s="86"/>
      <c r="DZ400" s="86"/>
      <c r="EA400" s="86"/>
      <c r="EB400" s="86"/>
      <c r="EC400" s="86"/>
      <c r="ED400" s="86"/>
      <c r="EE400" s="86"/>
      <c r="EF400" s="86"/>
      <c r="EG400" s="86"/>
      <c r="EH400" s="86"/>
      <c r="EI400" s="86"/>
      <c r="EJ400" s="86"/>
      <c r="EK400" s="86"/>
      <c r="EL400" s="86"/>
      <c r="EM400" s="86"/>
      <c r="EN400" s="86"/>
      <c r="EO400" s="86"/>
      <c r="EP400" s="86"/>
      <c r="EQ400" s="86"/>
      <c r="ER400" s="86"/>
      <c r="ES400" s="86"/>
      <c r="ET400" s="86"/>
      <c r="EU400" s="86"/>
      <c r="EV400" s="86"/>
      <c r="EW400" s="86"/>
      <c r="EX400" s="86"/>
      <c r="EY400" s="86"/>
      <c r="EZ400" s="86"/>
      <c r="FA400" s="86"/>
    </row>
    <row r="401" spans="2:157" ht="9.75" customHeight="1">
      <c r="B401" s="844" t="s">
        <v>349</v>
      </c>
      <c r="C401" s="1352" t="s">
        <v>344</v>
      </c>
      <c r="D401" s="1352"/>
      <c r="E401" s="87"/>
      <c r="F401" s="846" t="s">
        <v>170</v>
      </c>
      <c r="G401" s="847" t="s">
        <v>361</v>
      </c>
      <c r="H401" s="846" t="s">
        <v>281</v>
      </c>
      <c r="J401" s="101"/>
      <c r="K401" s="101"/>
      <c r="L401" s="101"/>
      <c r="Z401" s="86"/>
      <c r="AA401" s="86"/>
      <c r="AB401" s="86"/>
      <c r="AC401" s="86"/>
      <c r="AD401" s="86"/>
      <c r="AE401" s="86"/>
      <c r="AF401" s="86"/>
      <c r="AG401" s="86"/>
      <c r="AH401" s="86"/>
      <c r="AI401" s="86"/>
      <c r="AJ401" s="86"/>
      <c r="AK401" s="86"/>
      <c r="AL401" s="86"/>
      <c r="AM401" s="86"/>
      <c r="AN401" s="86"/>
      <c r="AO401" s="86"/>
      <c r="AP401" s="86"/>
      <c r="AQ401" s="86"/>
      <c r="AR401" s="86"/>
      <c r="AS401" s="86"/>
      <c r="AT401" s="86"/>
      <c r="AU401" s="86"/>
      <c r="AV401" s="86"/>
      <c r="AW401" s="86"/>
      <c r="AX401" s="86"/>
      <c r="AY401" s="86"/>
      <c r="AZ401" s="86"/>
      <c r="BA401" s="86"/>
      <c r="BB401" s="86"/>
      <c r="BC401" s="86"/>
      <c r="BD401" s="86"/>
      <c r="BE401" s="86"/>
      <c r="BF401" s="86"/>
      <c r="BG401" s="86"/>
      <c r="BH401" s="86"/>
      <c r="BI401" s="86"/>
      <c r="BJ401" s="86"/>
      <c r="BK401" s="86"/>
      <c r="BL401" s="86"/>
      <c r="BM401" s="86"/>
      <c r="BN401" s="86"/>
      <c r="BO401" s="86"/>
      <c r="BP401" s="86"/>
      <c r="BQ401" s="86"/>
      <c r="BR401" s="86"/>
      <c r="BS401" s="86"/>
      <c r="BT401" s="86"/>
      <c r="BU401" s="86"/>
      <c r="BV401" s="86"/>
      <c r="BW401" s="86"/>
      <c r="BX401" s="86"/>
      <c r="BY401" s="86"/>
      <c r="BZ401" s="86"/>
      <c r="CA401" s="86"/>
      <c r="CB401" s="86"/>
      <c r="CC401" s="86"/>
      <c r="CD401" s="86"/>
      <c r="CE401" s="86"/>
      <c r="CF401" s="86"/>
      <c r="CG401" s="86"/>
      <c r="CH401" s="86"/>
      <c r="CI401" s="86"/>
      <c r="CJ401" s="86"/>
      <c r="CK401" s="86"/>
      <c r="CL401" s="86"/>
      <c r="CM401" s="86"/>
      <c r="CN401" s="86"/>
      <c r="CO401" s="86"/>
      <c r="CP401" s="86"/>
      <c r="CQ401" s="86"/>
      <c r="CR401" s="86"/>
      <c r="CS401" s="86"/>
      <c r="CT401" s="86"/>
      <c r="CU401" s="86"/>
      <c r="CV401" s="86"/>
      <c r="CW401" s="86"/>
      <c r="CX401" s="86"/>
      <c r="CY401" s="86"/>
      <c r="CZ401" s="86"/>
      <c r="DA401" s="86"/>
      <c r="DB401" s="86"/>
      <c r="DC401" s="86"/>
      <c r="DD401" s="86"/>
      <c r="DE401" s="86"/>
      <c r="DF401" s="86"/>
      <c r="DG401" s="86"/>
      <c r="DH401" s="86"/>
      <c r="DI401" s="86"/>
      <c r="DJ401" s="86"/>
      <c r="DK401" s="86"/>
      <c r="DL401" s="86"/>
      <c r="DM401" s="86"/>
      <c r="DN401" s="86"/>
      <c r="DO401" s="86"/>
      <c r="DP401" s="86"/>
      <c r="DQ401" s="86"/>
      <c r="DR401" s="86"/>
      <c r="DS401" s="86"/>
      <c r="DT401" s="86"/>
      <c r="DU401" s="86"/>
      <c r="DV401" s="86"/>
      <c r="DW401" s="86"/>
      <c r="DX401" s="86"/>
      <c r="DY401" s="86"/>
      <c r="DZ401" s="86"/>
      <c r="EA401" s="86"/>
      <c r="EB401" s="86"/>
      <c r="EC401" s="86"/>
      <c r="ED401" s="86"/>
      <c r="EE401" s="86"/>
      <c r="EF401" s="86"/>
      <c r="EG401" s="86"/>
      <c r="EH401" s="86"/>
      <c r="EI401" s="86"/>
      <c r="EJ401" s="86"/>
      <c r="EK401" s="86"/>
      <c r="EL401" s="86"/>
      <c r="EM401" s="86"/>
      <c r="EN401" s="86"/>
      <c r="EO401" s="86"/>
      <c r="EP401" s="86"/>
      <c r="EQ401" s="86"/>
      <c r="ER401" s="86"/>
      <c r="ES401" s="86"/>
      <c r="ET401" s="86"/>
      <c r="EU401" s="86"/>
      <c r="EV401" s="86"/>
      <c r="EW401" s="86"/>
      <c r="EX401" s="86"/>
      <c r="EY401" s="86"/>
      <c r="EZ401" s="86"/>
      <c r="FA401" s="86"/>
    </row>
    <row r="402" spans="2:157" ht="10.050000000000001" customHeight="1">
      <c r="B402" s="845" t="s">
        <v>546</v>
      </c>
      <c r="C402" s="1350" t="s">
        <v>106</v>
      </c>
      <c r="D402" s="1350"/>
      <c r="E402" s="87"/>
      <c r="F402" s="848" t="s">
        <v>546</v>
      </c>
      <c r="G402" s="848" t="s">
        <v>546</v>
      </c>
      <c r="H402" s="1016">
        <v>0.13</v>
      </c>
      <c r="J402" s="101"/>
      <c r="K402" s="101"/>
      <c r="L402" s="101"/>
      <c r="Z402" s="86"/>
      <c r="AA402" s="86"/>
      <c r="AB402" s="86"/>
      <c r="AC402" s="86"/>
      <c r="AD402" s="86"/>
      <c r="AE402" s="86"/>
      <c r="AF402" s="86"/>
      <c r="AG402" s="86"/>
      <c r="AH402" s="86"/>
      <c r="AI402" s="86"/>
      <c r="AJ402" s="86"/>
      <c r="AK402" s="86"/>
      <c r="AL402" s="86"/>
      <c r="AM402" s="86"/>
      <c r="AN402" s="86"/>
      <c r="AO402" s="86"/>
      <c r="AP402" s="86"/>
      <c r="AQ402" s="86"/>
      <c r="AR402" s="86"/>
      <c r="AS402" s="86"/>
      <c r="AT402" s="86"/>
      <c r="AU402" s="86"/>
      <c r="AV402" s="86"/>
      <c r="AW402" s="86"/>
      <c r="AX402" s="86"/>
      <c r="AY402" s="86"/>
      <c r="AZ402" s="86"/>
      <c r="BA402" s="86"/>
      <c r="BB402" s="86"/>
      <c r="BC402" s="86"/>
      <c r="BD402" s="86"/>
      <c r="BE402" s="86"/>
      <c r="BF402" s="86"/>
      <c r="BG402" s="86"/>
      <c r="BH402" s="86"/>
      <c r="BI402" s="86"/>
      <c r="BJ402" s="86"/>
      <c r="BK402" s="86"/>
      <c r="BL402" s="86"/>
      <c r="BM402" s="86"/>
      <c r="BN402" s="86"/>
      <c r="BO402" s="86"/>
      <c r="BP402" s="86"/>
      <c r="BQ402" s="86"/>
      <c r="BR402" s="86"/>
      <c r="BS402" s="86"/>
      <c r="BT402" s="86"/>
      <c r="BU402" s="86"/>
      <c r="BV402" s="86"/>
      <c r="BW402" s="86"/>
      <c r="BX402" s="86"/>
      <c r="BY402" s="86"/>
      <c r="BZ402" s="86"/>
      <c r="CA402" s="86"/>
      <c r="CB402" s="86"/>
      <c r="CC402" s="86"/>
      <c r="CD402" s="86"/>
      <c r="CE402" s="86"/>
      <c r="CF402" s="86"/>
      <c r="CG402" s="86"/>
      <c r="CH402" s="86"/>
      <c r="CI402" s="86"/>
      <c r="CJ402" s="86"/>
      <c r="CK402" s="86"/>
      <c r="CL402" s="86"/>
      <c r="CM402" s="86"/>
      <c r="CN402" s="86"/>
      <c r="CO402" s="86"/>
      <c r="CP402" s="86"/>
      <c r="CQ402" s="86"/>
      <c r="CR402" s="86"/>
      <c r="CS402" s="86"/>
      <c r="CT402" s="86"/>
      <c r="CU402" s="86"/>
      <c r="CV402" s="86"/>
      <c r="CW402" s="86"/>
      <c r="CX402" s="86"/>
      <c r="CY402" s="86"/>
      <c r="CZ402" s="86"/>
      <c r="DA402" s="86"/>
      <c r="DB402" s="86"/>
      <c r="DC402" s="86"/>
      <c r="DD402" s="86"/>
      <c r="DE402" s="86"/>
      <c r="DF402" s="86"/>
      <c r="DG402" s="86"/>
      <c r="DH402" s="86"/>
      <c r="DI402" s="86"/>
      <c r="DJ402" s="86"/>
      <c r="DK402" s="86"/>
      <c r="DL402" s="86"/>
      <c r="DM402" s="86"/>
      <c r="DN402" s="86"/>
      <c r="DO402" s="86"/>
      <c r="DP402" s="86"/>
      <c r="DQ402" s="86"/>
      <c r="DR402" s="86"/>
      <c r="DS402" s="86"/>
      <c r="DT402" s="86"/>
      <c r="DU402" s="86"/>
      <c r="DV402" s="86"/>
      <c r="DW402" s="86"/>
      <c r="DX402" s="86"/>
      <c r="DY402" s="86"/>
      <c r="DZ402" s="86"/>
      <c r="EA402" s="86"/>
      <c r="EB402" s="86"/>
      <c r="EC402" s="86"/>
      <c r="ED402" s="86"/>
      <c r="EE402" s="86"/>
      <c r="EF402" s="86"/>
      <c r="EG402" s="86"/>
      <c r="EH402" s="86"/>
      <c r="EI402" s="86"/>
      <c r="EJ402" s="86"/>
      <c r="EK402" s="86"/>
      <c r="EL402" s="86"/>
      <c r="EM402" s="86"/>
      <c r="EN402" s="86"/>
      <c r="EO402" s="86"/>
      <c r="EP402" s="86"/>
      <c r="EQ402" s="86"/>
      <c r="ER402" s="86"/>
      <c r="ES402" s="86"/>
      <c r="ET402" s="86"/>
      <c r="EU402" s="86"/>
      <c r="EV402" s="86"/>
      <c r="EW402" s="86"/>
      <c r="EX402" s="86"/>
      <c r="EY402" s="86"/>
      <c r="EZ402" s="86"/>
      <c r="FA402" s="86"/>
    </row>
    <row r="403" spans="2:157" ht="9.75" customHeight="1">
      <c r="B403" s="845">
        <v>1</v>
      </c>
      <c r="C403" s="1344"/>
      <c r="D403" s="1344"/>
      <c r="E403" s="1344"/>
      <c r="F403" s="857"/>
      <c r="G403" s="857"/>
      <c r="H403" s="875" t="str">
        <f t="shared" ref="H403:H411" si="18">IF(G403=0,"",(F403/(G403+0.00000000001)))</f>
        <v/>
      </c>
      <c r="J403" s="101"/>
      <c r="K403" s="101"/>
      <c r="L403" s="101"/>
      <c r="Z403" s="86"/>
      <c r="AA403" s="86"/>
      <c r="AB403" s="86"/>
      <c r="AC403" s="86"/>
      <c r="AD403" s="86"/>
      <c r="AE403" s="86"/>
      <c r="AF403" s="86"/>
      <c r="AG403" s="86"/>
      <c r="AH403" s="86"/>
      <c r="AI403" s="86"/>
      <c r="AJ403" s="86"/>
      <c r="AK403" s="86"/>
      <c r="AL403" s="86"/>
      <c r="AM403" s="86"/>
      <c r="AN403" s="86"/>
      <c r="AO403" s="86"/>
      <c r="AP403" s="86"/>
      <c r="AQ403" s="86"/>
      <c r="AR403" s="86"/>
      <c r="AS403" s="86"/>
      <c r="AT403" s="86"/>
      <c r="AU403" s="86"/>
      <c r="AV403" s="86"/>
      <c r="AW403" s="86"/>
      <c r="AX403" s="86"/>
      <c r="AY403" s="86"/>
      <c r="AZ403" s="86"/>
      <c r="BA403" s="86"/>
      <c r="BB403" s="86"/>
      <c r="BC403" s="86"/>
      <c r="BD403" s="86"/>
      <c r="BE403" s="86"/>
      <c r="BF403" s="86"/>
      <c r="BG403" s="86"/>
      <c r="BH403" s="86"/>
      <c r="BI403" s="86"/>
      <c r="BJ403" s="86"/>
      <c r="BK403" s="86"/>
      <c r="BL403" s="86"/>
      <c r="BM403" s="86"/>
      <c r="BN403" s="86"/>
      <c r="BO403" s="86"/>
      <c r="BP403" s="86"/>
      <c r="BQ403" s="86"/>
      <c r="BR403" s="86"/>
      <c r="BS403" s="86"/>
      <c r="BT403" s="86"/>
      <c r="BU403" s="86"/>
      <c r="BV403" s="86"/>
      <c r="BW403" s="86"/>
      <c r="BX403" s="86"/>
      <c r="BY403" s="86"/>
      <c r="BZ403" s="86"/>
      <c r="CA403" s="86"/>
      <c r="CB403" s="86"/>
      <c r="CC403" s="86"/>
      <c r="CD403" s="86"/>
      <c r="CE403" s="86"/>
      <c r="CF403" s="86"/>
      <c r="CG403" s="86"/>
      <c r="CH403" s="86"/>
      <c r="CI403" s="86"/>
      <c r="CJ403" s="86"/>
      <c r="CK403" s="86"/>
      <c r="CL403" s="86"/>
      <c r="CM403" s="86"/>
      <c r="CN403" s="86"/>
      <c r="CO403" s="86"/>
      <c r="CP403" s="86"/>
      <c r="CQ403" s="86"/>
      <c r="CR403" s="86"/>
      <c r="CS403" s="86"/>
      <c r="CT403" s="86"/>
      <c r="CU403" s="86"/>
      <c r="CV403" s="86"/>
      <c r="CW403" s="86"/>
      <c r="CX403" s="86"/>
      <c r="CY403" s="86"/>
      <c r="CZ403" s="86"/>
      <c r="DA403" s="86"/>
      <c r="DB403" s="86"/>
      <c r="DC403" s="86"/>
      <c r="DD403" s="86"/>
      <c r="DE403" s="86"/>
      <c r="DF403" s="86"/>
      <c r="DG403" s="86"/>
      <c r="DH403" s="86"/>
      <c r="DI403" s="86"/>
      <c r="DJ403" s="86"/>
      <c r="DK403" s="86"/>
      <c r="DL403" s="86"/>
      <c r="DM403" s="86"/>
      <c r="DN403" s="86"/>
      <c r="DO403" s="86"/>
      <c r="DP403" s="86"/>
      <c r="DQ403" s="86"/>
      <c r="DR403" s="86"/>
      <c r="DS403" s="86"/>
      <c r="DT403" s="86"/>
      <c r="DU403" s="86"/>
      <c r="DV403" s="86"/>
      <c r="DW403" s="86"/>
      <c r="DX403" s="86"/>
      <c r="DY403" s="86"/>
      <c r="DZ403" s="86"/>
      <c r="EA403" s="86"/>
      <c r="EB403" s="86"/>
      <c r="EC403" s="86"/>
      <c r="ED403" s="86"/>
      <c r="EE403" s="86"/>
      <c r="EF403" s="86"/>
      <c r="EG403" s="86"/>
      <c r="EH403" s="86"/>
      <c r="EI403" s="86"/>
      <c r="EJ403" s="86"/>
      <c r="EK403" s="86"/>
      <c r="EL403" s="86"/>
      <c r="EM403" s="86"/>
      <c r="EN403" s="86"/>
      <c r="EO403" s="86"/>
      <c r="EP403" s="86"/>
      <c r="EQ403" s="86"/>
      <c r="ER403" s="86"/>
      <c r="ES403" s="86"/>
      <c r="ET403" s="86"/>
      <c r="EU403" s="86"/>
      <c r="EV403" s="86"/>
      <c r="EW403" s="86"/>
      <c r="EX403" s="86"/>
      <c r="EY403" s="86"/>
      <c r="EZ403" s="86"/>
      <c r="FA403" s="86"/>
    </row>
    <row r="404" spans="2:157" ht="9.75" customHeight="1">
      <c r="B404" s="845">
        <v>2</v>
      </c>
      <c r="C404" s="1344"/>
      <c r="D404" s="1344"/>
      <c r="E404" s="1344"/>
      <c r="F404" s="857"/>
      <c r="G404" s="857"/>
      <c r="H404" s="875" t="str">
        <f t="shared" si="18"/>
        <v/>
      </c>
      <c r="J404" s="101"/>
      <c r="K404" s="101"/>
      <c r="L404" s="101"/>
      <c r="Z404" s="86"/>
      <c r="AA404" s="86"/>
      <c r="AB404" s="86"/>
      <c r="AC404" s="86"/>
      <c r="AD404" s="86"/>
      <c r="AE404" s="86"/>
      <c r="AF404" s="86"/>
      <c r="AG404" s="86"/>
      <c r="AH404" s="86"/>
      <c r="AI404" s="86"/>
      <c r="AJ404" s="86"/>
      <c r="AK404" s="86"/>
      <c r="AL404" s="86"/>
      <c r="AM404" s="86"/>
      <c r="AN404" s="86"/>
      <c r="AO404" s="86"/>
      <c r="AP404" s="86"/>
      <c r="AQ404" s="86"/>
      <c r="AR404" s="86"/>
      <c r="AS404" s="86"/>
      <c r="AT404" s="86"/>
      <c r="AU404" s="86"/>
      <c r="AV404" s="86"/>
      <c r="AW404" s="86"/>
      <c r="AX404" s="86"/>
      <c r="AY404" s="86"/>
      <c r="AZ404" s="86"/>
      <c r="BA404" s="86"/>
      <c r="BB404" s="86"/>
      <c r="BC404" s="86"/>
      <c r="BD404" s="86"/>
      <c r="BE404" s="86"/>
      <c r="BF404" s="86"/>
      <c r="BG404" s="86"/>
      <c r="BH404" s="86"/>
      <c r="BI404" s="86"/>
      <c r="BJ404" s="86"/>
      <c r="BK404" s="86"/>
      <c r="BL404" s="86"/>
      <c r="BM404" s="86"/>
      <c r="BN404" s="86"/>
      <c r="BO404" s="86"/>
      <c r="BP404" s="86"/>
      <c r="BQ404" s="86"/>
      <c r="BR404" s="86"/>
      <c r="BS404" s="86"/>
      <c r="BT404" s="86"/>
      <c r="BU404" s="86"/>
      <c r="BV404" s="86"/>
      <c r="BW404" s="86"/>
      <c r="BX404" s="86"/>
      <c r="BY404" s="86"/>
      <c r="BZ404" s="86"/>
      <c r="CA404" s="86"/>
      <c r="CB404" s="86"/>
      <c r="CC404" s="86"/>
      <c r="CD404" s="86"/>
      <c r="CE404" s="86"/>
      <c r="CF404" s="86"/>
      <c r="CG404" s="86"/>
      <c r="CH404" s="86"/>
      <c r="CI404" s="86"/>
      <c r="CJ404" s="86"/>
      <c r="CK404" s="86"/>
      <c r="CL404" s="86"/>
      <c r="CM404" s="86"/>
      <c r="CN404" s="86"/>
      <c r="CO404" s="86"/>
      <c r="CP404" s="86"/>
      <c r="CQ404" s="86"/>
      <c r="CR404" s="86"/>
      <c r="CS404" s="86"/>
      <c r="CT404" s="86"/>
      <c r="CU404" s="86"/>
      <c r="CV404" s="86"/>
      <c r="CW404" s="86"/>
      <c r="CX404" s="86"/>
      <c r="CY404" s="86"/>
      <c r="CZ404" s="86"/>
      <c r="DA404" s="86"/>
      <c r="DB404" s="86"/>
      <c r="DC404" s="86"/>
      <c r="DD404" s="86"/>
      <c r="DE404" s="86"/>
      <c r="DF404" s="86"/>
      <c r="DG404" s="86"/>
      <c r="DH404" s="86"/>
      <c r="DI404" s="86"/>
      <c r="DJ404" s="86"/>
      <c r="DK404" s="86"/>
      <c r="DL404" s="86"/>
      <c r="DM404" s="86"/>
      <c r="DN404" s="86"/>
      <c r="DO404" s="86"/>
      <c r="DP404" s="86"/>
      <c r="DQ404" s="86"/>
      <c r="DR404" s="86"/>
      <c r="DS404" s="86"/>
      <c r="DT404" s="86"/>
      <c r="DU404" s="86"/>
      <c r="DV404" s="86"/>
      <c r="DW404" s="86"/>
      <c r="DX404" s="86"/>
      <c r="DY404" s="86"/>
      <c r="DZ404" s="86"/>
      <c r="EA404" s="86"/>
      <c r="EB404" s="86"/>
      <c r="EC404" s="86"/>
      <c r="ED404" s="86"/>
      <c r="EE404" s="86"/>
      <c r="EF404" s="86"/>
      <c r="EG404" s="86"/>
      <c r="EH404" s="86"/>
      <c r="EI404" s="86"/>
      <c r="EJ404" s="86"/>
      <c r="EK404" s="86"/>
      <c r="EL404" s="86"/>
      <c r="EM404" s="86"/>
      <c r="EN404" s="86"/>
      <c r="EO404" s="86"/>
      <c r="EP404" s="86"/>
      <c r="EQ404" s="86"/>
      <c r="ER404" s="86"/>
      <c r="ES404" s="86"/>
      <c r="ET404" s="86"/>
      <c r="EU404" s="86"/>
      <c r="EV404" s="86"/>
      <c r="EW404" s="86"/>
      <c r="EX404" s="86"/>
      <c r="EY404" s="86"/>
      <c r="EZ404" s="86"/>
      <c r="FA404" s="86"/>
    </row>
    <row r="405" spans="2:157" ht="9.75" customHeight="1">
      <c r="B405" s="845">
        <v>3</v>
      </c>
      <c r="C405" s="1344"/>
      <c r="D405" s="1344"/>
      <c r="E405" s="1344"/>
      <c r="F405" s="857"/>
      <c r="G405" s="857"/>
      <c r="H405" s="875" t="str">
        <f t="shared" si="18"/>
        <v/>
      </c>
      <c r="J405" s="101"/>
      <c r="K405" s="101"/>
      <c r="L405" s="101"/>
      <c r="Z405" s="86"/>
      <c r="AA405" s="86"/>
      <c r="AB405" s="86"/>
      <c r="AC405" s="86"/>
      <c r="AD405" s="86"/>
      <c r="AE405" s="86"/>
      <c r="AF405" s="86"/>
      <c r="AG405" s="86"/>
      <c r="AH405" s="86"/>
      <c r="AI405" s="86"/>
      <c r="AJ405" s="86"/>
      <c r="AK405" s="86"/>
      <c r="AL405" s="86"/>
      <c r="AM405" s="86"/>
      <c r="AN405" s="86"/>
      <c r="AO405" s="86"/>
      <c r="AP405" s="86"/>
      <c r="AQ405" s="86"/>
      <c r="AR405" s="86"/>
      <c r="AS405" s="86"/>
      <c r="AT405" s="86"/>
      <c r="AU405" s="86"/>
      <c r="AV405" s="86"/>
      <c r="AW405" s="86"/>
      <c r="AX405" s="86"/>
      <c r="AY405" s="86"/>
      <c r="AZ405" s="86"/>
      <c r="BA405" s="86"/>
      <c r="BB405" s="86"/>
      <c r="BC405" s="86"/>
      <c r="BD405" s="86"/>
      <c r="BE405" s="86"/>
      <c r="BF405" s="86"/>
      <c r="BG405" s="86"/>
      <c r="BH405" s="86"/>
      <c r="BI405" s="86"/>
      <c r="BJ405" s="86"/>
      <c r="BK405" s="86"/>
      <c r="BL405" s="86"/>
      <c r="BM405" s="86"/>
      <c r="BN405" s="86"/>
      <c r="BO405" s="86"/>
      <c r="BP405" s="86"/>
      <c r="BQ405" s="86"/>
      <c r="BR405" s="86"/>
      <c r="BS405" s="86"/>
      <c r="BT405" s="86"/>
      <c r="BU405" s="86"/>
      <c r="BV405" s="86"/>
      <c r="BW405" s="86"/>
      <c r="BX405" s="86"/>
      <c r="BY405" s="86"/>
      <c r="BZ405" s="86"/>
      <c r="CA405" s="86"/>
      <c r="CB405" s="86"/>
      <c r="CC405" s="86"/>
      <c r="CD405" s="86"/>
      <c r="CE405" s="86"/>
      <c r="CF405" s="86"/>
      <c r="CG405" s="86"/>
      <c r="CH405" s="86"/>
      <c r="CI405" s="86"/>
      <c r="CJ405" s="86"/>
      <c r="CK405" s="86"/>
      <c r="CL405" s="86"/>
      <c r="CM405" s="86"/>
      <c r="CN405" s="86"/>
      <c r="CO405" s="86"/>
      <c r="CP405" s="86"/>
      <c r="CQ405" s="86"/>
      <c r="CR405" s="86"/>
      <c r="CS405" s="86"/>
      <c r="CT405" s="86"/>
      <c r="CU405" s="86"/>
      <c r="CV405" s="86"/>
      <c r="CW405" s="86"/>
      <c r="CX405" s="86"/>
      <c r="CY405" s="86"/>
      <c r="CZ405" s="86"/>
      <c r="DA405" s="86"/>
      <c r="DB405" s="86"/>
      <c r="DC405" s="86"/>
      <c r="DD405" s="86"/>
      <c r="DE405" s="86"/>
      <c r="DF405" s="86"/>
      <c r="DG405" s="86"/>
      <c r="DH405" s="86"/>
      <c r="DI405" s="86"/>
      <c r="DJ405" s="86"/>
      <c r="DK405" s="86"/>
      <c r="DL405" s="86"/>
      <c r="DM405" s="86"/>
      <c r="DN405" s="86"/>
      <c r="DO405" s="86"/>
      <c r="DP405" s="86"/>
      <c r="DQ405" s="86"/>
      <c r="DR405" s="86"/>
      <c r="DS405" s="86"/>
      <c r="DT405" s="86"/>
      <c r="DU405" s="86"/>
      <c r="DV405" s="86"/>
      <c r="DW405" s="86"/>
      <c r="DX405" s="86"/>
      <c r="DY405" s="86"/>
      <c r="DZ405" s="86"/>
      <c r="EA405" s="86"/>
      <c r="EB405" s="86"/>
      <c r="EC405" s="86"/>
      <c r="ED405" s="86"/>
      <c r="EE405" s="86"/>
      <c r="EF405" s="86"/>
      <c r="EG405" s="86"/>
      <c r="EH405" s="86"/>
      <c r="EI405" s="86"/>
      <c r="EJ405" s="86"/>
      <c r="EK405" s="86"/>
      <c r="EL405" s="86"/>
      <c r="EM405" s="86"/>
      <c r="EN405" s="86"/>
      <c r="EO405" s="86"/>
      <c r="EP405" s="86"/>
      <c r="EQ405" s="86"/>
      <c r="ER405" s="86"/>
      <c r="ES405" s="86"/>
      <c r="ET405" s="86"/>
      <c r="EU405" s="86"/>
      <c r="EV405" s="86"/>
      <c r="EW405" s="86"/>
      <c r="EX405" s="86"/>
      <c r="EY405" s="86"/>
      <c r="EZ405" s="86"/>
      <c r="FA405" s="86"/>
    </row>
    <row r="406" spans="2:157" ht="9.75" customHeight="1">
      <c r="B406" s="845">
        <v>4</v>
      </c>
      <c r="C406" s="1344"/>
      <c r="D406" s="1344"/>
      <c r="E406" s="1344"/>
      <c r="F406" s="857"/>
      <c r="G406" s="857"/>
      <c r="H406" s="875" t="str">
        <f t="shared" si="18"/>
        <v/>
      </c>
      <c r="J406" s="101"/>
      <c r="K406" s="101"/>
      <c r="L406" s="101"/>
      <c r="Z406" s="86"/>
      <c r="AA406" s="86"/>
      <c r="AB406" s="86"/>
      <c r="AC406" s="86"/>
      <c r="AD406" s="86"/>
      <c r="AE406" s="86"/>
      <c r="AF406" s="86"/>
      <c r="AG406" s="86"/>
      <c r="AH406" s="86"/>
      <c r="AI406" s="86"/>
      <c r="AJ406" s="86"/>
      <c r="AK406" s="86"/>
      <c r="AL406" s="86"/>
      <c r="AM406" s="86"/>
      <c r="AN406" s="86"/>
      <c r="AO406" s="86"/>
      <c r="AP406" s="86"/>
      <c r="AQ406" s="86"/>
      <c r="AR406" s="86"/>
      <c r="AS406" s="86"/>
      <c r="AT406" s="86"/>
      <c r="AU406" s="86"/>
      <c r="AV406" s="86"/>
      <c r="AW406" s="86"/>
      <c r="AX406" s="86"/>
      <c r="AY406" s="86"/>
      <c r="AZ406" s="86"/>
      <c r="BA406" s="86"/>
      <c r="BB406" s="86"/>
      <c r="BC406" s="86"/>
      <c r="BD406" s="86"/>
      <c r="BE406" s="86"/>
      <c r="BF406" s="86"/>
      <c r="BG406" s="86"/>
      <c r="BH406" s="86"/>
      <c r="BI406" s="86"/>
      <c r="BJ406" s="86"/>
      <c r="BK406" s="86"/>
      <c r="BL406" s="86"/>
      <c r="BM406" s="86"/>
      <c r="BN406" s="86"/>
      <c r="BO406" s="86"/>
      <c r="BP406" s="86"/>
      <c r="BQ406" s="86"/>
      <c r="BR406" s="86"/>
      <c r="BS406" s="86"/>
      <c r="BT406" s="86"/>
      <c r="BU406" s="86"/>
      <c r="BV406" s="86"/>
      <c r="BW406" s="86"/>
      <c r="BX406" s="86"/>
      <c r="BY406" s="86"/>
      <c r="BZ406" s="86"/>
      <c r="CA406" s="86"/>
      <c r="CB406" s="86"/>
      <c r="CC406" s="86"/>
      <c r="CD406" s="86"/>
      <c r="CE406" s="86"/>
      <c r="CF406" s="86"/>
      <c r="CG406" s="86"/>
      <c r="CH406" s="86"/>
      <c r="CI406" s="86"/>
      <c r="CJ406" s="86"/>
      <c r="CK406" s="86"/>
      <c r="CL406" s="86"/>
      <c r="CM406" s="86"/>
      <c r="CN406" s="86"/>
      <c r="CO406" s="86"/>
      <c r="CP406" s="86"/>
      <c r="CQ406" s="86"/>
      <c r="CR406" s="86"/>
      <c r="CS406" s="86"/>
      <c r="CT406" s="86"/>
      <c r="CU406" s="86"/>
      <c r="CV406" s="86"/>
      <c r="CW406" s="86"/>
      <c r="CX406" s="86"/>
      <c r="CY406" s="86"/>
      <c r="CZ406" s="86"/>
      <c r="DA406" s="86"/>
      <c r="DB406" s="86"/>
      <c r="DC406" s="86"/>
      <c r="DD406" s="86"/>
      <c r="DE406" s="86"/>
      <c r="DF406" s="86"/>
      <c r="DG406" s="86"/>
      <c r="DH406" s="86"/>
      <c r="DI406" s="86"/>
      <c r="DJ406" s="86"/>
      <c r="DK406" s="86"/>
      <c r="DL406" s="86"/>
      <c r="DM406" s="86"/>
      <c r="DN406" s="86"/>
      <c r="DO406" s="86"/>
      <c r="DP406" s="86"/>
      <c r="DQ406" s="86"/>
      <c r="DR406" s="86"/>
      <c r="DS406" s="86"/>
      <c r="DT406" s="86"/>
      <c r="DU406" s="86"/>
      <c r="DV406" s="86"/>
      <c r="DW406" s="86"/>
      <c r="DX406" s="86"/>
      <c r="DY406" s="86"/>
      <c r="DZ406" s="86"/>
      <c r="EA406" s="86"/>
      <c r="EB406" s="86"/>
      <c r="EC406" s="86"/>
      <c r="ED406" s="86"/>
      <c r="EE406" s="86"/>
      <c r="EF406" s="86"/>
      <c r="EG406" s="86"/>
      <c r="EH406" s="86"/>
      <c r="EI406" s="86"/>
      <c r="EJ406" s="86"/>
      <c r="EK406" s="86"/>
      <c r="EL406" s="86"/>
      <c r="EM406" s="86"/>
      <c r="EN406" s="86"/>
      <c r="EO406" s="86"/>
      <c r="EP406" s="86"/>
      <c r="EQ406" s="86"/>
      <c r="ER406" s="86"/>
      <c r="ES406" s="86"/>
      <c r="ET406" s="86"/>
      <c r="EU406" s="86"/>
      <c r="EV406" s="86"/>
      <c r="EW406" s="86"/>
      <c r="EX406" s="86"/>
      <c r="EY406" s="86"/>
      <c r="EZ406" s="86"/>
      <c r="FA406" s="86"/>
    </row>
    <row r="407" spans="2:157" ht="9.75" customHeight="1">
      <c r="B407" s="845">
        <v>5</v>
      </c>
      <c r="C407" s="1344"/>
      <c r="D407" s="1344"/>
      <c r="E407" s="1344"/>
      <c r="F407" s="857"/>
      <c r="G407" s="857"/>
      <c r="H407" s="875" t="str">
        <f t="shared" si="18"/>
        <v/>
      </c>
      <c r="J407" s="101"/>
      <c r="K407" s="101"/>
      <c r="L407" s="101"/>
      <c r="Z407" s="86"/>
      <c r="AA407" s="86"/>
      <c r="AB407" s="86"/>
      <c r="AC407" s="86"/>
      <c r="AD407" s="86"/>
      <c r="AE407" s="86"/>
      <c r="AF407" s="86"/>
      <c r="AG407" s="86"/>
      <c r="AH407" s="86"/>
      <c r="AI407" s="86"/>
      <c r="AJ407" s="86"/>
      <c r="AK407" s="86"/>
      <c r="AL407" s="86"/>
      <c r="AM407" s="86"/>
      <c r="AN407" s="86"/>
      <c r="AO407" s="86"/>
      <c r="AP407" s="86"/>
      <c r="AQ407" s="86"/>
      <c r="AR407" s="86"/>
      <c r="AS407" s="86"/>
      <c r="AT407" s="86"/>
      <c r="AU407" s="86"/>
      <c r="AV407" s="86"/>
      <c r="AW407" s="86"/>
      <c r="AX407" s="86"/>
      <c r="AY407" s="86"/>
      <c r="AZ407" s="86"/>
      <c r="BA407" s="86"/>
      <c r="BB407" s="86"/>
      <c r="BC407" s="86"/>
      <c r="BD407" s="86"/>
      <c r="BE407" s="86"/>
      <c r="BF407" s="86"/>
      <c r="BG407" s="86"/>
      <c r="BH407" s="86"/>
      <c r="BI407" s="86"/>
      <c r="BJ407" s="86"/>
      <c r="BK407" s="86"/>
      <c r="BL407" s="86"/>
      <c r="BM407" s="86"/>
      <c r="BN407" s="86"/>
      <c r="BO407" s="86"/>
      <c r="BP407" s="86"/>
      <c r="BQ407" s="86"/>
      <c r="BR407" s="86"/>
      <c r="BS407" s="86"/>
      <c r="BT407" s="86"/>
      <c r="BU407" s="86"/>
      <c r="BV407" s="86"/>
      <c r="BW407" s="86"/>
      <c r="BX407" s="86"/>
      <c r="BY407" s="86"/>
      <c r="BZ407" s="86"/>
      <c r="CA407" s="86"/>
      <c r="CB407" s="86"/>
      <c r="CC407" s="86"/>
      <c r="CD407" s="86"/>
      <c r="CE407" s="86"/>
      <c r="CF407" s="86"/>
      <c r="CG407" s="86"/>
      <c r="CH407" s="86"/>
      <c r="CI407" s="86"/>
      <c r="CJ407" s="86"/>
      <c r="CK407" s="86"/>
      <c r="CL407" s="86"/>
      <c r="CM407" s="86"/>
      <c r="CN407" s="86"/>
      <c r="CO407" s="86"/>
      <c r="CP407" s="86"/>
      <c r="CQ407" s="86"/>
      <c r="CR407" s="86"/>
      <c r="CS407" s="86"/>
      <c r="CT407" s="86"/>
      <c r="CU407" s="86"/>
      <c r="CV407" s="86"/>
      <c r="CW407" s="86"/>
      <c r="CX407" s="86"/>
      <c r="CY407" s="86"/>
      <c r="CZ407" s="86"/>
      <c r="DA407" s="86"/>
      <c r="DB407" s="86"/>
      <c r="DC407" s="86"/>
      <c r="DD407" s="86"/>
      <c r="DE407" s="86"/>
      <c r="DF407" s="86"/>
      <c r="DG407" s="86"/>
      <c r="DH407" s="86"/>
      <c r="DI407" s="86"/>
      <c r="DJ407" s="86"/>
      <c r="DK407" s="86"/>
      <c r="DL407" s="86"/>
      <c r="DM407" s="86"/>
      <c r="DN407" s="86"/>
      <c r="DO407" s="86"/>
      <c r="DP407" s="86"/>
      <c r="DQ407" s="86"/>
      <c r="DR407" s="86"/>
      <c r="DS407" s="86"/>
      <c r="DT407" s="86"/>
      <c r="DU407" s="86"/>
      <c r="DV407" s="86"/>
      <c r="DW407" s="86"/>
      <c r="DX407" s="86"/>
      <c r="DY407" s="86"/>
      <c r="DZ407" s="86"/>
      <c r="EA407" s="86"/>
      <c r="EB407" s="86"/>
      <c r="EC407" s="86"/>
      <c r="ED407" s="86"/>
      <c r="EE407" s="86"/>
      <c r="EF407" s="86"/>
      <c r="EG407" s="86"/>
      <c r="EH407" s="86"/>
      <c r="EI407" s="86"/>
      <c r="EJ407" s="86"/>
      <c r="EK407" s="86"/>
      <c r="EL407" s="86"/>
      <c r="EM407" s="86"/>
      <c r="EN407" s="86"/>
      <c r="EO407" s="86"/>
      <c r="EP407" s="86"/>
      <c r="EQ407" s="86"/>
      <c r="ER407" s="86"/>
      <c r="ES407" s="86"/>
      <c r="ET407" s="86"/>
      <c r="EU407" s="86"/>
      <c r="EV407" s="86"/>
      <c r="EW407" s="86"/>
      <c r="EX407" s="86"/>
      <c r="EY407" s="86"/>
      <c r="EZ407" s="86"/>
      <c r="FA407" s="86"/>
    </row>
    <row r="408" spans="2:157" ht="9.75" customHeight="1">
      <c r="B408" s="845">
        <v>6</v>
      </c>
      <c r="C408" s="1344"/>
      <c r="D408" s="1344"/>
      <c r="E408" s="1344"/>
      <c r="F408" s="857"/>
      <c r="G408" s="857"/>
      <c r="H408" s="875" t="str">
        <f t="shared" si="18"/>
        <v/>
      </c>
      <c r="J408" s="101"/>
      <c r="K408" s="101"/>
      <c r="L408" s="101"/>
      <c r="Z408" s="86"/>
      <c r="AA408" s="86"/>
      <c r="AB408" s="86"/>
      <c r="AC408" s="86"/>
      <c r="AD408" s="86"/>
      <c r="AE408" s="86"/>
      <c r="AF408" s="86"/>
      <c r="AG408" s="86"/>
      <c r="AH408" s="86"/>
      <c r="AI408" s="86"/>
      <c r="AJ408" s="86"/>
      <c r="AK408" s="86"/>
      <c r="AL408" s="86"/>
      <c r="AM408" s="86"/>
      <c r="AN408" s="86"/>
      <c r="AO408" s="86"/>
      <c r="AP408" s="86"/>
      <c r="AQ408" s="86"/>
      <c r="AR408" s="86"/>
      <c r="AS408" s="86"/>
      <c r="AT408" s="86"/>
      <c r="AU408" s="86"/>
      <c r="AV408" s="86"/>
      <c r="AW408" s="86"/>
      <c r="AX408" s="86"/>
      <c r="AY408" s="86"/>
      <c r="AZ408" s="86"/>
      <c r="BA408" s="86"/>
      <c r="BB408" s="86"/>
      <c r="BC408" s="86"/>
      <c r="BD408" s="86"/>
      <c r="BE408" s="86"/>
      <c r="BF408" s="86"/>
      <c r="BG408" s="86"/>
      <c r="BH408" s="86"/>
      <c r="BI408" s="86"/>
      <c r="BJ408" s="86"/>
      <c r="BK408" s="86"/>
      <c r="BL408" s="86"/>
      <c r="BM408" s="86"/>
      <c r="BN408" s="86"/>
      <c r="BO408" s="86"/>
      <c r="BP408" s="86"/>
      <c r="BQ408" s="86"/>
      <c r="BR408" s="86"/>
      <c r="BS408" s="86"/>
      <c r="BT408" s="86"/>
      <c r="BU408" s="86"/>
      <c r="BV408" s="86"/>
      <c r="BW408" s="86"/>
      <c r="BX408" s="86"/>
      <c r="BY408" s="86"/>
      <c r="BZ408" s="86"/>
      <c r="CA408" s="86"/>
      <c r="CB408" s="86"/>
      <c r="CC408" s="86"/>
      <c r="CD408" s="86"/>
      <c r="CE408" s="86"/>
      <c r="CF408" s="86"/>
      <c r="CG408" s="86"/>
      <c r="CH408" s="86"/>
      <c r="CI408" s="86"/>
      <c r="CJ408" s="86"/>
      <c r="CK408" s="86"/>
      <c r="CL408" s="86"/>
      <c r="CM408" s="86"/>
      <c r="CN408" s="86"/>
      <c r="CO408" s="86"/>
      <c r="CP408" s="86"/>
      <c r="CQ408" s="86"/>
      <c r="CR408" s="86"/>
      <c r="CS408" s="86"/>
      <c r="CT408" s="86"/>
      <c r="CU408" s="86"/>
      <c r="CV408" s="86"/>
      <c r="CW408" s="86"/>
      <c r="CX408" s="86"/>
      <c r="CY408" s="86"/>
      <c r="CZ408" s="86"/>
      <c r="DA408" s="86"/>
      <c r="DB408" s="86"/>
      <c r="DC408" s="86"/>
      <c r="DD408" s="86"/>
      <c r="DE408" s="86"/>
      <c r="DF408" s="86"/>
      <c r="DG408" s="86"/>
      <c r="DH408" s="86"/>
      <c r="DI408" s="86"/>
      <c r="DJ408" s="86"/>
      <c r="DK408" s="86"/>
      <c r="DL408" s="86"/>
      <c r="DM408" s="86"/>
      <c r="DN408" s="86"/>
      <c r="DO408" s="86"/>
      <c r="DP408" s="86"/>
      <c r="DQ408" s="86"/>
      <c r="DR408" s="86"/>
      <c r="DS408" s="86"/>
      <c r="DT408" s="86"/>
      <c r="DU408" s="86"/>
      <c r="DV408" s="86"/>
      <c r="DW408" s="86"/>
      <c r="DX408" s="86"/>
      <c r="DY408" s="86"/>
      <c r="DZ408" s="86"/>
      <c r="EA408" s="86"/>
      <c r="EB408" s="86"/>
      <c r="EC408" s="86"/>
      <c r="ED408" s="86"/>
      <c r="EE408" s="86"/>
      <c r="EF408" s="86"/>
      <c r="EG408" s="86"/>
      <c r="EH408" s="86"/>
      <c r="EI408" s="86"/>
      <c r="EJ408" s="86"/>
      <c r="EK408" s="86"/>
      <c r="EL408" s="86"/>
      <c r="EM408" s="86"/>
      <c r="EN408" s="86"/>
      <c r="EO408" s="86"/>
      <c r="EP408" s="86"/>
      <c r="EQ408" s="86"/>
      <c r="ER408" s="86"/>
      <c r="ES408" s="86"/>
      <c r="ET408" s="86"/>
      <c r="EU408" s="86"/>
      <c r="EV408" s="86"/>
      <c r="EW408" s="86"/>
      <c r="EX408" s="86"/>
      <c r="EY408" s="86"/>
      <c r="EZ408" s="86"/>
      <c r="FA408" s="86"/>
    </row>
    <row r="409" spans="2:157" ht="9.75" customHeight="1">
      <c r="B409" s="845">
        <v>7</v>
      </c>
      <c r="C409" s="1344"/>
      <c r="D409" s="1344"/>
      <c r="E409" s="1344"/>
      <c r="F409" s="857"/>
      <c r="G409" s="857"/>
      <c r="H409" s="875" t="str">
        <f t="shared" si="18"/>
        <v/>
      </c>
      <c r="J409" s="101"/>
      <c r="K409" s="101"/>
      <c r="L409" s="101"/>
      <c r="Z409" s="86"/>
      <c r="AA409" s="86"/>
      <c r="AB409" s="86"/>
      <c r="AC409" s="86"/>
      <c r="AD409" s="86"/>
      <c r="AE409" s="86"/>
      <c r="AF409" s="86"/>
      <c r="AG409" s="86"/>
      <c r="AH409" s="86"/>
      <c r="AI409" s="86"/>
      <c r="AJ409" s="86"/>
      <c r="AK409" s="86"/>
      <c r="AL409" s="86"/>
      <c r="AM409" s="86"/>
      <c r="AN409" s="86"/>
      <c r="AO409" s="86"/>
      <c r="AP409" s="86"/>
      <c r="AQ409" s="86"/>
      <c r="AR409" s="86"/>
      <c r="AS409" s="86"/>
      <c r="AT409" s="86"/>
      <c r="AU409" s="86"/>
      <c r="AV409" s="86"/>
      <c r="AW409" s="86"/>
      <c r="AX409" s="86"/>
      <c r="AY409" s="86"/>
      <c r="AZ409" s="86"/>
      <c r="BA409" s="86"/>
      <c r="BB409" s="86"/>
      <c r="BC409" s="86"/>
      <c r="BD409" s="86"/>
      <c r="BE409" s="86"/>
      <c r="BF409" s="86"/>
      <c r="BG409" s="86"/>
      <c r="BH409" s="86"/>
      <c r="BI409" s="86"/>
      <c r="BJ409" s="86"/>
      <c r="BK409" s="86"/>
      <c r="BL409" s="86"/>
      <c r="BM409" s="86"/>
      <c r="BN409" s="86"/>
      <c r="BO409" s="86"/>
      <c r="BP409" s="86"/>
      <c r="BQ409" s="86"/>
      <c r="BR409" s="86"/>
      <c r="BS409" s="86"/>
      <c r="BT409" s="86"/>
      <c r="BU409" s="86"/>
      <c r="BV409" s="86"/>
      <c r="BW409" s="86"/>
      <c r="BX409" s="86"/>
      <c r="BY409" s="86"/>
      <c r="BZ409" s="86"/>
      <c r="CA409" s="86"/>
      <c r="CB409" s="86"/>
      <c r="CC409" s="86"/>
      <c r="CD409" s="86"/>
      <c r="CE409" s="86"/>
      <c r="CF409" s="86"/>
      <c r="CG409" s="86"/>
      <c r="CH409" s="86"/>
      <c r="CI409" s="86"/>
      <c r="CJ409" s="86"/>
      <c r="CK409" s="86"/>
      <c r="CL409" s="86"/>
      <c r="CM409" s="86"/>
      <c r="CN409" s="86"/>
      <c r="CO409" s="86"/>
      <c r="CP409" s="86"/>
      <c r="CQ409" s="86"/>
      <c r="CR409" s="86"/>
      <c r="CS409" s="86"/>
      <c r="CT409" s="86"/>
      <c r="CU409" s="86"/>
      <c r="CV409" s="86"/>
      <c r="CW409" s="86"/>
      <c r="CX409" s="86"/>
      <c r="CY409" s="86"/>
      <c r="CZ409" s="86"/>
      <c r="DA409" s="86"/>
      <c r="DB409" s="86"/>
      <c r="DC409" s="86"/>
      <c r="DD409" s="86"/>
      <c r="DE409" s="86"/>
      <c r="DF409" s="86"/>
      <c r="DG409" s="86"/>
      <c r="DH409" s="86"/>
      <c r="DI409" s="86"/>
      <c r="DJ409" s="86"/>
      <c r="DK409" s="86"/>
      <c r="DL409" s="86"/>
      <c r="DM409" s="86"/>
      <c r="DN409" s="86"/>
      <c r="DO409" s="86"/>
      <c r="DP409" s="86"/>
      <c r="DQ409" s="86"/>
      <c r="DR409" s="86"/>
      <c r="DS409" s="86"/>
      <c r="DT409" s="86"/>
      <c r="DU409" s="86"/>
      <c r="DV409" s="86"/>
      <c r="DW409" s="86"/>
      <c r="DX409" s="86"/>
      <c r="DY409" s="86"/>
      <c r="DZ409" s="86"/>
      <c r="EA409" s="86"/>
      <c r="EB409" s="86"/>
      <c r="EC409" s="86"/>
      <c r="ED409" s="86"/>
      <c r="EE409" s="86"/>
      <c r="EF409" s="86"/>
      <c r="EG409" s="86"/>
      <c r="EH409" s="86"/>
      <c r="EI409" s="86"/>
      <c r="EJ409" s="86"/>
      <c r="EK409" s="86"/>
      <c r="EL409" s="86"/>
      <c r="EM409" s="86"/>
      <c r="EN409" s="86"/>
      <c r="EO409" s="86"/>
      <c r="EP409" s="86"/>
      <c r="EQ409" s="86"/>
      <c r="ER409" s="86"/>
      <c r="ES409" s="86"/>
      <c r="ET409" s="86"/>
      <c r="EU409" s="86"/>
      <c r="EV409" s="86"/>
      <c r="EW409" s="86"/>
      <c r="EX409" s="86"/>
      <c r="EY409" s="86"/>
      <c r="EZ409" s="86"/>
      <c r="FA409" s="86"/>
    </row>
    <row r="410" spans="2:157" ht="9.75" customHeight="1">
      <c r="B410" s="845">
        <v>8</v>
      </c>
      <c r="C410" s="1344"/>
      <c r="D410" s="1344"/>
      <c r="E410" s="1344"/>
      <c r="F410" s="857"/>
      <c r="G410" s="857"/>
      <c r="H410" s="875" t="str">
        <f t="shared" si="18"/>
        <v/>
      </c>
      <c r="J410" s="101"/>
      <c r="K410" s="101"/>
      <c r="L410" s="101"/>
      <c r="Z410" s="86"/>
      <c r="AA410" s="86"/>
      <c r="AB410" s="86"/>
      <c r="AC410" s="86"/>
      <c r="AD410" s="86"/>
      <c r="AE410" s="86"/>
      <c r="AF410" s="86"/>
      <c r="AG410" s="86"/>
      <c r="AH410" s="86"/>
      <c r="AI410" s="86"/>
      <c r="AJ410" s="86"/>
      <c r="AK410" s="86"/>
      <c r="AL410" s="86"/>
      <c r="AM410" s="86"/>
      <c r="AN410" s="86"/>
      <c r="AO410" s="86"/>
      <c r="AP410" s="86"/>
      <c r="AQ410" s="86"/>
      <c r="AR410" s="86"/>
      <c r="AS410" s="86"/>
      <c r="AT410" s="86"/>
      <c r="AU410" s="86"/>
      <c r="AV410" s="86"/>
      <c r="AW410" s="86"/>
      <c r="AX410" s="86"/>
      <c r="AY410" s="86"/>
      <c r="AZ410" s="86"/>
      <c r="BA410" s="86"/>
      <c r="BB410" s="86"/>
      <c r="BC410" s="86"/>
      <c r="BD410" s="86"/>
      <c r="BE410" s="86"/>
      <c r="BF410" s="86"/>
      <c r="BG410" s="86"/>
      <c r="BH410" s="86"/>
      <c r="BI410" s="86"/>
      <c r="BJ410" s="86"/>
      <c r="BK410" s="86"/>
      <c r="BL410" s="86"/>
      <c r="BM410" s="86"/>
      <c r="BN410" s="86"/>
      <c r="BO410" s="86"/>
      <c r="BP410" s="86"/>
      <c r="BQ410" s="86"/>
      <c r="BR410" s="86"/>
      <c r="BS410" s="86"/>
      <c r="BT410" s="86"/>
      <c r="BU410" s="86"/>
      <c r="BV410" s="86"/>
      <c r="BW410" s="86"/>
      <c r="BX410" s="86"/>
      <c r="BY410" s="86"/>
      <c r="BZ410" s="86"/>
      <c r="CA410" s="86"/>
      <c r="CB410" s="86"/>
      <c r="CC410" s="86"/>
      <c r="CD410" s="86"/>
      <c r="CE410" s="86"/>
      <c r="CF410" s="86"/>
      <c r="CG410" s="86"/>
      <c r="CH410" s="86"/>
      <c r="CI410" s="86"/>
      <c r="CJ410" s="86"/>
      <c r="CK410" s="86"/>
      <c r="CL410" s="86"/>
      <c r="CM410" s="86"/>
      <c r="CN410" s="86"/>
      <c r="CO410" s="86"/>
      <c r="CP410" s="86"/>
      <c r="CQ410" s="86"/>
      <c r="CR410" s="86"/>
      <c r="CS410" s="86"/>
      <c r="CT410" s="86"/>
      <c r="CU410" s="86"/>
      <c r="CV410" s="86"/>
      <c r="CW410" s="86"/>
      <c r="CX410" s="86"/>
      <c r="CY410" s="86"/>
      <c r="CZ410" s="86"/>
      <c r="DA410" s="86"/>
      <c r="DB410" s="86"/>
      <c r="DC410" s="86"/>
      <c r="DD410" s="86"/>
      <c r="DE410" s="86"/>
      <c r="DF410" s="86"/>
      <c r="DG410" s="86"/>
      <c r="DH410" s="86"/>
      <c r="DI410" s="86"/>
      <c r="DJ410" s="86"/>
      <c r="DK410" s="86"/>
      <c r="DL410" s="86"/>
      <c r="DM410" s="86"/>
      <c r="DN410" s="86"/>
      <c r="DO410" s="86"/>
      <c r="DP410" s="86"/>
      <c r="DQ410" s="86"/>
      <c r="DR410" s="86"/>
      <c r="DS410" s="86"/>
      <c r="DT410" s="86"/>
      <c r="DU410" s="86"/>
      <c r="DV410" s="86"/>
      <c r="DW410" s="86"/>
      <c r="DX410" s="86"/>
      <c r="DY410" s="86"/>
      <c r="DZ410" s="86"/>
      <c r="EA410" s="86"/>
      <c r="EB410" s="86"/>
      <c r="EC410" s="86"/>
      <c r="ED410" s="86"/>
      <c r="EE410" s="86"/>
      <c r="EF410" s="86"/>
      <c r="EG410" s="86"/>
      <c r="EH410" s="86"/>
      <c r="EI410" s="86"/>
      <c r="EJ410" s="86"/>
      <c r="EK410" s="86"/>
      <c r="EL410" s="86"/>
      <c r="EM410" s="86"/>
      <c r="EN410" s="86"/>
      <c r="EO410" s="86"/>
      <c r="EP410" s="86"/>
      <c r="EQ410" s="86"/>
      <c r="ER410" s="86"/>
      <c r="ES410" s="86"/>
      <c r="ET410" s="86"/>
      <c r="EU410" s="86"/>
      <c r="EV410" s="86"/>
      <c r="EW410" s="86"/>
      <c r="EX410" s="86"/>
      <c r="EY410" s="86"/>
      <c r="EZ410" s="86"/>
      <c r="FA410" s="86"/>
    </row>
    <row r="411" spans="2:157" ht="9.75" customHeight="1">
      <c r="B411" s="845">
        <v>9</v>
      </c>
      <c r="C411" s="1344"/>
      <c r="D411" s="1344"/>
      <c r="E411" s="1344"/>
      <c r="F411" s="857"/>
      <c r="G411" s="857"/>
      <c r="H411" s="875" t="str">
        <f t="shared" si="18"/>
        <v/>
      </c>
      <c r="J411" s="101"/>
      <c r="K411" s="101"/>
      <c r="L411" s="101"/>
      <c r="Z411" s="86"/>
      <c r="AA411" s="86"/>
      <c r="AB411" s="86"/>
      <c r="AC411" s="86"/>
      <c r="AD411" s="86"/>
      <c r="AE411" s="86"/>
      <c r="AF411" s="86"/>
      <c r="AG411" s="86"/>
      <c r="AH411" s="86"/>
      <c r="AI411" s="86"/>
      <c r="AJ411" s="86"/>
      <c r="AK411" s="86"/>
      <c r="AL411" s="86"/>
      <c r="AM411" s="86"/>
      <c r="AN411" s="86"/>
      <c r="AO411" s="86"/>
      <c r="AP411" s="86"/>
      <c r="AQ411" s="86"/>
      <c r="AR411" s="86"/>
      <c r="AS411" s="86"/>
      <c r="AT411" s="86"/>
      <c r="AU411" s="86"/>
      <c r="AV411" s="86"/>
      <c r="AW411" s="86"/>
      <c r="AX411" s="86"/>
      <c r="AY411" s="86"/>
      <c r="AZ411" s="86"/>
      <c r="BA411" s="86"/>
      <c r="BB411" s="86"/>
      <c r="BC411" s="86"/>
      <c r="BD411" s="86"/>
      <c r="BE411" s="86"/>
      <c r="BF411" s="86"/>
      <c r="BG411" s="86"/>
      <c r="BH411" s="86"/>
      <c r="BI411" s="86"/>
      <c r="BJ411" s="86"/>
      <c r="BK411" s="86"/>
      <c r="BL411" s="86"/>
      <c r="BM411" s="86"/>
      <c r="BN411" s="86"/>
      <c r="BO411" s="86"/>
      <c r="BP411" s="86"/>
      <c r="BQ411" s="86"/>
      <c r="BR411" s="86"/>
      <c r="BS411" s="86"/>
      <c r="BT411" s="86"/>
      <c r="BU411" s="86"/>
      <c r="BV411" s="86"/>
      <c r="BW411" s="86"/>
      <c r="BX411" s="86"/>
      <c r="BY411" s="86"/>
      <c r="BZ411" s="86"/>
      <c r="CA411" s="86"/>
      <c r="CB411" s="86"/>
      <c r="CC411" s="86"/>
      <c r="CD411" s="86"/>
      <c r="CE411" s="86"/>
      <c r="CF411" s="86"/>
      <c r="CG411" s="86"/>
      <c r="CH411" s="86"/>
      <c r="CI411" s="86"/>
      <c r="CJ411" s="86"/>
      <c r="CK411" s="86"/>
      <c r="CL411" s="86"/>
      <c r="CM411" s="86"/>
      <c r="CN411" s="86"/>
      <c r="CO411" s="86"/>
      <c r="CP411" s="86"/>
      <c r="CQ411" s="86"/>
      <c r="CR411" s="86"/>
      <c r="CS411" s="86"/>
      <c r="CT411" s="86"/>
      <c r="CU411" s="86"/>
      <c r="CV411" s="86"/>
      <c r="CW411" s="86"/>
      <c r="CX411" s="86"/>
      <c r="CY411" s="86"/>
      <c r="CZ411" s="86"/>
      <c r="DA411" s="86"/>
      <c r="DB411" s="86"/>
      <c r="DC411" s="86"/>
      <c r="DD411" s="86"/>
      <c r="DE411" s="86"/>
      <c r="DF411" s="86"/>
      <c r="DG411" s="86"/>
      <c r="DH411" s="86"/>
      <c r="DI411" s="86"/>
      <c r="DJ411" s="86"/>
      <c r="DK411" s="86"/>
      <c r="DL411" s="86"/>
      <c r="DM411" s="86"/>
      <c r="DN411" s="86"/>
      <c r="DO411" s="86"/>
      <c r="DP411" s="86"/>
      <c r="DQ411" s="86"/>
      <c r="DR411" s="86"/>
      <c r="DS411" s="86"/>
      <c r="DT411" s="86"/>
      <c r="DU411" s="86"/>
      <c r="DV411" s="86"/>
      <c r="DW411" s="86"/>
      <c r="DX411" s="86"/>
      <c r="DY411" s="86"/>
      <c r="DZ411" s="86"/>
      <c r="EA411" s="86"/>
      <c r="EB411" s="86"/>
      <c r="EC411" s="86"/>
      <c r="ED411" s="86"/>
      <c r="EE411" s="86"/>
      <c r="EF411" s="86"/>
      <c r="EG411" s="86"/>
      <c r="EH411" s="86"/>
      <c r="EI411" s="86"/>
      <c r="EJ411" s="86"/>
      <c r="EK411" s="86"/>
      <c r="EL411" s="86"/>
      <c r="EM411" s="86"/>
      <c r="EN411" s="86"/>
      <c r="EO411" s="86"/>
      <c r="EP411" s="86"/>
      <c r="EQ411" s="86"/>
      <c r="ER411" s="86"/>
      <c r="ES411" s="86"/>
      <c r="ET411" s="86"/>
      <c r="EU411" s="86"/>
      <c r="EV411" s="86"/>
      <c r="EW411" s="86"/>
      <c r="EX411" s="86"/>
      <c r="EY411" s="86"/>
      <c r="EZ411" s="86"/>
      <c r="FA411" s="86"/>
    </row>
    <row r="412" spans="2:157" ht="10.050000000000001" customHeight="1">
      <c r="B412" s="845" t="s">
        <v>546</v>
      </c>
      <c r="C412" s="836" t="s">
        <v>73</v>
      </c>
      <c r="D412" s="839"/>
      <c r="E412" s="86"/>
      <c r="F412" s="848" t="s">
        <v>546</v>
      </c>
      <c r="G412" s="848" t="s">
        <v>546</v>
      </c>
      <c r="H412" s="858">
        <v>0.04</v>
      </c>
      <c r="J412" s="101"/>
      <c r="K412" s="101"/>
      <c r="L412" s="101"/>
      <c r="Z412" s="86"/>
      <c r="AA412" s="86"/>
      <c r="AB412" s="86"/>
      <c r="AC412" s="86"/>
      <c r="AD412" s="86"/>
      <c r="AE412" s="86"/>
      <c r="AF412" s="86"/>
      <c r="AG412" s="86"/>
      <c r="AH412" s="86"/>
      <c r="AI412" s="86"/>
      <c r="AJ412" s="86"/>
      <c r="AK412" s="86"/>
      <c r="AL412" s="86"/>
      <c r="AM412" s="86"/>
      <c r="AN412" s="86"/>
      <c r="AO412" s="86"/>
      <c r="AP412" s="86"/>
      <c r="AQ412" s="86"/>
      <c r="AR412" s="86"/>
      <c r="AS412" s="86"/>
      <c r="AT412" s="86"/>
      <c r="AU412" s="86"/>
      <c r="AV412" s="86"/>
      <c r="AW412" s="86"/>
      <c r="AX412" s="86"/>
      <c r="AY412" s="86"/>
      <c r="AZ412" s="86"/>
      <c r="BA412" s="86"/>
      <c r="BB412" s="86"/>
      <c r="BC412" s="86"/>
      <c r="BD412" s="86"/>
      <c r="BE412" s="86"/>
      <c r="BF412" s="86"/>
      <c r="BG412" s="86"/>
      <c r="BH412" s="86"/>
      <c r="BI412" s="86"/>
      <c r="BJ412" s="86"/>
      <c r="BK412" s="86"/>
      <c r="BL412" s="86"/>
      <c r="BM412" s="86"/>
      <c r="BN412" s="86"/>
      <c r="BO412" s="86"/>
      <c r="BP412" s="86"/>
      <c r="BQ412" s="86"/>
      <c r="BR412" s="86"/>
      <c r="BS412" s="86"/>
      <c r="BT412" s="86"/>
      <c r="BU412" s="86"/>
      <c r="BV412" s="86"/>
      <c r="BW412" s="86"/>
      <c r="BX412" s="86"/>
      <c r="BY412" s="86"/>
      <c r="BZ412" s="86"/>
      <c r="CA412" s="86"/>
      <c r="CB412" s="86"/>
      <c r="CC412" s="86"/>
      <c r="CD412" s="86"/>
      <c r="CE412" s="86"/>
      <c r="CF412" s="86"/>
      <c r="CG412" s="86"/>
      <c r="CH412" s="86"/>
      <c r="CI412" s="86"/>
      <c r="CJ412" s="86"/>
      <c r="CK412" s="86"/>
      <c r="CL412" s="86"/>
      <c r="CM412" s="86"/>
      <c r="CN412" s="86"/>
      <c r="CO412" s="86"/>
      <c r="CP412" s="86"/>
      <c r="CQ412" s="86"/>
      <c r="CR412" s="86"/>
      <c r="CS412" s="86"/>
      <c r="CT412" s="86"/>
      <c r="CU412" s="86"/>
      <c r="CV412" s="86"/>
      <c r="CW412" s="86"/>
      <c r="CX412" s="86"/>
      <c r="CY412" s="86"/>
      <c r="CZ412" s="86"/>
      <c r="DA412" s="86"/>
      <c r="DB412" s="86"/>
      <c r="DC412" s="86"/>
      <c r="DD412" s="86"/>
      <c r="DE412" s="86"/>
      <c r="DF412" s="86"/>
      <c r="DG412" s="86"/>
      <c r="DH412" s="86"/>
      <c r="DI412" s="86"/>
      <c r="DJ412" s="86"/>
      <c r="DK412" s="86"/>
      <c r="DL412" s="86"/>
      <c r="DM412" s="86"/>
      <c r="DN412" s="86"/>
      <c r="DO412" s="86"/>
      <c r="DP412" s="86"/>
      <c r="DQ412" s="86"/>
      <c r="DR412" s="86"/>
      <c r="DS412" s="86"/>
      <c r="DT412" s="86"/>
      <c r="DU412" s="86"/>
      <c r="DV412" s="86"/>
      <c r="DW412" s="86"/>
      <c r="DX412" s="86"/>
      <c r="DY412" s="86"/>
      <c r="DZ412" s="86"/>
      <c r="EA412" s="86"/>
      <c r="EB412" s="86"/>
      <c r="EC412" s="86"/>
      <c r="ED412" s="86"/>
      <c r="EE412" s="86"/>
      <c r="EF412" s="86"/>
      <c r="EG412" s="86"/>
      <c r="EH412" s="86"/>
      <c r="EI412" s="86"/>
      <c r="EJ412" s="86"/>
      <c r="EK412" s="86"/>
      <c r="EL412" s="86"/>
      <c r="EM412" s="86"/>
      <c r="EN412" s="86"/>
      <c r="EO412" s="86"/>
      <c r="EP412" s="86"/>
      <c r="EQ412" s="86"/>
      <c r="ER412" s="86"/>
      <c r="ES412" s="86"/>
      <c r="ET412" s="86"/>
      <c r="EU412" s="86"/>
      <c r="EV412" s="86"/>
      <c r="EW412" s="86"/>
      <c r="EX412" s="86"/>
      <c r="EY412" s="86"/>
      <c r="EZ412" s="86"/>
      <c r="FA412" s="86"/>
    </row>
    <row r="413" spans="2:157" ht="9.75" customHeight="1">
      <c r="B413" s="849"/>
      <c r="C413" s="849"/>
      <c r="D413" s="849"/>
      <c r="E413" s="849"/>
      <c r="F413" s="849"/>
      <c r="G413" s="849"/>
      <c r="H413" s="855"/>
      <c r="J413" s="101"/>
      <c r="K413" s="101"/>
      <c r="L413" s="101"/>
      <c r="Z413" s="86"/>
      <c r="AA413" s="86"/>
      <c r="AB413" s="86"/>
      <c r="AC413" s="86"/>
      <c r="AD413" s="86"/>
      <c r="AE413" s="86"/>
      <c r="AF413" s="86"/>
      <c r="AG413" s="86"/>
      <c r="AH413" s="86"/>
      <c r="AI413" s="86"/>
      <c r="AJ413" s="86"/>
      <c r="AK413" s="86"/>
      <c r="AL413" s="86"/>
      <c r="AM413" s="86"/>
      <c r="AN413" s="86"/>
      <c r="AO413" s="86"/>
      <c r="AP413" s="86"/>
      <c r="AQ413" s="86"/>
      <c r="AR413" s="86"/>
      <c r="AS413" s="86"/>
      <c r="AT413" s="86"/>
      <c r="AU413" s="86"/>
      <c r="AV413" s="86"/>
      <c r="AW413" s="86"/>
      <c r="AX413" s="86"/>
      <c r="AY413" s="86"/>
      <c r="AZ413" s="86"/>
      <c r="BA413" s="86"/>
      <c r="BB413" s="86"/>
      <c r="BC413" s="86"/>
      <c r="BD413" s="86"/>
      <c r="BE413" s="86"/>
      <c r="BF413" s="86"/>
      <c r="BG413" s="86"/>
      <c r="BH413" s="86"/>
      <c r="BI413" s="86"/>
      <c r="BJ413" s="86"/>
      <c r="BK413" s="86"/>
      <c r="BL413" s="86"/>
      <c r="BM413" s="86"/>
      <c r="BN413" s="86"/>
      <c r="BO413" s="86"/>
      <c r="BP413" s="86"/>
      <c r="BQ413" s="86"/>
      <c r="BR413" s="86"/>
      <c r="BS413" s="86"/>
      <c r="BT413" s="86"/>
      <c r="BU413" s="86"/>
      <c r="BV413" s="86"/>
      <c r="BW413" s="86"/>
      <c r="BX413" s="86"/>
      <c r="BY413" s="86"/>
      <c r="BZ413" s="86"/>
      <c r="CA413" s="86"/>
      <c r="CB413" s="86"/>
      <c r="CC413" s="86"/>
      <c r="CD413" s="86"/>
      <c r="CE413" s="86"/>
      <c r="CF413" s="86"/>
      <c r="CG413" s="86"/>
      <c r="CH413" s="86"/>
      <c r="CI413" s="86"/>
      <c r="CJ413" s="86"/>
      <c r="CK413" s="86"/>
      <c r="CL413" s="86"/>
      <c r="CM413" s="86"/>
      <c r="CN413" s="86"/>
      <c r="CO413" s="86"/>
      <c r="CP413" s="86"/>
      <c r="CQ413" s="86"/>
      <c r="CR413" s="86"/>
      <c r="CS413" s="86"/>
      <c r="CT413" s="86"/>
      <c r="CU413" s="86"/>
      <c r="CV413" s="86"/>
      <c r="CW413" s="86"/>
      <c r="CX413" s="86"/>
      <c r="CY413" s="86"/>
      <c r="CZ413" s="86"/>
      <c r="DA413" s="86"/>
      <c r="DB413" s="86"/>
      <c r="DC413" s="86"/>
      <c r="DD413" s="86"/>
      <c r="DE413" s="86"/>
      <c r="DF413" s="86"/>
      <c r="DG413" s="86"/>
      <c r="DH413" s="86"/>
      <c r="DI413" s="86"/>
      <c r="DJ413" s="86"/>
      <c r="DK413" s="86"/>
      <c r="DL413" s="86"/>
      <c r="DM413" s="86"/>
      <c r="DN413" s="86"/>
      <c r="DO413" s="86"/>
      <c r="DP413" s="86"/>
      <c r="DQ413" s="86"/>
      <c r="DR413" s="86"/>
      <c r="DS413" s="86"/>
      <c r="DT413" s="86"/>
      <c r="DU413" s="86"/>
      <c r="DV413" s="86"/>
      <c r="DW413" s="86"/>
      <c r="DX413" s="86"/>
      <c r="DY413" s="86"/>
      <c r="DZ413" s="86"/>
      <c r="EA413" s="86"/>
      <c r="EB413" s="86"/>
      <c r="EC413" s="86"/>
      <c r="ED413" s="86"/>
      <c r="EE413" s="86"/>
      <c r="EF413" s="86"/>
      <c r="EG413" s="86"/>
      <c r="EH413" s="86"/>
      <c r="EI413" s="86"/>
      <c r="EJ413" s="86"/>
      <c r="EK413" s="86"/>
      <c r="EL413" s="86"/>
      <c r="EM413" s="86"/>
      <c r="EN413" s="86"/>
      <c r="EO413" s="86"/>
      <c r="EP413" s="86"/>
      <c r="EQ413" s="86"/>
      <c r="ER413" s="86"/>
      <c r="ES413" s="86"/>
      <c r="ET413" s="86"/>
      <c r="EU413" s="86"/>
      <c r="EV413" s="86"/>
      <c r="EW413" s="86"/>
      <c r="EX413" s="86"/>
      <c r="EY413" s="86"/>
      <c r="EZ413" s="86"/>
      <c r="FA413" s="86"/>
    </row>
    <row r="414" spans="2:157" ht="9.75" customHeight="1">
      <c r="B414" s="27"/>
      <c r="C414" s="27"/>
      <c r="D414" s="27"/>
      <c r="E414" s="91"/>
      <c r="F414" s="171"/>
      <c r="G414" s="29"/>
      <c r="H414" s="27"/>
      <c r="J414" s="101"/>
      <c r="K414" s="101"/>
      <c r="L414" s="101"/>
      <c r="Z414" s="86"/>
      <c r="AA414" s="86"/>
      <c r="AB414" s="86"/>
      <c r="AC414" s="86"/>
      <c r="AD414" s="86"/>
      <c r="AE414" s="86"/>
      <c r="AF414" s="86"/>
      <c r="AG414" s="86"/>
      <c r="AH414" s="86"/>
      <c r="AI414" s="86"/>
      <c r="AJ414" s="86"/>
      <c r="AK414" s="86"/>
      <c r="AL414" s="86"/>
      <c r="AM414" s="86"/>
      <c r="AN414" s="86"/>
      <c r="AO414" s="86"/>
      <c r="AP414" s="86"/>
      <c r="AQ414" s="86"/>
      <c r="AR414" s="86"/>
      <c r="AS414" s="86"/>
      <c r="AT414" s="86"/>
      <c r="AU414" s="86"/>
      <c r="AV414" s="86"/>
      <c r="AW414" s="86"/>
      <c r="AX414" s="86"/>
      <c r="AY414" s="86"/>
      <c r="AZ414" s="86"/>
      <c r="BA414" s="86"/>
      <c r="BB414" s="86"/>
      <c r="BC414" s="86"/>
      <c r="BD414" s="86"/>
      <c r="BE414" s="86"/>
      <c r="BF414" s="86"/>
      <c r="BG414" s="86"/>
      <c r="BH414" s="86"/>
      <c r="BI414" s="86"/>
      <c r="BJ414" s="86"/>
      <c r="BK414" s="86"/>
      <c r="BL414" s="86"/>
      <c r="BM414" s="86"/>
      <c r="BN414" s="86"/>
      <c r="BO414" s="86"/>
      <c r="BP414" s="86"/>
      <c r="BQ414" s="86"/>
      <c r="BR414" s="86"/>
      <c r="BS414" s="86"/>
      <c r="BT414" s="86"/>
      <c r="BU414" s="86"/>
      <c r="BV414" s="86"/>
      <c r="BW414" s="86"/>
      <c r="BX414" s="86"/>
      <c r="BY414" s="86"/>
      <c r="BZ414" s="86"/>
      <c r="CA414" s="86"/>
      <c r="CB414" s="86"/>
      <c r="CC414" s="86"/>
      <c r="CD414" s="86"/>
      <c r="CE414" s="86"/>
      <c r="CF414" s="86"/>
      <c r="CG414" s="86"/>
      <c r="CH414" s="86"/>
      <c r="CI414" s="86"/>
      <c r="CJ414" s="86"/>
      <c r="CK414" s="86"/>
      <c r="CL414" s="86"/>
      <c r="CM414" s="86"/>
      <c r="CN414" s="86"/>
      <c r="CO414" s="86"/>
      <c r="CP414" s="86"/>
      <c r="CQ414" s="86"/>
      <c r="CR414" s="86"/>
      <c r="CS414" s="86"/>
      <c r="CT414" s="86"/>
      <c r="CU414" s="86"/>
      <c r="CV414" s="86"/>
      <c r="CW414" s="86"/>
      <c r="CX414" s="86"/>
      <c r="CY414" s="86"/>
      <c r="CZ414" s="86"/>
      <c r="DA414" s="86"/>
      <c r="DB414" s="86"/>
      <c r="DC414" s="86"/>
      <c r="DD414" s="86"/>
      <c r="DE414" s="86"/>
      <c r="DF414" s="86"/>
      <c r="DG414" s="86"/>
      <c r="DH414" s="86"/>
      <c r="DI414" s="86"/>
      <c r="DJ414" s="86"/>
      <c r="DK414" s="86"/>
      <c r="DL414" s="86"/>
      <c r="DM414" s="86"/>
      <c r="DN414" s="86"/>
      <c r="DO414" s="86"/>
      <c r="DP414" s="86"/>
      <c r="DQ414" s="86"/>
      <c r="DR414" s="86"/>
      <c r="DS414" s="86"/>
      <c r="DT414" s="86"/>
      <c r="DU414" s="86"/>
      <c r="DV414" s="86"/>
      <c r="DW414" s="86"/>
      <c r="DX414" s="86"/>
      <c r="DY414" s="86"/>
      <c r="DZ414" s="86"/>
      <c r="EA414" s="86"/>
      <c r="EB414" s="86"/>
      <c r="EC414" s="86"/>
      <c r="ED414" s="86"/>
      <c r="EE414" s="86"/>
      <c r="EF414" s="86"/>
      <c r="EG414" s="86"/>
      <c r="EH414" s="86"/>
      <c r="EI414" s="86"/>
      <c r="EJ414" s="86"/>
      <c r="EK414" s="86"/>
      <c r="EL414" s="86"/>
      <c r="EM414" s="86"/>
      <c r="EN414" s="86"/>
      <c r="EO414" s="86"/>
      <c r="EP414" s="86"/>
      <c r="EQ414" s="86"/>
      <c r="ER414" s="86"/>
      <c r="ES414" s="86"/>
      <c r="ET414" s="86"/>
      <c r="EU414" s="86"/>
      <c r="EV414" s="86"/>
      <c r="EW414" s="86"/>
      <c r="EX414" s="86"/>
      <c r="EY414" s="86"/>
      <c r="EZ414" s="86"/>
      <c r="FA414" s="86"/>
    </row>
    <row r="415" spans="2:157" ht="9.75" customHeight="1">
      <c r="B415" s="27"/>
      <c r="C415" s="27"/>
      <c r="D415" s="27"/>
      <c r="E415" s="27"/>
      <c r="F415" s="27"/>
      <c r="G415" s="27"/>
      <c r="H415" s="27"/>
      <c r="J415" s="101"/>
      <c r="K415" s="101"/>
      <c r="L415" s="101"/>
      <c r="Z415" s="86"/>
      <c r="AA415" s="86"/>
      <c r="AB415" s="86"/>
      <c r="AC415" s="86"/>
      <c r="AD415" s="86"/>
      <c r="AE415" s="86"/>
      <c r="AF415" s="86"/>
      <c r="AG415" s="86"/>
      <c r="AH415" s="86"/>
      <c r="AI415" s="86"/>
      <c r="AJ415" s="86"/>
      <c r="AK415" s="86"/>
      <c r="AL415" s="86"/>
      <c r="AM415" s="86"/>
      <c r="AN415" s="86"/>
      <c r="AO415" s="86"/>
      <c r="AP415" s="86"/>
      <c r="AQ415" s="86"/>
      <c r="AR415" s="86"/>
      <c r="AS415" s="86"/>
      <c r="AT415" s="86"/>
      <c r="AU415" s="86"/>
      <c r="AV415" s="86"/>
      <c r="AW415" s="86"/>
      <c r="AX415" s="86"/>
      <c r="AY415" s="86"/>
      <c r="AZ415" s="86"/>
      <c r="BA415" s="86"/>
      <c r="BB415" s="86"/>
      <c r="BC415" s="86"/>
      <c r="BD415" s="86"/>
      <c r="BE415" s="86"/>
      <c r="BF415" s="86"/>
      <c r="BG415" s="86"/>
      <c r="BH415" s="86"/>
      <c r="BI415" s="86"/>
      <c r="BJ415" s="86"/>
      <c r="BK415" s="86"/>
      <c r="BL415" s="86"/>
      <c r="BM415" s="86"/>
      <c r="BN415" s="86"/>
      <c r="BO415" s="86"/>
      <c r="BP415" s="86"/>
      <c r="BQ415" s="86"/>
      <c r="BR415" s="86"/>
      <c r="BS415" s="86"/>
      <c r="BT415" s="86"/>
      <c r="BU415" s="86"/>
      <c r="BV415" s="86"/>
      <c r="BW415" s="86"/>
      <c r="BX415" s="86"/>
      <c r="BY415" s="86"/>
      <c r="BZ415" s="86"/>
      <c r="CA415" s="86"/>
      <c r="CB415" s="86"/>
      <c r="CC415" s="86"/>
      <c r="CD415" s="86"/>
      <c r="CE415" s="86"/>
      <c r="CF415" s="86"/>
      <c r="CG415" s="86"/>
      <c r="CH415" s="86"/>
      <c r="CI415" s="86"/>
      <c r="CJ415" s="86"/>
      <c r="CK415" s="86"/>
      <c r="CL415" s="86"/>
      <c r="CM415" s="86"/>
      <c r="CN415" s="86"/>
      <c r="CO415" s="86"/>
      <c r="CP415" s="86"/>
      <c r="CQ415" s="86"/>
      <c r="CR415" s="86"/>
      <c r="CS415" s="86"/>
      <c r="CT415" s="86"/>
      <c r="CU415" s="86"/>
      <c r="CV415" s="86"/>
      <c r="CW415" s="86"/>
      <c r="CX415" s="86"/>
      <c r="CY415" s="86"/>
      <c r="CZ415" s="86"/>
      <c r="DA415" s="86"/>
      <c r="DB415" s="86"/>
      <c r="DC415" s="86"/>
      <c r="DD415" s="86"/>
      <c r="DE415" s="86"/>
      <c r="DF415" s="86"/>
      <c r="DG415" s="86"/>
      <c r="DH415" s="86"/>
      <c r="DI415" s="86"/>
      <c r="DJ415" s="86"/>
      <c r="DK415" s="86"/>
      <c r="DL415" s="86"/>
      <c r="DM415" s="86"/>
      <c r="DN415" s="86"/>
      <c r="DO415" s="86"/>
      <c r="DP415" s="86"/>
      <c r="DQ415" s="86"/>
      <c r="DR415" s="86"/>
      <c r="DS415" s="86"/>
      <c r="DT415" s="86"/>
      <c r="DU415" s="86"/>
      <c r="DV415" s="86"/>
      <c r="DW415" s="86"/>
      <c r="DX415" s="86"/>
      <c r="DY415" s="86"/>
      <c r="DZ415" s="86"/>
      <c r="EA415" s="86"/>
      <c r="EB415" s="86"/>
      <c r="EC415" s="86"/>
      <c r="ED415" s="86"/>
      <c r="EE415" s="86"/>
      <c r="EF415" s="86"/>
      <c r="EG415" s="86"/>
      <c r="EH415" s="86"/>
      <c r="EI415" s="86"/>
      <c r="EJ415" s="86"/>
      <c r="EK415" s="86"/>
      <c r="EL415" s="86"/>
      <c r="EM415" s="86"/>
      <c r="EN415" s="86"/>
      <c r="EO415" s="86"/>
      <c r="EP415" s="86"/>
      <c r="EQ415" s="86"/>
      <c r="ER415" s="86"/>
      <c r="ES415" s="86"/>
      <c r="ET415" s="86"/>
      <c r="EU415" s="86"/>
      <c r="EV415" s="86"/>
      <c r="EW415" s="86"/>
      <c r="EX415" s="86"/>
      <c r="EY415" s="86"/>
      <c r="EZ415" s="86"/>
      <c r="FA415" s="86"/>
    </row>
    <row r="416" spans="2:157" ht="9.75" customHeight="1">
      <c r="B416" s="27"/>
      <c r="C416" s="27"/>
      <c r="D416" s="27"/>
      <c r="E416" s="27"/>
      <c r="F416" s="27"/>
      <c r="G416" s="27"/>
      <c r="H416" s="27"/>
      <c r="J416" s="101"/>
      <c r="K416" s="101"/>
      <c r="L416" s="101"/>
      <c r="Z416" s="86"/>
      <c r="AA416" s="86"/>
      <c r="AB416" s="86"/>
      <c r="AC416" s="86"/>
      <c r="AD416" s="86"/>
      <c r="AE416" s="86"/>
      <c r="AF416" s="86"/>
      <c r="AG416" s="86"/>
      <c r="AH416" s="86"/>
      <c r="AI416" s="86"/>
      <c r="AJ416" s="86"/>
      <c r="AK416" s="86"/>
      <c r="AL416" s="86"/>
      <c r="AM416" s="86"/>
      <c r="AN416" s="86"/>
      <c r="AO416" s="86"/>
      <c r="AP416" s="86"/>
      <c r="AQ416" s="86"/>
      <c r="AR416" s="86"/>
      <c r="AS416" s="86"/>
      <c r="AT416" s="86"/>
      <c r="AU416" s="86"/>
      <c r="AV416" s="86"/>
      <c r="AW416" s="86"/>
      <c r="AX416" s="86"/>
      <c r="AY416" s="86"/>
      <c r="AZ416" s="86"/>
      <c r="BA416" s="86"/>
      <c r="BB416" s="86"/>
      <c r="BC416" s="86"/>
      <c r="BD416" s="86"/>
      <c r="BE416" s="86"/>
      <c r="BF416" s="86"/>
      <c r="BG416" s="86"/>
      <c r="BH416" s="86"/>
      <c r="BI416" s="86"/>
      <c r="BJ416" s="86"/>
      <c r="BK416" s="86"/>
      <c r="BL416" s="86"/>
      <c r="BM416" s="86"/>
      <c r="BN416" s="86"/>
      <c r="BO416" s="86"/>
      <c r="BP416" s="86"/>
      <c r="BQ416" s="86"/>
      <c r="BR416" s="86"/>
      <c r="BS416" s="86"/>
      <c r="BT416" s="86"/>
      <c r="BU416" s="86"/>
      <c r="BV416" s="86"/>
      <c r="BW416" s="86"/>
      <c r="BX416" s="86"/>
      <c r="BY416" s="86"/>
      <c r="BZ416" s="86"/>
      <c r="CA416" s="86"/>
      <c r="CB416" s="86"/>
      <c r="CC416" s="86"/>
      <c r="CD416" s="86"/>
      <c r="CE416" s="86"/>
      <c r="CF416" s="86"/>
      <c r="CG416" s="86"/>
      <c r="CH416" s="86"/>
      <c r="CI416" s="86"/>
      <c r="CJ416" s="86"/>
      <c r="CK416" s="86"/>
      <c r="CL416" s="86"/>
      <c r="CM416" s="86"/>
      <c r="CN416" s="86"/>
      <c r="CO416" s="86"/>
      <c r="CP416" s="86"/>
      <c r="CQ416" s="86"/>
      <c r="CR416" s="86"/>
      <c r="CS416" s="86"/>
      <c r="CT416" s="86"/>
      <c r="CU416" s="86"/>
      <c r="CV416" s="86"/>
      <c r="CW416" s="86"/>
      <c r="CX416" s="86"/>
      <c r="CY416" s="86"/>
      <c r="CZ416" s="86"/>
      <c r="DA416" s="86"/>
      <c r="DB416" s="86"/>
      <c r="DC416" s="86"/>
      <c r="DD416" s="86"/>
      <c r="DE416" s="86"/>
      <c r="DF416" s="86"/>
      <c r="DG416" s="86"/>
      <c r="DH416" s="86"/>
      <c r="DI416" s="86"/>
      <c r="DJ416" s="86"/>
      <c r="DK416" s="86"/>
      <c r="DL416" s="86"/>
      <c r="DM416" s="86"/>
      <c r="DN416" s="86"/>
      <c r="DO416" s="86"/>
      <c r="DP416" s="86"/>
      <c r="DQ416" s="86"/>
      <c r="DR416" s="86"/>
      <c r="DS416" s="86"/>
      <c r="DT416" s="86"/>
      <c r="DU416" s="86"/>
      <c r="DV416" s="86"/>
      <c r="DW416" s="86"/>
      <c r="DX416" s="86"/>
      <c r="DY416" s="86"/>
      <c r="DZ416" s="86"/>
      <c r="EA416" s="86"/>
      <c r="EB416" s="86"/>
      <c r="EC416" s="86"/>
      <c r="ED416" s="86"/>
      <c r="EE416" s="86"/>
      <c r="EF416" s="86"/>
      <c r="EG416" s="86"/>
      <c r="EH416" s="86"/>
      <c r="EI416" s="86"/>
      <c r="EJ416" s="86"/>
      <c r="EK416" s="86"/>
      <c r="EL416" s="86"/>
      <c r="EM416" s="86"/>
      <c r="EN416" s="86"/>
      <c r="EO416" s="86"/>
      <c r="EP416" s="86"/>
      <c r="EQ416" s="86"/>
      <c r="ER416" s="86"/>
      <c r="ES416" s="86"/>
      <c r="ET416" s="86"/>
      <c r="EU416" s="86"/>
      <c r="EV416" s="86"/>
      <c r="EW416" s="86"/>
      <c r="EX416" s="86"/>
      <c r="EY416" s="86"/>
      <c r="EZ416" s="86"/>
      <c r="FA416" s="86"/>
    </row>
    <row r="417" spans="2:157" ht="9.75" customHeight="1">
      <c r="B417" s="31"/>
      <c r="C417" s="31"/>
      <c r="D417" s="31"/>
      <c r="E417" s="31"/>
      <c r="F417" s="31"/>
      <c r="G417" s="31"/>
      <c r="H417" s="31"/>
      <c r="J417" s="101"/>
      <c r="K417" s="101"/>
      <c r="L417" s="101"/>
      <c r="Z417" s="86"/>
      <c r="AA417" s="86"/>
      <c r="AB417" s="86"/>
      <c r="AC417" s="86"/>
      <c r="AD417" s="86"/>
      <c r="AE417" s="86"/>
      <c r="AF417" s="86"/>
      <c r="AG417" s="86"/>
      <c r="AH417" s="86"/>
      <c r="AI417" s="86"/>
      <c r="AJ417" s="86"/>
      <c r="AK417" s="86"/>
      <c r="AL417" s="86"/>
      <c r="AM417" s="86"/>
      <c r="AN417" s="86"/>
      <c r="AO417" s="86"/>
      <c r="AP417" s="86"/>
      <c r="AQ417" s="86"/>
      <c r="AR417" s="86"/>
      <c r="AS417" s="86"/>
      <c r="AT417" s="86"/>
      <c r="AU417" s="86"/>
      <c r="AV417" s="86"/>
      <c r="AW417" s="86"/>
      <c r="AX417" s="86"/>
      <c r="AY417" s="86"/>
      <c r="AZ417" s="86"/>
      <c r="BA417" s="86"/>
      <c r="BB417" s="86"/>
      <c r="BC417" s="86"/>
      <c r="BD417" s="86"/>
      <c r="BE417" s="86"/>
      <c r="BF417" s="86"/>
      <c r="BG417" s="86"/>
      <c r="BH417" s="86"/>
      <c r="BI417" s="86"/>
      <c r="BJ417" s="86"/>
      <c r="BK417" s="86"/>
      <c r="BL417" s="86"/>
      <c r="BM417" s="86"/>
      <c r="BN417" s="86"/>
      <c r="BO417" s="86"/>
      <c r="BP417" s="86"/>
      <c r="BQ417" s="86"/>
      <c r="BR417" s="86"/>
      <c r="BS417" s="86"/>
      <c r="BT417" s="86"/>
      <c r="BU417" s="86"/>
      <c r="BV417" s="86"/>
      <c r="BW417" s="86"/>
      <c r="BX417" s="86"/>
      <c r="BY417" s="86"/>
      <c r="BZ417" s="86"/>
      <c r="CA417" s="86"/>
      <c r="CB417" s="86"/>
      <c r="CC417" s="86"/>
      <c r="CD417" s="86"/>
      <c r="CE417" s="86"/>
      <c r="CF417" s="86"/>
      <c r="CG417" s="86"/>
      <c r="CH417" s="86"/>
      <c r="CI417" s="86"/>
      <c r="CJ417" s="86"/>
      <c r="CK417" s="86"/>
      <c r="CL417" s="86"/>
      <c r="CM417" s="86"/>
      <c r="CN417" s="86"/>
      <c r="CO417" s="86"/>
      <c r="CP417" s="86"/>
      <c r="CQ417" s="86"/>
      <c r="CR417" s="86"/>
      <c r="CS417" s="86"/>
      <c r="CT417" s="86"/>
      <c r="CU417" s="86"/>
      <c r="CV417" s="86"/>
      <c r="CW417" s="86"/>
      <c r="CX417" s="86"/>
      <c r="CY417" s="86"/>
      <c r="CZ417" s="86"/>
      <c r="DA417" s="86"/>
      <c r="DB417" s="86"/>
      <c r="DC417" s="86"/>
      <c r="DD417" s="86"/>
      <c r="DE417" s="86"/>
      <c r="DF417" s="86"/>
      <c r="DG417" s="86"/>
      <c r="DH417" s="86"/>
      <c r="DI417" s="86"/>
      <c r="DJ417" s="86"/>
      <c r="DK417" s="86"/>
      <c r="DL417" s="86"/>
      <c r="DM417" s="86"/>
      <c r="DN417" s="86"/>
      <c r="DO417" s="86"/>
      <c r="DP417" s="86"/>
      <c r="DQ417" s="86"/>
      <c r="DR417" s="86"/>
      <c r="DS417" s="86"/>
      <c r="DT417" s="86"/>
      <c r="DU417" s="86"/>
      <c r="DV417" s="86"/>
      <c r="DW417" s="86"/>
      <c r="DX417" s="86"/>
      <c r="DY417" s="86"/>
      <c r="DZ417" s="86"/>
      <c r="EA417" s="86"/>
      <c r="EB417" s="86"/>
      <c r="EC417" s="86"/>
      <c r="ED417" s="86"/>
      <c r="EE417" s="86"/>
      <c r="EF417" s="86"/>
      <c r="EG417" s="86"/>
      <c r="EH417" s="86"/>
      <c r="EI417" s="86"/>
      <c r="EJ417" s="86"/>
      <c r="EK417" s="86"/>
      <c r="EL417" s="86"/>
      <c r="EM417" s="86"/>
      <c r="EN417" s="86"/>
      <c r="EO417" s="86"/>
      <c r="EP417" s="86"/>
      <c r="EQ417" s="86"/>
      <c r="ER417" s="86"/>
      <c r="ES417" s="86"/>
      <c r="ET417" s="86"/>
      <c r="EU417" s="86"/>
      <c r="EV417" s="86"/>
      <c r="EW417" s="86"/>
      <c r="EX417" s="86"/>
      <c r="EY417" s="86"/>
      <c r="EZ417" s="86"/>
      <c r="FA417" s="86"/>
    </row>
    <row r="418" spans="2:157" ht="10.95" customHeight="1">
      <c r="B418" s="1347" t="s">
        <v>510</v>
      </c>
      <c r="C418" s="1348"/>
      <c r="D418" s="1345"/>
      <c r="E418" s="1346"/>
      <c r="F418" s="842"/>
      <c r="G418" s="837" t="s">
        <v>4</v>
      </c>
      <c r="H418" s="856"/>
      <c r="J418" s="101"/>
      <c r="K418" s="101"/>
      <c r="L418" s="101"/>
      <c r="Z418" s="86"/>
      <c r="AA418" s="86"/>
      <c r="AB418" s="86"/>
      <c r="AC418" s="86"/>
      <c r="AD418" s="86"/>
      <c r="AE418" s="86"/>
      <c r="AF418" s="86"/>
      <c r="AG418" s="86"/>
      <c r="AH418" s="86"/>
      <c r="AI418" s="86"/>
      <c r="AJ418" s="86"/>
      <c r="AK418" s="86"/>
      <c r="AL418" s="86"/>
      <c r="AM418" s="86"/>
      <c r="AN418" s="86"/>
      <c r="AO418" s="86"/>
      <c r="AP418" s="86"/>
      <c r="AQ418" s="86"/>
      <c r="AR418" s="86"/>
      <c r="AS418" s="86"/>
      <c r="AT418" s="86"/>
      <c r="AU418" s="86"/>
      <c r="AV418" s="86"/>
      <c r="AW418" s="86"/>
      <c r="AX418" s="86"/>
      <c r="AY418" s="86"/>
      <c r="AZ418" s="86"/>
      <c r="BA418" s="86"/>
      <c r="BB418" s="86"/>
      <c r="BC418" s="86"/>
      <c r="BD418" s="86"/>
      <c r="BE418" s="86"/>
      <c r="BF418" s="86"/>
      <c r="BG418" s="86"/>
      <c r="BH418" s="86"/>
      <c r="BI418" s="86"/>
      <c r="BJ418" s="86"/>
      <c r="BK418" s="86"/>
      <c r="BL418" s="86"/>
      <c r="BM418" s="86"/>
      <c r="BN418" s="86"/>
      <c r="BO418" s="86"/>
      <c r="BP418" s="86"/>
      <c r="BQ418" s="86"/>
      <c r="BR418" s="86"/>
      <c r="BS418" s="86"/>
      <c r="BT418" s="86"/>
      <c r="BU418" s="86"/>
      <c r="BV418" s="86"/>
      <c r="BW418" s="86"/>
      <c r="BX418" s="86"/>
      <c r="BY418" s="86"/>
      <c r="BZ418" s="86"/>
      <c r="CA418" s="86"/>
      <c r="CB418" s="86"/>
      <c r="CC418" s="86"/>
      <c r="CD418" s="86"/>
      <c r="CE418" s="86"/>
      <c r="CF418" s="86"/>
      <c r="CG418" s="86"/>
      <c r="CH418" s="86"/>
      <c r="CI418" s="86"/>
      <c r="CJ418" s="86"/>
      <c r="CK418" s="86"/>
      <c r="CL418" s="86"/>
      <c r="CM418" s="86"/>
      <c r="CN418" s="86"/>
      <c r="CO418" s="86"/>
      <c r="CP418" s="86"/>
      <c r="CQ418" s="86"/>
      <c r="CR418" s="86"/>
      <c r="CS418" s="86"/>
      <c r="CT418" s="86"/>
      <c r="CU418" s="86"/>
      <c r="CV418" s="86"/>
      <c r="CW418" s="86"/>
      <c r="CX418" s="86"/>
      <c r="CY418" s="86"/>
      <c r="CZ418" s="86"/>
      <c r="DA418" s="86"/>
      <c r="DB418" s="86"/>
      <c r="DC418" s="86"/>
      <c r="DD418" s="86"/>
      <c r="DE418" s="86"/>
      <c r="DF418" s="86"/>
      <c r="DG418" s="86"/>
      <c r="DH418" s="86"/>
      <c r="DI418" s="86"/>
      <c r="DJ418" s="86"/>
      <c r="DK418" s="86"/>
      <c r="DL418" s="86"/>
      <c r="DM418" s="86"/>
      <c r="DN418" s="86"/>
      <c r="DO418" s="86"/>
      <c r="DP418" s="86"/>
      <c r="DQ418" s="86"/>
      <c r="DR418" s="86"/>
      <c r="DS418" s="86"/>
      <c r="DT418" s="86"/>
      <c r="DU418" s="86"/>
      <c r="DV418" s="86"/>
      <c r="DW418" s="86"/>
      <c r="DX418" s="86"/>
      <c r="DY418" s="86"/>
      <c r="DZ418" s="86"/>
      <c r="EA418" s="86"/>
      <c r="EB418" s="86"/>
      <c r="EC418" s="86"/>
      <c r="ED418" s="86"/>
      <c r="EE418" s="86"/>
      <c r="EF418" s="86"/>
      <c r="EG418" s="86"/>
      <c r="EH418" s="86"/>
      <c r="EI418" s="86"/>
      <c r="EJ418" s="86"/>
      <c r="EK418" s="86"/>
      <c r="EL418" s="86"/>
      <c r="EM418" s="86"/>
      <c r="EN418" s="86"/>
      <c r="EO418" s="86"/>
      <c r="EP418" s="86"/>
      <c r="EQ418" s="86"/>
      <c r="ER418" s="86"/>
      <c r="ES418" s="86"/>
      <c r="ET418" s="86"/>
      <c r="EU418" s="86"/>
      <c r="EV418" s="86"/>
      <c r="EW418" s="86"/>
      <c r="EX418" s="86"/>
      <c r="EY418" s="86"/>
      <c r="EZ418" s="86"/>
      <c r="FA418" s="86"/>
    </row>
    <row r="419" spans="2:157" ht="10.95" customHeight="1">
      <c r="B419" s="1347" t="s">
        <v>582</v>
      </c>
      <c r="C419" s="1349"/>
      <c r="D419" s="1345"/>
      <c r="E419" s="1346"/>
      <c r="F419" s="839"/>
      <c r="G419" s="853" t="s">
        <v>345</v>
      </c>
      <c r="H419" s="854">
        <f>ROUND(1/(SUM(H422:H432)),2)</f>
        <v>5.88</v>
      </c>
      <c r="J419" s="101"/>
      <c r="K419" s="101"/>
      <c r="L419" s="101"/>
      <c r="Z419" s="86"/>
      <c r="AA419" s="86"/>
      <c r="AB419" s="86"/>
      <c r="AC419" s="86"/>
      <c r="AD419" s="86"/>
      <c r="AE419" s="86"/>
      <c r="AF419" s="86"/>
      <c r="AG419" s="86"/>
      <c r="AH419" s="86"/>
      <c r="AI419" s="86"/>
      <c r="AJ419" s="86"/>
      <c r="AK419" s="86"/>
      <c r="AL419" s="86"/>
      <c r="AM419" s="86"/>
      <c r="AN419" s="86"/>
      <c r="AO419" s="86"/>
      <c r="AP419" s="86"/>
      <c r="AQ419" s="86"/>
      <c r="AR419" s="86"/>
      <c r="AS419" s="86"/>
      <c r="AT419" s="86"/>
      <c r="AU419" s="86"/>
      <c r="AV419" s="86"/>
      <c r="AW419" s="86"/>
      <c r="AX419" s="86"/>
      <c r="AY419" s="86"/>
      <c r="AZ419" s="86"/>
      <c r="BA419" s="86"/>
      <c r="BB419" s="86"/>
      <c r="BC419" s="86"/>
      <c r="BD419" s="86"/>
      <c r="BE419" s="86"/>
      <c r="BF419" s="86"/>
      <c r="BG419" s="86"/>
      <c r="BH419" s="86"/>
      <c r="BI419" s="86"/>
      <c r="BJ419" s="86"/>
      <c r="BK419" s="86"/>
      <c r="BL419" s="86"/>
      <c r="BM419" s="86"/>
      <c r="BN419" s="86"/>
      <c r="BO419" s="86"/>
      <c r="BP419" s="86"/>
      <c r="BQ419" s="86"/>
      <c r="BR419" s="86"/>
      <c r="BS419" s="86"/>
      <c r="BT419" s="86"/>
      <c r="BU419" s="86"/>
      <c r="BV419" s="86"/>
      <c r="BW419" s="86"/>
      <c r="BX419" s="86"/>
      <c r="BY419" s="86"/>
      <c r="BZ419" s="86"/>
      <c r="CA419" s="86"/>
      <c r="CB419" s="86"/>
      <c r="CC419" s="86"/>
      <c r="CD419" s="86"/>
      <c r="CE419" s="86"/>
      <c r="CF419" s="86"/>
      <c r="CG419" s="86"/>
      <c r="CH419" s="86"/>
      <c r="CI419" s="86"/>
      <c r="CJ419" s="86"/>
      <c r="CK419" s="86"/>
      <c r="CL419" s="86"/>
      <c r="CM419" s="86"/>
      <c r="CN419" s="86"/>
      <c r="CO419" s="86"/>
      <c r="CP419" s="86"/>
      <c r="CQ419" s="86"/>
      <c r="CR419" s="86"/>
      <c r="CS419" s="86"/>
      <c r="CT419" s="86"/>
      <c r="CU419" s="86"/>
      <c r="CV419" s="86"/>
      <c r="CW419" s="86"/>
      <c r="CX419" s="86"/>
      <c r="CY419" s="86"/>
      <c r="CZ419" s="86"/>
      <c r="DA419" s="86"/>
      <c r="DB419" s="86"/>
      <c r="DC419" s="86"/>
      <c r="DD419" s="86"/>
      <c r="DE419" s="86"/>
      <c r="DF419" s="86"/>
      <c r="DG419" s="86"/>
      <c r="DH419" s="86"/>
      <c r="DI419" s="86"/>
      <c r="DJ419" s="86"/>
      <c r="DK419" s="86"/>
      <c r="DL419" s="86"/>
      <c r="DM419" s="86"/>
      <c r="DN419" s="86"/>
      <c r="DO419" s="86"/>
      <c r="DP419" s="86"/>
      <c r="DQ419" s="86"/>
      <c r="DR419" s="86"/>
      <c r="DS419" s="86"/>
      <c r="DT419" s="86"/>
      <c r="DU419" s="86"/>
      <c r="DV419" s="86"/>
      <c r="DW419" s="86"/>
      <c r="DX419" s="86"/>
      <c r="DY419" s="86"/>
      <c r="DZ419" s="86"/>
      <c r="EA419" s="86"/>
      <c r="EB419" s="86"/>
      <c r="EC419" s="86"/>
      <c r="ED419" s="86"/>
      <c r="EE419" s="86"/>
      <c r="EF419" s="86"/>
      <c r="EG419" s="86"/>
      <c r="EH419" s="86"/>
      <c r="EI419" s="86"/>
      <c r="EJ419" s="86"/>
      <c r="EK419" s="86"/>
      <c r="EL419" s="86"/>
      <c r="EM419" s="86"/>
      <c r="EN419" s="86"/>
      <c r="EO419" s="86"/>
      <c r="EP419" s="86"/>
      <c r="EQ419" s="86"/>
      <c r="ER419" s="86"/>
      <c r="ES419" s="86"/>
      <c r="ET419" s="86"/>
      <c r="EU419" s="86"/>
      <c r="EV419" s="86"/>
      <c r="EW419" s="86"/>
      <c r="EX419" s="86"/>
      <c r="EY419" s="86"/>
      <c r="EZ419" s="86"/>
      <c r="FA419" s="86"/>
    </row>
    <row r="420" spans="2:157" ht="9.75" customHeight="1">
      <c r="B420" s="839"/>
      <c r="C420" s="839"/>
      <c r="D420" s="844"/>
      <c r="E420" s="839"/>
      <c r="F420" s="839"/>
      <c r="G420" s="852"/>
      <c r="H420" s="850"/>
      <c r="J420" s="101"/>
      <c r="K420" s="101"/>
      <c r="L420" s="101"/>
      <c r="Z420" s="86"/>
      <c r="AA420" s="86"/>
      <c r="AB420" s="86"/>
      <c r="AC420" s="86"/>
      <c r="AD420" s="86"/>
      <c r="AE420" s="86"/>
      <c r="AF420" s="86"/>
      <c r="AG420" s="86"/>
      <c r="AH420" s="86"/>
      <c r="AI420" s="86"/>
      <c r="AJ420" s="86"/>
      <c r="AK420" s="86"/>
      <c r="AL420" s="86"/>
      <c r="AM420" s="86"/>
      <c r="AN420" s="86"/>
      <c r="AO420" s="86"/>
      <c r="AP420" s="86"/>
      <c r="AQ420" s="86"/>
      <c r="AR420" s="86"/>
      <c r="AS420" s="86"/>
      <c r="AT420" s="86"/>
      <c r="AU420" s="86"/>
      <c r="AV420" s="86"/>
      <c r="AW420" s="86"/>
      <c r="AX420" s="86"/>
      <c r="AY420" s="86"/>
      <c r="AZ420" s="86"/>
      <c r="BA420" s="86"/>
      <c r="BB420" s="86"/>
      <c r="BC420" s="86"/>
      <c r="BD420" s="86"/>
      <c r="BE420" s="86"/>
      <c r="BF420" s="86"/>
      <c r="BG420" s="86"/>
      <c r="BH420" s="86"/>
      <c r="BI420" s="86"/>
      <c r="BJ420" s="86"/>
      <c r="BK420" s="86"/>
      <c r="BL420" s="86"/>
      <c r="BM420" s="86"/>
      <c r="BN420" s="86"/>
      <c r="BO420" s="86"/>
      <c r="BP420" s="86"/>
      <c r="BQ420" s="86"/>
      <c r="BR420" s="86"/>
      <c r="BS420" s="86"/>
      <c r="BT420" s="86"/>
      <c r="BU420" s="86"/>
      <c r="BV420" s="86"/>
      <c r="BW420" s="86"/>
      <c r="BX420" s="86"/>
      <c r="BY420" s="86"/>
      <c r="BZ420" s="86"/>
      <c r="CA420" s="86"/>
      <c r="CB420" s="86"/>
      <c r="CC420" s="86"/>
      <c r="CD420" s="86"/>
      <c r="CE420" s="86"/>
      <c r="CF420" s="86"/>
      <c r="CG420" s="86"/>
      <c r="CH420" s="86"/>
      <c r="CI420" s="86"/>
      <c r="CJ420" s="86"/>
      <c r="CK420" s="86"/>
      <c r="CL420" s="86"/>
      <c r="CM420" s="86"/>
      <c r="CN420" s="86"/>
      <c r="CO420" s="86"/>
      <c r="CP420" s="86"/>
      <c r="CQ420" s="86"/>
      <c r="CR420" s="86"/>
      <c r="CS420" s="86"/>
      <c r="CT420" s="86"/>
      <c r="CU420" s="86"/>
      <c r="CV420" s="86"/>
      <c r="CW420" s="86"/>
      <c r="CX420" s="86"/>
      <c r="CY420" s="86"/>
      <c r="CZ420" s="86"/>
      <c r="DA420" s="86"/>
      <c r="DB420" s="86"/>
      <c r="DC420" s="86"/>
      <c r="DD420" s="86"/>
      <c r="DE420" s="86"/>
      <c r="DF420" s="86"/>
      <c r="DG420" s="86"/>
      <c r="DH420" s="86"/>
      <c r="DI420" s="86"/>
      <c r="DJ420" s="86"/>
      <c r="DK420" s="86"/>
      <c r="DL420" s="86"/>
      <c r="DM420" s="86"/>
      <c r="DN420" s="86"/>
      <c r="DO420" s="86"/>
      <c r="DP420" s="86"/>
      <c r="DQ420" s="86"/>
      <c r="DR420" s="86"/>
      <c r="DS420" s="86"/>
      <c r="DT420" s="86"/>
      <c r="DU420" s="86"/>
      <c r="DV420" s="86"/>
      <c r="DW420" s="86"/>
      <c r="DX420" s="86"/>
      <c r="DY420" s="86"/>
      <c r="DZ420" s="86"/>
      <c r="EA420" s="86"/>
      <c r="EB420" s="86"/>
      <c r="EC420" s="86"/>
      <c r="ED420" s="86"/>
      <c r="EE420" s="86"/>
      <c r="EF420" s="86"/>
      <c r="EG420" s="86"/>
      <c r="EH420" s="86"/>
      <c r="EI420" s="86"/>
      <c r="EJ420" s="86"/>
      <c r="EK420" s="86"/>
      <c r="EL420" s="86"/>
      <c r="EM420" s="86"/>
      <c r="EN420" s="86"/>
      <c r="EO420" s="86"/>
      <c r="EP420" s="86"/>
      <c r="EQ420" s="86"/>
      <c r="ER420" s="86"/>
      <c r="ES420" s="86"/>
      <c r="ET420" s="86"/>
      <c r="EU420" s="86"/>
      <c r="EV420" s="86"/>
      <c r="EW420" s="86"/>
      <c r="EX420" s="86"/>
      <c r="EY420" s="86"/>
      <c r="EZ420" s="86"/>
      <c r="FA420" s="86"/>
    </row>
    <row r="421" spans="2:157" ht="9.75" customHeight="1">
      <c r="B421" s="844" t="s">
        <v>349</v>
      </c>
      <c r="C421" s="1352" t="s">
        <v>344</v>
      </c>
      <c r="D421" s="1352"/>
      <c r="E421" s="87"/>
      <c r="F421" s="846" t="s">
        <v>170</v>
      </c>
      <c r="G421" s="847" t="s">
        <v>361</v>
      </c>
      <c r="H421" s="846" t="s">
        <v>281</v>
      </c>
      <c r="J421" s="101"/>
      <c r="K421" s="101"/>
      <c r="L421" s="101"/>
      <c r="Z421" s="86"/>
      <c r="AA421" s="86"/>
      <c r="AB421" s="86"/>
      <c r="AC421" s="86"/>
      <c r="AD421" s="86"/>
      <c r="AE421" s="86"/>
      <c r="AF421" s="86"/>
      <c r="AG421" s="86"/>
      <c r="AH421" s="86"/>
      <c r="AI421" s="86"/>
      <c r="AJ421" s="86"/>
      <c r="AK421" s="86"/>
      <c r="AL421" s="86"/>
      <c r="AM421" s="86"/>
      <c r="AN421" s="86"/>
      <c r="AO421" s="86"/>
      <c r="AP421" s="86"/>
      <c r="AQ421" s="86"/>
      <c r="AR421" s="86"/>
      <c r="AS421" s="86"/>
      <c r="AT421" s="86"/>
      <c r="AU421" s="86"/>
      <c r="AV421" s="86"/>
      <c r="AW421" s="86"/>
      <c r="AX421" s="86"/>
      <c r="AY421" s="86"/>
      <c r="AZ421" s="86"/>
      <c r="BA421" s="86"/>
      <c r="BB421" s="86"/>
      <c r="BC421" s="86"/>
      <c r="BD421" s="86"/>
      <c r="BE421" s="86"/>
      <c r="BF421" s="86"/>
      <c r="BG421" s="86"/>
      <c r="BH421" s="86"/>
      <c r="BI421" s="86"/>
      <c r="BJ421" s="86"/>
      <c r="BK421" s="86"/>
      <c r="BL421" s="86"/>
      <c r="BM421" s="86"/>
      <c r="BN421" s="86"/>
      <c r="BO421" s="86"/>
      <c r="BP421" s="86"/>
      <c r="BQ421" s="86"/>
      <c r="BR421" s="86"/>
      <c r="BS421" s="86"/>
      <c r="BT421" s="86"/>
      <c r="BU421" s="86"/>
      <c r="BV421" s="86"/>
      <c r="BW421" s="86"/>
      <c r="BX421" s="86"/>
      <c r="BY421" s="86"/>
      <c r="BZ421" s="86"/>
      <c r="CA421" s="86"/>
      <c r="CB421" s="86"/>
      <c r="CC421" s="86"/>
      <c r="CD421" s="86"/>
      <c r="CE421" s="86"/>
      <c r="CF421" s="86"/>
      <c r="CG421" s="86"/>
      <c r="CH421" s="86"/>
      <c r="CI421" s="86"/>
      <c r="CJ421" s="86"/>
      <c r="CK421" s="86"/>
      <c r="CL421" s="86"/>
      <c r="CM421" s="86"/>
      <c r="CN421" s="86"/>
      <c r="CO421" s="86"/>
      <c r="CP421" s="86"/>
      <c r="CQ421" s="86"/>
      <c r="CR421" s="86"/>
      <c r="CS421" s="86"/>
      <c r="CT421" s="86"/>
      <c r="CU421" s="86"/>
      <c r="CV421" s="86"/>
      <c r="CW421" s="86"/>
      <c r="CX421" s="86"/>
      <c r="CY421" s="86"/>
      <c r="CZ421" s="86"/>
      <c r="DA421" s="86"/>
      <c r="DB421" s="86"/>
      <c r="DC421" s="86"/>
      <c r="DD421" s="86"/>
      <c r="DE421" s="86"/>
      <c r="DF421" s="86"/>
      <c r="DG421" s="86"/>
      <c r="DH421" s="86"/>
      <c r="DI421" s="86"/>
      <c r="DJ421" s="86"/>
      <c r="DK421" s="86"/>
      <c r="DL421" s="86"/>
      <c r="DM421" s="86"/>
      <c r="DN421" s="86"/>
      <c r="DO421" s="86"/>
      <c r="DP421" s="86"/>
      <c r="DQ421" s="86"/>
      <c r="DR421" s="86"/>
      <c r="DS421" s="86"/>
      <c r="DT421" s="86"/>
      <c r="DU421" s="86"/>
      <c r="DV421" s="86"/>
      <c r="DW421" s="86"/>
      <c r="DX421" s="86"/>
      <c r="DY421" s="86"/>
      <c r="DZ421" s="86"/>
      <c r="EA421" s="86"/>
      <c r="EB421" s="86"/>
      <c r="EC421" s="86"/>
      <c r="ED421" s="86"/>
      <c r="EE421" s="86"/>
      <c r="EF421" s="86"/>
      <c r="EG421" s="86"/>
      <c r="EH421" s="86"/>
      <c r="EI421" s="86"/>
      <c r="EJ421" s="86"/>
      <c r="EK421" s="86"/>
      <c r="EL421" s="86"/>
      <c r="EM421" s="86"/>
      <c r="EN421" s="86"/>
      <c r="EO421" s="86"/>
      <c r="EP421" s="86"/>
      <c r="EQ421" s="86"/>
      <c r="ER421" s="86"/>
      <c r="ES421" s="86"/>
      <c r="ET421" s="86"/>
      <c r="EU421" s="86"/>
      <c r="EV421" s="86"/>
      <c r="EW421" s="86"/>
      <c r="EX421" s="86"/>
      <c r="EY421" s="86"/>
      <c r="EZ421" s="86"/>
      <c r="FA421" s="86"/>
    </row>
    <row r="422" spans="2:157" ht="10.050000000000001" customHeight="1">
      <c r="B422" s="845" t="s">
        <v>546</v>
      </c>
      <c r="C422" s="1350" t="s">
        <v>106</v>
      </c>
      <c r="D422" s="1350"/>
      <c r="E422" s="87"/>
      <c r="F422" s="848" t="s">
        <v>546</v>
      </c>
      <c r="G422" s="848" t="s">
        <v>546</v>
      </c>
      <c r="H422" s="1016">
        <v>0.13</v>
      </c>
      <c r="J422" s="101"/>
      <c r="K422" s="101"/>
      <c r="L422" s="101"/>
      <c r="Z422" s="86"/>
      <c r="AA422" s="86"/>
      <c r="AB422" s="86"/>
      <c r="AC422" s="86"/>
      <c r="AD422" s="86"/>
      <c r="AE422" s="86"/>
      <c r="AF422" s="86"/>
      <c r="AG422" s="86"/>
      <c r="AH422" s="86"/>
      <c r="AI422" s="86"/>
      <c r="AJ422" s="86"/>
      <c r="AK422" s="86"/>
      <c r="AL422" s="86"/>
      <c r="AM422" s="86"/>
      <c r="AN422" s="86"/>
      <c r="AO422" s="86"/>
      <c r="AP422" s="86"/>
      <c r="AQ422" s="86"/>
      <c r="AR422" s="86"/>
      <c r="AS422" s="86"/>
      <c r="AT422" s="86"/>
      <c r="AU422" s="86"/>
      <c r="AV422" s="86"/>
      <c r="AW422" s="86"/>
      <c r="AX422" s="86"/>
      <c r="AY422" s="86"/>
      <c r="AZ422" s="86"/>
      <c r="BA422" s="86"/>
      <c r="BB422" s="86"/>
      <c r="BC422" s="86"/>
      <c r="BD422" s="86"/>
      <c r="BE422" s="86"/>
      <c r="BF422" s="86"/>
      <c r="BG422" s="86"/>
      <c r="BH422" s="86"/>
      <c r="BI422" s="86"/>
      <c r="BJ422" s="86"/>
      <c r="BK422" s="86"/>
      <c r="BL422" s="86"/>
      <c r="BM422" s="86"/>
      <c r="BN422" s="86"/>
      <c r="BO422" s="86"/>
      <c r="BP422" s="86"/>
      <c r="BQ422" s="86"/>
      <c r="BR422" s="86"/>
      <c r="BS422" s="86"/>
      <c r="BT422" s="86"/>
      <c r="BU422" s="86"/>
      <c r="BV422" s="86"/>
      <c r="BW422" s="86"/>
      <c r="BX422" s="86"/>
      <c r="BY422" s="86"/>
      <c r="BZ422" s="86"/>
      <c r="CA422" s="86"/>
      <c r="CB422" s="86"/>
      <c r="CC422" s="86"/>
      <c r="CD422" s="86"/>
      <c r="CE422" s="86"/>
      <c r="CF422" s="86"/>
      <c r="CG422" s="86"/>
      <c r="CH422" s="86"/>
      <c r="CI422" s="86"/>
      <c r="CJ422" s="86"/>
      <c r="CK422" s="86"/>
      <c r="CL422" s="86"/>
      <c r="CM422" s="86"/>
      <c r="CN422" s="86"/>
      <c r="CO422" s="86"/>
      <c r="CP422" s="86"/>
      <c r="CQ422" s="86"/>
      <c r="CR422" s="86"/>
      <c r="CS422" s="86"/>
      <c r="CT422" s="86"/>
      <c r="CU422" s="86"/>
      <c r="CV422" s="86"/>
      <c r="CW422" s="86"/>
      <c r="CX422" s="86"/>
      <c r="CY422" s="86"/>
      <c r="CZ422" s="86"/>
      <c r="DA422" s="86"/>
      <c r="DB422" s="86"/>
      <c r="DC422" s="86"/>
      <c r="DD422" s="86"/>
      <c r="DE422" s="86"/>
      <c r="DF422" s="86"/>
      <c r="DG422" s="86"/>
      <c r="DH422" s="86"/>
      <c r="DI422" s="86"/>
      <c r="DJ422" s="86"/>
      <c r="DK422" s="86"/>
      <c r="DL422" s="86"/>
      <c r="DM422" s="86"/>
      <c r="DN422" s="86"/>
      <c r="DO422" s="86"/>
      <c r="DP422" s="86"/>
      <c r="DQ422" s="86"/>
      <c r="DR422" s="86"/>
      <c r="DS422" s="86"/>
      <c r="DT422" s="86"/>
      <c r="DU422" s="86"/>
      <c r="DV422" s="86"/>
      <c r="DW422" s="86"/>
      <c r="DX422" s="86"/>
      <c r="DY422" s="86"/>
      <c r="DZ422" s="86"/>
      <c r="EA422" s="86"/>
      <c r="EB422" s="86"/>
      <c r="EC422" s="86"/>
      <c r="ED422" s="86"/>
      <c r="EE422" s="86"/>
      <c r="EF422" s="86"/>
      <c r="EG422" s="86"/>
      <c r="EH422" s="86"/>
      <c r="EI422" s="86"/>
      <c r="EJ422" s="86"/>
      <c r="EK422" s="86"/>
      <c r="EL422" s="86"/>
      <c r="EM422" s="86"/>
      <c r="EN422" s="86"/>
      <c r="EO422" s="86"/>
      <c r="EP422" s="86"/>
      <c r="EQ422" s="86"/>
      <c r="ER422" s="86"/>
      <c r="ES422" s="86"/>
      <c r="ET422" s="86"/>
      <c r="EU422" s="86"/>
      <c r="EV422" s="86"/>
      <c r="EW422" s="86"/>
      <c r="EX422" s="86"/>
      <c r="EY422" s="86"/>
      <c r="EZ422" s="86"/>
      <c r="FA422" s="86"/>
    </row>
    <row r="423" spans="2:157" ht="9.75" customHeight="1">
      <c r="B423" s="845">
        <v>1</v>
      </c>
      <c r="C423" s="1344"/>
      <c r="D423" s="1344"/>
      <c r="E423" s="1344"/>
      <c r="F423" s="857"/>
      <c r="G423" s="857"/>
      <c r="H423" s="875" t="str">
        <f t="shared" ref="H423:H431" si="19">IF(G423=0,"",(F423/(G423+0.00000000001)))</f>
        <v/>
      </c>
      <c r="J423" s="101"/>
      <c r="K423" s="101"/>
      <c r="L423" s="101"/>
      <c r="Z423" s="86"/>
      <c r="AA423" s="86"/>
      <c r="AB423" s="86"/>
      <c r="AC423" s="86"/>
      <c r="AD423" s="86"/>
      <c r="AE423" s="86"/>
      <c r="AF423" s="86"/>
      <c r="AG423" s="86"/>
      <c r="AH423" s="86"/>
      <c r="AI423" s="86"/>
      <c r="AJ423" s="86"/>
      <c r="AK423" s="86"/>
      <c r="AL423" s="86"/>
      <c r="AM423" s="86"/>
      <c r="AN423" s="86"/>
      <c r="AO423" s="86"/>
      <c r="AP423" s="86"/>
      <c r="AQ423" s="86"/>
      <c r="AR423" s="86"/>
      <c r="AS423" s="86"/>
      <c r="AT423" s="86"/>
      <c r="AU423" s="86"/>
      <c r="AV423" s="86"/>
      <c r="AW423" s="86"/>
      <c r="AX423" s="86"/>
      <c r="AY423" s="86"/>
      <c r="AZ423" s="86"/>
      <c r="BA423" s="86"/>
      <c r="BB423" s="86"/>
      <c r="BC423" s="86"/>
      <c r="BD423" s="86"/>
      <c r="BE423" s="86"/>
      <c r="BF423" s="86"/>
      <c r="BG423" s="86"/>
      <c r="BH423" s="86"/>
      <c r="BI423" s="86"/>
      <c r="BJ423" s="86"/>
      <c r="BK423" s="86"/>
      <c r="BL423" s="86"/>
      <c r="BM423" s="86"/>
      <c r="BN423" s="86"/>
      <c r="BO423" s="86"/>
      <c r="BP423" s="86"/>
      <c r="BQ423" s="86"/>
      <c r="BR423" s="86"/>
      <c r="BS423" s="86"/>
      <c r="BT423" s="86"/>
      <c r="BU423" s="86"/>
      <c r="BV423" s="86"/>
      <c r="BW423" s="86"/>
      <c r="BX423" s="86"/>
      <c r="BY423" s="86"/>
      <c r="BZ423" s="86"/>
      <c r="CA423" s="86"/>
      <c r="CB423" s="86"/>
      <c r="CC423" s="86"/>
      <c r="CD423" s="86"/>
      <c r="CE423" s="86"/>
      <c r="CF423" s="86"/>
      <c r="CG423" s="86"/>
      <c r="CH423" s="86"/>
      <c r="CI423" s="86"/>
      <c r="CJ423" s="86"/>
      <c r="CK423" s="86"/>
      <c r="CL423" s="86"/>
      <c r="CM423" s="86"/>
      <c r="CN423" s="86"/>
      <c r="CO423" s="86"/>
      <c r="CP423" s="86"/>
      <c r="CQ423" s="86"/>
      <c r="CR423" s="86"/>
      <c r="CS423" s="86"/>
      <c r="CT423" s="86"/>
      <c r="CU423" s="86"/>
      <c r="CV423" s="86"/>
      <c r="CW423" s="86"/>
      <c r="CX423" s="86"/>
      <c r="CY423" s="86"/>
      <c r="CZ423" s="86"/>
      <c r="DA423" s="86"/>
      <c r="DB423" s="86"/>
      <c r="DC423" s="86"/>
      <c r="DD423" s="86"/>
      <c r="DE423" s="86"/>
      <c r="DF423" s="86"/>
      <c r="DG423" s="86"/>
      <c r="DH423" s="86"/>
      <c r="DI423" s="86"/>
      <c r="DJ423" s="86"/>
      <c r="DK423" s="86"/>
      <c r="DL423" s="86"/>
      <c r="DM423" s="86"/>
      <c r="DN423" s="86"/>
      <c r="DO423" s="86"/>
      <c r="DP423" s="86"/>
      <c r="DQ423" s="86"/>
      <c r="DR423" s="86"/>
      <c r="DS423" s="86"/>
      <c r="DT423" s="86"/>
      <c r="DU423" s="86"/>
      <c r="DV423" s="86"/>
      <c r="DW423" s="86"/>
      <c r="DX423" s="86"/>
      <c r="DY423" s="86"/>
      <c r="DZ423" s="86"/>
      <c r="EA423" s="86"/>
      <c r="EB423" s="86"/>
      <c r="EC423" s="86"/>
      <c r="ED423" s="86"/>
      <c r="EE423" s="86"/>
      <c r="EF423" s="86"/>
      <c r="EG423" s="86"/>
      <c r="EH423" s="86"/>
      <c r="EI423" s="86"/>
      <c r="EJ423" s="86"/>
      <c r="EK423" s="86"/>
      <c r="EL423" s="86"/>
      <c r="EM423" s="86"/>
      <c r="EN423" s="86"/>
      <c r="EO423" s="86"/>
      <c r="EP423" s="86"/>
      <c r="EQ423" s="86"/>
      <c r="ER423" s="86"/>
      <c r="ES423" s="86"/>
      <c r="ET423" s="86"/>
      <c r="EU423" s="86"/>
      <c r="EV423" s="86"/>
      <c r="EW423" s="86"/>
      <c r="EX423" s="86"/>
      <c r="EY423" s="86"/>
      <c r="EZ423" s="86"/>
      <c r="FA423" s="86"/>
    </row>
    <row r="424" spans="2:157" ht="9.75" customHeight="1">
      <c r="B424" s="845">
        <v>2</v>
      </c>
      <c r="C424" s="1344"/>
      <c r="D424" s="1344"/>
      <c r="E424" s="1344"/>
      <c r="F424" s="857"/>
      <c r="G424" s="857"/>
      <c r="H424" s="875" t="str">
        <f t="shared" si="19"/>
        <v/>
      </c>
      <c r="J424" s="101"/>
      <c r="K424" s="101"/>
      <c r="L424" s="101"/>
      <c r="Z424" s="86"/>
      <c r="AA424" s="86"/>
      <c r="AB424" s="86"/>
      <c r="AC424" s="86"/>
      <c r="AD424" s="86"/>
      <c r="AE424" s="86"/>
      <c r="AF424" s="86"/>
      <c r="AG424" s="86"/>
      <c r="AH424" s="86"/>
      <c r="AI424" s="86"/>
      <c r="AJ424" s="86"/>
      <c r="AK424" s="86"/>
      <c r="AL424" s="86"/>
      <c r="AM424" s="86"/>
      <c r="AN424" s="86"/>
      <c r="AO424" s="86"/>
      <c r="AP424" s="86"/>
      <c r="AQ424" s="86"/>
      <c r="AR424" s="86"/>
      <c r="AS424" s="86"/>
      <c r="AT424" s="86"/>
      <c r="AU424" s="86"/>
      <c r="AV424" s="86"/>
      <c r="AW424" s="86"/>
      <c r="AX424" s="86"/>
      <c r="AY424" s="86"/>
      <c r="AZ424" s="86"/>
      <c r="BA424" s="86"/>
      <c r="BB424" s="86"/>
      <c r="BC424" s="86"/>
      <c r="BD424" s="86"/>
      <c r="BE424" s="86"/>
      <c r="BF424" s="86"/>
      <c r="BG424" s="86"/>
      <c r="BH424" s="86"/>
      <c r="BI424" s="86"/>
      <c r="BJ424" s="86"/>
      <c r="BK424" s="86"/>
      <c r="BL424" s="86"/>
      <c r="BM424" s="86"/>
      <c r="BN424" s="86"/>
      <c r="BO424" s="86"/>
      <c r="BP424" s="86"/>
      <c r="BQ424" s="86"/>
      <c r="BR424" s="86"/>
      <c r="BS424" s="86"/>
      <c r="BT424" s="86"/>
      <c r="BU424" s="86"/>
      <c r="BV424" s="86"/>
      <c r="BW424" s="86"/>
      <c r="BX424" s="86"/>
      <c r="BY424" s="86"/>
      <c r="BZ424" s="86"/>
      <c r="CA424" s="86"/>
      <c r="CB424" s="86"/>
      <c r="CC424" s="86"/>
      <c r="CD424" s="86"/>
      <c r="CE424" s="86"/>
      <c r="CF424" s="86"/>
      <c r="CG424" s="86"/>
      <c r="CH424" s="86"/>
      <c r="CI424" s="86"/>
      <c r="CJ424" s="86"/>
      <c r="CK424" s="86"/>
      <c r="CL424" s="86"/>
      <c r="CM424" s="86"/>
      <c r="CN424" s="86"/>
      <c r="CO424" s="86"/>
      <c r="CP424" s="86"/>
      <c r="CQ424" s="86"/>
      <c r="CR424" s="86"/>
      <c r="CS424" s="86"/>
      <c r="CT424" s="86"/>
      <c r="CU424" s="86"/>
      <c r="CV424" s="86"/>
      <c r="CW424" s="86"/>
      <c r="CX424" s="86"/>
      <c r="CY424" s="86"/>
      <c r="CZ424" s="86"/>
      <c r="DA424" s="86"/>
      <c r="DB424" s="86"/>
      <c r="DC424" s="86"/>
      <c r="DD424" s="86"/>
      <c r="DE424" s="86"/>
      <c r="DF424" s="86"/>
      <c r="DG424" s="86"/>
      <c r="DH424" s="86"/>
      <c r="DI424" s="86"/>
      <c r="DJ424" s="86"/>
      <c r="DK424" s="86"/>
      <c r="DL424" s="86"/>
      <c r="DM424" s="86"/>
      <c r="DN424" s="86"/>
      <c r="DO424" s="86"/>
      <c r="DP424" s="86"/>
      <c r="DQ424" s="86"/>
      <c r="DR424" s="86"/>
      <c r="DS424" s="86"/>
      <c r="DT424" s="86"/>
      <c r="DU424" s="86"/>
      <c r="DV424" s="86"/>
      <c r="DW424" s="86"/>
      <c r="DX424" s="86"/>
      <c r="DY424" s="86"/>
      <c r="DZ424" s="86"/>
      <c r="EA424" s="86"/>
      <c r="EB424" s="86"/>
      <c r="EC424" s="86"/>
      <c r="ED424" s="86"/>
      <c r="EE424" s="86"/>
      <c r="EF424" s="86"/>
      <c r="EG424" s="86"/>
      <c r="EH424" s="86"/>
      <c r="EI424" s="86"/>
      <c r="EJ424" s="86"/>
      <c r="EK424" s="86"/>
      <c r="EL424" s="86"/>
      <c r="EM424" s="86"/>
      <c r="EN424" s="86"/>
      <c r="EO424" s="86"/>
      <c r="EP424" s="86"/>
      <c r="EQ424" s="86"/>
      <c r="ER424" s="86"/>
      <c r="ES424" s="86"/>
      <c r="ET424" s="86"/>
      <c r="EU424" s="86"/>
      <c r="EV424" s="86"/>
      <c r="EW424" s="86"/>
      <c r="EX424" s="86"/>
      <c r="EY424" s="86"/>
      <c r="EZ424" s="86"/>
      <c r="FA424" s="86"/>
    </row>
    <row r="425" spans="2:157" ht="9.75" customHeight="1">
      <c r="B425" s="845">
        <v>3</v>
      </c>
      <c r="C425" s="1344"/>
      <c r="D425" s="1344"/>
      <c r="E425" s="1344"/>
      <c r="F425" s="857"/>
      <c r="G425" s="857"/>
      <c r="H425" s="875" t="str">
        <f t="shared" si="19"/>
        <v/>
      </c>
      <c r="J425" s="101"/>
      <c r="K425" s="101"/>
      <c r="L425" s="101"/>
      <c r="Z425" s="86"/>
      <c r="AA425" s="86"/>
      <c r="AB425" s="86"/>
      <c r="AC425" s="86"/>
      <c r="AD425" s="86"/>
      <c r="AE425" s="86"/>
      <c r="AF425" s="86"/>
      <c r="AG425" s="86"/>
      <c r="AH425" s="86"/>
      <c r="AI425" s="86"/>
      <c r="AJ425" s="86"/>
      <c r="AK425" s="86"/>
      <c r="AL425" s="86"/>
      <c r="AM425" s="86"/>
      <c r="AN425" s="86"/>
      <c r="AO425" s="86"/>
      <c r="AP425" s="86"/>
      <c r="AQ425" s="86"/>
      <c r="AR425" s="86"/>
      <c r="AS425" s="86"/>
      <c r="AT425" s="86"/>
      <c r="AU425" s="86"/>
      <c r="AV425" s="86"/>
      <c r="AW425" s="86"/>
      <c r="AX425" s="86"/>
      <c r="AY425" s="86"/>
      <c r="AZ425" s="86"/>
      <c r="BA425" s="86"/>
      <c r="BB425" s="86"/>
      <c r="BC425" s="86"/>
      <c r="BD425" s="86"/>
      <c r="BE425" s="86"/>
      <c r="BF425" s="86"/>
      <c r="BG425" s="86"/>
      <c r="BH425" s="86"/>
      <c r="BI425" s="86"/>
      <c r="BJ425" s="86"/>
      <c r="BK425" s="86"/>
      <c r="BL425" s="86"/>
      <c r="BM425" s="86"/>
      <c r="BN425" s="86"/>
      <c r="BO425" s="86"/>
      <c r="BP425" s="86"/>
      <c r="BQ425" s="86"/>
      <c r="BR425" s="86"/>
      <c r="BS425" s="86"/>
      <c r="BT425" s="86"/>
      <c r="BU425" s="86"/>
      <c r="BV425" s="86"/>
      <c r="BW425" s="86"/>
      <c r="BX425" s="86"/>
      <c r="BY425" s="86"/>
      <c r="BZ425" s="86"/>
      <c r="CA425" s="86"/>
      <c r="CB425" s="86"/>
      <c r="CC425" s="86"/>
      <c r="CD425" s="86"/>
      <c r="CE425" s="86"/>
      <c r="CF425" s="86"/>
      <c r="CG425" s="86"/>
      <c r="CH425" s="86"/>
      <c r="CI425" s="86"/>
      <c r="CJ425" s="86"/>
      <c r="CK425" s="86"/>
      <c r="CL425" s="86"/>
      <c r="CM425" s="86"/>
      <c r="CN425" s="86"/>
      <c r="CO425" s="86"/>
      <c r="CP425" s="86"/>
      <c r="CQ425" s="86"/>
      <c r="CR425" s="86"/>
      <c r="CS425" s="86"/>
      <c r="CT425" s="86"/>
      <c r="CU425" s="86"/>
      <c r="CV425" s="86"/>
      <c r="CW425" s="86"/>
      <c r="CX425" s="86"/>
      <c r="CY425" s="86"/>
      <c r="CZ425" s="86"/>
      <c r="DA425" s="86"/>
      <c r="DB425" s="86"/>
      <c r="DC425" s="86"/>
      <c r="DD425" s="86"/>
      <c r="DE425" s="86"/>
      <c r="DF425" s="86"/>
      <c r="DG425" s="86"/>
      <c r="DH425" s="86"/>
      <c r="DI425" s="86"/>
      <c r="DJ425" s="86"/>
      <c r="DK425" s="86"/>
      <c r="DL425" s="86"/>
      <c r="DM425" s="86"/>
      <c r="DN425" s="86"/>
      <c r="DO425" s="86"/>
      <c r="DP425" s="86"/>
      <c r="DQ425" s="86"/>
      <c r="DR425" s="86"/>
      <c r="DS425" s="86"/>
      <c r="DT425" s="86"/>
      <c r="DU425" s="86"/>
      <c r="DV425" s="86"/>
      <c r="DW425" s="86"/>
      <c r="DX425" s="86"/>
      <c r="DY425" s="86"/>
      <c r="DZ425" s="86"/>
      <c r="EA425" s="86"/>
      <c r="EB425" s="86"/>
      <c r="EC425" s="86"/>
      <c r="ED425" s="86"/>
      <c r="EE425" s="86"/>
      <c r="EF425" s="86"/>
      <c r="EG425" s="86"/>
      <c r="EH425" s="86"/>
      <c r="EI425" s="86"/>
      <c r="EJ425" s="86"/>
      <c r="EK425" s="86"/>
      <c r="EL425" s="86"/>
      <c r="EM425" s="86"/>
      <c r="EN425" s="86"/>
      <c r="EO425" s="86"/>
      <c r="EP425" s="86"/>
      <c r="EQ425" s="86"/>
      <c r="ER425" s="86"/>
      <c r="ES425" s="86"/>
      <c r="ET425" s="86"/>
      <c r="EU425" s="86"/>
      <c r="EV425" s="86"/>
      <c r="EW425" s="86"/>
      <c r="EX425" s="86"/>
      <c r="EY425" s="86"/>
      <c r="EZ425" s="86"/>
      <c r="FA425" s="86"/>
    </row>
    <row r="426" spans="2:157" ht="9.75" customHeight="1">
      <c r="B426" s="845">
        <v>4</v>
      </c>
      <c r="C426" s="1344"/>
      <c r="D426" s="1344"/>
      <c r="E426" s="1344"/>
      <c r="F426" s="857"/>
      <c r="G426" s="857"/>
      <c r="H426" s="875" t="str">
        <f t="shared" si="19"/>
        <v/>
      </c>
      <c r="J426" s="101"/>
      <c r="K426" s="101"/>
      <c r="L426" s="101"/>
      <c r="Z426" s="86"/>
      <c r="AA426" s="86"/>
      <c r="AB426" s="86"/>
      <c r="AC426" s="86"/>
      <c r="AD426" s="86"/>
      <c r="AE426" s="86"/>
      <c r="AF426" s="86"/>
      <c r="AG426" s="86"/>
      <c r="AH426" s="86"/>
      <c r="AI426" s="86"/>
      <c r="AJ426" s="86"/>
      <c r="AK426" s="86"/>
      <c r="AL426" s="86"/>
      <c r="AM426" s="86"/>
      <c r="AN426" s="86"/>
      <c r="AO426" s="86"/>
      <c r="AP426" s="86"/>
      <c r="AQ426" s="86"/>
      <c r="AR426" s="86"/>
      <c r="AS426" s="86"/>
      <c r="AT426" s="86"/>
      <c r="AU426" s="86"/>
      <c r="AV426" s="86"/>
      <c r="AW426" s="86"/>
      <c r="AX426" s="86"/>
      <c r="AY426" s="86"/>
      <c r="AZ426" s="86"/>
      <c r="BA426" s="86"/>
      <c r="BB426" s="86"/>
      <c r="BC426" s="86"/>
      <c r="BD426" s="86"/>
      <c r="BE426" s="86"/>
      <c r="BF426" s="86"/>
      <c r="BG426" s="86"/>
      <c r="BH426" s="86"/>
      <c r="BI426" s="86"/>
      <c r="BJ426" s="86"/>
      <c r="BK426" s="86"/>
      <c r="BL426" s="86"/>
      <c r="BM426" s="86"/>
      <c r="BN426" s="86"/>
      <c r="BO426" s="86"/>
      <c r="BP426" s="86"/>
      <c r="BQ426" s="86"/>
      <c r="BR426" s="86"/>
      <c r="BS426" s="86"/>
      <c r="BT426" s="86"/>
      <c r="BU426" s="86"/>
      <c r="BV426" s="86"/>
      <c r="BW426" s="86"/>
      <c r="BX426" s="86"/>
      <c r="BY426" s="86"/>
      <c r="BZ426" s="86"/>
      <c r="CA426" s="86"/>
      <c r="CB426" s="86"/>
      <c r="CC426" s="86"/>
      <c r="CD426" s="86"/>
      <c r="CE426" s="86"/>
      <c r="CF426" s="86"/>
      <c r="CG426" s="86"/>
      <c r="CH426" s="86"/>
      <c r="CI426" s="86"/>
      <c r="CJ426" s="86"/>
      <c r="CK426" s="86"/>
      <c r="CL426" s="86"/>
      <c r="CM426" s="86"/>
      <c r="CN426" s="86"/>
      <c r="CO426" s="86"/>
      <c r="CP426" s="86"/>
      <c r="CQ426" s="86"/>
      <c r="CR426" s="86"/>
      <c r="CS426" s="86"/>
      <c r="CT426" s="86"/>
      <c r="CU426" s="86"/>
      <c r="CV426" s="86"/>
      <c r="CW426" s="86"/>
      <c r="CX426" s="86"/>
      <c r="CY426" s="86"/>
      <c r="CZ426" s="86"/>
      <c r="DA426" s="86"/>
      <c r="DB426" s="86"/>
      <c r="DC426" s="86"/>
      <c r="DD426" s="86"/>
      <c r="DE426" s="86"/>
      <c r="DF426" s="86"/>
      <c r="DG426" s="86"/>
      <c r="DH426" s="86"/>
      <c r="DI426" s="86"/>
      <c r="DJ426" s="86"/>
      <c r="DK426" s="86"/>
      <c r="DL426" s="86"/>
      <c r="DM426" s="86"/>
      <c r="DN426" s="86"/>
      <c r="DO426" s="86"/>
      <c r="DP426" s="86"/>
      <c r="DQ426" s="86"/>
      <c r="DR426" s="86"/>
      <c r="DS426" s="86"/>
      <c r="DT426" s="86"/>
      <c r="DU426" s="86"/>
      <c r="DV426" s="86"/>
      <c r="DW426" s="86"/>
      <c r="DX426" s="86"/>
      <c r="DY426" s="86"/>
      <c r="DZ426" s="86"/>
      <c r="EA426" s="86"/>
      <c r="EB426" s="86"/>
      <c r="EC426" s="86"/>
      <c r="ED426" s="86"/>
      <c r="EE426" s="86"/>
      <c r="EF426" s="86"/>
      <c r="EG426" s="86"/>
      <c r="EH426" s="86"/>
      <c r="EI426" s="86"/>
      <c r="EJ426" s="86"/>
      <c r="EK426" s="86"/>
      <c r="EL426" s="86"/>
      <c r="EM426" s="86"/>
      <c r="EN426" s="86"/>
      <c r="EO426" s="86"/>
      <c r="EP426" s="86"/>
      <c r="EQ426" s="86"/>
      <c r="ER426" s="86"/>
      <c r="ES426" s="86"/>
      <c r="ET426" s="86"/>
      <c r="EU426" s="86"/>
      <c r="EV426" s="86"/>
      <c r="EW426" s="86"/>
      <c r="EX426" s="86"/>
      <c r="EY426" s="86"/>
      <c r="EZ426" s="86"/>
      <c r="FA426" s="86"/>
    </row>
    <row r="427" spans="2:157" ht="9.75" customHeight="1">
      <c r="B427" s="845">
        <v>5</v>
      </c>
      <c r="C427" s="1344"/>
      <c r="D427" s="1344"/>
      <c r="E427" s="1344"/>
      <c r="F427" s="857"/>
      <c r="G427" s="857"/>
      <c r="H427" s="875" t="str">
        <f t="shared" si="19"/>
        <v/>
      </c>
      <c r="J427" s="101"/>
      <c r="K427" s="101"/>
      <c r="L427" s="101"/>
      <c r="Z427" s="86"/>
      <c r="AA427" s="86"/>
      <c r="AB427" s="86"/>
      <c r="AC427" s="86"/>
      <c r="AD427" s="86"/>
      <c r="AE427" s="86"/>
      <c r="AF427" s="86"/>
      <c r="AG427" s="86"/>
      <c r="AH427" s="86"/>
      <c r="AI427" s="86"/>
      <c r="AJ427" s="86"/>
      <c r="AK427" s="86"/>
      <c r="AL427" s="86"/>
      <c r="AM427" s="86"/>
      <c r="AN427" s="86"/>
      <c r="AO427" s="86"/>
      <c r="AP427" s="86"/>
      <c r="AQ427" s="86"/>
      <c r="AR427" s="86"/>
      <c r="AS427" s="86"/>
      <c r="AT427" s="86"/>
      <c r="AU427" s="86"/>
      <c r="AV427" s="86"/>
      <c r="AW427" s="86"/>
      <c r="AX427" s="86"/>
      <c r="AY427" s="86"/>
      <c r="AZ427" s="86"/>
      <c r="BA427" s="86"/>
      <c r="BB427" s="86"/>
      <c r="BC427" s="86"/>
      <c r="BD427" s="86"/>
      <c r="BE427" s="86"/>
      <c r="BF427" s="86"/>
      <c r="BG427" s="86"/>
      <c r="BH427" s="86"/>
      <c r="BI427" s="86"/>
      <c r="BJ427" s="86"/>
      <c r="BK427" s="86"/>
      <c r="BL427" s="86"/>
      <c r="BM427" s="86"/>
      <c r="BN427" s="86"/>
      <c r="BO427" s="86"/>
      <c r="BP427" s="86"/>
      <c r="BQ427" s="86"/>
      <c r="BR427" s="86"/>
      <c r="BS427" s="86"/>
      <c r="BT427" s="86"/>
      <c r="BU427" s="86"/>
      <c r="BV427" s="86"/>
      <c r="BW427" s="86"/>
      <c r="BX427" s="86"/>
      <c r="BY427" s="86"/>
      <c r="BZ427" s="86"/>
      <c r="CA427" s="86"/>
      <c r="CB427" s="86"/>
      <c r="CC427" s="86"/>
      <c r="CD427" s="86"/>
      <c r="CE427" s="86"/>
      <c r="CF427" s="86"/>
      <c r="CG427" s="86"/>
      <c r="CH427" s="86"/>
      <c r="CI427" s="86"/>
      <c r="CJ427" s="86"/>
      <c r="CK427" s="86"/>
      <c r="CL427" s="86"/>
      <c r="CM427" s="86"/>
      <c r="CN427" s="86"/>
      <c r="CO427" s="86"/>
      <c r="CP427" s="86"/>
      <c r="CQ427" s="86"/>
      <c r="CR427" s="86"/>
      <c r="CS427" s="86"/>
      <c r="CT427" s="86"/>
      <c r="CU427" s="86"/>
      <c r="CV427" s="86"/>
      <c r="CW427" s="86"/>
      <c r="CX427" s="86"/>
      <c r="CY427" s="86"/>
      <c r="CZ427" s="86"/>
      <c r="DA427" s="86"/>
      <c r="DB427" s="86"/>
      <c r="DC427" s="86"/>
      <c r="DD427" s="86"/>
      <c r="DE427" s="86"/>
      <c r="DF427" s="86"/>
      <c r="DG427" s="86"/>
      <c r="DH427" s="86"/>
      <c r="DI427" s="86"/>
      <c r="DJ427" s="86"/>
      <c r="DK427" s="86"/>
      <c r="DL427" s="86"/>
      <c r="DM427" s="86"/>
      <c r="DN427" s="86"/>
      <c r="DO427" s="86"/>
      <c r="DP427" s="86"/>
      <c r="DQ427" s="86"/>
      <c r="DR427" s="86"/>
      <c r="DS427" s="86"/>
      <c r="DT427" s="86"/>
      <c r="DU427" s="86"/>
      <c r="DV427" s="86"/>
      <c r="DW427" s="86"/>
      <c r="DX427" s="86"/>
      <c r="DY427" s="86"/>
      <c r="DZ427" s="86"/>
      <c r="EA427" s="86"/>
      <c r="EB427" s="86"/>
      <c r="EC427" s="86"/>
      <c r="ED427" s="86"/>
      <c r="EE427" s="86"/>
      <c r="EF427" s="86"/>
      <c r="EG427" s="86"/>
      <c r="EH427" s="86"/>
      <c r="EI427" s="86"/>
      <c r="EJ427" s="86"/>
      <c r="EK427" s="86"/>
      <c r="EL427" s="86"/>
      <c r="EM427" s="86"/>
      <c r="EN427" s="86"/>
      <c r="EO427" s="86"/>
      <c r="EP427" s="86"/>
      <c r="EQ427" s="86"/>
      <c r="ER427" s="86"/>
      <c r="ES427" s="86"/>
      <c r="ET427" s="86"/>
      <c r="EU427" s="86"/>
      <c r="EV427" s="86"/>
      <c r="EW427" s="86"/>
      <c r="EX427" s="86"/>
      <c r="EY427" s="86"/>
      <c r="EZ427" s="86"/>
      <c r="FA427" s="86"/>
    </row>
    <row r="428" spans="2:157" ht="9.75" customHeight="1">
      <c r="B428" s="845">
        <v>6</v>
      </c>
      <c r="C428" s="1344"/>
      <c r="D428" s="1344"/>
      <c r="E428" s="1344"/>
      <c r="F428" s="857"/>
      <c r="G428" s="857"/>
      <c r="H428" s="875" t="str">
        <f t="shared" si="19"/>
        <v/>
      </c>
      <c r="J428" s="101"/>
      <c r="K428" s="101"/>
      <c r="L428" s="101"/>
      <c r="Z428" s="86"/>
      <c r="AA428" s="86"/>
      <c r="AB428" s="86"/>
      <c r="AC428" s="86"/>
      <c r="AD428" s="86"/>
      <c r="AE428" s="86"/>
      <c r="AF428" s="86"/>
      <c r="AG428" s="86"/>
      <c r="AH428" s="86"/>
      <c r="AI428" s="86"/>
      <c r="AJ428" s="86"/>
      <c r="AK428" s="86"/>
      <c r="AL428" s="86"/>
      <c r="AM428" s="86"/>
      <c r="AN428" s="86"/>
      <c r="AO428" s="86"/>
      <c r="AP428" s="86"/>
      <c r="AQ428" s="86"/>
      <c r="AR428" s="86"/>
      <c r="AS428" s="86"/>
      <c r="AT428" s="86"/>
      <c r="AU428" s="86"/>
      <c r="AV428" s="86"/>
      <c r="AW428" s="86"/>
      <c r="AX428" s="86"/>
      <c r="AY428" s="86"/>
      <c r="AZ428" s="86"/>
      <c r="BA428" s="86"/>
      <c r="BB428" s="86"/>
      <c r="BC428" s="86"/>
      <c r="BD428" s="86"/>
      <c r="BE428" s="86"/>
      <c r="BF428" s="86"/>
      <c r="BG428" s="86"/>
      <c r="BH428" s="86"/>
      <c r="BI428" s="86"/>
      <c r="BJ428" s="86"/>
      <c r="BK428" s="86"/>
      <c r="BL428" s="86"/>
      <c r="BM428" s="86"/>
      <c r="BN428" s="86"/>
      <c r="BO428" s="86"/>
      <c r="BP428" s="86"/>
      <c r="BQ428" s="86"/>
      <c r="BR428" s="86"/>
      <c r="BS428" s="86"/>
      <c r="BT428" s="86"/>
      <c r="BU428" s="86"/>
      <c r="BV428" s="86"/>
      <c r="BW428" s="86"/>
      <c r="BX428" s="86"/>
      <c r="BY428" s="86"/>
      <c r="BZ428" s="86"/>
      <c r="CA428" s="86"/>
      <c r="CB428" s="86"/>
      <c r="CC428" s="86"/>
      <c r="CD428" s="86"/>
      <c r="CE428" s="86"/>
      <c r="CF428" s="86"/>
      <c r="CG428" s="86"/>
      <c r="CH428" s="86"/>
      <c r="CI428" s="86"/>
      <c r="CJ428" s="86"/>
      <c r="CK428" s="86"/>
      <c r="CL428" s="86"/>
      <c r="CM428" s="86"/>
      <c r="CN428" s="86"/>
      <c r="CO428" s="86"/>
      <c r="CP428" s="86"/>
      <c r="CQ428" s="86"/>
      <c r="CR428" s="86"/>
      <c r="CS428" s="86"/>
      <c r="CT428" s="86"/>
      <c r="CU428" s="86"/>
      <c r="CV428" s="86"/>
      <c r="CW428" s="86"/>
      <c r="CX428" s="86"/>
      <c r="CY428" s="86"/>
      <c r="CZ428" s="86"/>
      <c r="DA428" s="86"/>
      <c r="DB428" s="86"/>
      <c r="DC428" s="86"/>
      <c r="DD428" s="86"/>
      <c r="DE428" s="86"/>
      <c r="DF428" s="86"/>
      <c r="DG428" s="86"/>
      <c r="DH428" s="86"/>
      <c r="DI428" s="86"/>
      <c r="DJ428" s="86"/>
      <c r="DK428" s="86"/>
      <c r="DL428" s="86"/>
      <c r="DM428" s="86"/>
      <c r="DN428" s="86"/>
      <c r="DO428" s="86"/>
      <c r="DP428" s="86"/>
      <c r="DQ428" s="86"/>
      <c r="DR428" s="86"/>
      <c r="DS428" s="86"/>
      <c r="DT428" s="86"/>
      <c r="DU428" s="86"/>
      <c r="DV428" s="86"/>
      <c r="DW428" s="86"/>
      <c r="DX428" s="86"/>
      <c r="DY428" s="86"/>
      <c r="DZ428" s="86"/>
      <c r="EA428" s="86"/>
      <c r="EB428" s="86"/>
      <c r="EC428" s="86"/>
      <c r="ED428" s="86"/>
      <c r="EE428" s="86"/>
      <c r="EF428" s="86"/>
      <c r="EG428" s="86"/>
      <c r="EH428" s="86"/>
      <c r="EI428" s="86"/>
      <c r="EJ428" s="86"/>
      <c r="EK428" s="86"/>
      <c r="EL428" s="86"/>
      <c r="EM428" s="86"/>
      <c r="EN428" s="86"/>
      <c r="EO428" s="86"/>
      <c r="EP428" s="86"/>
      <c r="EQ428" s="86"/>
      <c r="ER428" s="86"/>
      <c r="ES428" s="86"/>
      <c r="ET428" s="86"/>
      <c r="EU428" s="86"/>
      <c r="EV428" s="86"/>
      <c r="EW428" s="86"/>
      <c r="EX428" s="86"/>
      <c r="EY428" s="86"/>
      <c r="EZ428" s="86"/>
      <c r="FA428" s="86"/>
    </row>
    <row r="429" spans="2:157" ht="9.75" customHeight="1">
      <c r="B429" s="845">
        <v>7</v>
      </c>
      <c r="C429" s="1344"/>
      <c r="D429" s="1344"/>
      <c r="E429" s="1344"/>
      <c r="F429" s="857"/>
      <c r="G429" s="857"/>
      <c r="H429" s="875" t="str">
        <f t="shared" si="19"/>
        <v/>
      </c>
      <c r="J429" s="101"/>
      <c r="K429" s="101"/>
      <c r="L429" s="101"/>
      <c r="Z429" s="86"/>
      <c r="AA429" s="86"/>
      <c r="AB429" s="86"/>
      <c r="AC429" s="86"/>
      <c r="AD429" s="86"/>
      <c r="AE429" s="86"/>
      <c r="AF429" s="86"/>
      <c r="AG429" s="86"/>
      <c r="AH429" s="86"/>
      <c r="AI429" s="86"/>
      <c r="AJ429" s="86"/>
      <c r="AK429" s="86"/>
      <c r="AL429" s="86"/>
      <c r="AM429" s="86"/>
      <c r="AN429" s="86"/>
      <c r="AO429" s="86"/>
      <c r="AP429" s="86"/>
      <c r="AQ429" s="86"/>
      <c r="AR429" s="86"/>
      <c r="AS429" s="86"/>
      <c r="AT429" s="86"/>
      <c r="AU429" s="86"/>
      <c r="AV429" s="86"/>
      <c r="AW429" s="86"/>
      <c r="AX429" s="86"/>
      <c r="AY429" s="86"/>
      <c r="AZ429" s="86"/>
      <c r="BA429" s="86"/>
      <c r="BB429" s="86"/>
      <c r="BC429" s="86"/>
      <c r="BD429" s="86"/>
      <c r="BE429" s="86"/>
      <c r="BF429" s="86"/>
      <c r="BG429" s="86"/>
      <c r="BH429" s="86"/>
      <c r="BI429" s="86"/>
      <c r="BJ429" s="86"/>
      <c r="BK429" s="86"/>
      <c r="BL429" s="86"/>
      <c r="BM429" s="86"/>
      <c r="BN429" s="86"/>
      <c r="BO429" s="86"/>
      <c r="BP429" s="86"/>
      <c r="BQ429" s="86"/>
      <c r="BR429" s="86"/>
      <c r="BS429" s="86"/>
      <c r="BT429" s="86"/>
      <c r="BU429" s="86"/>
      <c r="BV429" s="86"/>
      <c r="BW429" s="86"/>
      <c r="BX429" s="86"/>
      <c r="BY429" s="86"/>
      <c r="BZ429" s="86"/>
      <c r="CA429" s="86"/>
      <c r="CB429" s="86"/>
      <c r="CC429" s="86"/>
      <c r="CD429" s="86"/>
      <c r="CE429" s="86"/>
      <c r="CF429" s="86"/>
      <c r="CG429" s="86"/>
      <c r="CH429" s="86"/>
      <c r="CI429" s="86"/>
      <c r="CJ429" s="86"/>
      <c r="CK429" s="86"/>
      <c r="CL429" s="86"/>
      <c r="CM429" s="86"/>
      <c r="CN429" s="86"/>
      <c r="CO429" s="86"/>
      <c r="CP429" s="86"/>
      <c r="CQ429" s="86"/>
      <c r="CR429" s="86"/>
      <c r="CS429" s="86"/>
      <c r="CT429" s="86"/>
      <c r="CU429" s="86"/>
      <c r="CV429" s="86"/>
      <c r="CW429" s="86"/>
      <c r="CX429" s="86"/>
      <c r="CY429" s="86"/>
      <c r="CZ429" s="86"/>
      <c r="DA429" s="86"/>
      <c r="DB429" s="86"/>
      <c r="DC429" s="86"/>
      <c r="DD429" s="86"/>
      <c r="DE429" s="86"/>
      <c r="DF429" s="86"/>
      <c r="DG429" s="86"/>
      <c r="DH429" s="86"/>
      <c r="DI429" s="86"/>
      <c r="DJ429" s="86"/>
      <c r="DK429" s="86"/>
      <c r="DL429" s="86"/>
      <c r="DM429" s="86"/>
      <c r="DN429" s="86"/>
      <c r="DO429" s="86"/>
      <c r="DP429" s="86"/>
      <c r="DQ429" s="86"/>
      <c r="DR429" s="86"/>
      <c r="DS429" s="86"/>
      <c r="DT429" s="86"/>
      <c r="DU429" s="86"/>
      <c r="DV429" s="86"/>
      <c r="DW429" s="86"/>
      <c r="DX429" s="86"/>
      <c r="DY429" s="86"/>
      <c r="DZ429" s="86"/>
      <c r="EA429" s="86"/>
      <c r="EB429" s="86"/>
      <c r="EC429" s="86"/>
      <c r="ED429" s="86"/>
      <c r="EE429" s="86"/>
      <c r="EF429" s="86"/>
      <c r="EG429" s="86"/>
      <c r="EH429" s="86"/>
      <c r="EI429" s="86"/>
      <c r="EJ429" s="86"/>
      <c r="EK429" s="86"/>
      <c r="EL429" s="86"/>
      <c r="EM429" s="86"/>
      <c r="EN429" s="86"/>
      <c r="EO429" s="86"/>
      <c r="EP429" s="86"/>
      <c r="EQ429" s="86"/>
      <c r="ER429" s="86"/>
      <c r="ES429" s="86"/>
      <c r="ET429" s="86"/>
      <c r="EU429" s="86"/>
      <c r="EV429" s="86"/>
      <c r="EW429" s="86"/>
      <c r="EX429" s="86"/>
      <c r="EY429" s="86"/>
      <c r="EZ429" s="86"/>
      <c r="FA429" s="86"/>
    </row>
    <row r="430" spans="2:157" ht="9.75" customHeight="1">
      <c r="B430" s="845">
        <v>8</v>
      </c>
      <c r="C430" s="1344"/>
      <c r="D430" s="1344"/>
      <c r="E430" s="1344"/>
      <c r="F430" s="857"/>
      <c r="G430" s="857"/>
      <c r="H430" s="875" t="str">
        <f t="shared" si="19"/>
        <v/>
      </c>
      <c r="J430" s="101"/>
      <c r="K430" s="101"/>
      <c r="L430" s="101"/>
      <c r="Z430" s="86"/>
      <c r="AA430" s="86"/>
      <c r="AB430" s="86"/>
      <c r="AC430" s="86"/>
      <c r="AD430" s="86"/>
      <c r="AE430" s="86"/>
      <c r="AF430" s="86"/>
      <c r="AG430" s="86"/>
      <c r="AH430" s="86"/>
      <c r="AI430" s="86"/>
      <c r="AJ430" s="86"/>
      <c r="AK430" s="86"/>
      <c r="AL430" s="86"/>
      <c r="AM430" s="86"/>
      <c r="AN430" s="86"/>
      <c r="AO430" s="86"/>
      <c r="AP430" s="86"/>
      <c r="AQ430" s="86"/>
      <c r="AR430" s="86"/>
      <c r="AS430" s="86"/>
      <c r="AT430" s="86"/>
      <c r="AU430" s="86"/>
      <c r="AV430" s="86"/>
      <c r="AW430" s="86"/>
      <c r="AX430" s="86"/>
      <c r="AY430" s="86"/>
      <c r="AZ430" s="86"/>
      <c r="BA430" s="86"/>
      <c r="BB430" s="86"/>
      <c r="BC430" s="86"/>
      <c r="BD430" s="86"/>
      <c r="BE430" s="86"/>
      <c r="BF430" s="86"/>
      <c r="BG430" s="86"/>
      <c r="BH430" s="86"/>
      <c r="BI430" s="86"/>
      <c r="BJ430" s="86"/>
      <c r="BK430" s="86"/>
      <c r="BL430" s="86"/>
      <c r="BM430" s="86"/>
      <c r="BN430" s="86"/>
      <c r="BO430" s="86"/>
      <c r="BP430" s="86"/>
      <c r="BQ430" s="86"/>
      <c r="BR430" s="86"/>
      <c r="BS430" s="86"/>
      <c r="BT430" s="86"/>
      <c r="BU430" s="86"/>
      <c r="BV430" s="86"/>
      <c r="BW430" s="86"/>
      <c r="BX430" s="86"/>
      <c r="BY430" s="86"/>
      <c r="BZ430" s="86"/>
      <c r="CA430" s="86"/>
      <c r="CB430" s="86"/>
      <c r="CC430" s="86"/>
      <c r="CD430" s="86"/>
      <c r="CE430" s="86"/>
      <c r="CF430" s="86"/>
      <c r="CG430" s="86"/>
      <c r="CH430" s="86"/>
      <c r="CI430" s="86"/>
      <c r="CJ430" s="86"/>
      <c r="CK430" s="86"/>
      <c r="CL430" s="86"/>
      <c r="CM430" s="86"/>
      <c r="CN430" s="86"/>
      <c r="CO430" s="86"/>
      <c r="CP430" s="86"/>
      <c r="CQ430" s="86"/>
      <c r="CR430" s="86"/>
      <c r="CS430" s="86"/>
      <c r="CT430" s="86"/>
      <c r="CU430" s="86"/>
      <c r="CV430" s="86"/>
      <c r="CW430" s="86"/>
      <c r="CX430" s="86"/>
      <c r="CY430" s="86"/>
      <c r="CZ430" s="86"/>
      <c r="DA430" s="86"/>
      <c r="DB430" s="86"/>
      <c r="DC430" s="86"/>
      <c r="DD430" s="86"/>
      <c r="DE430" s="86"/>
      <c r="DF430" s="86"/>
      <c r="DG430" s="86"/>
      <c r="DH430" s="86"/>
      <c r="DI430" s="86"/>
      <c r="DJ430" s="86"/>
      <c r="DK430" s="86"/>
      <c r="DL430" s="86"/>
      <c r="DM430" s="86"/>
      <c r="DN430" s="86"/>
      <c r="DO430" s="86"/>
      <c r="DP430" s="86"/>
      <c r="DQ430" s="86"/>
      <c r="DR430" s="86"/>
      <c r="DS430" s="86"/>
      <c r="DT430" s="86"/>
      <c r="DU430" s="86"/>
      <c r="DV430" s="86"/>
      <c r="DW430" s="86"/>
      <c r="DX430" s="86"/>
      <c r="DY430" s="86"/>
      <c r="DZ430" s="86"/>
      <c r="EA430" s="86"/>
      <c r="EB430" s="86"/>
      <c r="EC430" s="86"/>
      <c r="ED430" s="86"/>
      <c r="EE430" s="86"/>
      <c r="EF430" s="86"/>
      <c r="EG430" s="86"/>
      <c r="EH430" s="86"/>
      <c r="EI430" s="86"/>
      <c r="EJ430" s="86"/>
      <c r="EK430" s="86"/>
      <c r="EL430" s="86"/>
      <c r="EM430" s="86"/>
      <c r="EN430" s="86"/>
      <c r="EO430" s="86"/>
      <c r="EP430" s="86"/>
      <c r="EQ430" s="86"/>
      <c r="ER430" s="86"/>
      <c r="ES430" s="86"/>
      <c r="ET430" s="86"/>
      <c r="EU430" s="86"/>
      <c r="EV430" s="86"/>
      <c r="EW430" s="86"/>
      <c r="EX430" s="86"/>
      <c r="EY430" s="86"/>
      <c r="EZ430" s="86"/>
      <c r="FA430" s="86"/>
    </row>
    <row r="431" spans="2:157" ht="9.75" customHeight="1">
      <c r="B431" s="845">
        <v>9</v>
      </c>
      <c r="C431" s="1344"/>
      <c r="D431" s="1344"/>
      <c r="E431" s="1344"/>
      <c r="F431" s="857"/>
      <c r="G431" s="857"/>
      <c r="H431" s="875" t="str">
        <f t="shared" si="19"/>
        <v/>
      </c>
      <c r="J431" s="101"/>
      <c r="K431" s="101"/>
      <c r="L431" s="101"/>
      <c r="Z431" s="86"/>
      <c r="AA431" s="86"/>
      <c r="AB431" s="86"/>
      <c r="AC431" s="86"/>
      <c r="AD431" s="86"/>
      <c r="AE431" s="86"/>
      <c r="AF431" s="86"/>
      <c r="AG431" s="86"/>
      <c r="AH431" s="86"/>
      <c r="AI431" s="86"/>
      <c r="AJ431" s="86"/>
      <c r="AK431" s="86"/>
      <c r="AL431" s="86"/>
      <c r="AM431" s="86"/>
      <c r="AN431" s="86"/>
      <c r="AO431" s="86"/>
      <c r="AP431" s="86"/>
      <c r="AQ431" s="86"/>
      <c r="AR431" s="86"/>
      <c r="AS431" s="86"/>
      <c r="AT431" s="86"/>
      <c r="AU431" s="86"/>
      <c r="AV431" s="86"/>
      <c r="AW431" s="86"/>
      <c r="AX431" s="86"/>
      <c r="AY431" s="86"/>
      <c r="AZ431" s="86"/>
      <c r="BA431" s="86"/>
      <c r="BB431" s="86"/>
      <c r="BC431" s="86"/>
      <c r="BD431" s="86"/>
      <c r="BE431" s="86"/>
      <c r="BF431" s="86"/>
      <c r="BG431" s="86"/>
      <c r="BH431" s="86"/>
      <c r="BI431" s="86"/>
      <c r="BJ431" s="86"/>
      <c r="BK431" s="86"/>
      <c r="BL431" s="86"/>
      <c r="BM431" s="86"/>
      <c r="BN431" s="86"/>
      <c r="BO431" s="86"/>
      <c r="BP431" s="86"/>
      <c r="BQ431" s="86"/>
      <c r="BR431" s="86"/>
      <c r="BS431" s="86"/>
      <c r="BT431" s="86"/>
      <c r="BU431" s="86"/>
      <c r="BV431" s="86"/>
      <c r="BW431" s="86"/>
      <c r="BX431" s="86"/>
      <c r="BY431" s="86"/>
      <c r="BZ431" s="86"/>
      <c r="CA431" s="86"/>
      <c r="CB431" s="86"/>
      <c r="CC431" s="86"/>
      <c r="CD431" s="86"/>
      <c r="CE431" s="86"/>
      <c r="CF431" s="86"/>
      <c r="CG431" s="86"/>
      <c r="CH431" s="86"/>
      <c r="CI431" s="86"/>
      <c r="CJ431" s="86"/>
      <c r="CK431" s="86"/>
      <c r="CL431" s="86"/>
      <c r="CM431" s="86"/>
      <c r="CN431" s="86"/>
      <c r="CO431" s="86"/>
      <c r="CP431" s="86"/>
      <c r="CQ431" s="86"/>
      <c r="CR431" s="86"/>
      <c r="CS431" s="86"/>
      <c r="CT431" s="86"/>
      <c r="CU431" s="86"/>
      <c r="CV431" s="86"/>
      <c r="CW431" s="86"/>
      <c r="CX431" s="86"/>
      <c r="CY431" s="86"/>
      <c r="CZ431" s="86"/>
      <c r="DA431" s="86"/>
      <c r="DB431" s="86"/>
      <c r="DC431" s="86"/>
      <c r="DD431" s="86"/>
      <c r="DE431" s="86"/>
      <c r="DF431" s="86"/>
      <c r="DG431" s="86"/>
      <c r="DH431" s="86"/>
      <c r="DI431" s="86"/>
      <c r="DJ431" s="86"/>
      <c r="DK431" s="86"/>
      <c r="DL431" s="86"/>
      <c r="DM431" s="86"/>
      <c r="DN431" s="86"/>
      <c r="DO431" s="86"/>
      <c r="DP431" s="86"/>
      <c r="DQ431" s="86"/>
      <c r="DR431" s="86"/>
      <c r="DS431" s="86"/>
      <c r="DT431" s="86"/>
      <c r="DU431" s="86"/>
      <c r="DV431" s="86"/>
      <c r="DW431" s="86"/>
      <c r="DX431" s="86"/>
      <c r="DY431" s="86"/>
      <c r="DZ431" s="86"/>
      <c r="EA431" s="86"/>
      <c r="EB431" s="86"/>
      <c r="EC431" s="86"/>
      <c r="ED431" s="86"/>
      <c r="EE431" s="86"/>
      <c r="EF431" s="86"/>
      <c r="EG431" s="86"/>
      <c r="EH431" s="86"/>
      <c r="EI431" s="86"/>
      <c r="EJ431" s="86"/>
      <c r="EK431" s="86"/>
      <c r="EL431" s="86"/>
      <c r="EM431" s="86"/>
      <c r="EN431" s="86"/>
      <c r="EO431" s="86"/>
      <c r="EP431" s="86"/>
      <c r="EQ431" s="86"/>
      <c r="ER431" s="86"/>
      <c r="ES431" s="86"/>
      <c r="ET431" s="86"/>
      <c r="EU431" s="86"/>
      <c r="EV431" s="86"/>
      <c r="EW431" s="86"/>
      <c r="EX431" s="86"/>
      <c r="EY431" s="86"/>
      <c r="EZ431" s="86"/>
      <c r="FA431" s="86"/>
    </row>
    <row r="432" spans="2:157" ht="10.050000000000001" customHeight="1">
      <c r="B432" s="845" t="s">
        <v>546</v>
      </c>
      <c r="C432" s="836" t="s">
        <v>73</v>
      </c>
      <c r="D432" s="839"/>
      <c r="E432" s="86"/>
      <c r="F432" s="848" t="s">
        <v>546</v>
      </c>
      <c r="G432" s="848" t="s">
        <v>546</v>
      </c>
      <c r="H432" s="858">
        <v>0.04</v>
      </c>
      <c r="J432" s="101"/>
      <c r="K432" s="101"/>
      <c r="L432" s="101"/>
      <c r="Z432" s="86"/>
      <c r="AA432" s="86"/>
      <c r="AB432" s="86"/>
      <c r="AC432" s="86"/>
      <c r="AD432" s="86"/>
      <c r="AE432" s="86"/>
      <c r="AF432" s="86"/>
      <c r="AG432" s="86"/>
      <c r="AH432" s="86"/>
      <c r="AI432" s="86"/>
      <c r="AJ432" s="86"/>
      <c r="AK432" s="86"/>
      <c r="AL432" s="86"/>
      <c r="AM432" s="86"/>
      <c r="AN432" s="86"/>
      <c r="AO432" s="86"/>
      <c r="AP432" s="86"/>
      <c r="AQ432" s="86"/>
      <c r="AR432" s="86"/>
      <c r="AS432" s="86"/>
      <c r="AT432" s="86"/>
      <c r="AU432" s="86"/>
      <c r="AV432" s="86"/>
      <c r="AW432" s="86"/>
      <c r="AX432" s="86"/>
      <c r="AY432" s="86"/>
      <c r="AZ432" s="86"/>
      <c r="BA432" s="86"/>
      <c r="BB432" s="86"/>
      <c r="BC432" s="86"/>
      <c r="BD432" s="86"/>
      <c r="BE432" s="86"/>
      <c r="BF432" s="86"/>
      <c r="BG432" s="86"/>
      <c r="BH432" s="86"/>
      <c r="BI432" s="86"/>
      <c r="BJ432" s="86"/>
      <c r="BK432" s="86"/>
      <c r="BL432" s="86"/>
      <c r="BM432" s="86"/>
      <c r="BN432" s="86"/>
      <c r="BO432" s="86"/>
      <c r="BP432" s="86"/>
      <c r="BQ432" s="86"/>
      <c r="BR432" s="86"/>
      <c r="BS432" s="86"/>
      <c r="BT432" s="86"/>
      <c r="BU432" s="86"/>
      <c r="BV432" s="86"/>
      <c r="BW432" s="86"/>
      <c r="BX432" s="86"/>
      <c r="BY432" s="86"/>
      <c r="BZ432" s="86"/>
      <c r="CA432" s="86"/>
      <c r="CB432" s="86"/>
      <c r="CC432" s="86"/>
      <c r="CD432" s="86"/>
      <c r="CE432" s="86"/>
      <c r="CF432" s="86"/>
      <c r="CG432" s="86"/>
      <c r="CH432" s="86"/>
      <c r="CI432" s="86"/>
      <c r="CJ432" s="86"/>
      <c r="CK432" s="86"/>
      <c r="CL432" s="86"/>
      <c r="CM432" s="86"/>
      <c r="CN432" s="86"/>
      <c r="CO432" s="86"/>
      <c r="CP432" s="86"/>
      <c r="CQ432" s="86"/>
      <c r="CR432" s="86"/>
      <c r="CS432" s="86"/>
      <c r="CT432" s="86"/>
      <c r="CU432" s="86"/>
      <c r="CV432" s="86"/>
      <c r="CW432" s="86"/>
      <c r="CX432" s="86"/>
      <c r="CY432" s="86"/>
      <c r="CZ432" s="86"/>
      <c r="DA432" s="86"/>
      <c r="DB432" s="86"/>
      <c r="DC432" s="86"/>
      <c r="DD432" s="86"/>
      <c r="DE432" s="86"/>
      <c r="DF432" s="86"/>
      <c r="DG432" s="86"/>
      <c r="DH432" s="86"/>
      <c r="DI432" s="86"/>
      <c r="DJ432" s="86"/>
      <c r="DK432" s="86"/>
      <c r="DL432" s="86"/>
      <c r="DM432" s="86"/>
      <c r="DN432" s="86"/>
      <c r="DO432" s="86"/>
      <c r="DP432" s="86"/>
      <c r="DQ432" s="86"/>
      <c r="DR432" s="86"/>
      <c r="DS432" s="86"/>
      <c r="DT432" s="86"/>
      <c r="DU432" s="86"/>
      <c r="DV432" s="86"/>
      <c r="DW432" s="86"/>
      <c r="DX432" s="86"/>
      <c r="DY432" s="86"/>
      <c r="DZ432" s="86"/>
      <c r="EA432" s="86"/>
      <c r="EB432" s="86"/>
      <c r="EC432" s="86"/>
      <c r="ED432" s="86"/>
      <c r="EE432" s="86"/>
      <c r="EF432" s="86"/>
      <c r="EG432" s="86"/>
      <c r="EH432" s="86"/>
      <c r="EI432" s="86"/>
      <c r="EJ432" s="86"/>
      <c r="EK432" s="86"/>
      <c r="EL432" s="86"/>
      <c r="EM432" s="86"/>
      <c r="EN432" s="86"/>
      <c r="EO432" s="86"/>
      <c r="EP432" s="86"/>
      <c r="EQ432" s="86"/>
      <c r="ER432" s="86"/>
      <c r="ES432" s="86"/>
      <c r="ET432" s="86"/>
      <c r="EU432" s="86"/>
      <c r="EV432" s="86"/>
      <c r="EW432" s="86"/>
      <c r="EX432" s="86"/>
      <c r="EY432" s="86"/>
      <c r="EZ432" s="86"/>
      <c r="FA432" s="86"/>
    </row>
    <row r="433" spans="2:157" ht="9.75" customHeight="1">
      <c r="B433" s="849"/>
      <c r="C433" s="849"/>
      <c r="D433" s="849"/>
      <c r="E433" s="849"/>
      <c r="F433" s="849"/>
      <c r="G433" s="849"/>
      <c r="H433" s="855"/>
      <c r="J433" s="101"/>
      <c r="K433" s="101"/>
      <c r="L433" s="101"/>
      <c r="Z433" s="86"/>
      <c r="AA433" s="86"/>
      <c r="AB433" s="86"/>
      <c r="AC433" s="86"/>
      <c r="AD433" s="86"/>
      <c r="AE433" s="86"/>
      <c r="AF433" s="86"/>
      <c r="AG433" s="86"/>
      <c r="AH433" s="86"/>
      <c r="AI433" s="86"/>
      <c r="AJ433" s="86"/>
      <c r="AK433" s="86"/>
      <c r="AL433" s="86"/>
      <c r="AM433" s="86"/>
      <c r="AN433" s="86"/>
      <c r="AO433" s="86"/>
      <c r="AP433" s="86"/>
      <c r="AQ433" s="86"/>
      <c r="AR433" s="86"/>
      <c r="AS433" s="86"/>
      <c r="AT433" s="86"/>
      <c r="AU433" s="86"/>
      <c r="AV433" s="86"/>
      <c r="AW433" s="86"/>
      <c r="AX433" s="86"/>
      <c r="AY433" s="86"/>
      <c r="AZ433" s="86"/>
      <c r="BA433" s="86"/>
      <c r="BB433" s="86"/>
      <c r="BC433" s="86"/>
      <c r="BD433" s="86"/>
      <c r="BE433" s="86"/>
      <c r="BF433" s="86"/>
      <c r="BG433" s="86"/>
      <c r="BH433" s="86"/>
      <c r="BI433" s="86"/>
      <c r="BJ433" s="86"/>
      <c r="BK433" s="86"/>
      <c r="BL433" s="86"/>
      <c r="BM433" s="86"/>
      <c r="BN433" s="86"/>
      <c r="BO433" s="86"/>
      <c r="BP433" s="86"/>
      <c r="BQ433" s="86"/>
      <c r="BR433" s="86"/>
      <c r="BS433" s="86"/>
      <c r="BT433" s="86"/>
      <c r="BU433" s="86"/>
      <c r="BV433" s="86"/>
      <c r="BW433" s="86"/>
      <c r="BX433" s="86"/>
      <c r="BY433" s="86"/>
      <c r="BZ433" s="86"/>
      <c r="CA433" s="86"/>
      <c r="CB433" s="86"/>
      <c r="CC433" s="86"/>
      <c r="CD433" s="86"/>
      <c r="CE433" s="86"/>
      <c r="CF433" s="86"/>
      <c r="CG433" s="86"/>
      <c r="CH433" s="86"/>
      <c r="CI433" s="86"/>
      <c r="CJ433" s="86"/>
      <c r="CK433" s="86"/>
      <c r="CL433" s="86"/>
      <c r="CM433" s="86"/>
      <c r="CN433" s="86"/>
      <c r="CO433" s="86"/>
      <c r="CP433" s="86"/>
      <c r="CQ433" s="86"/>
      <c r="CR433" s="86"/>
      <c r="CS433" s="86"/>
      <c r="CT433" s="86"/>
      <c r="CU433" s="86"/>
      <c r="CV433" s="86"/>
      <c r="CW433" s="86"/>
      <c r="CX433" s="86"/>
      <c r="CY433" s="86"/>
      <c r="CZ433" s="86"/>
      <c r="DA433" s="86"/>
      <c r="DB433" s="86"/>
      <c r="DC433" s="86"/>
      <c r="DD433" s="86"/>
      <c r="DE433" s="86"/>
      <c r="DF433" s="86"/>
      <c r="DG433" s="86"/>
      <c r="DH433" s="86"/>
      <c r="DI433" s="86"/>
      <c r="DJ433" s="86"/>
      <c r="DK433" s="86"/>
      <c r="DL433" s="86"/>
      <c r="DM433" s="86"/>
      <c r="DN433" s="86"/>
      <c r="DO433" s="86"/>
      <c r="DP433" s="86"/>
      <c r="DQ433" s="86"/>
      <c r="DR433" s="86"/>
      <c r="DS433" s="86"/>
      <c r="DT433" s="86"/>
      <c r="DU433" s="86"/>
      <c r="DV433" s="86"/>
      <c r="DW433" s="86"/>
      <c r="DX433" s="86"/>
      <c r="DY433" s="86"/>
      <c r="DZ433" s="86"/>
      <c r="EA433" s="86"/>
      <c r="EB433" s="86"/>
      <c r="EC433" s="86"/>
      <c r="ED433" s="86"/>
      <c r="EE433" s="86"/>
      <c r="EF433" s="86"/>
      <c r="EG433" s="86"/>
      <c r="EH433" s="86"/>
      <c r="EI433" s="86"/>
      <c r="EJ433" s="86"/>
      <c r="EK433" s="86"/>
      <c r="EL433" s="86"/>
      <c r="EM433" s="86"/>
      <c r="EN433" s="86"/>
      <c r="EO433" s="86"/>
      <c r="EP433" s="86"/>
      <c r="EQ433" s="86"/>
      <c r="ER433" s="86"/>
      <c r="ES433" s="86"/>
      <c r="ET433" s="86"/>
      <c r="EU433" s="86"/>
      <c r="EV433" s="86"/>
      <c r="EW433" s="86"/>
      <c r="EX433" s="86"/>
      <c r="EY433" s="86"/>
      <c r="EZ433" s="86"/>
      <c r="FA433" s="86"/>
    </row>
    <row r="434" spans="2:157" ht="10.050000000000001" customHeight="1">
      <c r="B434" s="316"/>
      <c r="C434" s="317"/>
      <c r="D434" s="27"/>
      <c r="E434" s="91"/>
      <c r="F434" s="171"/>
      <c r="G434" s="29"/>
      <c r="H434" s="27"/>
      <c r="J434" s="101"/>
      <c r="K434" s="101"/>
      <c r="L434" s="101"/>
      <c r="Z434" s="86"/>
      <c r="AA434" s="86"/>
      <c r="AB434" s="86"/>
      <c r="AC434" s="86"/>
      <c r="AD434" s="86"/>
      <c r="AE434" s="86"/>
      <c r="AF434" s="86"/>
      <c r="AG434" s="86"/>
      <c r="AH434" s="86"/>
      <c r="AI434" s="86"/>
      <c r="AJ434" s="86"/>
      <c r="AK434" s="86"/>
      <c r="AL434" s="86"/>
      <c r="AM434" s="86"/>
      <c r="AN434" s="86"/>
      <c r="AO434" s="86"/>
      <c r="AP434" s="86"/>
      <c r="AQ434" s="86"/>
      <c r="AR434" s="86"/>
      <c r="AS434" s="86"/>
      <c r="AT434" s="86"/>
      <c r="AU434" s="86"/>
      <c r="AV434" s="86"/>
      <c r="AW434" s="86"/>
      <c r="AX434" s="86"/>
      <c r="AY434" s="86"/>
      <c r="AZ434" s="86"/>
      <c r="BA434" s="86"/>
      <c r="BB434" s="86"/>
      <c r="BC434" s="86"/>
      <c r="BD434" s="86"/>
      <c r="BE434" s="86"/>
      <c r="BF434" s="86"/>
      <c r="BG434" s="86"/>
      <c r="BH434" s="86"/>
      <c r="BI434" s="86"/>
      <c r="BJ434" s="86"/>
      <c r="BK434" s="86"/>
      <c r="BL434" s="86"/>
      <c r="BM434" s="86"/>
      <c r="BN434" s="86"/>
      <c r="BO434" s="86"/>
      <c r="BP434" s="86"/>
      <c r="BQ434" s="86"/>
      <c r="BR434" s="86"/>
      <c r="BS434" s="86"/>
      <c r="BT434" s="86"/>
      <c r="BU434" s="86"/>
      <c r="BV434" s="86"/>
      <c r="BW434" s="86"/>
      <c r="BX434" s="86"/>
      <c r="BY434" s="86"/>
      <c r="BZ434" s="86"/>
      <c r="CA434" s="86"/>
      <c r="CB434" s="86"/>
      <c r="CC434" s="86"/>
      <c r="CD434" s="86"/>
      <c r="CE434" s="86"/>
      <c r="CF434" s="86"/>
      <c r="CG434" s="86"/>
      <c r="CH434" s="86"/>
      <c r="CI434" s="86"/>
      <c r="CJ434" s="86"/>
      <c r="CK434" s="86"/>
      <c r="CL434" s="86"/>
      <c r="CM434" s="86"/>
      <c r="CN434" s="86"/>
      <c r="CO434" s="86"/>
      <c r="CP434" s="86"/>
      <c r="CQ434" s="86"/>
      <c r="CR434" s="86"/>
      <c r="CS434" s="86"/>
      <c r="CT434" s="86"/>
      <c r="CU434" s="86"/>
      <c r="CV434" s="86"/>
      <c r="CW434" s="86"/>
      <c r="CX434" s="86"/>
      <c r="CY434" s="86"/>
      <c r="CZ434" s="86"/>
      <c r="DA434" s="86"/>
      <c r="DB434" s="86"/>
      <c r="DC434" s="86"/>
      <c r="DD434" s="86"/>
      <c r="DE434" s="86"/>
      <c r="DF434" s="86"/>
      <c r="DG434" s="86"/>
      <c r="DH434" s="86"/>
      <c r="DI434" s="86"/>
      <c r="DJ434" s="86"/>
      <c r="DK434" s="86"/>
      <c r="DL434" s="86"/>
      <c r="DM434" s="86"/>
      <c r="DN434" s="86"/>
      <c r="DO434" s="86"/>
      <c r="DP434" s="86"/>
      <c r="DQ434" s="86"/>
      <c r="DR434" s="86"/>
      <c r="DS434" s="86"/>
      <c r="DT434" s="86"/>
      <c r="DU434" s="86"/>
      <c r="DV434" s="86"/>
      <c r="DW434" s="86"/>
      <c r="DX434" s="86"/>
      <c r="DY434" s="86"/>
      <c r="DZ434" s="86"/>
      <c r="EA434" s="86"/>
      <c r="EB434" s="86"/>
      <c r="EC434" s="86"/>
      <c r="ED434" s="86"/>
      <c r="EE434" s="86"/>
      <c r="EF434" s="86"/>
      <c r="EG434" s="86"/>
      <c r="EH434" s="86"/>
      <c r="EI434" s="86"/>
      <c r="EJ434" s="86"/>
      <c r="EK434" s="86"/>
      <c r="EL434" s="86"/>
      <c r="EM434" s="86"/>
      <c r="EN434" s="86"/>
      <c r="EO434" s="86"/>
      <c r="EP434" s="86"/>
      <c r="EQ434" s="86"/>
      <c r="ER434" s="86"/>
      <c r="ES434" s="86"/>
      <c r="ET434" s="86"/>
      <c r="EU434" s="86"/>
      <c r="EV434" s="86"/>
      <c r="EW434" s="86"/>
      <c r="EX434" s="86"/>
      <c r="EY434" s="86"/>
      <c r="EZ434" s="86"/>
      <c r="FA434" s="86"/>
    </row>
    <row r="435" spans="2:157" ht="10.050000000000001" customHeight="1">
      <c r="B435" s="316"/>
      <c r="C435" s="317"/>
      <c r="D435" s="27"/>
      <c r="E435" s="91"/>
      <c r="F435" s="171"/>
      <c r="G435" s="29"/>
      <c r="H435" s="27"/>
      <c r="J435" s="101"/>
      <c r="K435" s="101"/>
      <c r="L435" s="101"/>
      <c r="Z435" s="86"/>
      <c r="AA435" s="86"/>
      <c r="AB435" s="86"/>
      <c r="AC435" s="86"/>
      <c r="AD435" s="86"/>
      <c r="AE435" s="86"/>
      <c r="AF435" s="86"/>
      <c r="AG435" s="86"/>
      <c r="AH435" s="86"/>
      <c r="AI435" s="86"/>
      <c r="AJ435" s="86"/>
      <c r="AK435" s="86"/>
      <c r="AL435" s="86"/>
      <c r="AM435" s="86"/>
      <c r="AN435" s="86"/>
      <c r="AO435" s="86"/>
      <c r="AP435" s="86"/>
      <c r="AQ435" s="86"/>
      <c r="AR435" s="86"/>
      <c r="AS435" s="86"/>
      <c r="AT435" s="86"/>
      <c r="AU435" s="86"/>
      <c r="AV435" s="86"/>
      <c r="AW435" s="86"/>
      <c r="AX435" s="86"/>
      <c r="AY435" s="86"/>
      <c r="AZ435" s="86"/>
      <c r="BA435" s="86"/>
      <c r="BB435" s="86"/>
      <c r="BC435" s="86"/>
      <c r="BD435" s="86"/>
      <c r="BE435" s="86"/>
      <c r="BF435" s="86"/>
      <c r="BG435" s="86"/>
      <c r="BH435" s="86"/>
      <c r="BI435" s="86"/>
      <c r="BJ435" s="86"/>
      <c r="BK435" s="86"/>
      <c r="BL435" s="86"/>
      <c r="BM435" s="86"/>
      <c r="BN435" s="86"/>
      <c r="BO435" s="86"/>
      <c r="BP435" s="86"/>
      <c r="BQ435" s="86"/>
      <c r="BR435" s="86"/>
      <c r="BS435" s="86"/>
      <c r="BT435" s="86"/>
      <c r="BU435" s="86"/>
      <c r="BV435" s="86"/>
      <c r="BW435" s="86"/>
      <c r="BX435" s="86"/>
      <c r="BY435" s="86"/>
      <c r="BZ435" s="86"/>
      <c r="CA435" s="86"/>
      <c r="CB435" s="86"/>
      <c r="CC435" s="86"/>
      <c r="CD435" s="86"/>
      <c r="CE435" s="86"/>
      <c r="CF435" s="86"/>
      <c r="CG435" s="86"/>
      <c r="CH435" s="86"/>
      <c r="CI435" s="86"/>
      <c r="CJ435" s="86"/>
      <c r="CK435" s="86"/>
      <c r="CL435" s="86"/>
      <c r="CM435" s="86"/>
      <c r="CN435" s="86"/>
      <c r="CO435" s="86"/>
      <c r="CP435" s="86"/>
      <c r="CQ435" s="86"/>
      <c r="CR435" s="86"/>
      <c r="CS435" s="86"/>
      <c r="CT435" s="86"/>
      <c r="CU435" s="86"/>
      <c r="CV435" s="86"/>
      <c r="CW435" s="86"/>
      <c r="CX435" s="86"/>
      <c r="CY435" s="86"/>
      <c r="CZ435" s="86"/>
      <c r="DA435" s="86"/>
      <c r="DB435" s="86"/>
      <c r="DC435" s="86"/>
      <c r="DD435" s="86"/>
      <c r="DE435" s="86"/>
      <c r="DF435" s="86"/>
      <c r="DG435" s="86"/>
      <c r="DH435" s="86"/>
      <c r="DI435" s="86"/>
      <c r="DJ435" s="86"/>
      <c r="DK435" s="86"/>
      <c r="DL435" s="86"/>
      <c r="DM435" s="86"/>
      <c r="DN435" s="86"/>
      <c r="DO435" s="86"/>
      <c r="DP435" s="86"/>
      <c r="DQ435" s="86"/>
      <c r="DR435" s="86"/>
      <c r="DS435" s="86"/>
      <c r="DT435" s="86"/>
      <c r="DU435" s="86"/>
      <c r="DV435" s="86"/>
      <c r="DW435" s="86"/>
      <c r="DX435" s="86"/>
      <c r="DY435" s="86"/>
      <c r="DZ435" s="86"/>
      <c r="EA435" s="86"/>
      <c r="EB435" s="86"/>
      <c r="EC435" s="86"/>
      <c r="ED435" s="86"/>
      <c r="EE435" s="86"/>
      <c r="EF435" s="86"/>
      <c r="EG435" s="86"/>
      <c r="EH435" s="86"/>
      <c r="EI435" s="86"/>
      <c r="EJ435" s="86"/>
      <c r="EK435" s="86"/>
      <c r="EL435" s="86"/>
      <c r="EM435" s="86"/>
      <c r="EN435" s="86"/>
      <c r="EO435" s="86"/>
      <c r="EP435" s="86"/>
      <c r="EQ435" s="86"/>
      <c r="ER435" s="86"/>
      <c r="ES435" s="86"/>
      <c r="ET435" s="86"/>
      <c r="EU435" s="86"/>
      <c r="EV435" s="86"/>
      <c r="EW435" s="86"/>
      <c r="EX435" s="86"/>
      <c r="EY435" s="86"/>
      <c r="EZ435" s="86"/>
      <c r="FA435" s="86"/>
    </row>
    <row r="436" spans="2:157" ht="10.050000000000001" customHeight="1">
      <c r="B436" s="316"/>
      <c r="C436" s="317"/>
      <c r="D436" s="27"/>
      <c r="E436" s="91"/>
      <c r="F436" s="171"/>
      <c r="G436" s="29"/>
      <c r="H436" s="27"/>
      <c r="J436" s="101"/>
      <c r="K436" s="101"/>
      <c r="L436" s="101"/>
      <c r="Z436" s="86"/>
      <c r="AA436" s="86"/>
      <c r="AB436" s="86"/>
      <c r="AC436" s="86"/>
      <c r="AD436" s="86"/>
      <c r="AE436" s="86"/>
      <c r="AF436" s="86"/>
      <c r="AG436" s="86"/>
      <c r="AH436" s="86"/>
      <c r="AI436" s="86"/>
      <c r="AJ436" s="86"/>
      <c r="AK436" s="86"/>
      <c r="AL436" s="86"/>
      <c r="AM436" s="86"/>
      <c r="AN436" s="86"/>
      <c r="AO436" s="86"/>
      <c r="AP436" s="86"/>
      <c r="AQ436" s="86"/>
      <c r="AR436" s="86"/>
      <c r="AS436" s="86"/>
      <c r="AT436" s="86"/>
      <c r="AU436" s="86"/>
      <c r="AV436" s="86"/>
      <c r="AW436" s="86"/>
      <c r="AX436" s="86"/>
      <c r="AY436" s="86"/>
      <c r="AZ436" s="86"/>
      <c r="BA436" s="86"/>
      <c r="BB436" s="86"/>
      <c r="BC436" s="86"/>
      <c r="BD436" s="86"/>
      <c r="BE436" s="86"/>
      <c r="BF436" s="86"/>
      <c r="BG436" s="86"/>
      <c r="BH436" s="86"/>
      <c r="BI436" s="86"/>
      <c r="BJ436" s="86"/>
      <c r="BK436" s="86"/>
      <c r="BL436" s="86"/>
      <c r="BM436" s="86"/>
      <c r="BN436" s="86"/>
      <c r="BO436" s="86"/>
      <c r="BP436" s="86"/>
      <c r="BQ436" s="86"/>
      <c r="BR436" s="86"/>
      <c r="BS436" s="86"/>
      <c r="BT436" s="86"/>
      <c r="BU436" s="86"/>
      <c r="BV436" s="86"/>
      <c r="BW436" s="86"/>
      <c r="BX436" s="86"/>
      <c r="BY436" s="86"/>
      <c r="BZ436" s="86"/>
      <c r="CA436" s="86"/>
      <c r="CB436" s="86"/>
      <c r="CC436" s="86"/>
      <c r="CD436" s="86"/>
      <c r="CE436" s="86"/>
      <c r="CF436" s="86"/>
      <c r="CG436" s="86"/>
      <c r="CH436" s="86"/>
      <c r="CI436" s="86"/>
      <c r="CJ436" s="86"/>
      <c r="CK436" s="86"/>
      <c r="CL436" s="86"/>
      <c r="CM436" s="86"/>
      <c r="CN436" s="86"/>
      <c r="CO436" s="86"/>
      <c r="CP436" s="86"/>
      <c r="CQ436" s="86"/>
      <c r="CR436" s="86"/>
      <c r="CS436" s="86"/>
      <c r="CT436" s="86"/>
      <c r="CU436" s="86"/>
      <c r="CV436" s="86"/>
      <c r="CW436" s="86"/>
      <c r="CX436" s="86"/>
      <c r="CY436" s="86"/>
      <c r="CZ436" s="86"/>
      <c r="DA436" s="86"/>
      <c r="DB436" s="86"/>
      <c r="DC436" s="86"/>
      <c r="DD436" s="86"/>
      <c r="DE436" s="86"/>
      <c r="DF436" s="86"/>
      <c r="DG436" s="86"/>
      <c r="DH436" s="86"/>
      <c r="DI436" s="86"/>
      <c r="DJ436" s="86"/>
      <c r="DK436" s="86"/>
      <c r="DL436" s="86"/>
      <c r="DM436" s="86"/>
      <c r="DN436" s="86"/>
      <c r="DO436" s="86"/>
      <c r="DP436" s="86"/>
      <c r="DQ436" s="86"/>
      <c r="DR436" s="86"/>
      <c r="DS436" s="86"/>
      <c r="DT436" s="86"/>
      <c r="DU436" s="86"/>
      <c r="DV436" s="86"/>
      <c r="DW436" s="86"/>
      <c r="DX436" s="86"/>
      <c r="DY436" s="86"/>
      <c r="DZ436" s="86"/>
      <c r="EA436" s="86"/>
      <c r="EB436" s="86"/>
      <c r="EC436" s="86"/>
      <c r="ED436" s="86"/>
      <c r="EE436" s="86"/>
      <c r="EF436" s="86"/>
      <c r="EG436" s="86"/>
      <c r="EH436" s="86"/>
      <c r="EI436" s="86"/>
      <c r="EJ436" s="86"/>
      <c r="EK436" s="86"/>
      <c r="EL436" s="86"/>
      <c r="EM436" s="86"/>
      <c r="EN436" s="86"/>
      <c r="EO436" s="86"/>
      <c r="EP436" s="86"/>
      <c r="EQ436" s="86"/>
      <c r="ER436" s="86"/>
      <c r="ES436" s="86"/>
      <c r="ET436" s="86"/>
      <c r="EU436" s="86"/>
      <c r="EV436" s="86"/>
      <c r="EW436" s="86"/>
      <c r="EX436" s="86"/>
      <c r="EY436" s="86"/>
      <c r="EZ436" s="86"/>
      <c r="FA436" s="86"/>
    </row>
    <row r="437" spans="2:157" ht="10.050000000000001" customHeight="1">
      <c r="B437" s="316"/>
      <c r="C437" s="317"/>
      <c r="D437" s="27"/>
      <c r="E437" s="91"/>
      <c r="F437" s="171"/>
      <c r="G437" s="29"/>
      <c r="H437" s="27"/>
      <c r="J437" s="101"/>
      <c r="K437" s="101"/>
      <c r="L437" s="101"/>
      <c r="Z437" s="86"/>
      <c r="AA437" s="86"/>
      <c r="AB437" s="86"/>
      <c r="AC437" s="86"/>
      <c r="AD437" s="86"/>
      <c r="AE437" s="86"/>
      <c r="AF437" s="86"/>
      <c r="AG437" s="86"/>
      <c r="AH437" s="86"/>
      <c r="AI437" s="86"/>
      <c r="AJ437" s="86"/>
      <c r="AK437" s="86"/>
      <c r="AL437" s="86"/>
      <c r="AM437" s="86"/>
      <c r="AN437" s="86"/>
      <c r="AO437" s="86"/>
      <c r="AP437" s="86"/>
      <c r="AQ437" s="86"/>
      <c r="AR437" s="86"/>
      <c r="AS437" s="86"/>
      <c r="AT437" s="86"/>
      <c r="AU437" s="86"/>
      <c r="AV437" s="86"/>
      <c r="AW437" s="86"/>
      <c r="AX437" s="86"/>
      <c r="AY437" s="86"/>
      <c r="AZ437" s="86"/>
      <c r="BA437" s="86"/>
      <c r="BB437" s="86"/>
      <c r="BC437" s="86"/>
      <c r="BD437" s="86"/>
      <c r="BE437" s="86"/>
      <c r="BF437" s="86"/>
      <c r="BG437" s="86"/>
      <c r="BH437" s="86"/>
      <c r="BI437" s="86"/>
      <c r="BJ437" s="86"/>
      <c r="BK437" s="86"/>
      <c r="BL437" s="86"/>
      <c r="BM437" s="86"/>
      <c r="BN437" s="86"/>
      <c r="BO437" s="86"/>
      <c r="BP437" s="86"/>
      <c r="BQ437" s="86"/>
      <c r="BR437" s="86"/>
      <c r="BS437" s="86"/>
      <c r="BT437" s="86"/>
      <c r="BU437" s="86"/>
      <c r="BV437" s="86"/>
      <c r="BW437" s="86"/>
      <c r="BX437" s="86"/>
      <c r="BY437" s="86"/>
      <c r="BZ437" s="86"/>
      <c r="CA437" s="86"/>
      <c r="CB437" s="86"/>
      <c r="CC437" s="86"/>
      <c r="CD437" s="86"/>
      <c r="CE437" s="86"/>
      <c r="CF437" s="86"/>
      <c r="CG437" s="86"/>
      <c r="CH437" s="86"/>
      <c r="CI437" s="86"/>
      <c r="CJ437" s="86"/>
      <c r="CK437" s="86"/>
      <c r="CL437" s="86"/>
      <c r="CM437" s="86"/>
      <c r="CN437" s="86"/>
      <c r="CO437" s="86"/>
      <c r="CP437" s="86"/>
      <c r="CQ437" s="86"/>
      <c r="CR437" s="86"/>
      <c r="CS437" s="86"/>
      <c r="CT437" s="86"/>
      <c r="CU437" s="86"/>
      <c r="CV437" s="86"/>
      <c r="CW437" s="86"/>
      <c r="CX437" s="86"/>
      <c r="CY437" s="86"/>
      <c r="CZ437" s="86"/>
      <c r="DA437" s="86"/>
      <c r="DB437" s="86"/>
      <c r="DC437" s="86"/>
      <c r="DD437" s="86"/>
      <c r="DE437" s="86"/>
      <c r="DF437" s="86"/>
      <c r="DG437" s="86"/>
      <c r="DH437" s="86"/>
      <c r="DI437" s="86"/>
      <c r="DJ437" s="86"/>
      <c r="DK437" s="86"/>
      <c r="DL437" s="86"/>
      <c r="DM437" s="86"/>
      <c r="DN437" s="86"/>
      <c r="DO437" s="86"/>
      <c r="DP437" s="86"/>
      <c r="DQ437" s="86"/>
      <c r="DR437" s="86"/>
      <c r="DS437" s="86"/>
      <c r="DT437" s="86"/>
      <c r="DU437" s="86"/>
      <c r="DV437" s="86"/>
      <c r="DW437" s="86"/>
      <c r="DX437" s="86"/>
      <c r="DY437" s="86"/>
      <c r="DZ437" s="86"/>
      <c r="EA437" s="86"/>
      <c r="EB437" s="86"/>
      <c r="EC437" s="86"/>
      <c r="ED437" s="86"/>
      <c r="EE437" s="86"/>
      <c r="EF437" s="86"/>
      <c r="EG437" s="86"/>
      <c r="EH437" s="86"/>
      <c r="EI437" s="86"/>
      <c r="EJ437" s="86"/>
      <c r="EK437" s="86"/>
      <c r="EL437" s="86"/>
      <c r="EM437" s="86"/>
      <c r="EN437" s="86"/>
      <c r="EO437" s="86"/>
      <c r="EP437" s="86"/>
      <c r="EQ437" s="86"/>
      <c r="ER437" s="86"/>
      <c r="ES437" s="86"/>
      <c r="ET437" s="86"/>
      <c r="EU437" s="86"/>
      <c r="EV437" s="86"/>
      <c r="EW437" s="86"/>
      <c r="EX437" s="86"/>
      <c r="EY437" s="86"/>
      <c r="EZ437" s="86"/>
      <c r="FA437" s="86"/>
    </row>
    <row r="438" spans="2:157" ht="10.050000000000001" customHeight="1">
      <c r="B438" s="27"/>
      <c r="C438" s="27"/>
      <c r="D438" s="27"/>
      <c r="E438" s="27"/>
      <c r="F438" s="27"/>
      <c r="G438" s="27"/>
      <c r="H438" s="27"/>
      <c r="J438" s="101"/>
      <c r="K438" s="101"/>
      <c r="L438" s="101"/>
      <c r="Z438" s="86"/>
      <c r="AA438" s="86"/>
      <c r="AB438" s="86"/>
      <c r="AC438" s="86"/>
      <c r="AD438" s="86"/>
      <c r="AE438" s="86"/>
      <c r="AF438" s="86"/>
      <c r="AG438" s="86"/>
      <c r="AH438" s="86"/>
      <c r="AI438" s="86"/>
      <c r="AJ438" s="86"/>
      <c r="AK438" s="86"/>
      <c r="AL438" s="86"/>
      <c r="AM438" s="86"/>
      <c r="AN438" s="86"/>
      <c r="AO438" s="86"/>
      <c r="AP438" s="86"/>
      <c r="AQ438" s="86"/>
      <c r="AR438" s="86"/>
      <c r="AS438" s="86"/>
      <c r="AT438" s="86"/>
      <c r="AU438" s="86"/>
      <c r="AV438" s="86"/>
      <c r="AW438" s="86"/>
      <c r="AX438" s="86"/>
      <c r="AY438" s="86"/>
      <c r="AZ438" s="86"/>
      <c r="BA438" s="86"/>
      <c r="BB438" s="86"/>
      <c r="BC438" s="86"/>
      <c r="BD438" s="86"/>
      <c r="BE438" s="86"/>
      <c r="BF438" s="86"/>
      <c r="BG438" s="86"/>
      <c r="BH438" s="86"/>
      <c r="BI438" s="86"/>
      <c r="BJ438" s="86"/>
      <c r="BK438" s="86"/>
      <c r="BL438" s="86"/>
      <c r="BM438" s="86"/>
      <c r="BN438" s="86"/>
      <c r="BO438" s="86"/>
      <c r="BP438" s="86"/>
      <c r="BQ438" s="86"/>
      <c r="BR438" s="86"/>
      <c r="BS438" s="86"/>
      <c r="BT438" s="86"/>
      <c r="BU438" s="86"/>
      <c r="BV438" s="86"/>
      <c r="BW438" s="86"/>
      <c r="BX438" s="86"/>
      <c r="BY438" s="86"/>
      <c r="BZ438" s="86"/>
      <c r="CA438" s="86"/>
      <c r="CB438" s="86"/>
      <c r="CC438" s="86"/>
      <c r="CD438" s="86"/>
      <c r="CE438" s="86"/>
      <c r="CF438" s="86"/>
      <c r="CG438" s="86"/>
      <c r="CH438" s="86"/>
      <c r="CI438" s="86"/>
      <c r="CJ438" s="86"/>
      <c r="CK438" s="86"/>
      <c r="CL438" s="86"/>
      <c r="CM438" s="86"/>
      <c r="CN438" s="86"/>
      <c r="CO438" s="86"/>
      <c r="CP438" s="86"/>
      <c r="CQ438" s="86"/>
      <c r="CR438" s="86"/>
      <c r="CS438" s="86"/>
      <c r="CT438" s="86"/>
      <c r="CU438" s="86"/>
      <c r="CV438" s="86"/>
      <c r="CW438" s="86"/>
      <c r="CX438" s="86"/>
      <c r="CY438" s="86"/>
      <c r="CZ438" s="86"/>
      <c r="DA438" s="86"/>
      <c r="DB438" s="86"/>
      <c r="DC438" s="86"/>
      <c r="DD438" s="86"/>
      <c r="DE438" s="86"/>
      <c r="DF438" s="86"/>
      <c r="DG438" s="86"/>
      <c r="DH438" s="86"/>
      <c r="DI438" s="86"/>
      <c r="DJ438" s="86"/>
      <c r="DK438" s="86"/>
      <c r="DL438" s="86"/>
      <c r="DM438" s="86"/>
      <c r="DN438" s="86"/>
      <c r="DO438" s="86"/>
      <c r="DP438" s="86"/>
      <c r="DQ438" s="86"/>
      <c r="DR438" s="86"/>
      <c r="DS438" s="86"/>
      <c r="DT438" s="86"/>
      <c r="DU438" s="86"/>
      <c r="DV438" s="86"/>
      <c r="DW438" s="86"/>
      <c r="DX438" s="86"/>
      <c r="DY438" s="86"/>
      <c r="DZ438" s="86"/>
      <c r="EA438" s="86"/>
      <c r="EB438" s="86"/>
      <c r="EC438" s="86"/>
      <c r="ED438" s="86"/>
      <c r="EE438" s="86"/>
      <c r="EF438" s="86"/>
      <c r="EG438" s="86"/>
      <c r="EH438" s="86"/>
      <c r="EI438" s="86"/>
      <c r="EJ438" s="86"/>
      <c r="EK438" s="86"/>
      <c r="EL438" s="86"/>
      <c r="EM438" s="86"/>
      <c r="EN438" s="86"/>
      <c r="EO438" s="86"/>
      <c r="EP438" s="86"/>
      <c r="EQ438" s="86"/>
      <c r="ER438" s="86"/>
      <c r="ES438" s="86"/>
      <c r="ET438" s="86"/>
      <c r="EU438" s="86"/>
      <c r="EV438" s="86"/>
      <c r="EW438" s="86"/>
      <c r="EX438" s="86"/>
      <c r="EY438" s="86"/>
      <c r="EZ438" s="86"/>
      <c r="FA438" s="86"/>
    </row>
    <row r="439" spans="2:157" ht="10.050000000000001" customHeight="1">
      <c r="B439" s="141"/>
      <c r="C439" s="141"/>
      <c r="F439" s="142"/>
      <c r="G439" s="1341">
        <f ca="1">NOW()</f>
        <v>42122.346852083334</v>
      </c>
      <c r="H439" s="1341"/>
      <c r="J439" s="101"/>
      <c r="K439" s="101"/>
      <c r="L439" s="101"/>
      <c r="Z439" s="86"/>
      <c r="AA439" s="86"/>
      <c r="AB439" s="86"/>
      <c r="AC439" s="86"/>
      <c r="AD439" s="86"/>
      <c r="AE439" s="86"/>
      <c r="AF439" s="86"/>
      <c r="AG439" s="86"/>
      <c r="AH439" s="86"/>
      <c r="AI439" s="86"/>
      <c r="AJ439" s="86"/>
      <c r="AK439" s="86"/>
      <c r="AL439" s="86"/>
      <c r="AM439" s="86"/>
      <c r="AN439" s="86"/>
      <c r="AO439" s="86"/>
      <c r="AP439" s="86"/>
      <c r="AQ439" s="86"/>
      <c r="AR439" s="86"/>
      <c r="AS439" s="86"/>
      <c r="AT439" s="86"/>
      <c r="AU439" s="86"/>
      <c r="AV439" s="86"/>
      <c r="AW439" s="86"/>
      <c r="AX439" s="86"/>
      <c r="AY439" s="86"/>
      <c r="AZ439" s="86"/>
      <c r="BA439" s="86"/>
      <c r="BB439" s="86"/>
      <c r="BC439" s="86"/>
      <c r="BD439" s="86"/>
      <c r="BE439" s="86"/>
      <c r="BF439" s="86"/>
      <c r="BG439" s="86"/>
      <c r="BH439" s="86"/>
      <c r="BI439" s="86"/>
      <c r="BJ439" s="86"/>
      <c r="BK439" s="86"/>
      <c r="BL439" s="86"/>
      <c r="BM439" s="86"/>
      <c r="BN439" s="86"/>
      <c r="BO439" s="86"/>
      <c r="BP439" s="86"/>
      <c r="BQ439" s="86"/>
      <c r="BR439" s="86"/>
      <c r="BS439" s="86"/>
      <c r="BT439" s="86"/>
      <c r="BU439" s="86"/>
      <c r="BV439" s="86"/>
      <c r="BW439" s="86"/>
      <c r="BX439" s="86"/>
      <c r="BY439" s="86"/>
      <c r="BZ439" s="86"/>
      <c r="CA439" s="86"/>
      <c r="CB439" s="86"/>
      <c r="CC439" s="86"/>
      <c r="CD439" s="86"/>
      <c r="CE439" s="86"/>
      <c r="CF439" s="86"/>
      <c r="CG439" s="86"/>
      <c r="CH439" s="86"/>
      <c r="CI439" s="86"/>
      <c r="CJ439" s="86"/>
      <c r="CK439" s="86"/>
      <c r="CL439" s="86"/>
      <c r="CM439" s="86"/>
      <c r="CN439" s="86"/>
      <c r="CO439" s="86"/>
      <c r="CP439" s="86"/>
      <c r="CQ439" s="86"/>
      <c r="CR439" s="86"/>
      <c r="CS439" s="86"/>
      <c r="CT439" s="86"/>
      <c r="CU439" s="86"/>
      <c r="CV439" s="86"/>
      <c r="CW439" s="86"/>
      <c r="CX439" s="86"/>
      <c r="CY439" s="86"/>
      <c r="CZ439" s="86"/>
      <c r="DA439" s="86"/>
      <c r="DB439" s="86"/>
      <c r="DC439" s="86"/>
      <c r="DD439" s="86"/>
      <c r="DE439" s="86"/>
      <c r="DF439" s="86"/>
      <c r="DG439" s="86"/>
      <c r="DH439" s="86"/>
      <c r="DI439" s="86"/>
      <c r="DJ439" s="86"/>
      <c r="DK439" s="86"/>
      <c r="DL439" s="86"/>
      <c r="DM439" s="86"/>
      <c r="DN439" s="86"/>
      <c r="DO439" s="86"/>
      <c r="DP439" s="86"/>
      <c r="DQ439" s="86"/>
      <c r="DR439" s="86"/>
      <c r="DS439" s="86"/>
      <c r="DT439" s="86"/>
      <c r="DU439" s="86"/>
      <c r="DV439" s="86"/>
      <c r="DW439" s="86"/>
      <c r="DX439" s="86"/>
      <c r="DY439" s="86"/>
      <c r="DZ439" s="86"/>
      <c r="EA439" s="86"/>
      <c r="EB439" s="86"/>
      <c r="EC439" s="86"/>
      <c r="ED439" s="86"/>
      <c r="EE439" s="86"/>
      <c r="EF439" s="86"/>
      <c r="EG439" s="86"/>
      <c r="EH439" s="86"/>
      <c r="EI439" s="86"/>
      <c r="EJ439" s="86"/>
      <c r="EK439" s="86"/>
      <c r="EL439" s="86"/>
      <c r="EM439" s="86"/>
      <c r="EN439" s="86"/>
      <c r="EO439" s="86"/>
      <c r="EP439" s="86"/>
      <c r="EQ439" s="86"/>
      <c r="ER439" s="86"/>
      <c r="ES439" s="86"/>
      <c r="ET439" s="86"/>
      <c r="EU439" s="86"/>
      <c r="EV439" s="86"/>
      <c r="EW439" s="86"/>
      <c r="EX439" s="86"/>
      <c r="EY439" s="86"/>
      <c r="EZ439" s="86"/>
      <c r="FA439" s="86"/>
    </row>
    <row r="440" spans="2:157" ht="9.75" customHeight="1">
      <c r="J440" s="101"/>
      <c r="K440" s="101"/>
      <c r="L440" s="101"/>
      <c r="Z440" s="86"/>
      <c r="AA440" s="86"/>
      <c r="AB440" s="86"/>
      <c r="AC440" s="86"/>
      <c r="AD440" s="86"/>
      <c r="AE440" s="86"/>
      <c r="AF440" s="86"/>
      <c r="AG440" s="86"/>
      <c r="AH440" s="86"/>
      <c r="AI440" s="86"/>
      <c r="AJ440" s="86"/>
      <c r="AK440" s="86"/>
      <c r="AL440" s="86"/>
      <c r="AM440" s="86"/>
      <c r="AN440" s="86"/>
      <c r="AO440" s="86"/>
      <c r="AP440" s="86"/>
      <c r="AQ440" s="86"/>
      <c r="AR440" s="86"/>
      <c r="AS440" s="86"/>
      <c r="AT440" s="86"/>
      <c r="AU440" s="86"/>
      <c r="AV440" s="86"/>
      <c r="AW440" s="86"/>
      <c r="AX440" s="86"/>
      <c r="AY440" s="86"/>
      <c r="AZ440" s="86"/>
      <c r="BA440" s="86"/>
      <c r="BB440" s="86"/>
      <c r="BC440" s="86"/>
      <c r="BD440" s="86"/>
      <c r="BE440" s="86"/>
      <c r="BF440" s="86"/>
      <c r="BG440" s="86"/>
      <c r="BH440" s="86"/>
      <c r="BI440" s="86"/>
      <c r="BJ440" s="86"/>
      <c r="BK440" s="86"/>
      <c r="BL440" s="86"/>
      <c r="BM440" s="86"/>
      <c r="BN440" s="86"/>
      <c r="BO440" s="86"/>
      <c r="BP440" s="86"/>
      <c r="BQ440" s="86"/>
      <c r="BR440" s="86"/>
      <c r="BS440" s="86"/>
      <c r="BT440" s="86"/>
      <c r="BU440" s="86"/>
      <c r="BV440" s="86"/>
      <c r="BW440" s="86"/>
      <c r="BX440" s="86"/>
      <c r="BY440" s="86"/>
      <c r="BZ440" s="86"/>
      <c r="CA440" s="86"/>
      <c r="CB440" s="86"/>
      <c r="CC440" s="86"/>
      <c r="CD440" s="86"/>
      <c r="CE440" s="86"/>
      <c r="CF440" s="86"/>
      <c r="CG440" s="86"/>
      <c r="CH440" s="86"/>
      <c r="CI440" s="86"/>
      <c r="CJ440" s="86"/>
      <c r="CK440" s="86"/>
      <c r="CL440" s="86"/>
      <c r="CM440" s="86"/>
      <c r="CN440" s="86"/>
      <c r="CO440" s="86"/>
      <c r="CP440" s="86"/>
      <c r="CQ440" s="86"/>
      <c r="CR440" s="86"/>
      <c r="CS440" s="86"/>
      <c r="CT440" s="86"/>
      <c r="CU440" s="86"/>
      <c r="CV440" s="86"/>
      <c r="CW440" s="86"/>
      <c r="CX440" s="86"/>
      <c r="CY440" s="86"/>
      <c r="CZ440" s="86"/>
      <c r="DA440" s="86"/>
      <c r="DB440" s="86"/>
      <c r="DC440" s="86"/>
      <c r="DD440" s="86"/>
      <c r="DE440" s="86"/>
      <c r="DF440" s="86"/>
      <c r="DG440" s="86"/>
      <c r="DH440" s="86"/>
      <c r="DI440" s="86"/>
      <c r="DJ440" s="86"/>
      <c r="DK440" s="86"/>
      <c r="DL440" s="86"/>
      <c r="DM440" s="86"/>
      <c r="DN440" s="86"/>
      <c r="DO440" s="86"/>
      <c r="DP440" s="86"/>
      <c r="DQ440" s="86"/>
      <c r="DR440" s="86"/>
      <c r="DS440" s="86"/>
      <c r="DT440" s="86"/>
      <c r="DU440" s="86"/>
      <c r="DV440" s="86"/>
      <c r="DW440" s="86"/>
      <c r="DX440" s="86"/>
      <c r="DY440" s="86"/>
      <c r="DZ440" s="86"/>
      <c r="EA440" s="86"/>
      <c r="EB440" s="86"/>
      <c r="EC440" s="86"/>
      <c r="ED440" s="86"/>
      <c r="EE440" s="86"/>
      <c r="EF440" s="86"/>
      <c r="EG440" s="86"/>
      <c r="EH440" s="86"/>
      <c r="EI440" s="86"/>
      <c r="EJ440" s="86"/>
      <c r="EK440" s="86"/>
      <c r="EL440" s="86"/>
      <c r="EM440" s="86"/>
      <c r="EN440" s="86"/>
      <c r="EO440" s="86"/>
      <c r="EP440" s="86"/>
      <c r="EQ440" s="86"/>
      <c r="ER440" s="86"/>
      <c r="ES440" s="86"/>
      <c r="ET440" s="86"/>
      <c r="EU440" s="86"/>
      <c r="EV440" s="86"/>
      <c r="EW440" s="86"/>
      <c r="EX440" s="86"/>
      <c r="EY440" s="86"/>
      <c r="EZ440" s="86"/>
      <c r="FA440" s="86"/>
    </row>
    <row r="441" spans="2:157" ht="9.75" customHeight="1">
      <c r="J441" s="101"/>
      <c r="K441" s="101"/>
      <c r="L441" s="101"/>
      <c r="Z441" s="86"/>
      <c r="AA441" s="86"/>
      <c r="AB441" s="86"/>
      <c r="AC441" s="86"/>
      <c r="AD441" s="86"/>
      <c r="AE441" s="86"/>
      <c r="AF441" s="86"/>
      <c r="AG441" s="86"/>
      <c r="AH441" s="86"/>
      <c r="AI441" s="86"/>
      <c r="AJ441" s="86"/>
      <c r="AK441" s="86"/>
      <c r="AL441" s="86"/>
      <c r="AM441" s="86"/>
      <c r="AN441" s="86"/>
      <c r="AO441" s="86"/>
      <c r="AP441" s="86"/>
      <c r="AQ441" s="86"/>
      <c r="AR441" s="86"/>
      <c r="AS441" s="86"/>
      <c r="AT441" s="86"/>
      <c r="AU441" s="86"/>
      <c r="AV441" s="86"/>
      <c r="AW441" s="86"/>
      <c r="AX441" s="86"/>
      <c r="AY441" s="86"/>
      <c r="AZ441" s="86"/>
      <c r="BA441" s="86"/>
      <c r="BB441" s="86"/>
      <c r="BC441" s="86"/>
      <c r="BD441" s="86"/>
      <c r="BE441" s="86"/>
      <c r="BF441" s="86"/>
      <c r="BG441" s="86"/>
      <c r="BH441" s="86"/>
      <c r="BI441" s="86"/>
      <c r="BJ441" s="86"/>
      <c r="BK441" s="86"/>
      <c r="BL441" s="86"/>
      <c r="BM441" s="86"/>
      <c r="BN441" s="86"/>
      <c r="BO441" s="86"/>
      <c r="BP441" s="86"/>
      <c r="BQ441" s="86"/>
      <c r="BR441" s="86"/>
      <c r="BS441" s="86"/>
      <c r="BT441" s="86"/>
      <c r="BU441" s="86"/>
      <c r="BV441" s="86"/>
      <c r="BW441" s="86"/>
      <c r="BX441" s="86"/>
      <c r="BY441" s="86"/>
      <c r="BZ441" s="86"/>
      <c r="CA441" s="86"/>
      <c r="CB441" s="86"/>
      <c r="CC441" s="86"/>
      <c r="CD441" s="86"/>
      <c r="CE441" s="86"/>
      <c r="CF441" s="86"/>
      <c r="CG441" s="86"/>
      <c r="CH441" s="86"/>
      <c r="CI441" s="86"/>
      <c r="CJ441" s="86"/>
      <c r="CK441" s="86"/>
      <c r="CL441" s="86"/>
      <c r="CM441" s="86"/>
      <c r="CN441" s="86"/>
      <c r="CO441" s="86"/>
      <c r="CP441" s="86"/>
      <c r="CQ441" s="86"/>
      <c r="CR441" s="86"/>
      <c r="CS441" s="86"/>
      <c r="CT441" s="86"/>
      <c r="CU441" s="86"/>
      <c r="CV441" s="86"/>
      <c r="CW441" s="86"/>
      <c r="CX441" s="86"/>
      <c r="CY441" s="86"/>
      <c r="CZ441" s="86"/>
      <c r="DA441" s="86"/>
      <c r="DB441" s="86"/>
      <c r="DC441" s="86"/>
      <c r="DD441" s="86"/>
      <c r="DE441" s="86"/>
      <c r="DF441" s="86"/>
      <c r="DG441" s="86"/>
      <c r="DH441" s="86"/>
      <c r="DI441" s="86"/>
      <c r="DJ441" s="86"/>
      <c r="DK441" s="86"/>
      <c r="DL441" s="86"/>
      <c r="DM441" s="86"/>
      <c r="DN441" s="86"/>
      <c r="DO441" s="86"/>
      <c r="DP441" s="86"/>
      <c r="DQ441" s="86"/>
      <c r="DR441" s="86"/>
      <c r="DS441" s="86"/>
      <c r="DT441" s="86"/>
      <c r="DU441" s="86"/>
      <c r="DV441" s="86"/>
      <c r="DW441" s="86"/>
      <c r="DX441" s="86"/>
      <c r="DY441" s="86"/>
      <c r="DZ441" s="86"/>
      <c r="EA441" s="86"/>
      <c r="EB441" s="86"/>
      <c r="EC441" s="86"/>
      <c r="ED441" s="86"/>
      <c r="EE441" s="86"/>
      <c r="EF441" s="86"/>
      <c r="EG441" s="86"/>
      <c r="EH441" s="86"/>
      <c r="EI441" s="86"/>
      <c r="EJ441" s="86"/>
      <c r="EK441" s="86"/>
      <c r="EL441" s="86"/>
      <c r="EM441" s="86"/>
      <c r="EN441" s="86"/>
      <c r="EO441" s="86"/>
      <c r="EP441" s="86"/>
      <c r="EQ441" s="86"/>
      <c r="ER441" s="86"/>
      <c r="ES441" s="86"/>
      <c r="ET441" s="86"/>
      <c r="EU441" s="86"/>
      <c r="EV441" s="86"/>
      <c r="EW441" s="86"/>
      <c r="EX441" s="86"/>
      <c r="EY441" s="86"/>
      <c r="EZ441" s="86"/>
      <c r="FA441" s="86"/>
    </row>
    <row r="442" spans="2:157" ht="9.75" customHeight="1">
      <c r="B442" s="182"/>
      <c r="C442" s="182"/>
      <c r="D442" s="182"/>
      <c r="E442" s="182"/>
      <c r="F442" s="182"/>
      <c r="G442" s="182"/>
      <c r="H442" s="182"/>
      <c r="J442" s="101"/>
      <c r="K442" s="101"/>
      <c r="L442" s="101"/>
      <c r="Z442" s="86"/>
      <c r="AA442" s="86"/>
      <c r="AB442" s="86"/>
      <c r="AC442" s="86"/>
      <c r="AD442" s="86"/>
      <c r="AE442" s="86"/>
      <c r="AF442" s="86"/>
      <c r="AG442" s="86"/>
      <c r="AH442" s="86"/>
      <c r="AI442" s="86"/>
      <c r="AJ442" s="86"/>
      <c r="AK442" s="86"/>
      <c r="AL442" s="86"/>
      <c r="AM442" s="86"/>
      <c r="AN442" s="86"/>
      <c r="AO442" s="86"/>
      <c r="AP442" s="86"/>
      <c r="AQ442" s="86"/>
      <c r="AR442" s="86"/>
      <c r="AS442" s="86"/>
      <c r="AT442" s="86"/>
      <c r="AU442" s="86"/>
      <c r="AV442" s="86"/>
      <c r="AW442" s="86"/>
      <c r="AX442" s="86"/>
      <c r="AY442" s="86"/>
      <c r="AZ442" s="86"/>
      <c r="BA442" s="86"/>
      <c r="BB442" s="86"/>
      <c r="BC442" s="86"/>
      <c r="BD442" s="86"/>
      <c r="BE442" s="86"/>
      <c r="BF442" s="86"/>
      <c r="BG442" s="86"/>
      <c r="BH442" s="86"/>
      <c r="BI442" s="86"/>
      <c r="BJ442" s="86"/>
      <c r="BK442" s="86"/>
      <c r="BL442" s="86"/>
      <c r="BM442" s="86"/>
      <c r="BN442" s="86"/>
      <c r="BO442" s="86"/>
      <c r="BP442" s="86"/>
      <c r="BQ442" s="86"/>
      <c r="BR442" s="86"/>
      <c r="BS442" s="86"/>
      <c r="BT442" s="86"/>
      <c r="BU442" s="86"/>
      <c r="BV442" s="86"/>
      <c r="BW442" s="86"/>
      <c r="BX442" s="86"/>
      <c r="BY442" s="86"/>
      <c r="BZ442" s="86"/>
      <c r="CA442" s="86"/>
      <c r="CB442" s="86"/>
      <c r="CC442" s="86"/>
      <c r="CD442" s="86"/>
      <c r="CE442" s="86"/>
      <c r="CF442" s="86"/>
      <c r="CG442" s="86"/>
      <c r="CH442" s="86"/>
      <c r="CI442" s="86"/>
      <c r="CJ442" s="86"/>
      <c r="CK442" s="86"/>
      <c r="CL442" s="86"/>
      <c r="CM442" s="86"/>
      <c r="CN442" s="86"/>
      <c r="CO442" s="86"/>
      <c r="CP442" s="86"/>
      <c r="CQ442" s="86"/>
      <c r="CR442" s="86"/>
      <c r="CS442" s="86"/>
      <c r="CT442" s="86"/>
      <c r="CU442" s="86"/>
      <c r="CV442" s="86"/>
      <c r="CW442" s="86"/>
      <c r="CX442" s="86"/>
      <c r="CY442" s="86"/>
      <c r="CZ442" s="86"/>
      <c r="DA442" s="86"/>
      <c r="DB442" s="86"/>
      <c r="DC442" s="86"/>
      <c r="DD442" s="86"/>
      <c r="DE442" s="86"/>
      <c r="DF442" s="86"/>
      <c r="DG442" s="86"/>
      <c r="DH442" s="86"/>
      <c r="DI442" s="86"/>
      <c r="DJ442" s="86"/>
      <c r="DK442" s="86"/>
      <c r="DL442" s="86"/>
      <c r="DM442" s="86"/>
      <c r="DN442" s="86"/>
      <c r="DO442" s="86"/>
      <c r="DP442" s="86"/>
      <c r="DQ442" s="86"/>
      <c r="DR442" s="86"/>
      <c r="DS442" s="86"/>
      <c r="DT442" s="86"/>
      <c r="DU442" s="86"/>
      <c r="DV442" s="86"/>
      <c r="DW442" s="86"/>
      <c r="DX442" s="86"/>
      <c r="DY442" s="86"/>
      <c r="DZ442" s="86"/>
      <c r="EA442" s="86"/>
      <c r="EB442" s="86"/>
      <c r="EC442" s="86"/>
      <c r="ED442" s="86"/>
      <c r="EE442" s="86"/>
      <c r="EF442" s="86"/>
      <c r="EG442" s="86"/>
      <c r="EH442" s="86"/>
      <c r="EI442" s="86"/>
      <c r="EJ442" s="86"/>
      <c r="EK442" s="86"/>
      <c r="EL442" s="86"/>
      <c r="EM442" s="86"/>
      <c r="EN442" s="86"/>
      <c r="EO442" s="86"/>
      <c r="EP442" s="86"/>
      <c r="EQ442" s="86"/>
      <c r="ER442" s="86"/>
      <c r="ES442" s="86"/>
      <c r="ET442" s="86"/>
      <c r="EU442" s="86"/>
      <c r="EV442" s="86"/>
      <c r="EW442" s="86"/>
      <c r="EX442" s="86"/>
      <c r="EY442" s="86"/>
      <c r="EZ442" s="86"/>
      <c r="FA442" s="86"/>
    </row>
    <row r="443" spans="2:157" ht="9.75" customHeight="1">
      <c r="B443" s="182"/>
      <c r="C443" s="182"/>
      <c r="D443" s="182"/>
      <c r="E443" s="182"/>
      <c r="F443" s="182"/>
      <c r="G443" s="182"/>
      <c r="H443" s="182"/>
      <c r="J443" s="101"/>
      <c r="K443" s="101"/>
      <c r="L443" s="101"/>
      <c r="Z443" s="86"/>
      <c r="AA443" s="86"/>
      <c r="AB443" s="86"/>
      <c r="AC443" s="86"/>
      <c r="AD443" s="86"/>
      <c r="AE443" s="86"/>
      <c r="AF443" s="86"/>
      <c r="AG443" s="86"/>
      <c r="AH443" s="86"/>
      <c r="AI443" s="86"/>
      <c r="AJ443" s="86"/>
      <c r="AK443" s="86"/>
      <c r="AL443" s="86"/>
      <c r="AM443" s="86"/>
      <c r="AN443" s="86"/>
      <c r="AO443" s="86"/>
      <c r="AP443" s="86"/>
      <c r="AQ443" s="86"/>
      <c r="AR443" s="86"/>
      <c r="AS443" s="86"/>
      <c r="AT443" s="86"/>
      <c r="AU443" s="86"/>
      <c r="AV443" s="86"/>
      <c r="AW443" s="86"/>
      <c r="AX443" s="86"/>
      <c r="AY443" s="86"/>
      <c r="AZ443" s="86"/>
      <c r="BA443" s="86"/>
      <c r="BB443" s="86"/>
      <c r="BC443" s="86"/>
      <c r="BD443" s="86"/>
      <c r="BE443" s="86"/>
      <c r="BF443" s="86"/>
      <c r="BG443" s="86"/>
      <c r="BH443" s="86"/>
      <c r="BI443" s="86"/>
      <c r="BJ443" s="86"/>
      <c r="BK443" s="86"/>
      <c r="BL443" s="86"/>
      <c r="BM443" s="86"/>
      <c r="BN443" s="86"/>
      <c r="BO443" s="86"/>
      <c r="BP443" s="86"/>
      <c r="BQ443" s="86"/>
      <c r="BR443" s="86"/>
      <c r="BS443" s="86"/>
      <c r="BT443" s="86"/>
      <c r="BU443" s="86"/>
      <c r="BV443" s="86"/>
      <c r="BW443" s="86"/>
      <c r="BX443" s="86"/>
      <c r="BY443" s="86"/>
      <c r="BZ443" s="86"/>
      <c r="CA443" s="86"/>
      <c r="CB443" s="86"/>
      <c r="CC443" s="86"/>
      <c r="CD443" s="86"/>
      <c r="CE443" s="86"/>
      <c r="CF443" s="86"/>
      <c r="CG443" s="86"/>
      <c r="CH443" s="86"/>
      <c r="CI443" s="86"/>
      <c r="CJ443" s="86"/>
      <c r="CK443" s="86"/>
      <c r="CL443" s="86"/>
      <c r="CM443" s="86"/>
      <c r="CN443" s="86"/>
      <c r="CO443" s="86"/>
      <c r="CP443" s="86"/>
      <c r="CQ443" s="86"/>
      <c r="CR443" s="86"/>
      <c r="CS443" s="86"/>
      <c r="CT443" s="86"/>
      <c r="CU443" s="86"/>
      <c r="CV443" s="86"/>
      <c r="CW443" s="86"/>
      <c r="CX443" s="86"/>
      <c r="CY443" s="86"/>
      <c r="CZ443" s="86"/>
      <c r="DA443" s="86"/>
      <c r="DB443" s="86"/>
      <c r="DC443" s="86"/>
      <c r="DD443" s="86"/>
      <c r="DE443" s="86"/>
      <c r="DF443" s="86"/>
      <c r="DG443" s="86"/>
      <c r="DH443" s="86"/>
      <c r="DI443" s="86"/>
      <c r="DJ443" s="86"/>
      <c r="DK443" s="86"/>
      <c r="DL443" s="86"/>
      <c r="DM443" s="86"/>
      <c r="DN443" s="86"/>
      <c r="DO443" s="86"/>
      <c r="DP443" s="86"/>
      <c r="DQ443" s="86"/>
      <c r="DR443" s="86"/>
      <c r="DS443" s="86"/>
      <c r="DT443" s="86"/>
      <c r="DU443" s="86"/>
      <c r="DV443" s="86"/>
      <c r="DW443" s="86"/>
      <c r="DX443" s="86"/>
      <c r="DY443" s="86"/>
      <c r="DZ443" s="86"/>
      <c r="EA443" s="86"/>
      <c r="EB443" s="86"/>
      <c r="EC443" s="86"/>
      <c r="ED443" s="86"/>
      <c r="EE443" s="86"/>
      <c r="EF443" s="86"/>
      <c r="EG443" s="86"/>
      <c r="EH443" s="86"/>
      <c r="EI443" s="86"/>
      <c r="EJ443" s="86"/>
      <c r="EK443" s="86"/>
      <c r="EL443" s="86"/>
      <c r="EM443" s="86"/>
      <c r="EN443" s="86"/>
      <c r="EO443" s="86"/>
      <c r="EP443" s="86"/>
      <c r="EQ443" s="86"/>
      <c r="ER443" s="86"/>
      <c r="ES443" s="86"/>
      <c r="ET443" s="86"/>
      <c r="EU443" s="86"/>
      <c r="EV443" s="86"/>
      <c r="EW443" s="86"/>
      <c r="EX443" s="86"/>
      <c r="EY443" s="86"/>
      <c r="EZ443" s="86"/>
      <c r="FA443" s="86"/>
    </row>
    <row r="444" spans="2:157" ht="9.75" customHeight="1">
      <c r="B444" s="182"/>
      <c r="C444" s="182"/>
      <c r="D444" s="182"/>
      <c r="E444" s="182"/>
      <c r="F444" s="182"/>
      <c r="G444" s="182"/>
      <c r="H444" s="182"/>
      <c r="J444" s="101"/>
      <c r="K444" s="101"/>
      <c r="L444" s="101"/>
      <c r="Z444" s="86"/>
      <c r="AA444" s="86"/>
      <c r="AB444" s="86"/>
      <c r="AC444" s="86"/>
      <c r="AD444" s="86"/>
      <c r="AE444" s="86"/>
      <c r="AF444" s="86"/>
      <c r="AG444" s="86"/>
      <c r="AH444" s="86"/>
      <c r="AI444" s="86"/>
      <c r="AJ444" s="86"/>
      <c r="AK444" s="86"/>
      <c r="AL444" s="86"/>
      <c r="AM444" s="86"/>
      <c r="AN444" s="86"/>
      <c r="AO444" s="86"/>
      <c r="AP444" s="86"/>
      <c r="AQ444" s="86"/>
      <c r="AR444" s="86"/>
      <c r="AS444" s="86"/>
      <c r="AT444" s="86"/>
      <c r="AU444" s="86"/>
      <c r="AV444" s="86"/>
      <c r="AW444" s="86"/>
      <c r="AX444" s="86"/>
      <c r="AY444" s="86"/>
      <c r="AZ444" s="86"/>
      <c r="BA444" s="86"/>
      <c r="BB444" s="86"/>
      <c r="BC444" s="86"/>
      <c r="BD444" s="86"/>
      <c r="BE444" s="86"/>
      <c r="BF444" s="86"/>
      <c r="BG444" s="86"/>
      <c r="BH444" s="86"/>
      <c r="BI444" s="86"/>
      <c r="BJ444" s="86"/>
      <c r="BK444" s="86"/>
      <c r="BL444" s="86"/>
      <c r="BM444" s="86"/>
      <c r="BN444" s="86"/>
      <c r="BO444" s="86"/>
      <c r="BP444" s="86"/>
      <c r="BQ444" s="86"/>
      <c r="BR444" s="86"/>
      <c r="BS444" s="86"/>
      <c r="BT444" s="86"/>
      <c r="BU444" s="86"/>
      <c r="BV444" s="86"/>
      <c r="BW444" s="86"/>
      <c r="BX444" s="86"/>
      <c r="BY444" s="86"/>
      <c r="BZ444" s="86"/>
      <c r="CA444" s="86"/>
      <c r="CB444" s="86"/>
      <c r="CC444" s="86"/>
      <c r="CD444" s="86"/>
      <c r="CE444" s="86"/>
      <c r="CF444" s="86"/>
      <c r="CG444" s="86"/>
      <c r="CH444" s="86"/>
      <c r="CI444" s="86"/>
      <c r="CJ444" s="86"/>
      <c r="CK444" s="86"/>
      <c r="CL444" s="86"/>
      <c r="CM444" s="86"/>
      <c r="CN444" s="86"/>
      <c r="CO444" s="86"/>
      <c r="CP444" s="86"/>
      <c r="CQ444" s="86"/>
      <c r="CR444" s="86"/>
      <c r="CS444" s="86"/>
      <c r="CT444" s="86"/>
      <c r="CU444" s="86"/>
      <c r="CV444" s="86"/>
      <c r="CW444" s="86"/>
      <c r="CX444" s="86"/>
      <c r="CY444" s="86"/>
      <c r="CZ444" s="86"/>
      <c r="DA444" s="86"/>
      <c r="DB444" s="86"/>
      <c r="DC444" s="86"/>
      <c r="DD444" s="86"/>
      <c r="DE444" s="86"/>
      <c r="DF444" s="86"/>
      <c r="DG444" s="86"/>
      <c r="DH444" s="86"/>
      <c r="DI444" s="86"/>
      <c r="DJ444" s="86"/>
      <c r="DK444" s="86"/>
      <c r="DL444" s="86"/>
      <c r="DM444" s="86"/>
      <c r="DN444" s="86"/>
      <c r="DO444" s="86"/>
      <c r="DP444" s="86"/>
      <c r="DQ444" s="86"/>
      <c r="DR444" s="86"/>
      <c r="DS444" s="86"/>
      <c r="DT444" s="86"/>
      <c r="DU444" s="86"/>
      <c r="DV444" s="86"/>
      <c r="DW444" s="86"/>
      <c r="DX444" s="86"/>
      <c r="DY444" s="86"/>
      <c r="DZ444" s="86"/>
      <c r="EA444" s="86"/>
      <c r="EB444" s="86"/>
      <c r="EC444" s="86"/>
      <c r="ED444" s="86"/>
      <c r="EE444" s="86"/>
      <c r="EF444" s="86"/>
      <c r="EG444" s="86"/>
      <c r="EH444" s="86"/>
      <c r="EI444" s="86"/>
      <c r="EJ444" s="86"/>
      <c r="EK444" s="86"/>
      <c r="EL444" s="86"/>
      <c r="EM444" s="86"/>
      <c r="EN444" s="86"/>
      <c r="EO444" s="86"/>
      <c r="EP444" s="86"/>
      <c r="EQ444" s="86"/>
      <c r="ER444" s="86"/>
      <c r="ES444" s="86"/>
      <c r="ET444" s="86"/>
      <c r="EU444" s="86"/>
      <c r="EV444" s="86"/>
      <c r="EW444" s="86"/>
      <c r="EX444" s="86"/>
      <c r="EY444" s="86"/>
      <c r="EZ444" s="86"/>
      <c r="FA444" s="86"/>
    </row>
    <row r="445" spans="2:157" ht="9.75" customHeight="1">
      <c r="B445" s="182"/>
      <c r="C445" s="182"/>
      <c r="D445" s="182"/>
      <c r="E445" s="182"/>
      <c r="F445" s="182"/>
      <c r="G445" s="182"/>
      <c r="H445" s="182"/>
      <c r="J445" s="101"/>
      <c r="K445" s="101"/>
      <c r="L445" s="101"/>
      <c r="Z445" s="86"/>
      <c r="AA445" s="86"/>
      <c r="AB445" s="86"/>
      <c r="AC445" s="86"/>
      <c r="AD445" s="86"/>
      <c r="AE445" s="86"/>
      <c r="AF445" s="86"/>
      <c r="AG445" s="86"/>
      <c r="AH445" s="86"/>
      <c r="AI445" s="86"/>
      <c r="AJ445" s="86"/>
      <c r="AK445" s="86"/>
      <c r="AL445" s="86"/>
      <c r="AM445" s="86"/>
      <c r="AN445" s="86"/>
      <c r="AO445" s="86"/>
      <c r="AP445" s="86"/>
      <c r="AQ445" s="86"/>
      <c r="AR445" s="86"/>
      <c r="AS445" s="86"/>
      <c r="AT445" s="86"/>
      <c r="AU445" s="86"/>
      <c r="AV445" s="86"/>
      <c r="AW445" s="86"/>
      <c r="AX445" s="86"/>
      <c r="AY445" s="86"/>
      <c r="AZ445" s="86"/>
      <c r="BA445" s="86"/>
      <c r="BB445" s="86"/>
      <c r="BC445" s="86"/>
      <c r="BD445" s="86"/>
      <c r="BE445" s="86"/>
      <c r="BF445" s="86"/>
      <c r="BG445" s="86"/>
      <c r="BH445" s="86"/>
      <c r="BI445" s="86"/>
      <c r="BJ445" s="86"/>
      <c r="BK445" s="86"/>
      <c r="BL445" s="86"/>
      <c r="BM445" s="86"/>
      <c r="BN445" s="86"/>
      <c r="BO445" s="86"/>
      <c r="BP445" s="86"/>
      <c r="BQ445" s="86"/>
      <c r="BR445" s="86"/>
      <c r="BS445" s="86"/>
      <c r="BT445" s="86"/>
      <c r="BU445" s="86"/>
      <c r="BV445" s="86"/>
      <c r="BW445" s="86"/>
      <c r="BX445" s="86"/>
      <c r="BY445" s="86"/>
      <c r="BZ445" s="86"/>
      <c r="CA445" s="86"/>
      <c r="CB445" s="86"/>
      <c r="CC445" s="86"/>
      <c r="CD445" s="86"/>
      <c r="CE445" s="86"/>
      <c r="CF445" s="86"/>
      <c r="CG445" s="86"/>
      <c r="CH445" s="86"/>
      <c r="CI445" s="86"/>
      <c r="CJ445" s="86"/>
      <c r="CK445" s="86"/>
      <c r="CL445" s="86"/>
      <c r="CM445" s="86"/>
      <c r="CN445" s="86"/>
      <c r="CO445" s="86"/>
      <c r="CP445" s="86"/>
      <c r="CQ445" s="86"/>
      <c r="CR445" s="86"/>
      <c r="CS445" s="86"/>
      <c r="CT445" s="86"/>
      <c r="CU445" s="86"/>
      <c r="CV445" s="86"/>
      <c r="CW445" s="86"/>
      <c r="CX445" s="86"/>
      <c r="CY445" s="86"/>
      <c r="CZ445" s="86"/>
      <c r="DA445" s="86"/>
      <c r="DB445" s="86"/>
      <c r="DC445" s="86"/>
      <c r="DD445" s="86"/>
      <c r="DE445" s="86"/>
      <c r="DF445" s="86"/>
      <c r="DG445" s="86"/>
      <c r="DH445" s="86"/>
      <c r="DI445" s="86"/>
      <c r="DJ445" s="86"/>
      <c r="DK445" s="86"/>
      <c r="DL445" s="86"/>
      <c r="DM445" s="86"/>
      <c r="DN445" s="86"/>
      <c r="DO445" s="86"/>
      <c r="DP445" s="86"/>
      <c r="DQ445" s="86"/>
      <c r="DR445" s="86"/>
      <c r="DS445" s="86"/>
      <c r="DT445" s="86"/>
      <c r="DU445" s="86"/>
      <c r="DV445" s="86"/>
      <c r="DW445" s="86"/>
      <c r="DX445" s="86"/>
      <c r="DY445" s="86"/>
      <c r="DZ445" s="86"/>
      <c r="EA445" s="86"/>
      <c r="EB445" s="86"/>
      <c r="EC445" s="86"/>
      <c r="ED445" s="86"/>
      <c r="EE445" s="86"/>
      <c r="EF445" s="86"/>
      <c r="EG445" s="86"/>
      <c r="EH445" s="86"/>
      <c r="EI445" s="86"/>
      <c r="EJ445" s="86"/>
      <c r="EK445" s="86"/>
      <c r="EL445" s="86"/>
      <c r="EM445" s="86"/>
      <c r="EN445" s="86"/>
      <c r="EO445" s="86"/>
      <c r="EP445" s="86"/>
      <c r="EQ445" s="86"/>
      <c r="ER445" s="86"/>
      <c r="ES445" s="86"/>
      <c r="ET445" s="86"/>
      <c r="EU445" s="86"/>
      <c r="EV445" s="86"/>
      <c r="EW445" s="86"/>
      <c r="EX445" s="86"/>
      <c r="EY445" s="86"/>
      <c r="EZ445" s="86"/>
      <c r="FA445" s="86"/>
    </row>
    <row r="446" spans="2:157" ht="9.75" customHeight="1">
      <c r="B446" s="182"/>
      <c r="C446" s="182"/>
      <c r="D446" s="182"/>
      <c r="E446" s="182"/>
      <c r="F446" s="182"/>
      <c r="G446" s="182"/>
      <c r="H446" s="182"/>
      <c r="J446" s="101"/>
      <c r="K446" s="101"/>
      <c r="L446" s="101"/>
      <c r="Z446" s="86"/>
      <c r="AA446" s="86"/>
      <c r="AB446" s="86"/>
      <c r="AC446" s="86"/>
      <c r="AD446" s="86"/>
      <c r="AE446" s="86"/>
      <c r="AF446" s="86"/>
      <c r="AG446" s="86"/>
      <c r="AH446" s="86"/>
      <c r="AI446" s="86"/>
      <c r="AJ446" s="86"/>
      <c r="AK446" s="86"/>
      <c r="AL446" s="86"/>
      <c r="AM446" s="86"/>
      <c r="AN446" s="86"/>
      <c r="AO446" s="86"/>
      <c r="AP446" s="86"/>
      <c r="AQ446" s="86"/>
      <c r="AR446" s="86"/>
      <c r="AS446" s="86"/>
      <c r="AT446" s="86"/>
      <c r="AU446" s="86"/>
      <c r="AV446" s="86"/>
      <c r="AW446" s="86"/>
      <c r="AX446" s="86"/>
      <c r="AY446" s="86"/>
      <c r="AZ446" s="86"/>
      <c r="BA446" s="86"/>
      <c r="BB446" s="86"/>
      <c r="BC446" s="86"/>
      <c r="BD446" s="86"/>
      <c r="BE446" s="86"/>
      <c r="BF446" s="86"/>
      <c r="BG446" s="86"/>
      <c r="BH446" s="86"/>
      <c r="BI446" s="86"/>
      <c r="BJ446" s="86"/>
      <c r="BK446" s="86"/>
      <c r="BL446" s="86"/>
      <c r="BM446" s="86"/>
      <c r="BN446" s="86"/>
      <c r="BO446" s="86"/>
      <c r="BP446" s="86"/>
      <c r="BQ446" s="86"/>
      <c r="BR446" s="86"/>
      <c r="BS446" s="86"/>
      <c r="BT446" s="86"/>
      <c r="BU446" s="86"/>
      <c r="BV446" s="86"/>
      <c r="BW446" s="86"/>
      <c r="BX446" s="86"/>
      <c r="BY446" s="86"/>
      <c r="BZ446" s="86"/>
      <c r="CA446" s="86"/>
      <c r="CB446" s="86"/>
      <c r="CC446" s="86"/>
      <c r="CD446" s="86"/>
      <c r="CE446" s="86"/>
      <c r="CF446" s="86"/>
      <c r="CG446" s="86"/>
      <c r="CH446" s="86"/>
      <c r="CI446" s="86"/>
      <c r="CJ446" s="86"/>
      <c r="CK446" s="86"/>
      <c r="CL446" s="86"/>
      <c r="CM446" s="86"/>
      <c r="CN446" s="86"/>
      <c r="CO446" s="86"/>
      <c r="CP446" s="86"/>
      <c r="CQ446" s="86"/>
      <c r="CR446" s="86"/>
      <c r="CS446" s="86"/>
      <c r="CT446" s="86"/>
      <c r="CU446" s="86"/>
      <c r="CV446" s="86"/>
      <c r="CW446" s="86"/>
      <c r="CX446" s="86"/>
      <c r="CY446" s="86"/>
      <c r="CZ446" s="86"/>
      <c r="DA446" s="86"/>
      <c r="DB446" s="86"/>
      <c r="DC446" s="86"/>
      <c r="DD446" s="86"/>
      <c r="DE446" s="86"/>
      <c r="DF446" s="86"/>
      <c r="DG446" s="86"/>
      <c r="DH446" s="86"/>
      <c r="DI446" s="86"/>
      <c r="DJ446" s="86"/>
      <c r="DK446" s="86"/>
      <c r="DL446" s="86"/>
      <c r="DM446" s="86"/>
      <c r="DN446" s="86"/>
      <c r="DO446" s="86"/>
      <c r="DP446" s="86"/>
      <c r="DQ446" s="86"/>
      <c r="DR446" s="86"/>
      <c r="DS446" s="86"/>
      <c r="DT446" s="86"/>
      <c r="DU446" s="86"/>
      <c r="DV446" s="86"/>
      <c r="DW446" s="86"/>
      <c r="DX446" s="86"/>
      <c r="DY446" s="86"/>
      <c r="DZ446" s="86"/>
      <c r="EA446" s="86"/>
      <c r="EB446" s="86"/>
      <c r="EC446" s="86"/>
      <c r="ED446" s="86"/>
      <c r="EE446" s="86"/>
      <c r="EF446" s="86"/>
      <c r="EG446" s="86"/>
      <c r="EH446" s="86"/>
      <c r="EI446" s="86"/>
      <c r="EJ446" s="86"/>
      <c r="EK446" s="86"/>
      <c r="EL446" s="86"/>
      <c r="EM446" s="86"/>
      <c r="EN446" s="86"/>
      <c r="EO446" s="86"/>
      <c r="EP446" s="86"/>
      <c r="EQ446" s="86"/>
      <c r="ER446" s="86"/>
      <c r="ES446" s="86"/>
      <c r="ET446" s="86"/>
      <c r="EU446" s="86"/>
      <c r="EV446" s="86"/>
      <c r="EW446" s="86"/>
      <c r="EX446" s="86"/>
      <c r="EY446" s="86"/>
      <c r="EZ446" s="86"/>
      <c r="FA446" s="86"/>
    </row>
    <row r="447" spans="2:157" ht="9.75" customHeight="1">
      <c r="B447" s="182"/>
      <c r="C447" s="182"/>
      <c r="D447" s="182"/>
      <c r="E447" s="182"/>
      <c r="F447" s="182"/>
      <c r="G447" s="182"/>
      <c r="H447" s="182"/>
      <c r="J447" s="101"/>
      <c r="K447" s="101"/>
      <c r="L447" s="101"/>
      <c r="Z447" s="86"/>
      <c r="AA447" s="86"/>
      <c r="AB447" s="86"/>
      <c r="AC447" s="86"/>
      <c r="AD447" s="86"/>
      <c r="AE447" s="86"/>
      <c r="AF447" s="86"/>
      <c r="AG447" s="86"/>
      <c r="AH447" s="86"/>
      <c r="AI447" s="86"/>
      <c r="AJ447" s="86"/>
      <c r="AK447" s="86"/>
      <c r="AL447" s="86"/>
      <c r="AM447" s="86"/>
      <c r="AN447" s="86"/>
      <c r="AO447" s="86"/>
      <c r="AP447" s="86"/>
      <c r="AQ447" s="86"/>
      <c r="AR447" s="86"/>
      <c r="AS447" s="86"/>
      <c r="AT447" s="86"/>
      <c r="AU447" s="86"/>
      <c r="AV447" s="86"/>
      <c r="AW447" s="86"/>
      <c r="AX447" s="86"/>
      <c r="AY447" s="86"/>
      <c r="AZ447" s="86"/>
      <c r="BA447" s="86"/>
      <c r="BB447" s="86"/>
      <c r="BC447" s="86"/>
      <c r="BD447" s="86"/>
      <c r="BE447" s="86"/>
      <c r="BF447" s="86"/>
      <c r="BG447" s="86"/>
      <c r="BH447" s="86"/>
      <c r="BI447" s="86"/>
      <c r="BJ447" s="86"/>
      <c r="BK447" s="86"/>
      <c r="BL447" s="86"/>
      <c r="BM447" s="86"/>
      <c r="BN447" s="86"/>
      <c r="BO447" s="86"/>
      <c r="BP447" s="86"/>
      <c r="BQ447" s="86"/>
      <c r="BR447" s="86"/>
      <c r="BS447" s="86"/>
      <c r="BT447" s="86"/>
      <c r="BU447" s="86"/>
      <c r="BV447" s="86"/>
      <c r="BW447" s="86"/>
      <c r="BX447" s="86"/>
      <c r="BY447" s="86"/>
      <c r="BZ447" s="86"/>
      <c r="CA447" s="86"/>
      <c r="CB447" s="86"/>
      <c r="CC447" s="86"/>
      <c r="CD447" s="86"/>
      <c r="CE447" s="86"/>
      <c r="CF447" s="86"/>
      <c r="CG447" s="86"/>
      <c r="CH447" s="86"/>
      <c r="CI447" s="86"/>
      <c r="CJ447" s="86"/>
      <c r="CK447" s="86"/>
      <c r="CL447" s="86"/>
      <c r="CM447" s="86"/>
      <c r="CN447" s="86"/>
      <c r="CO447" s="86"/>
      <c r="CP447" s="86"/>
      <c r="CQ447" s="86"/>
      <c r="CR447" s="86"/>
      <c r="CS447" s="86"/>
      <c r="CT447" s="86"/>
      <c r="CU447" s="86"/>
      <c r="CV447" s="86"/>
      <c r="CW447" s="86"/>
      <c r="CX447" s="86"/>
      <c r="CY447" s="86"/>
      <c r="CZ447" s="86"/>
      <c r="DA447" s="86"/>
      <c r="DB447" s="86"/>
      <c r="DC447" s="86"/>
      <c r="DD447" s="86"/>
      <c r="DE447" s="86"/>
      <c r="DF447" s="86"/>
      <c r="DG447" s="86"/>
      <c r="DH447" s="86"/>
      <c r="DI447" s="86"/>
      <c r="DJ447" s="86"/>
      <c r="DK447" s="86"/>
      <c r="DL447" s="86"/>
      <c r="DM447" s="86"/>
      <c r="DN447" s="86"/>
      <c r="DO447" s="86"/>
      <c r="DP447" s="86"/>
      <c r="DQ447" s="86"/>
      <c r="DR447" s="86"/>
      <c r="DS447" s="86"/>
      <c r="DT447" s="86"/>
      <c r="DU447" s="86"/>
      <c r="DV447" s="86"/>
      <c r="DW447" s="86"/>
      <c r="DX447" s="86"/>
      <c r="DY447" s="86"/>
      <c r="DZ447" s="86"/>
      <c r="EA447" s="86"/>
      <c r="EB447" s="86"/>
      <c r="EC447" s="86"/>
      <c r="ED447" s="86"/>
      <c r="EE447" s="86"/>
      <c r="EF447" s="86"/>
      <c r="EG447" s="86"/>
      <c r="EH447" s="86"/>
      <c r="EI447" s="86"/>
      <c r="EJ447" s="86"/>
      <c r="EK447" s="86"/>
      <c r="EL447" s="86"/>
      <c r="EM447" s="86"/>
      <c r="EN447" s="86"/>
      <c r="EO447" s="86"/>
      <c r="EP447" s="86"/>
      <c r="EQ447" s="86"/>
      <c r="ER447" s="86"/>
      <c r="ES447" s="86"/>
      <c r="ET447" s="86"/>
      <c r="EU447" s="86"/>
      <c r="EV447" s="86"/>
      <c r="EW447" s="86"/>
      <c r="EX447" s="86"/>
      <c r="EY447" s="86"/>
      <c r="EZ447" s="86"/>
      <c r="FA447" s="86"/>
    </row>
    <row r="448" spans="2:157" ht="9.75" customHeight="1">
      <c r="B448" s="182"/>
      <c r="C448" s="182"/>
      <c r="D448" s="182"/>
      <c r="E448" s="182"/>
      <c r="F448" s="182"/>
      <c r="G448" s="182"/>
      <c r="H448" s="182"/>
      <c r="J448" s="101"/>
      <c r="K448" s="101"/>
      <c r="L448" s="101"/>
      <c r="Z448" s="86"/>
      <c r="AA448" s="86"/>
      <c r="AB448" s="86"/>
      <c r="AC448" s="86"/>
      <c r="AD448" s="86"/>
      <c r="AE448" s="86"/>
      <c r="AF448" s="86"/>
      <c r="AG448" s="86"/>
      <c r="AH448" s="86"/>
      <c r="AI448" s="86"/>
      <c r="AJ448" s="86"/>
      <c r="AK448" s="86"/>
      <c r="AL448" s="86"/>
      <c r="AM448" s="86"/>
      <c r="AN448" s="86"/>
      <c r="AO448" s="86"/>
      <c r="AP448" s="86"/>
      <c r="AQ448" s="86"/>
      <c r="AR448" s="86"/>
      <c r="AS448" s="86"/>
      <c r="AT448" s="86"/>
      <c r="AU448" s="86"/>
      <c r="AV448" s="86"/>
      <c r="AW448" s="86"/>
      <c r="AX448" s="86"/>
      <c r="AY448" s="86"/>
      <c r="AZ448" s="86"/>
      <c r="BA448" s="86"/>
      <c r="BB448" s="86"/>
      <c r="BC448" s="86"/>
      <c r="BD448" s="86"/>
      <c r="BE448" s="86"/>
      <c r="BF448" s="86"/>
      <c r="BG448" s="86"/>
      <c r="BH448" s="86"/>
      <c r="BI448" s="86"/>
      <c r="BJ448" s="86"/>
      <c r="BK448" s="86"/>
      <c r="BL448" s="86"/>
      <c r="BM448" s="86"/>
      <c r="BN448" s="86"/>
      <c r="BO448" s="86"/>
      <c r="BP448" s="86"/>
      <c r="BQ448" s="86"/>
      <c r="BR448" s="86"/>
      <c r="BS448" s="86"/>
      <c r="BT448" s="86"/>
      <c r="BU448" s="86"/>
      <c r="BV448" s="86"/>
      <c r="BW448" s="86"/>
      <c r="BX448" s="86"/>
      <c r="BY448" s="86"/>
      <c r="BZ448" s="86"/>
      <c r="CA448" s="86"/>
      <c r="CB448" s="86"/>
      <c r="CC448" s="86"/>
      <c r="CD448" s="86"/>
      <c r="CE448" s="86"/>
      <c r="CF448" s="86"/>
      <c r="CG448" s="86"/>
      <c r="CH448" s="86"/>
      <c r="CI448" s="86"/>
      <c r="CJ448" s="86"/>
      <c r="CK448" s="86"/>
      <c r="CL448" s="86"/>
      <c r="CM448" s="86"/>
      <c r="CN448" s="86"/>
      <c r="CO448" s="86"/>
      <c r="CP448" s="86"/>
      <c r="CQ448" s="86"/>
      <c r="CR448" s="86"/>
      <c r="CS448" s="86"/>
      <c r="CT448" s="86"/>
      <c r="CU448" s="86"/>
      <c r="CV448" s="86"/>
      <c r="CW448" s="86"/>
      <c r="CX448" s="86"/>
      <c r="CY448" s="86"/>
      <c r="CZ448" s="86"/>
      <c r="DA448" s="86"/>
      <c r="DB448" s="86"/>
      <c r="DC448" s="86"/>
      <c r="DD448" s="86"/>
      <c r="DE448" s="86"/>
      <c r="DF448" s="86"/>
      <c r="DG448" s="86"/>
      <c r="DH448" s="86"/>
      <c r="DI448" s="86"/>
      <c r="DJ448" s="86"/>
      <c r="DK448" s="86"/>
      <c r="DL448" s="86"/>
      <c r="DM448" s="86"/>
      <c r="DN448" s="86"/>
      <c r="DO448" s="86"/>
      <c r="DP448" s="86"/>
      <c r="DQ448" s="86"/>
      <c r="DR448" s="86"/>
      <c r="DS448" s="86"/>
      <c r="DT448" s="86"/>
      <c r="DU448" s="86"/>
      <c r="DV448" s="86"/>
      <c r="DW448" s="86"/>
      <c r="DX448" s="86"/>
      <c r="DY448" s="86"/>
      <c r="DZ448" s="86"/>
      <c r="EA448" s="86"/>
      <c r="EB448" s="86"/>
      <c r="EC448" s="86"/>
      <c r="ED448" s="86"/>
      <c r="EE448" s="86"/>
      <c r="EF448" s="86"/>
      <c r="EG448" s="86"/>
      <c r="EH448" s="86"/>
      <c r="EI448" s="86"/>
      <c r="EJ448" s="86"/>
      <c r="EK448" s="86"/>
      <c r="EL448" s="86"/>
      <c r="EM448" s="86"/>
      <c r="EN448" s="86"/>
      <c r="EO448" s="86"/>
      <c r="EP448" s="86"/>
      <c r="EQ448" s="86"/>
      <c r="ER448" s="86"/>
      <c r="ES448" s="86"/>
      <c r="ET448" s="86"/>
      <c r="EU448" s="86"/>
      <c r="EV448" s="86"/>
      <c r="EW448" s="86"/>
      <c r="EX448" s="86"/>
      <c r="EY448" s="86"/>
      <c r="EZ448" s="86"/>
      <c r="FA448" s="86"/>
    </row>
    <row r="449" spans="2:157" ht="9.75" customHeight="1">
      <c r="B449" s="182"/>
      <c r="C449" s="182"/>
      <c r="D449" s="182"/>
      <c r="E449" s="182"/>
      <c r="F449" s="182"/>
      <c r="G449" s="182"/>
      <c r="H449" s="182"/>
      <c r="J449" s="101"/>
      <c r="K449" s="101"/>
      <c r="L449" s="101"/>
      <c r="Z449" s="86"/>
      <c r="AA449" s="86"/>
      <c r="AB449" s="86"/>
      <c r="AC449" s="86"/>
      <c r="AD449" s="86"/>
      <c r="AE449" s="86"/>
      <c r="AF449" s="86"/>
      <c r="AG449" s="86"/>
      <c r="AH449" s="86"/>
      <c r="AI449" s="86"/>
      <c r="AJ449" s="86"/>
      <c r="AK449" s="86"/>
      <c r="AL449" s="86"/>
      <c r="AM449" s="86"/>
      <c r="AN449" s="86"/>
      <c r="AO449" s="86"/>
      <c r="AP449" s="86"/>
      <c r="AQ449" s="86"/>
      <c r="AR449" s="86"/>
      <c r="AS449" s="86"/>
      <c r="AT449" s="86"/>
      <c r="AU449" s="86"/>
      <c r="AV449" s="86"/>
      <c r="AW449" s="86"/>
      <c r="AX449" s="86"/>
      <c r="AY449" s="86"/>
      <c r="AZ449" s="86"/>
      <c r="BA449" s="86"/>
      <c r="BB449" s="86"/>
      <c r="BC449" s="86"/>
      <c r="BD449" s="86"/>
      <c r="BE449" s="86"/>
      <c r="BF449" s="86"/>
      <c r="BG449" s="86"/>
      <c r="BH449" s="86"/>
      <c r="BI449" s="86"/>
      <c r="BJ449" s="86"/>
      <c r="BK449" s="86"/>
      <c r="BL449" s="86"/>
      <c r="BM449" s="86"/>
      <c r="BN449" s="86"/>
      <c r="BO449" s="86"/>
      <c r="BP449" s="86"/>
      <c r="BQ449" s="86"/>
      <c r="BR449" s="86"/>
      <c r="BS449" s="86"/>
      <c r="BT449" s="86"/>
      <c r="BU449" s="86"/>
      <c r="BV449" s="86"/>
      <c r="BW449" s="86"/>
      <c r="BX449" s="86"/>
      <c r="BY449" s="86"/>
      <c r="BZ449" s="86"/>
      <c r="CA449" s="86"/>
      <c r="CB449" s="86"/>
      <c r="CC449" s="86"/>
      <c r="CD449" s="86"/>
      <c r="CE449" s="86"/>
      <c r="CF449" s="86"/>
      <c r="CG449" s="86"/>
      <c r="CH449" s="86"/>
      <c r="CI449" s="86"/>
      <c r="CJ449" s="86"/>
      <c r="CK449" s="86"/>
      <c r="CL449" s="86"/>
      <c r="CM449" s="86"/>
      <c r="CN449" s="86"/>
      <c r="CO449" s="86"/>
      <c r="CP449" s="86"/>
      <c r="CQ449" s="86"/>
      <c r="CR449" s="86"/>
      <c r="CS449" s="86"/>
      <c r="CT449" s="86"/>
      <c r="CU449" s="86"/>
      <c r="CV449" s="86"/>
      <c r="CW449" s="86"/>
      <c r="CX449" s="86"/>
      <c r="CY449" s="86"/>
      <c r="CZ449" s="86"/>
      <c r="DA449" s="86"/>
      <c r="DB449" s="86"/>
      <c r="DC449" s="86"/>
      <c r="DD449" s="86"/>
      <c r="DE449" s="86"/>
      <c r="DF449" s="86"/>
      <c r="DG449" s="86"/>
      <c r="DH449" s="86"/>
      <c r="DI449" s="86"/>
      <c r="DJ449" s="86"/>
      <c r="DK449" s="86"/>
      <c r="DL449" s="86"/>
      <c r="DM449" s="86"/>
      <c r="DN449" s="86"/>
      <c r="DO449" s="86"/>
      <c r="DP449" s="86"/>
      <c r="DQ449" s="86"/>
      <c r="DR449" s="86"/>
      <c r="DS449" s="86"/>
      <c r="DT449" s="86"/>
      <c r="DU449" s="86"/>
      <c r="DV449" s="86"/>
      <c r="DW449" s="86"/>
      <c r="DX449" s="86"/>
      <c r="DY449" s="86"/>
      <c r="DZ449" s="86"/>
      <c r="EA449" s="86"/>
      <c r="EB449" s="86"/>
      <c r="EC449" s="86"/>
      <c r="ED449" s="86"/>
      <c r="EE449" s="86"/>
      <c r="EF449" s="86"/>
      <c r="EG449" s="86"/>
      <c r="EH449" s="86"/>
      <c r="EI449" s="86"/>
      <c r="EJ449" s="86"/>
      <c r="EK449" s="86"/>
      <c r="EL449" s="86"/>
      <c r="EM449" s="86"/>
      <c r="EN449" s="86"/>
      <c r="EO449" s="86"/>
      <c r="EP449" s="86"/>
      <c r="EQ449" s="86"/>
      <c r="ER449" s="86"/>
      <c r="ES449" s="86"/>
      <c r="ET449" s="86"/>
      <c r="EU449" s="86"/>
      <c r="EV449" s="86"/>
      <c r="EW449" s="86"/>
      <c r="EX449" s="86"/>
      <c r="EY449" s="86"/>
      <c r="EZ449" s="86"/>
      <c r="FA449" s="86"/>
    </row>
    <row r="450" spans="2:157" ht="9.75" customHeight="1">
      <c r="B450" s="182"/>
      <c r="C450" s="182"/>
      <c r="D450" s="182"/>
      <c r="E450" s="182"/>
      <c r="F450" s="182"/>
      <c r="G450" s="182"/>
      <c r="H450" s="182"/>
      <c r="J450" s="101"/>
      <c r="K450" s="101"/>
      <c r="L450" s="101"/>
      <c r="Z450" s="86"/>
      <c r="AA450" s="86"/>
      <c r="AB450" s="86"/>
      <c r="AC450" s="86"/>
      <c r="AD450" s="86"/>
      <c r="AE450" s="86"/>
      <c r="AF450" s="86"/>
      <c r="AG450" s="86"/>
      <c r="AH450" s="86"/>
      <c r="AI450" s="86"/>
      <c r="AJ450" s="86"/>
      <c r="AK450" s="86"/>
      <c r="AL450" s="86"/>
      <c r="AM450" s="86"/>
      <c r="AN450" s="86"/>
      <c r="AO450" s="86"/>
      <c r="AP450" s="86"/>
      <c r="AQ450" s="86"/>
      <c r="AR450" s="86"/>
      <c r="AS450" s="86"/>
      <c r="AT450" s="86"/>
      <c r="AU450" s="86"/>
      <c r="AV450" s="86"/>
      <c r="AW450" s="86"/>
      <c r="AX450" s="86"/>
      <c r="AY450" s="86"/>
      <c r="AZ450" s="86"/>
      <c r="BA450" s="86"/>
      <c r="BB450" s="86"/>
      <c r="BC450" s="86"/>
      <c r="BD450" s="86"/>
      <c r="BE450" s="86"/>
      <c r="BF450" s="86"/>
      <c r="BG450" s="86"/>
      <c r="BH450" s="86"/>
      <c r="BI450" s="86"/>
      <c r="BJ450" s="86"/>
      <c r="BK450" s="86"/>
      <c r="BL450" s="86"/>
      <c r="BM450" s="86"/>
      <c r="BN450" s="86"/>
      <c r="BO450" s="86"/>
      <c r="BP450" s="86"/>
      <c r="BQ450" s="86"/>
      <c r="BR450" s="86"/>
      <c r="BS450" s="86"/>
      <c r="BT450" s="86"/>
      <c r="BU450" s="86"/>
      <c r="BV450" s="86"/>
      <c r="BW450" s="86"/>
      <c r="BX450" s="86"/>
      <c r="BY450" s="86"/>
      <c r="BZ450" s="86"/>
      <c r="CA450" s="86"/>
      <c r="CB450" s="86"/>
      <c r="CC450" s="86"/>
      <c r="CD450" s="86"/>
      <c r="CE450" s="86"/>
      <c r="CF450" s="86"/>
      <c r="CG450" s="86"/>
      <c r="CH450" s="86"/>
      <c r="CI450" s="86"/>
      <c r="CJ450" s="86"/>
      <c r="CK450" s="86"/>
      <c r="CL450" s="86"/>
      <c r="CM450" s="86"/>
      <c r="CN450" s="86"/>
      <c r="CO450" s="86"/>
      <c r="CP450" s="86"/>
      <c r="CQ450" s="86"/>
      <c r="CR450" s="86"/>
      <c r="CS450" s="86"/>
      <c r="CT450" s="86"/>
      <c r="CU450" s="86"/>
      <c r="CV450" s="86"/>
      <c r="CW450" s="86"/>
      <c r="CX450" s="86"/>
      <c r="CY450" s="86"/>
      <c r="CZ450" s="86"/>
      <c r="DA450" s="86"/>
      <c r="DB450" s="86"/>
      <c r="DC450" s="86"/>
      <c r="DD450" s="86"/>
      <c r="DE450" s="86"/>
      <c r="DF450" s="86"/>
      <c r="DG450" s="86"/>
      <c r="DH450" s="86"/>
      <c r="DI450" s="86"/>
      <c r="DJ450" s="86"/>
      <c r="DK450" s="86"/>
      <c r="DL450" s="86"/>
      <c r="DM450" s="86"/>
      <c r="DN450" s="86"/>
      <c r="DO450" s="86"/>
      <c r="DP450" s="86"/>
      <c r="DQ450" s="86"/>
      <c r="DR450" s="86"/>
      <c r="DS450" s="86"/>
      <c r="DT450" s="86"/>
      <c r="DU450" s="86"/>
      <c r="DV450" s="86"/>
      <c r="DW450" s="86"/>
      <c r="DX450" s="86"/>
      <c r="DY450" s="86"/>
      <c r="DZ450" s="86"/>
      <c r="EA450" s="86"/>
      <c r="EB450" s="86"/>
      <c r="EC450" s="86"/>
      <c r="ED450" s="86"/>
      <c r="EE450" s="86"/>
      <c r="EF450" s="86"/>
      <c r="EG450" s="86"/>
      <c r="EH450" s="86"/>
      <c r="EI450" s="86"/>
      <c r="EJ450" s="86"/>
      <c r="EK450" s="86"/>
      <c r="EL450" s="86"/>
      <c r="EM450" s="86"/>
      <c r="EN450" s="86"/>
      <c r="EO450" s="86"/>
      <c r="EP450" s="86"/>
      <c r="EQ450" s="86"/>
      <c r="ER450" s="86"/>
      <c r="ES450" s="86"/>
      <c r="ET450" s="86"/>
      <c r="EU450" s="86"/>
      <c r="EV450" s="86"/>
      <c r="EW450" s="86"/>
      <c r="EX450" s="86"/>
      <c r="EY450" s="86"/>
      <c r="EZ450" s="86"/>
      <c r="FA450" s="86"/>
    </row>
    <row r="451" spans="2:157" ht="9.75" customHeight="1">
      <c r="B451" s="182"/>
      <c r="C451" s="182"/>
      <c r="D451" s="182"/>
      <c r="E451" s="182"/>
      <c r="F451" s="182"/>
      <c r="G451" s="182"/>
      <c r="H451" s="182"/>
      <c r="J451" s="101"/>
      <c r="K451" s="101"/>
      <c r="L451" s="101"/>
      <c r="Z451" s="86"/>
      <c r="AA451" s="86"/>
      <c r="AB451" s="86"/>
      <c r="AC451" s="86"/>
      <c r="AD451" s="86"/>
      <c r="AE451" s="86"/>
      <c r="AF451" s="86"/>
      <c r="AG451" s="86"/>
      <c r="AH451" s="86"/>
      <c r="AI451" s="86"/>
      <c r="AJ451" s="86"/>
      <c r="AK451" s="86"/>
      <c r="AL451" s="86"/>
      <c r="AM451" s="86"/>
      <c r="AN451" s="86"/>
      <c r="AO451" s="86"/>
      <c r="AP451" s="86"/>
      <c r="AQ451" s="86"/>
      <c r="AR451" s="86"/>
      <c r="AS451" s="86"/>
      <c r="AT451" s="86"/>
      <c r="AU451" s="86"/>
      <c r="AV451" s="86"/>
      <c r="AW451" s="86"/>
      <c r="AX451" s="86"/>
      <c r="AY451" s="86"/>
      <c r="AZ451" s="86"/>
      <c r="BA451" s="86"/>
      <c r="BB451" s="86"/>
      <c r="BC451" s="86"/>
      <c r="BD451" s="86"/>
      <c r="BE451" s="86"/>
      <c r="BF451" s="86"/>
      <c r="BG451" s="86"/>
      <c r="BH451" s="86"/>
      <c r="BI451" s="86"/>
      <c r="BJ451" s="86"/>
      <c r="BK451" s="86"/>
      <c r="BL451" s="86"/>
      <c r="BM451" s="86"/>
      <c r="BN451" s="86"/>
      <c r="BO451" s="86"/>
      <c r="BP451" s="86"/>
      <c r="BQ451" s="86"/>
      <c r="BR451" s="86"/>
      <c r="BS451" s="86"/>
      <c r="BT451" s="86"/>
      <c r="BU451" s="86"/>
      <c r="BV451" s="86"/>
      <c r="BW451" s="86"/>
      <c r="BX451" s="86"/>
      <c r="BY451" s="86"/>
      <c r="BZ451" s="86"/>
      <c r="CA451" s="86"/>
      <c r="CB451" s="86"/>
      <c r="CC451" s="86"/>
      <c r="CD451" s="86"/>
      <c r="CE451" s="86"/>
      <c r="CF451" s="86"/>
      <c r="CG451" s="86"/>
      <c r="CH451" s="86"/>
      <c r="CI451" s="86"/>
      <c r="CJ451" s="86"/>
      <c r="CK451" s="86"/>
      <c r="CL451" s="86"/>
      <c r="CM451" s="86"/>
      <c r="CN451" s="86"/>
      <c r="CO451" s="86"/>
      <c r="CP451" s="86"/>
      <c r="CQ451" s="86"/>
      <c r="CR451" s="86"/>
      <c r="CS451" s="86"/>
      <c r="CT451" s="86"/>
      <c r="CU451" s="86"/>
      <c r="CV451" s="86"/>
      <c r="CW451" s="86"/>
      <c r="CX451" s="86"/>
      <c r="CY451" s="86"/>
      <c r="CZ451" s="86"/>
      <c r="DA451" s="86"/>
      <c r="DB451" s="86"/>
      <c r="DC451" s="86"/>
      <c r="DD451" s="86"/>
      <c r="DE451" s="86"/>
      <c r="DF451" s="86"/>
      <c r="DG451" s="86"/>
      <c r="DH451" s="86"/>
      <c r="DI451" s="86"/>
      <c r="DJ451" s="86"/>
      <c r="DK451" s="86"/>
      <c r="DL451" s="86"/>
      <c r="DM451" s="86"/>
      <c r="DN451" s="86"/>
      <c r="DO451" s="86"/>
      <c r="DP451" s="86"/>
      <c r="DQ451" s="86"/>
      <c r="DR451" s="86"/>
      <c r="DS451" s="86"/>
      <c r="DT451" s="86"/>
      <c r="DU451" s="86"/>
      <c r="DV451" s="86"/>
      <c r="DW451" s="86"/>
      <c r="DX451" s="86"/>
      <c r="DY451" s="86"/>
      <c r="DZ451" s="86"/>
      <c r="EA451" s="86"/>
      <c r="EB451" s="86"/>
      <c r="EC451" s="86"/>
      <c r="ED451" s="86"/>
      <c r="EE451" s="86"/>
      <c r="EF451" s="86"/>
      <c r="EG451" s="86"/>
      <c r="EH451" s="86"/>
      <c r="EI451" s="86"/>
      <c r="EJ451" s="86"/>
      <c r="EK451" s="86"/>
      <c r="EL451" s="86"/>
      <c r="EM451" s="86"/>
      <c r="EN451" s="86"/>
      <c r="EO451" s="86"/>
      <c r="EP451" s="86"/>
      <c r="EQ451" s="86"/>
      <c r="ER451" s="86"/>
      <c r="ES451" s="86"/>
      <c r="ET451" s="86"/>
      <c r="EU451" s="86"/>
      <c r="EV451" s="86"/>
      <c r="EW451" s="86"/>
      <c r="EX451" s="86"/>
      <c r="EY451" s="86"/>
      <c r="EZ451" s="86"/>
      <c r="FA451" s="86"/>
    </row>
    <row r="452" spans="2:157" ht="9.75" customHeight="1">
      <c r="B452" s="182"/>
      <c r="C452" s="182"/>
      <c r="D452" s="182"/>
      <c r="E452" s="182"/>
      <c r="F452" s="182"/>
      <c r="G452" s="182"/>
      <c r="H452" s="182"/>
      <c r="J452" s="101"/>
      <c r="K452" s="101"/>
      <c r="L452" s="101"/>
      <c r="Z452" s="86"/>
      <c r="AA452" s="86"/>
      <c r="AB452" s="86"/>
      <c r="AC452" s="86"/>
      <c r="AD452" s="86"/>
      <c r="AE452" s="86"/>
      <c r="AF452" s="86"/>
      <c r="AG452" s="86"/>
      <c r="AH452" s="86"/>
      <c r="AI452" s="86"/>
      <c r="AJ452" s="86"/>
      <c r="AK452" s="86"/>
      <c r="AL452" s="86"/>
      <c r="AM452" s="86"/>
      <c r="AN452" s="86"/>
      <c r="AO452" s="86"/>
      <c r="AP452" s="86"/>
      <c r="AQ452" s="86"/>
      <c r="AR452" s="86"/>
      <c r="AS452" s="86"/>
      <c r="AT452" s="86"/>
      <c r="AU452" s="86"/>
      <c r="AV452" s="86"/>
      <c r="AW452" s="86"/>
      <c r="AX452" s="86"/>
      <c r="AY452" s="86"/>
      <c r="AZ452" s="86"/>
      <c r="BA452" s="86"/>
      <c r="BB452" s="86"/>
      <c r="BC452" s="86"/>
      <c r="BD452" s="86"/>
      <c r="BE452" s="86"/>
      <c r="BF452" s="86"/>
      <c r="BG452" s="86"/>
      <c r="BH452" s="86"/>
      <c r="BI452" s="86"/>
      <c r="BJ452" s="86"/>
      <c r="BK452" s="86"/>
      <c r="BL452" s="86"/>
      <c r="BM452" s="86"/>
      <c r="BN452" s="86"/>
      <c r="BO452" s="86"/>
      <c r="BP452" s="86"/>
      <c r="BQ452" s="86"/>
      <c r="BR452" s="86"/>
      <c r="BS452" s="86"/>
      <c r="BT452" s="86"/>
      <c r="BU452" s="86"/>
      <c r="BV452" s="86"/>
      <c r="BW452" s="86"/>
      <c r="BX452" s="86"/>
      <c r="BY452" s="86"/>
      <c r="BZ452" s="86"/>
      <c r="CA452" s="86"/>
      <c r="CB452" s="86"/>
      <c r="CC452" s="86"/>
      <c r="CD452" s="86"/>
      <c r="CE452" s="86"/>
      <c r="CF452" s="86"/>
      <c r="CG452" s="86"/>
      <c r="CH452" s="86"/>
      <c r="CI452" s="86"/>
      <c r="CJ452" s="86"/>
      <c r="CK452" s="86"/>
      <c r="CL452" s="86"/>
      <c r="CM452" s="86"/>
      <c r="CN452" s="86"/>
      <c r="CO452" s="86"/>
      <c r="CP452" s="86"/>
      <c r="CQ452" s="86"/>
      <c r="CR452" s="86"/>
      <c r="CS452" s="86"/>
      <c r="CT452" s="86"/>
      <c r="CU452" s="86"/>
      <c r="CV452" s="86"/>
      <c r="CW452" s="86"/>
      <c r="CX452" s="86"/>
      <c r="CY452" s="86"/>
      <c r="CZ452" s="86"/>
      <c r="DA452" s="86"/>
      <c r="DB452" s="86"/>
      <c r="DC452" s="86"/>
      <c r="DD452" s="86"/>
      <c r="DE452" s="86"/>
      <c r="DF452" s="86"/>
      <c r="DG452" s="86"/>
      <c r="DH452" s="86"/>
      <c r="DI452" s="86"/>
      <c r="DJ452" s="86"/>
      <c r="DK452" s="86"/>
      <c r="DL452" s="86"/>
      <c r="DM452" s="86"/>
      <c r="DN452" s="86"/>
      <c r="DO452" s="86"/>
      <c r="DP452" s="86"/>
      <c r="DQ452" s="86"/>
      <c r="DR452" s="86"/>
      <c r="DS452" s="86"/>
      <c r="DT452" s="86"/>
      <c r="DU452" s="86"/>
      <c r="DV452" s="86"/>
      <c r="DW452" s="86"/>
      <c r="DX452" s="86"/>
      <c r="DY452" s="86"/>
      <c r="DZ452" s="86"/>
      <c r="EA452" s="86"/>
      <c r="EB452" s="86"/>
      <c r="EC452" s="86"/>
      <c r="ED452" s="86"/>
      <c r="EE452" s="86"/>
      <c r="EF452" s="86"/>
      <c r="EG452" s="86"/>
      <c r="EH452" s="86"/>
      <c r="EI452" s="86"/>
      <c r="EJ452" s="86"/>
      <c r="EK452" s="86"/>
      <c r="EL452" s="86"/>
      <c r="EM452" s="86"/>
      <c r="EN452" s="86"/>
      <c r="EO452" s="86"/>
      <c r="EP452" s="86"/>
      <c r="EQ452" s="86"/>
      <c r="ER452" s="86"/>
      <c r="ES452" s="86"/>
      <c r="ET452" s="86"/>
      <c r="EU452" s="86"/>
      <c r="EV452" s="86"/>
      <c r="EW452" s="86"/>
      <c r="EX452" s="86"/>
      <c r="EY452" s="86"/>
      <c r="EZ452" s="86"/>
      <c r="FA452" s="86"/>
    </row>
    <row r="453" spans="2:157" ht="9.75" customHeight="1">
      <c r="B453" s="182"/>
      <c r="C453" s="182"/>
      <c r="D453" s="182"/>
      <c r="E453" s="182"/>
      <c r="F453" s="182"/>
      <c r="G453" s="182"/>
      <c r="H453" s="182"/>
      <c r="J453" s="101"/>
      <c r="K453" s="101"/>
      <c r="L453" s="101"/>
      <c r="Z453" s="86"/>
      <c r="AA453" s="86"/>
      <c r="AB453" s="86"/>
      <c r="AC453" s="86"/>
      <c r="AD453" s="86"/>
      <c r="AE453" s="86"/>
      <c r="AF453" s="86"/>
      <c r="AG453" s="86"/>
      <c r="AH453" s="86"/>
      <c r="AI453" s="86"/>
      <c r="AJ453" s="86"/>
      <c r="AK453" s="86"/>
      <c r="AL453" s="86"/>
      <c r="AM453" s="86"/>
      <c r="AN453" s="86"/>
      <c r="AO453" s="86"/>
      <c r="AP453" s="86"/>
      <c r="AQ453" s="86"/>
      <c r="AR453" s="86"/>
      <c r="AS453" s="86"/>
      <c r="AT453" s="86"/>
      <c r="AU453" s="86"/>
      <c r="AV453" s="86"/>
      <c r="AW453" s="86"/>
      <c r="AX453" s="86"/>
      <c r="AY453" s="86"/>
      <c r="AZ453" s="86"/>
      <c r="BA453" s="86"/>
      <c r="BB453" s="86"/>
      <c r="BC453" s="86"/>
      <c r="BD453" s="86"/>
      <c r="BE453" s="86"/>
      <c r="BF453" s="86"/>
      <c r="BG453" s="86"/>
      <c r="BH453" s="86"/>
      <c r="BI453" s="86"/>
      <c r="BJ453" s="86"/>
      <c r="BK453" s="86"/>
      <c r="BL453" s="86"/>
      <c r="BM453" s="86"/>
      <c r="BN453" s="86"/>
      <c r="BO453" s="86"/>
      <c r="BP453" s="86"/>
      <c r="BQ453" s="86"/>
      <c r="BR453" s="86"/>
      <c r="BS453" s="86"/>
      <c r="BT453" s="86"/>
      <c r="BU453" s="86"/>
      <c r="BV453" s="86"/>
      <c r="BW453" s="86"/>
      <c r="BX453" s="86"/>
      <c r="BY453" s="86"/>
      <c r="BZ453" s="86"/>
      <c r="CA453" s="86"/>
      <c r="CB453" s="86"/>
      <c r="CC453" s="86"/>
      <c r="CD453" s="86"/>
      <c r="CE453" s="86"/>
      <c r="CF453" s="86"/>
      <c r="CG453" s="86"/>
      <c r="CH453" s="86"/>
      <c r="CI453" s="86"/>
      <c r="CJ453" s="86"/>
      <c r="CK453" s="86"/>
      <c r="CL453" s="86"/>
      <c r="CM453" s="86"/>
      <c r="CN453" s="86"/>
      <c r="CO453" s="86"/>
      <c r="CP453" s="86"/>
      <c r="CQ453" s="86"/>
      <c r="CR453" s="86"/>
      <c r="CS453" s="86"/>
      <c r="CT453" s="86"/>
      <c r="CU453" s="86"/>
      <c r="CV453" s="86"/>
      <c r="CW453" s="86"/>
      <c r="CX453" s="86"/>
      <c r="CY453" s="86"/>
      <c r="CZ453" s="86"/>
      <c r="DA453" s="86"/>
      <c r="DB453" s="86"/>
      <c r="DC453" s="86"/>
      <c r="DD453" s="86"/>
      <c r="DE453" s="86"/>
      <c r="DF453" s="86"/>
      <c r="DG453" s="86"/>
      <c r="DH453" s="86"/>
      <c r="DI453" s="86"/>
      <c r="DJ453" s="86"/>
      <c r="DK453" s="86"/>
      <c r="DL453" s="86"/>
      <c r="DM453" s="86"/>
      <c r="DN453" s="86"/>
      <c r="DO453" s="86"/>
      <c r="DP453" s="86"/>
      <c r="DQ453" s="86"/>
      <c r="DR453" s="86"/>
      <c r="DS453" s="86"/>
      <c r="DT453" s="86"/>
      <c r="DU453" s="86"/>
      <c r="DV453" s="86"/>
      <c r="DW453" s="86"/>
      <c r="DX453" s="86"/>
      <c r="DY453" s="86"/>
      <c r="DZ453" s="86"/>
      <c r="EA453" s="86"/>
      <c r="EB453" s="86"/>
      <c r="EC453" s="86"/>
      <c r="ED453" s="86"/>
      <c r="EE453" s="86"/>
      <c r="EF453" s="86"/>
      <c r="EG453" s="86"/>
      <c r="EH453" s="86"/>
      <c r="EI453" s="86"/>
      <c r="EJ453" s="86"/>
      <c r="EK453" s="86"/>
      <c r="EL453" s="86"/>
      <c r="EM453" s="86"/>
      <c r="EN453" s="86"/>
      <c r="EO453" s="86"/>
      <c r="EP453" s="86"/>
      <c r="EQ453" s="86"/>
      <c r="ER453" s="86"/>
      <c r="ES453" s="86"/>
      <c r="ET453" s="86"/>
      <c r="EU453" s="86"/>
      <c r="EV453" s="86"/>
      <c r="EW453" s="86"/>
      <c r="EX453" s="86"/>
      <c r="EY453" s="86"/>
      <c r="EZ453" s="86"/>
      <c r="FA453" s="86"/>
    </row>
    <row r="454" spans="2:157" ht="9.75" customHeight="1">
      <c r="B454" s="182"/>
      <c r="C454" s="182"/>
      <c r="D454" s="182"/>
      <c r="E454" s="182"/>
      <c r="F454" s="182"/>
      <c r="G454" s="182"/>
      <c r="H454" s="182"/>
      <c r="J454" s="101"/>
      <c r="K454" s="101"/>
      <c r="L454" s="101"/>
      <c r="Z454" s="86"/>
      <c r="AA454" s="86"/>
      <c r="AB454" s="86"/>
      <c r="AC454" s="86"/>
      <c r="AD454" s="86"/>
      <c r="AE454" s="86"/>
      <c r="AF454" s="86"/>
      <c r="AG454" s="86"/>
      <c r="AH454" s="86"/>
      <c r="AI454" s="86"/>
      <c r="AJ454" s="86"/>
      <c r="AK454" s="86"/>
      <c r="AL454" s="86"/>
      <c r="AM454" s="86"/>
      <c r="AN454" s="86"/>
      <c r="AO454" s="86"/>
      <c r="AP454" s="86"/>
      <c r="AQ454" s="86"/>
      <c r="AR454" s="86"/>
      <c r="AS454" s="86"/>
      <c r="AT454" s="86"/>
      <c r="AU454" s="86"/>
      <c r="AV454" s="86"/>
      <c r="AW454" s="86"/>
      <c r="AX454" s="86"/>
      <c r="AY454" s="86"/>
      <c r="AZ454" s="86"/>
      <c r="BA454" s="86"/>
      <c r="BB454" s="86"/>
      <c r="BC454" s="86"/>
      <c r="BD454" s="86"/>
      <c r="BE454" s="86"/>
      <c r="BF454" s="86"/>
      <c r="BG454" s="86"/>
      <c r="BH454" s="86"/>
      <c r="BI454" s="86"/>
      <c r="BJ454" s="86"/>
      <c r="BK454" s="86"/>
      <c r="BL454" s="86"/>
      <c r="BM454" s="86"/>
      <c r="BN454" s="86"/>
      <c r="BO454" s="86"/>
      <c r="BP454" s="86"/>
      <c r="BQ454" s="86"/>
      <c r="BR454" s="86"/>
      <c r="BS454" s="86"/>
      <c r="BT454" s="86"/>
      <c r="BU454" s="86"/>
      <c r="BV454" s="86"/>
      <c r="BW454" s="86"/>
      <c r="BX454" s="86"/>
      <c r="BY454" s="86"/>
      <c r="BZ454" s="86"/>
      <c r="CA454" s="86"/>
      <c r="CB454" s="86"/>
      <c r="CC454" s="86"/>
      <c r="CD454" s="86"/>
      <c r="CE454" s="86"/>
      <c r="CF454" s="86"/>
      <c r="CG454" s="86"/>
      <c r="CH454" s="86"/>
      <c r="CI454" s="86"/>
      <c r="CJ454" s="86"/>
      <c r="CK454" s="86"/>
      <c r="CL454" s="86"/>
      <c r="CM454" s="86"/>
      <c r="CN454" s="86"/>
      <c r="CO454" s="86"/>
      <c r="CP454" s="86"/>
      <c r="CQ454" s="86"/>
      <c r="CR454" s="86"/>
      <c r="CS454" s="86"/>
      <c r="CT454" s="86"/>
      <c r="CU454" s="86"/>
      <c r="CV454" s="86"/>
      <c r="CW454" s="86"/>
      <c r="CX454" s="86"/>
      <c r="CY454" s="86"/>
      <c r="CZ454" s="86"/>
      <c r="DA454" s="86"/>
      <c r="DB454" s="86"/>
      <c r="DC454" s="86"/>
      <c r="DD454" s="86"/>
      <c r="DE454" s="86"/>
      <c r="DF454" s="86"/>
      <c r="DG454" s="86"/>
      <c r="DH454" s="86"/>
      <c r="DI454" s="86"/>
      <c r="DJ454" s="86"/>
      <c r="DK454" s="86"/>
      <c r="DL454" s="86"/>
      <c r="DM454" s="86"/>
      <c r="DN454" s="86"/>
      <c r="DO454" s="86"/>
      <c r="DP454" s="86"/>
      <c r="DQ454" s="86"/>
      <c r="DR454" s="86"/>
      <c r="DS454" s="86"/>
      <c r="DT454" s="86"/>
      <c r="DU454" s="86"/>
      <c r="DV454" s="86"/>
      <c r="DW454" s="86"/>
      <c r="DX454" s="86"/>
      <c r="DY454" s="86"/>
      <c r="DZ454" s="86"/>
      <c r="EA454" s="86"/>
      <c r="EB454" s="86"/>
      <c r="EC454" s="86"/>
      <c r="ED454" s="86"/>
      <c r="EE454" s="86"/>
      <c r="EF454" s="86"/>
      <c r="EG454" s="86"/>
      <c r="EH454" s="86"/>
      <c r="EI454" s="86"/>
      <c r="EJ454" s="86"/>
      <c r="EK454" s="86"/>
      <c r="EL454" s="86"/>
      <c r="EM454" s="86"/>
      <c r="EN454" s="86"/>
      <c r="EO454" s="86"/>
      <c r="EP454" s="86"/>
      <c r="EQ454" s="86"/>
      <c r="ER454" s="86"/>
      <c r="ES454" s="86"/>
      <c r="ET454" s="86"/>
      <c r="EU454" s="86"/>
      <c r="EV454" s="86"/>
      <c r="EW454" s="86"/>
      <c r="EX454" s="86"/>
      <c r="EY454" s="86"/>
      <c r="EZ454" s="86"/>
      <c r="FA454" s="86"/>
    </row>
    <row r="455" spans="2:157" ht="9.75" customHeight="1">
      <c r="B455" s="182"/>
      <c r="C455" s="182"/>
      <c r="D455" s="182"/>
      <c r="E455" s="182"/>
      <c r="F455" s="182"/>
      <c r="G455" s="182"/>
      <c r="H455" s="182"/>
      <c r="J455" s="101"/>
      <c r="K455" s="101"/>
      <c r="L455" s="101"/>
      <c r="Z455" s="86"/>
      <c r="AA455" s="86"/>
      <c r="AB455" s="86"/>
      <c r="AC455" s="86"/>
      <c r="AD455" s="86"/>
      <c r="AE455" s="86"/>
      <c r="AF455" s="86"/>
      <c r="AG455" s="86"/>
      <c r="AH455" s="86"/>
      <c r="AI455" s="86"/>
      <c r="AJ455" s="86"/>
      <c r="AK455" s="86"/>
      <c r="AL455" s="86"/>
      <c r="AM455" s="86"/>
      <c r="AN455" s="86"/>
      <c r="AO455" s="86"/>
      <c r="AP455" s="86"/>
      <c r="AQ455" s="86"/>
      <c r="AR455" s="86"/>
      <c r="AS455" s="86"/>
      <c r="AT455" s="86"/>
      <c r="AU455" s="86"/>
      <c r="AV455" s="86"/>
      <c r="AW455" s="86"/>
      <c r="AX455" s="86"/>
      <c r="AY455" s="86"/>
      <c r="AZ455" s="86"/>
      <c r="BA455" s="86"/>
      <c r="BB455" s="86"/>
      <c r="BC455" s="86"/>
      <c r="BD455" s="86"/>
      <c r="BE455" s="86"/>
      <c r="BF455" s="86"/>
      <c r="BG455" s="86"/>
      <c r="BH455" s="86"/>
      <c r="BI455" s="86"/>
      <c r="BJ455" s="86"/>
      <c r="BK455" s="86"/>
      <c r="BL455" s="86"/>
      <c r="BM455" s="86"/>
      <c r="BN455" s="86"/>
      <c r="BO455" s="86"/>
      <c r="BP455" s="86"/>
      <c r="BQ455" s="86"/>
      <c r="BR455" s="86"/>
      <c r="BS455" s="86"/>
      <c r="BT455" s="86"/>
      <c r="BU455" s="86"/>
      <c r="BV455" s="86"/>
      <c r="BW455" s="86"/>
      <c r="BX455" s="86"/>
      <c r="BY455" s="86"/>
      <c r="BZ455" s="86"/>
      <c r="CA455" s="86"/>
      <c r="CB455" s="86"/>
      <c r="CC455" s="86"/>
      <c r="CD455" s="86"/>
      <c r="CE455" s="86"/>
      <c r="CF455" s="86"/>
      <c r="CG455" s="86"/>
      <c r="CH455" s="86"/>
      <c r="CI455" s="86"/>
      <c r="CJ455" s="86"/>
      <c r="CK455" s="86"/>
      <c r="CL455" s="86"/>
      <c r="CM455" s="86"/>
      <c r="CN455" s="86"/>
      <c r="CO455" s="86"/>
      <c r="CP455" s="86"/>
      <c r="CQ455" s="86"/>
      <c r="CR455" s="86"/>
      <c r="CS455" s="86"/>
      <c r="CT455" s="86"/>
      <c r="CU455" s="86"/>
      <c r="CV455" s="86"/>
      <c r="CW455" s="86"/>
      <c r="CX455" s="86"/>
      <c r="CY455" s="86"/>
      <c r="CZ455" s="86"/>
      <c r="DA455" s="86"/>
      <c r="DB455" s="86"/>
      <c r="DC455" s="86"/>
      <c r="DD455" s="86"/>
      <c r="DE455" s="86"/>
      <c r="DF455" s="86"/>
      <c r="DG455" s="86"/>
      <c r="DH455" s="86"/>
      <c r="DI455" s="86"/>
      <c r="DJ455" s="86"/>
      <c r="DK455" s="86"/>
      <c r="DL455" s="86"/>
      <c r="DM455" s="86"/>
      <c r="DN455" s="86"/>
      <c r="DO455" s="86"/>
      <c r="DP455" s="86"/>
      <c r="DQ455" s="86"/>
      <c r="DR455" s="86"/>
      <c r="DS455" s="86"/>
      <c r="DT455" s="86"/>
      <c r="DU455" s="86"/>
      <c r="DV455" s="86"/>
      <c r="DW455" s="86"/>
      <c r="DX455" s="86"/>
      <c r="DY455" s="86"/>
      <c r="DZ455" s="86"/>
      <c r="EA455" s="86"/>
      <c r="EB455" s="86"/>
      <c r="EC455" s="86"/>
      <c r="ED455" s="86"/>
      <c r="EE455" s="86"/>
      <c r="EF455" s="86"/>
      <c r="EG455" s="86"/>
      <c r="EH455" s="86"/>
      <c r="EI455" s="86"/>
      <c r="EJ455" s="86"/>
      <c r="EK455" s="86"/>
      <c r="EL455" s="86"/>
      <c r="EM455" s="86"/>
      <c r="EN455" s="86"/>
      <c r="EO455" s="86"/>
      <c r="EP455" s="86"/>
      <c r="EQ455" s="86"/>
      <c r="ER455" s="86"/>
      <c r="ES455" s="86"/>
      <c r="ET455" s="86"/>
      <c r="EU455" s="86"/>
      <c r="EV455" s="86"/>
      <c r="EW455" s="86"/>
      <c r="EX455" s="86"/>
      <c r="EY455" s="86"/>
      <c r="EZ455" s="86"/>
      <c r="FA455" s="86"/>
    </row>
    <row r="456" spans="2:157" ht="9.75" customHeight="1">
      <c r="B456" s="182"/>
      <c r="C456" s="182"/>
      <c r="D456" s="182"/>
      <c r="E456" s="182"/>
      <c r="F456" s="182"/>
      <c r="G456" s="182"/>
      <c r="H456" s="182"/>
      <c r="J456" s="101"/>
      <c r="K456" s="101"/>
      <c r="L456" s="101"/>
      <c r="Z456" s="86"/>
      <c r="AA456" s="86"/>
      <c r="AB456" s="86"/>
      <c r="AC456" s="86"/>
      <c r="AD456" s="86"/>
      <c r="AE456" s="86"/>
      <c r="AF456" s="86"/>
      <c r="AG456" s="86"/>
      <c r="AH456" s="86"/>
      <c r="AI456" s="86"/>
      <c r="AJ456" s="86"/>
      <c r="AK456" s="86"/>
      <c r="AL456" s="86"/>
      <c r="AM456" s="86"/>
      <c r="AN456" s="86"/>
      <c r="AO456" s="86"/>
      <c r="AP456" s="86"/>
      <c r="AQ456" s="86"/>
      <c r="AR456" s="86"/>
      <c r="AS456" s="86"/>
      <c r="AT456" s="86"/>
      <c r="AU456" s="86"/>
      <c r="AV456" s="86"/>
      <c r="AW456" s="86"/>
      <c r="AX456" s="86"/>
      <c r="AY456" s="86"/>
      <c r="AZ456" s="86"/>
      <c r="BA456" s="86"/>
      <c r="BB456" s="86"/>
      <c r="BC456" s="86"/>
      <c r="BD456" s="86"/>
      <c r="BE456" s="86"/>
      <c r="BF456" s="86"/>
      <c r="BG456" s="86"/>
      <c r="BH456" s="86"/>
      <c r="BI456" s="86"/>
      <c r="BJ456" s="86"/>
      <c r="BK456" s="86"/>
      <c r="BL456" s="86"/>
      <c r="BM456" s="86"/>
      <c r="BN456" s="86"/>
      <c r="BO456" s="86"/>
      <c r="BP456" s="86"/>
      <c r="BQ456" s="86"/>
      <c r="BR456" s="86"/>
      <c r="BS456" s="86"/>
      <c r="BT456" s="86"/>
      <c r="BU456" s="86"/>
      <c r="BV456" s="86"/>
      <c r="BW456" s="86"/>
      <c r="BX456" s="86"/>
      <c r="BY456" s="86"/>
      <c r="BZ456" s="86"/>
      <c r="CA456" s="86"/>
      <c r="CB456" s="86"/>
      <c r="CC456" s="86"/>
      <c r="CD456" s="86"/>
      <c r="CE456" s="86"/>
      <c r="CF456" s="86"/>
      <c r="CG456" s="86"/>
      <c r="CH456" s="86"/>
      <c r="CI456" s="86"/>
      <c r="CJ456" s="86"/>
      <c r="CK456" s="86"/>
      <c r="CL456" s="86"/>
      <c r="CM456" s="86"/>
      <c r="CN456" s="86"/>
      <c r="CO456" s="86"/>
      <c r="CP456" s="86"/>
      <c r="CQ456" s="86"/>
      <c r="CR456" s="86"/>
      <c r="CS456" s="86"/>
      <c r="CT456" s="86"/>
      <c r="CU456" s="86"/>
      <c r="CV456" s="86"/>
      <c r="CW456" s="86"/>
      <c r="CX456" s="86"/>
      <c r="CY456" s="86"/>
      <c r="CZ456" s="86"/>
      <c r="DA456" s="86"/>
      <c r="DB456" s="86"/>
      <c r="DC456" s="86"/>
      <c r="DD456" s="86"/>
      <c r="DE456" s="86"/>
      <c r="DF456" s="86"/>
      <c r="DG456" s="86"/>
      <c r="DH456" s="86"/>
      <c r="DI456" s="86"/>
      <c r="DJ456" s="86"/>
      <c r="DK456" s="86"/>
      <c r="DL456" s="86"/>
      <c r="DM456" s="86"/>
      <c r="DN456" s="86"/>
      <c r="DO456" s="86"/>
      <c r="DP456" s="86"/>
      <c r="DQ456" s="86"/>
      <c r="DR456" s="86"/>
      <c r="DS456" s="86"/>
      <c r="DT456" s="86"/>
      <c r="DU456" s="86"/>
      <c r="DV456" s="86"/>
      <c r="DW456" s="86"/>
      <c r="DX456" s="86"/>
      <c r="DY456" s="86"/>
      <c r="DZ456" s="86"/>
      <c r="EA456" s="86"/>
      <c r="EB456" s="86"/>
      <c r="EC456" s="86"/>
      <c r="ED456" s="86"/>
      <c r="EE456" s="86"/>
      <c r="EF456" s="86"/>
      <c r="EG456" s="86"/>
      <c r="EH456" s="86"/>
      <c r="EI456" s="86"/>
      <c r="EJ456" s="86"/>
      <c r="EK456" s="86"/>
      <c r="EL456" s="86"/>
      <c r="EM456" s="86"/>
      <c r="EN456" s="86"/>
      <c r="EO456" s="86"/>
      <c r="EP456" s="86"/>
      <c r="EQ456" s="86"/>
      <c r="ER456" s="86"/>
      <c r="ES456" s="86"/>
      <c r="ET456" s="86"/>
      <c r="EU456" s="86"/>
      <c r="EV456" s="86"/>
      <c r="EW456" s="86"/>
      <c r="EX456" s="86"/>
      <c r="EY456" s="86"/>
      <c r="EZ456" s="86"/>
      <c r="FA456" s="86"/>
    </row>
    <row r="457" spans="2:157" ht="9.75" customHeight="1">
      <c r="B457" s="182"/>
      <c r="C457" s="182"/>
      <c r="D457" s="182"/>
      <c r="E457" s="182"/>
      <c r="F457" s="182"/>
      <c r="G457" s="182"/>
      <c r="H457" s="182"/>
      <c r="J457" s="101"/>
      <c r="K457" s="101"/>
      <c r="L457" s="101"/>
      <c r="Z457" s="86"/>
      <c r="AA457" s="86"/>
      <c r="AB457" s="86"/>
      <c r="AC457" s="86"/>
      <c r="AD457" s="86"/>
      <c r="AE457" s="86"/>
      <c r="AF457" s="86"/>
      <c r="AG457" s="86"/>
      <c r="AH457" s="86"/>
      <c r="AI457" s="86"/>
      <c r="AJ457" s="86"/>
      <c r="AK457" s="86"/>
      <c r="AL457" s="86"/>
      <c r="AM457" s="86"/>
      <c r="AN457" s="86"/>
      <c r="AO457" s="86"/>
      <c r="AP457" s="86"/>
      <c r="AQ457" s="86"/>
      <c r="AR457" s="86"/>
      <c r="AS457" s="86"/>
      <c r="AT457" s="86"/>
      <c r="AU457" s="86"/>
      <c r="AV457" s="86"/>
      <c r="AW457" s="86"/>
      <c r="AX457" s="86"/>
      <c r="AY457" s="86"/>
      <c r="AZ457" s="86"/>
      <c r="BA457" s="86"/>
      <c r="BB457" s="86"/>
      <c r="BC457" s="86"/>
      <c r="BD457" s="86"/>
      <c r="BE457" s="86"/>
      <c r="BF457" s="86"/>
      <c r="BG457" s="86"/>
      <c r="BH457" s="86"/>
      <c r="BI457" s="86"/>
      <c r="BJ457" s="86"/>
      <c r="BK457" s="86"/>
      <c r="BL457" s="86"/>
      <c r="BM457" s="86"/>
      <c r="BN457" s="86"/>
      <c r="BO457" s="86"/>
      <c r="BP457" s="86"/>
      <c r="BQ457" s="86"/>
      <c r="BR457" s="86"/>
      <c r="BS457" s="86"/>
      <c r="BT457" s="86"/>
      <c r="BU457" s="86"/>
      <c r="BV457" s="86"/>
      <c r="BW457" s="86"/>
      <c r="BX457" s="86"/>
      <c r="BY457" s="86"/>
      <c r="BZ457" s="86"/>
      <c r="CA457" s="86"/>
      <c r="CB457" s="86"/>
      <c r="CC457" s="86"/>
      <c r="CD457" s="86"/>
      <c r="CE457" s="86"/>
      <c r="CF457" s="86"/>
      <c r="CG457" s="86"/>
      <c r="CH457" s="86"/>
      <c r="CI457" s="86"/>
      <c r="CJ457" s="86"/>
      <c r="CK457" s="86"/>
      <c r="CL457" s="86"/>
      <c r="CM457" s="86"/>
      <c r="CN457" s="86"/>
      <c r="CO457" s="86"/>
      <c r="CP457" s="86"/>
      <c r="CQ457" s="86"/>
      <c r="CR457" s="86"/>
      <c r="CS457" s="86"/>
      <c r="CT457" s="86"/>
      <c r="CU457" s="86"/>
      <c r="CV457" s="86"/>
      <c r="CW457" s="86"/>
      <c r="CX457" s="86"/>
      <c r="CY457" s="86"/>
      <c r="CZ457" s="86"/>
      <c r="DA457" s="86"/>
      <c r="DB457" s="86"/>
      <c r="DC457" s="86"/>
      <c r="DD457" s="86"/>
      <c r="DE457" s="86"/>
      <c r="DF457" s="86"/>
      <c r="DG457" s="86"/>
      <c r="DH457" s="86"/>
      <c r="DI457" s="86"/>
      <c r="DJ457" s="86"/>
      <c r="DK457" s="86"/>
      <c r="DL457" s="86"/>
      <c r="DM457" s="86"/>
      <c r="DN457" s="86"/>
      <c r="DO457" s="86"/>
      <c r="DP457" s="86"/>
      <c r="DQ457" s="86"/>
      <c r="DR457" s="86"/>
      <c r="DS457" s="86"/>
      <c r="DT457" s="86"/>
      <c r="DU457" s="86"/>
      <c r="DV457" s="86"/>
      <c r="DW457" s="86"/>
      <c r="DX457" s="86"/>
      <c r="DY457" s="86"/>
      <c r="DZ457" s="86"/>
      <c r="EA457" s="86"/>
      <c r="EB457" s="86"/>
      <c r="EC457" s="86"/>
      <c r="ED457" s="86"/>
      <c r="EE457" s="86"/>
      <c r="EF457" s="86"/>
      <c r="EG457" s="86"/>
      <c r="EH457" s="86"/>
      <c r="EI457" s="86"/>
      <c r="EJ457" s="86"/>
      <c r="EK457" s="86"/>
      <c r="EL457" s="86"/>
      <c r="EM457" s="86"/>
      <c r="EN457" s="86"/>
      <c r="EO457" s="86"/>
      <c r="EP457" s="86"/>
      <c r="EQ457" s="86"/>
      <c r="ER457" s="86"/>
      <c r="ES457" s="86"/>
      <c r="ET457" s="86"/>
      <c r="EU457" s="86"/>
      <c r="EV457" s="86"/>
      <c r="EW457" s="86"/>
      <c r="EX457" s="86"/>
      <c r="EY457" s="86"/>
      <c r="EZ457" s="86"/>
      <c r="FA457" s="86"/>
    </row>
    <row r="458" spans="2:157" ht="9.75" customHeight="1">
      <c r="B458" s="182"/>
      <c r="C458" s="182"/>
      <c r="D458" s="182"/>
      <c r="E458" s="182"/>
      <c r="F458" s="182"/>
      <c r="G458" s="182"/>
      <c r="H458" s="182"/>
      <c r="J458" s="101"/>
      <c r="K458" s="101"/>
      <c r="L458" s="101"/>
      <c r="Z458" s="86"/>
      <c r="AA458" s="86"/>
      <c r="AB458" s="86"/>
      <c r="AC458" s="86"/>
      <c r="AD458" s="86"/>
      <c r="AE458" s="86"/>
      <c r="AF458" s="86"/>
      <c r="AG458" s="86"/>
      <c r="AH458" s="86"/>
      <c r="AI458" s="86"/>
      <c r="AJ458" s="86"/>
      <c r="AK458" s="86"/>
      <c r="AL458" s="86"/>
      <c r="AM458" s="86"/>
      <c r="AN458" s="86"/>
      <c r="AO458" s="86"/>
      <c r="AP458" s="86"/>
      <c r="AQ458" s="86"/>
      <c r="AR458" s="86"/>
      <c r="AS458" s="86"/>
      <c r="AT458" s="86"/>
      <c r="AU458" s="86"/>
      <c r="AV458" s="86"/>
      <c r="AW458" s="86"/>
      <c r="AX458" s="86"/>
      <c r="AY458" s="86"/>
      <c r="AZ458" s="86"/>
      <c r="BA458" s="86"/>
      <c r="BB458" s="86"/>
      <c r="BC458" s="86"/>
      <c r="BD458" s="86"/>
      <c r="BE458" s="86"/>
      <c r="BF458" s="86"/>
      <c r="BG458" s="86"/>
      <c r="BH458" s="86"/>
      <c r="BI458" s="86"/>
      <c r="BJ458" s="86"/>
      <c r="BK458" s="86"/>
      <c r="BL458" s="86"/>
      <c r="BM458" s="86"/>
      <c r="BN458" s="86"/>
      <c r="BO458" s="86"/>
      <c r="BP458" s="86"/>
      <c r="BQ458" s="86"/>
      <c r="BR458" s="86"/>
      <c r="BS458" s="86"/>
      <c r="BT458" s="86"/>
      <c r="BU458" s="86"/>
      <c r="BV458" s="86"/>
      <c r="BW458" s="86"/>
      <c r="BX458" s="86"/>
      <c r="BY458" s="86"/>
      <c r="BZ458" s="86"/>
      <c r="CA458" s="86"/>
      <c r="CB458" s="86"/>
      <c r="CC458" s="86"/>
      <c r="CD458" s="86"/>
      <c r="CE458" s="86"/>
      <c r="CF458" s="86"/>
      <c r="CG458" s="86"/>
      <c r="CH458" s="86"/>
      <c r="CI458" s="86"/>
      <c r="CJ458" s="86"/>
      <c r="CK458" s="86"/>
      <c r="CL458" s="86"/>
      <c r="CM458" s="86"/>
      <c r="CN458" s="86"/>
      <c r="CO458" s="86"/>
      <c r="CP458" s="86"/>
      <c r="CQ458" s="86"/>
      <c r="CR458" s="86"/>
      <c r="CS458" s="86"/>
      <c r="CT458" s="86"/>
      <c r="CU458" s="86"/>
      <c r="CV458" s="86"/>
      <c r="CW458" s="86"/>
      <c r="CX458" s="86"/>
      <c r="CY458" s="86"/>
      <c r="CZ458" s="86"/>
      <c r="DA458" s="86"/>
      <c r="DB458" s="86"/>
      <c r="DC458" s="86"/>
      <c r="DD458" s="86"/>
      <c r="DE458" s="86"/>
      <c r="DF458" s="86"/>
      <c r="DG458" s="86"/>
      <c r="DH458" s="86"/>
      <c r="DI458" s="86"/>
      <c r="DJ458" s="86"/>
      <c r="DK458" s="86"/>
      <c r="DL458" s="86"/>
      <c r="DM458" s="86"/>
      <c r="DN458" s="86"/>
      <c r="DO458" s="86"/>
      <c r="DP458" s="86"/>
      <c r="DQ458" s="86"/>
      <c r="DR458" s="86"/>
      <c r="DS458" s="86"/>
      <c r="DT458" s="86"/>
      <c r="DU458" s="86"/>
      <c r="DV458" s="86"/>
      <c r="DW458" s="86"/>
      <c r="DX458" s="86"/>
      <c r="DY458" s="86"/>
      <c r="DZ458" s="86"/>
      <c r="EA458" s="86"/>
      <c r="EB458" s="86"/>
      <c r="EC458" s="86"/>
      <c r="ED458" s="86"/>
      <c r="EE458" s="86"/>
      <c r="EF458" s="86"/>
      <c r="EG458" s="86"/>
      <c r="EH458" s="86"/>
      <c r="EI458" s="86"/>
      <c r="EJ458" s="86"/>
      <c r="EK458" s="86"/>
      <c r="EL458" s="86"/>
      <c r="EM458" s="86"/>
      <c r="EN458" s="86"/>
      <c r="EO458" s="86"/>
      <c r="EP458" s="86"/>
      <c r="EQ458" s="86"/>
      <c r="ER458" s="86"/>
      <c r="ES458" s="86"/>
      <c r="ET458" s="86"/>
      <c r="EU458" s="86"/>
      <c r="EV458" s="86"/>
      <c r="EW458" s="86"/>
      <c r="EX458" s="86"/>
      <c r="EY458" s="86"/>
      <c r="EZ458" s="86"/>
      <c r="FA458" s="86"/>
    </row>
    <row r="459" spans="2:157" ht="9.75" customHeight="1">
      <c r="B459" s="182"/>
      <c r="C459" s="182"/>
      <c r="D459" s="182"/>
      <c r="E459" s="182"/>
      <c r="F459" s="182"/>
      <c r="G459" s="182"/>
      <c r="H459" s="182"/>
      <c r="J459" s="101"/>
      <c r="K459" s="101"/>
      <c r="L459" s="101"/>
      <c r="Z459" s="86"/>
      <c r="AA459" s="86"/>
      <c r="AB459" s="86"/>
      <c r="AC459" s="86"/>
      <c r="AD459" s="86"/>
      <c r="AE459" s="86"/>
      <c r="AF459" s="86"/>
      <c r="AG459" s="86"/>
      <c r="AH459" s="86"/>
      <c r="AI459" s="86"/>
      <c r="AJ459" s="86"/>
      <c r="AK459" s="86"/>
      <c r="AL459" s="86"/>
      <c r="AM459" s="86"/>
      <c r="AN459" s="86"/>
      <c r="AO459" s="86"/>
      <c r="AP459" s="86"/>
      <c r="AQ459" s="86"/>
      <c r="AR459" s="86"/>
      <c r="AS459" s="86"/>
      <c r="AT459" s="86"/>
      <c r="AU459" s="86"/>
      <c r="AV459" s="86"/>
      <c r="AW459" s="86"/>
      <c r="AX459" s="86"/>
      <c r="AY459" s="86"/>
      <c r="AZ459" s="86"/>
      <c r="BA459" s="86"/>
      <c r="BB459" s="86"/>
      <c r="BC459" s="86"/>
      <c r="BD459" s="86"/>
      <c r="BE459" s="86"/>
      <c r="BF459" s="86"/>
      <c r="BG459" s="86"/>
      <c r="BH459" s="86"/>
      <c r="BI459" s="86"/>
      <c r="BJ459" s="86"/>
      <c r="BK459" s="86"/>
      <c r="BL459" s="86"/>
      <c r="BM459" s="86"/>
      <c r="BN459" s="86"/>
      <c r="BO459" s="86"/>
      <c r="BP459" s="86"/>
      <c r="BQ459" s="86"/>
      <c r="BR459" s="86"/>
      <c r="BS459" s="86"/>
      <c r="BT459" s="86"/>
      <c r="BU459" s="86"/>
      <c r="BV459" s="86"/>
      <c r="BW459" s="86"/>
      <c r="BX459" s="86"/>
      <c r="BY459" s="86"/>
      <c r="BZ459" s="86"/>
      <c r="CA459" s="86"/>
      <c r="CB459" s="86"/>
      <c r="CC459" s="86"/>
      <c r="CD459" s="86"/>
      <c r="CE459" s="86"/>
      <c r="CF459" s="86"/>
      <c r="CG459" s="86"/>
      <c r="CH459" s="86"/>
      <c r="CI459" s="86"/>
      <c r="CJ459" s="86"/>
      <c r="CK459" s="86"/>
      <c r="CL459" s="86"/>
      <c r="CM459" s="86"/>
      <c r="CN459" s="86"/>
      <c r="CO459" s="86"/>
      <c r="CP459" s="86"/>
      <c r="CQ459" s="86"/>
      <c r="CR459" s="86"/>
      <c r="CS459" s="86"/>
      <c r="CT459" s="86"/>
      <c r="CU459" s="86"/>
      <c r="CV459" s="86"/>
      <c r="CW459" s="86"/>
      <c r="CX459" s="86"/>
      <c r="CY459" s="86"/>
      <c r="CZ459" s="86"/>
      <c r="DA459" s="86"/>
      <c r="DB459" s="86"/>
      <c r="DC459" s="86"/>
      <c r="DD459" s="86"/>
      <c r="DE459" s="86"/>
      <c r="DF459" s="86"/>
      <c r="DG459" s="86"/>
      <c r="DH459" s="86"/>
      <c r="DI459" s="86"/>
      <c r="DJ459" s="86"/>
      <c r="DK459" s="86"/>
      <c r="DL459" s="86"/>
      <c r="DM459" s="86"/>
      <c r="DN459" s="86"/>
      <c r="DO459" s="86"/>
      <c r="DP459" s="86"/>
      <c r="DQ459" s="86"/>
      <c r="DR459" s="86"/>
      <c r="DS459" s="86"/>
      <c r="DT459" s="86"/>
      <c r="DU459" s="86"/>
      <c r="DV459" s="86"/>
      <c r="DW459" s="86"/>
      <c r="DX459" s="86"/>
      <c r="DY459" s="86"/>
      <c r="DZ459" s="86"/>
      <c r="EA459" s="86"/>
      <c r="EB459" s="86"/>
      <c r="EC459" s="86"/>
      <c r="ED459" s="86"/>
      <c r="EE459" s="86"/>
      <c r="EF459" s="86"/>
      <c r="EG459" s="86"/>
      <c r="EH459" s="86"/>
      <c r="EI459" s="86"/>
      <c r="EJ459" s="86"/>
      <c r="EK459" s="86"/>
      <c r="EL459" s="86"/>
      <c r="EM459" s="86"/>
      <c r="EN459" s="86"/>
      <c r="EO459" s="86"/>
      <c r="EP459" s="86"/>
      <c r="EQ459" s="86"/>
      <c r="ER459" s="86"/>
      <c r="ES459" s="86"/>
      <c r="ET459" s="86"/>
      <c r="EU459" s="86"/>
      <c r="EV459" s="86"/>
      <c r="EW459" s="86"/>
      <c r="EX459" s="86"/>
      <c r="EY459" s="86"/>
      <c r="EZ459" s="86"/>
      <c r="FA459" s="86"/>
    </row>
    <row r="460" spans="2:157" ht="9.75" customHeight="1">
      <c r="B460" s="182"/>
      <c r="C460" s="182"/>
      <c r="D460" s="182"/>
      <c r="E460" s="182"/>
      <c r="F460" s="182"/>
      <c r="G460" s="182"/>
      <c r="H460" s="182"/>
      <c r="J460" s="101"/>
      <c r="K460" s="101"/>
      <c r="L460" s="101"/>
      <c r="Z460" s="86"/>
      <c r="AA460" s="86"/>
      <c r="AB460" s="86"/>
      <c r="AC460" s="86"/>
      <c r="AD460" s="86"/>
      <c r="AE460" s="86"/>
      <c r="AF460" s="86"/>
      <c r="AG460" s="86"/>
      <c r="AH460" s="86"/>
      <c r="AI460" s="86"/>
      <c r="AJ460" s="86"/>
      <c r="AK460" s="86"/>
      <c r="AL460" s="86"/>
      <c r="AM460" s="86"/>
      <c r="AN460" s="86"/>
      <c r="AO460" s="86"/>
      <c r="AP460" s="86"/>
      <c r="AQ460" s="86"/>
      <c r="AR460" s="86"/>
      <c r="AS460" s="86"/>
      <c r="AT460" s="86"/>
      <c r="AU460" s="86"/>
      <c r="AV460" s="86"/>
      <c r="AW460" s="86"/>
      <c r="AX460" s="86"/>
      <c r="AY460" s="86"/>
      <c r="AZ460" s="86"/>
      <c r="BA460" s="86"/>
      <c r="BB460" s="86"/>
      <c r="BC460" s="86"/>
      <c r="BD460" s="86"/>
      <c r="BE460" s="86"/>
      <c r="BF460" s="86"/>
      <c r="BG460" s="86"/>
      <c r="BH460" s="86"/>
      <c r="BI460" s="86"/>
      <c r="BJ460" s="86"/>
      <c r="BK460" s="86"/>
      <c r="BL460" s="86"/>
      <c r="BM460" s="86"/>
      <c r="BN460" s="86"/>
      <c r="BO460" s="86"/>
      <c r="BP460" s="86"/>
      <c r="BQ460" s="86"/>
      <c r="BR460" s="86"/>
      <c r="BS460" s="86"/>
      <c r="BT460" s="86"/>
      <c r="BU460" s="86"/>
      <c r="BV460" s="86"/>
      <c r="BW460" s="86"/>
      <c r="BX460" s="86"/>
      <c r="BY460" s="86"/>
      <c r="BZ460" s="86"/>
      <c r="CA460" s="86"/>
      <c r="CB460" s="86"/>
      <c r="CC460" s="86"/>
      <c r="CD460" s="86"/>
      <c r="CE460" s="86"/>
      <c r="CF460" s="86"/>
      <c r="CG460" s="86"/>
      <c r="CH460" s="86"/>
      <c r="CI460" s="86"/>
      <c r="CJ460" s="86"/>
      <c r="CK460" s="86"/>
      <c r="CL460" s="86"/>
      <c r="CM460" s="86"/>
      <c r="CN460" s="86"/>
      <c r="CO460" s="86"/>
      <c r="CP460" s="86"/>
      <c r="CQ460" s="86"/>
      <c r="CR460" s="86"/>
      <c r="CS460" s="86"/>
      <c r="CT460" s="86"/>
      <c r="CU460" s="86"/>
      <c r="CV460" s="86"/>
      <c r="CW460" s="86"/>
      <c r="CX460" s="86"/>
      <c r="CY460" s="86"/>
      <c r="CZ460" s="86"/>
      <c r="DA460" s="86"/>
      <c r="DB460" s="86"/>
      <c r="DC460" s="86"/>
      <c r="DD460" s="86"/>
      <c r="DE460" s="86"/>
      <c r="DF460" s="86"/>
      <c r="DG460" s="86"/>
      <c r="DH460" s="86"/>
      <c r="DI460" s="86"/>
      <c r="DJ460" s="86"/>
      <c r="DK460" s="86"/>
      <c r="DL460" s="86"/>
      <c r="DM460" s="86"/>
      <c r="DN460" s="86"/>
      <c r="DO460" s="86"/>
      <c r="DP460" s="86"/>
      <c r="DQ460" s="86"/>
      <c r="DR460" s="86"/>
      <c r="DS460" s="86"/>
      <c r="DT460" s="86"/>
      <c r="DU460" s="86"/>
      <c r="DV460" s="86"/>
      <c r="DW460" s="86"/>
      <c r="DX460" s="86"/>
      <c r="DY460" s="86"/>
      <c r="DZ460" s="86"/>
      <c r="EA460" s="86"/>
      <c r="EB460" s="86"/>
      <c r="EC460" s="86"/>
      <c r="ED460" s="86"/>
      <c r="EE460" s="86"/>
      <c r="EF460" s="86"/>
      <c r="EG460" s="86"/>
      <c r="EH460" s="86"/>
      <c r="EI460" s="86"/>
      <c r="EJ460" s="86"/>
      <c r="EK460" s="86"/>
      <c r="EL460" s="86"/>
      <c r="EM460" s="86"/>
      <c r="EN460" s="86"/>
      <c r="EO460" s="86"/>
      <c r="EP460" s="86"/>
      <c r="EQ460" s="86"/>
      <c r="ER460" s="86"/>
      <c r="ES460" s="86"/>
      <c r="ET460" s="86"/>
      <c r="EU460" s="86"/>
      <c r="EV460" s="86"/>
      <c r="EW460" s="86"/>
      <c r="EX460" s="86"/>
      <c r="EY460" s="86"/>
      <c r="EZ460" s="86"/>
      <c r="FA460" s="86"/>
    </row>
    <row r="461" spans="2:157" ht="9.75" customHeight="1">
      <c r="B461" s="182"/>
      <c r="C461" s="182"/>
      <c r="D461" s="182"/>
      <c r="E461" s="182"/>
      <c r="F461" s="182"/>
      <c r="G461" s="182"/>
      <c r="H461" s="182"/>
      <c r="J461" s="101"/>
      <c r="K461" s="101"/>
      <c r="L461" s="101"/>
      <c r="Z461" s="86"/>
      <c r="AA461" s="86"/>
      <c r="AB461" s="86"/>
      <c r="AC461" s="86"/>
      <c r="AD461" s="86"/>
      <c r="AE461" s="86"/>
      <c r="AF461" s="86"/>
      <c r="AG461" s="86"/>
      <c r="AH461" s="86"/>
      <c r="AI461" s="86"/>
      <c r="AJ461" s="86"/>
      <c r="AK461" s="86"/>
      <c r="AL461" s="86"/>
      <c r="AM461" s="86"/>
      <c r="AN461" s="86"/>
      <c r="AO461" s="86"/>
      <c r="AP461" s="86"/>
      <c r="AQ461" s="86"/>
      <c r="AR461" s="86"/>
      <c r="AS461" s="86"/>
      <c r="AT461" s="86"/>
      <c r="AU461" s="86"/>
      <c r="AV461" s="86"/>
      <c r="AW461" s="86"/>
      <c r="AX461" s="86"/>
      <c r="AY461" s="86"/>
      <c r="AZ461" s="86"/>
      <c r="BA461" s="86"/>
      <c r="BB461" s="86"/>
      <c r="BC461" s="86"/>
      <c r="BD461" s="86"/>
      <c r="BE461" s="86"/>
      <c r="BF461" s="86"/>
      <c r="BG461" s="86"/>
      <c r="BH461" s="86"/>
      <c r="BI461" s="86"/>
      <c r="BJ461" s="86"/>
      <c r="BK461" s="86"/>
      <c r="BL461" s="86"/>
      <c r="BM461" s="86"/>
      <c r="BN461" s="86"/>
      <c r="BO461" s="86"/>
      <c r="BP461" s="86"/>
      <c r="BQ461" s="86"/>
      <c r="BR461" s="86"/>
      <c r="BS461" s="86"/>
      <c r="BT461" s="86"/>
      <c r="BU461" s="86"/>
      <c r="BV461" s="86"/>
      <c r="BW461" s="86"/>
      <c r="BX461" s="86"/>
      <c r="BY461" s="86"/>
      <c r="BZ461" s="86"/>
      <c r="CA461" s="86"/>
      <c r="CB461" s="86"/>
      <c r="CC461" s="86"/>
      <c r="CD461" s="86"/>
      <c r="CE461" s="86"/>
      <c r="CF461" s="86"/>
      <c r="CG461" s="86"/>
      <c r="CH461" s="86"/>
      <c r="CI461" s="86"/>
      <c r="CJ461" s="86"/>
      <c r="CK461" s="86"/>
      <c r="CL461" s="86"/>
      <c r="CM461" s="86"/>
      <c r="CN461" s="86"/>
      <c r="CO461" s="86"/>
      <c r="CP461" s="86"/>
      <c r="CQ461" s="86"/>
      <c r="CR461" s="86"/>
      <c r="CS461" s="86"/>
      <c r="CT461" s="86"/>
      <c r="CU461" s="86"/>
      <c r="CV461" s="86"/>
      <c r="CW461" s="86"/>
      <c r="CX461" s="86"/>
      <c r="CY461" s="86"/>
      <c r="CZ461" s="86"/>
      <c r="DA461" s="86"/>
      <c r="DB461" s="86"/>
      <c r="DC461" s="86"/>
      <c r="DD461" s="86"/>
      <c r="DE461" s="86"/>
      <c r="DF461" s="86"/>
      <c r="DG461" s="86"/>
      <c r="DH461" s="86"/>
      <c r="DI461" s="86"/>
      <c r="DJ461" s="86"/>
      <c r="DK461" s="86"/>
      <c r="DL461" s="86"/>
      <c r="DM461" s="86"/>
      <c r="DN461" s="86"/>
      <c r="DO461" s="86"/>
      <c r="DP461" s="86"/>
      <c r="DQ461" s="86"/>
      <c r="DR461" s="86"/>
      <c r="DS461" s="86"/>
      <c r="DT461" s="86"/>
      <c r="DU461" s="86"/>
      <c r="DV461" s="86"/>
      <c r="DW461" s="86"/>
      <c r="DX461" s="86"/>
      <c r="DY461" s="86"/>
      <c r="DZ461" s="86"/>
      <c r="EA461" s="86"/>
      <c r="EB461" s="86"/>
      <c r="EC461" s="86"/>
      <c r="ED461" s="86"/>
      <c r="EE461" s="86"/>
      <c r="EF461" s="86"/>
      <c r="EG461" s="86"/>
      <c r="EH461" s="86"/>
      <c r="EI461" s="86"/>
      <c r="EJ461" s="86"/>
      <c r="EK461" s="86"/>
      <c r="EL461" s="86"/>
      <c r="EM461" s="86"/>
      <c r="EN461" s="86"/>
      <c r="EO461" s="86"/>
      <c r="EP461" s="86"/>
      <c r="EQ461" s="86"/>
      <c r="ER461" s="86"/>
      <c r="ES461" s="86"/>
      <c r="ET461" s="86"/>
      <c r="EU461" s="86"/>
      <c r="EV461" s="86"/>
      <c r="EW461" s="86"/>
      <c r="EX461" s="86"/>
      <c r="EY461" s="86"/>
      <c r="EZ461" s="86"/>
      <c r="FA461" s="86"/>
    </row>
    <row r="462" spans="2:157" ht="9.75" customHeight="1">
      <c r="B462" s="182"/>
      <c r="C462" s="182"/>
      <c r="D462" s="182"/>
      <c r="E462" s="182"/>
      <c r="F462" s="182"/>
      <c r="G462" s="182"/>
      <c r="H462" s="182"/>
      <c r="J462" s="101"/>
      <c r="K462" s="101"/>
      <c r="L462" s="101"/>
      <c r="Z462" s="86"/>
      <c r="AA462" s="86"/>
      <c r="AB462" s="86"/>
      <c r="AC462" s="86"/>
      <c r="AD462" s="86"/>
      <c r="AE462" s="86"/>
      <c r="AF462" s="86"/>
      <c r="AG462" s="86"/>
      <c r="AH462" s="86"/>
      <c r="AI462" s="86"/>
      <c r="AJ462" s="86"/>
      <c r="AK462" s="86"/>
      <c r="AL462" s="86"/>
      <c r="AM462" s="86"/>
      <c r="AN462" s="86"/>
      <c r="AO462" s="86"/>
      <c r="AP462" s="86"/>
      <c r="AQ462" s="86"/>
      <c r="AR462" s="86"/>
      <c r="AS462" s="86"/>
      <c r="AT462" s="86"/>
      <c r="AU462" s="86"/>
      <c r="AV462" s="86"/>
      <c r="AW462" s="86"/>
      <c r="AX462" s="86"/>
      <c r="AY462" s="86"/>
      <c r="AZ462" s="86"/>
      <c r="BA462" s="86"/>
      <c r="BB462" s="86"/>
      <c r="BC462" s="86"/>
      <c r="BD462" s="86"/>
      <c r="BE462" s="86"/>
      <c r="BF462" s="86"/>
      <c r="BG462" s="86"/>
      <c r="BH462" s="86"/>
      <c r="BI462" s="86"/>
      <c r="BJ462" s="86"/>
      <c r="BK462" s="86"/>
      <c r="BL462" s="86"/>
      <c r="BM462" s="86"/>
      <c r="BN462" s="86"/>
      <c r="BO462" s="86"/>
      <c r="BP462" s="86"/>
      <c r="BQ462" s="86"/>
      <c r="BR462" s="86"/>
      <c r="BS462" s="86"/>
      <c r="BT462" s="86"/>
      <c r="BU462" s="86"/>
      <c r="BV462" s="86"/>
      <c r="BW462" s="86"/>
      <c r="BX462" s="86"/>
      <c r="BY462" s="86"/>
      <c r="BZ462" s="86"/>
      <c r="CA462" s="86"/>
      <c r="CB462" s="86"/>
      <c r="CC462" s="86"/>
      <c r="CD462" s="86"/>
      <c r="CE462" s="86"/>
      <c r="CF462" s="86"/>
      <c r="CG462" s="86"/>
      <c r="CH462" s="86"/>
      <c r="CI462" s="86"/>
      <c r="CJ462" s="86"/>
      <c r="CK462" s="86"/>
      <c r="CL462" s="86"/>
      <c r="CM462" s="86"/>
      <c r="CN462" s="86"/>
      <c r="CO462" s="86"/>
      <c r="CP462" s="86"/>
      <c r="CQ462" s="86"/>
      <c r="CR462" s="86"/>
      <c r="CS462" s="86"/>
      <c r="CT462" s="86"/>
      <c r="CU462" s="86"/>
      <c r="CV462" s="86"/>
      <c r="CW462" s="86"/>
      <c r="CX462" s="86"/>
      <c r="CY462" s="86"/>
      <c r="CZ462" s="86"/>
      <c r="DA462" s="86"/>
      <c r="DB462" s="86"/>
      <c r="DC462" s="86"/>
      <c r="DD462" s="86"/>
      <c r="DE462" s="86"/>
      <c r="DF462" s="86"/>
      <c r="DG462" s="86"/>
      <c r="DH462" s="86"/>
      <c r="DI462" s="86"/>
      <c r="DJ462" s="86"/>
      <c r="DK462" s="86"/>
      <c r="DL462" s="86"/>
      <c r="DM462" s="86"/>
      <c r="DN462" s="86"/>
      <c r="DO462" s="86"/>
      <c r="DP462" s="86"/>
      <c r="DQ462" s="86"/>
      <c r="DR462" s="86"/>
      <c r="DS462" s="86"/>
      <c r="DT462" s="86"/>
      <c r="DU462" s="86"/>
      <c r="DV462" s="86"/>
      <c r="DW462" s="86"/>
      <c r="DX462" s="86"/>
      <c r="DY462" s="86"/>
      <c r="DZ462" s="86"/>
      <c r="EA462" s="86"/>
      <c r="EB462" s="86"/>
      <c r="EC462" s="86"/>
      <c r="ED462" s="86"/>
      <c r="EE462" s="86"/>
      <c r="EF462" s="86"/>
      <c r="EG462" s="86"/>
      <c r="EH462" s="86"/>
      <c r="EI462" s="86"/>
      <c r="EJ462" s="86"/>
      <c r="EK462" s="86"/>
      <c r="EL462" s="86"/>
      <c r="EM462" s="86"/>
      <c r="EN462" s="86"/>
      <c r="EO462" s="86"/>
      <c r="EP462" s="86"/>
      <c r="EQ462" s="86"/>
      <c r="ER462" s="86"/>
      <c r="ES462" s="86"/>
      <c r="ET462" s="86"/>
      <c r="EU462" s="86"/>
      <c r="EV462" s="86"/>
      <c r="EW462" s="86"/>
      <c r="EX462" s="86"/>
      <c r="EY462" s="86"/>
      <c r="EZ462" s="86"/>
      <c r="FA462" s="86"/>
    </row>
    <row r="463" spans="2:157" ht="9.75" customHeight="1">
      <c r="B463" s="182"/>
      <c r="C463" s="182"/>
      <c r="D463" s="182"/>
      <c r="E463" s="182"/>
      <c r="F463" s="182"/>
      <c r="G463" s="182"/>
      <c r="H463" s="182"/>
      <c r="J463" s="101"/>
      <c r="K463" s="101"/>
      <c r="L463" s="101"/>
      <c r="Z463" s="86"/>
      <c r="AA463" s="86"/>
      <c r="AB463" s="86"/>
      <c r="AC463" s="86"/>
      <c r="AD463" s="86"/>
      <c r="AE463" s="86"/>
      <c r="AF463" s="86"/>
      <c r="AG463" s="86"/>
      <c r="AH463" s="86"/>
      <c r="AI463" s="86"/>
      <c r="AJ463" s="86"/>
      <c r="AK463" s="86"/>
      <c r="AL463" s="86"/>
      <c r="AM463" s="86"/>
      <c r="AN463" s="86"/>
      <c r="AO463" s="86"/>
      <c r="AP463" s="86"/>
      <c r="AQ463" s="86"/>
      <c r="AR463" s="86"/>
      <c r="AS463" s="86"/>
      <c r="AT463" s="86"/>
      <c r="AU463" s="86"/>
      <c r="AV463" s="86"/>
      <c r="AW463" s="86"/>
      <c r="AX463" s="86"/>
      <c r="AY463" s="86"/>
      <c r="AZ463" s="86"/>
      <c r="BA463" s="86"/>
      <c r="BB463" s="86"/>
      <c r="BC463" s="86"/>
      <c r="BD463" s="86"/>
      <c r="BE463" s="86"/>
      <c r="BF463" s="86"/>
      <c r="BG463" s="86"/>
      <c r="BH463" s="86"/>
      <c r="BI463" s="86"/>
      <c r="BJ463" s="86"/>
      <c r="BK463" s="86"/>
      <c r="BL463" s="86"/>
      <c r="BM463" s="86"/>
      <c r="BN463" s="86"/>
      <c r="BO463" s="86"/>
      <c r="BP463" s="86"/>
      <c r="BQ463" s="86"/>
      <c r="BR463" s="86"/>
      <c r="BS463" s="86"/>
      <c r="BT463" s="86"/>
      <c r="BU463" s="86"/>
      <c r="BV463" s="86"/>
      <c r="BW463" s="86"/>
      <c r="BX463" s="86"/>
      <c r="BY463" s="86"/>
      <c r="BZ463" s="86"/>
      <c r="CA463" s="86"/>
      <c r="CB463" s="86"/>
      <c r="CC463" s="86"/>
      <c r="CD463" s="86"/>
      <c r="CE463" s="86"/>
      <c r="CF463" s="86"/>
      <c r="CG463" s="86"/>
      <c r="CH463" s="86"/>
      <c r="CI463" s="86"/>
      <c r="CJ463" s="86"/>
      <c r="CK463" s="86"/>
      <c r="CL463" s="86"/>
      <c r="CM463" s="86"/>
      <c r="CN463" s="86"/>
      <c r="CO463" s="86"/>
      <c r="CP463" s="86"/>
      <c r="CQ463" s="86"/>
      <c r="CR463" s="86"/>
      <c r="CS463" s="86"/>
      <c r="CT463" s="86"/>
      <c r="CU463" s="86"/>
      <c r="CV463" s="86"/>
      <c r="CW463" s="86"/>
      <c r="CX463" s="86"/>
      <c r="CY463" s="86"/>
      <c r="CZ463" s="86"/>
      <c r="DA463" s="86"/>
      <c r="DB463" s="86"/>
      <c r="DC463" s="86"/>
      <c r="DD463" s="86"/>
      <c r="DE463" s="86"/>
      <c r="DF463" s="86"/>
      <c r="DG463" s="86"/>
      <c r="DH463" s="86"/>
      <c r="DI463" s="86"/>
      <c r="DJ463" s="86"/>
      <c r="DK463" s="86"/>
      <c r="DL463" s="86"/>
      <c r="DM463" s="86"/>
      <c r="DN463" s="86"/>
      <c r="DO463" s="86"/>
      <c r="DP463" s="86"/>
      <c r="DQ463" s="86"/>
      <c r="DR463" s="86"/>
      <c r="DS463" s="86"/>
      <c r="DT463" s="86"/>
      <c r="DU463" s="86"/>
      <c r="DV463" s="86"/>
      <c r="DW463" s="86"/>
      <c r="DX463" s="86"/>
      <c r="DY463" s="86"/>
      <c r="DZ463" s="86"/>
      <c r="EA463" s="86"/>
      <c r="EB463" s="86"/>
      <c r="EC463" s="86"/>
      <c r="ED463" s="86"/>
      <c r="EE463" s="86"/>
      <c r="EF463" s="86"/>
      <c r="EG463" s="86"/>
      <c r="EH463" s="86"/>
      <c r="EI463" s="86"/>
      <c r="EJ463" s="86"/>
      <c r="EK463" s="86"/>
      <c r="EL463" s="86"/>
      <c r="EM463" s="86"/>
      <c r="EN463" s="86"/>
      <c r="EO463" s="86"/>
      <c r="EP463" s="86"/>
      <c r="EQ463" s="86"/>
      <c r="ER463" s="86"/>
      <c r="ES463" s="86"/>
      <c r="ET463" s="86"/>
      <c r="EU463" s="86"/>
      <c r="EV463" s="86"/>
      <c r="EW463" s="86"/>
      <c r="EX463" s="86"/>
      <c r="EY463" s="86"/>
      <c r="EZ463" s="86"/>
      <c r="FA463" s="86"/>
    </row>
    <row r="464" spans="2:157" ht="9.75" customHeight="1">
      <c r="B464" s="182"/>
      <c r="C464" s="182"/>
      <c r="D464" s="182"/>
      <c r="E464" s="182"/>
      <c r="F464" s="182"/>
      <c r="G464" s="182"/>
      <c r="H464" s="182"/>
      <c r="J464" s="101"/>
      <c r="K464" s="101"/>
      <c r="L464" s="101"/>
      <c r="Z464" s="86"/>
      <c r="AA464" s="86"/>
      <c r="AB464" s="86"/>
      <c r="AC464" s="86"/>
      <c r="AD464" s="86"/>
      <c r="AE464" s="86"/>
      <c r="AF464" s="86"/>
      <c r="AG464" s="86"/>
      <c r="AH464" s="86"/>
      <c r="AI464" s="86"/>
      <c r="AJ464" s="86"/>
      <c r="AK464" s="86"/>
      <c r="AL464" s="86"/>
      <c r="AM464" s="86"/>
      <c r="AN464" s="86"/>
      <c r="AO464" s="86"/>
      <c r="AP464" s="86"/>
      <c r="AQ464" s="86"/>
      <c r="AR464" s="86"/>
      <c r="AS464" s="86"/>
      <c r="AT464" s="86"/>
      <c r="AU464" s="86"/>
      <c r="AV464" s="86"/>
      <c r="AW464" s="86"/>
      <c r="AX464" s="86"/>
      <c r="AY464" s="86"/>
      <c r="AZ464" s="86"/>
      <c r="BA464" s="86"/>
      <c r="BB464" s="86"/>
      <c r="BC464" s="86"/>
      <c r="BD464" s="86"/>
      <c r="BE464" s="86"/>
      <c r="BF464" s="86"/>
      <c r="BG464" s="86"/>
      <c r="BH464" s="86"/>
      <c r="BI464" s="86"/>
      <c r="BJ464" s="86"/>
      <c r="BK464" s="86"/>
      <c r="BL464" s="86"/>
      <c r="BM464" s="86"/>
      <c r="BN464" s="86"/>
      <c r="BO464" s="86"/>
      <c r="BP464" s="86"/>
      <c r="BQ464" s="86"/>
      <c r="BR464" s="86"/>
      <c r="BS464" s="86"/>
      <c r="BT464" s="86"/>
      <c r="BU464" s="86"/>
      <c r="BV464" s="86"/>
      <c r="BW464" s="86"/>
      <c r="BX464" s="86"/>
      <c r="BY464" s="86"/>
      <c r="BZ464" s="86"/>
      <c r="CA464" s="86"/>
      <c r="CB464" s="86"/>
      <c r="CC464" s="86"/>
      <c r="CD464" s="86"/>
      <c r="CE464" s="86"/>
      <c r="CF464" s="86"/>
      <c r="CG464" s="86"/>
      <c r="CH464" s="86"/>
      <c r="CI464" s="86"/>
      <c r="CJ464" s="86"/>
      <c r="CK464" s="86"/>
      <c r="CL464" s="86"/>
      <c r="CM464" s="86"/>
      <c r="CN464" s="86"/>
      <c r="CO464" s="86"/>
      <c r="CP464" s="86"/>
      <c r="CQ464" s="86"/>
      <c r="CR464" s="86"/>
      <c r="CS464" s="86"/>
      <c r="CT464" s="86"/>
      <c r="CU464" s="86"/>
      <c r="CV464" s="86"/>
      <c r="CW464" s="86"/>
      <c r="CX464" s="86"/>
      <c r="CY464" s="86"/>
      <c r="CZ464" s="86"/>
      <c r="DA464" s="86"/>
      <c r="DB464" s="86"/>
      <c r="DC464" s="86"/>
      <c r="DD464" s="86"/>
      <c r="DE464" s="86"/>
      <c r="DF464" s="86"/>
      <c r="DG464" s="86"/>
      <c r="DH464" s="86"/>
      <c r="DI464" s="86"/>
      <c r="DJ464" s="86"/>
      <c r="DK464" s="86"/>
      <c r="DL464" s="86"/>
      <c r="DM464" s="86"/>
      <c r="DN464" s="86"/>
      <c r="DO464" s="86"/>
      <c r="DP464" s="86"/>
      <c r="DQ464" s="86"/>
      <c r="DR464" s="86"/>
      <c r="DS464" s="86"/>
      <c r="DT464" s="86"/>
      <c r="DU464" s="86"/>
      <c r="DV464" s="86"/>
      <c r="DW464" s="86"/>
      <c r="DX464" s="86"/>
      <c r="DY464" s="86"/>
      <c r="DZ464" s="86"/>
      <c r="EA464" s="86"/>
      <c r="EB464" s="86"/>
      <c r="EC464" s="86"/>
      <c r="ED464" s="86"/>
      <c r="EE464" s="86"/>
      <c r="EF464" s="86"/>
      <c r="EG464" s="86"/>
      <c r="EH464" s="86"/>
      <c r="EI464" s="86"/>
      <c r="EJ464" s="86"/>
      <c r="EK464" s="86"/>
      <c r="EL464" s="86"/>
      <c r="EM464" s="86"/>
      <c r="EN464" s="86"/>
      <c r="EO464" s="86"/>
      <c r="EP464" s="86"/>
      <c r="EQ464" s="86"/>
      <c r="ER464" s="86"/>
      <c r="ES464" s="86"/>
      <c r="ET464" s="86"/>
      <c r="EU464" s="86"/>
      <c r="EV464" s="86"/>
      <c r="EW464" s="86"/>
      <c r="EX464" s="86"/>
      <c r="EY464" s="86"/>
      <c r="EZ464" s="86"/>
      <c r="FA464" s="86"/>
    </row>
    <row r="465" spans="2:157" ht="9.75" customHeight="1">
      <c r="B465" s="182"/>
      <c r="C465" s="182"/>
      <c r="D465" s="182"/>
      <c r="E465" s="182"/>
      <c r="F465" s="182"/>
      <c r="G465" s="182"/>
      <c r="H465" s="182"/>
      <c r="J465" s="101"/>
      <c r="K465" s="101"/>
      <c r="L465" s="101"/>
      <c r="Z465" s="86"/>
      <c r="AA465" s="86"/>
      <c r="AB465" s="86"/>
      <c r="AC465" s="86"/>
      <c r="AD465" s="86"/>
      <c r="AE465" s="86"/>
      <c r="AF465" s="86"/>
      <c r="AG465" s="86"/>
      <c r="AH465" s="86"/>
      <c r="AI465" s="86"/>
      <c r="AJ465" s="86"/>
      <c r="AK465" s="86"/>
      <c r="AL465" s="86"/>
      <c r="AM465" s="86"/>
      <c r="AN465" s="86"/>
      <c r="AO465" s="86"/>
      <c r="AP465" s="86"/>
      <c r="AQ465" s="86"/>
      <c r="AR465" s="86"/>
      <c r="AS465" s="86"/>
      <c r="AT465" s="86"/>
      <c r="AU465" s="86"/>
      <c r="AV465" s="86"/>
      <c r="AW465" s="86"/>
      <c r="AX465" s="86"/>
      <c r="AY465" s="86"/>
      <c r="AZ465" s="86"/>
      <c r="BA465" s="86"/>
      <c r="BB465" s="86"/>
      <c r="BC465" s="86"/>
      <c r="BD465" s="86"/>
      <c r="BE465" s="86"/>
      <c r="BF465" s="86"/>
      <c r="BG465" s="86"/>
      <c r="BH465" s="86"/>
      <c r="BI465" s="86"/>
      <c r="BJ465" s="86"/>
      <c r="BK465" s="86"/>
      <c r="BL465" s="86"/>
      <c r="BM465" s="86"/>
      <c r="BN465" s="86"/>
      <c r="BO465" s="86"/>
      <c r="BP465" s="86"/>
      <c r="BQ465" s="86"/>
      <c r="BR465" s="86"/>
      <c r="BS465" s="86"/>
      <c r="BT465" s="86"/>
      <c r="BU465" s="86"/>
      <c r="BV465" s="86"/>
      <c r="BW465" s="86"/>
      <c r="BX465" s="86"/>
      <c r="BY465" s="86"/>
      <c r="BZ465" s="86"/>
      <c r="CA465" s="86"/>
      <c r="CB465" s="86"/>
      <c r="CC465" s="86"/>
      <c r="CD465" s="86"/>
      <c r="CE465" s="86"/>
      <c r="CF465" s="86"/>
      <c r="CG465" s="86"/>
      <c r="CH465" s="86"/>
      <c r="CI465" s="86"/>
      <c r="CJ465" s="86"/>
      <c r="CK465" s="86"/>
      <c r="CL465" s="86"/>
      <c r="CM465" s="86"/>
      <c r="CN465" s="86"/>
      <c r="CO465" s="86"/>
      <c r="CP465" s="86"/>
      <c r="CQ465" s="86"/>
      <c r="CR465" s="86"/>
      <c r="CS465" s="86"/>
      <c r="CT465" s="86"/>
      <c r="CU465" s="86"/>
      <c r="CV465" s="86"/>
      <c r="CW465" s="86"/>
      <c r="CX465" s="86"/>
      <c r="CY465" s="86"/>
      <c r="CZ465" s="86"/>
      <c r="DA465" s="86"/>
      <c r="DB465" s="86"/>
      <c r="DC465" s="86"/>
      <c r="DD465" s="86"/>
      <c r="DE465" s="86"/>
      <c r="DF465" s="86"/>
      <c r="DG465" s="86"/>
      <c r="DH465" s="86"/>
      <c r="DI465" s="86"/>
      <c r="DJ465" s="86"/>
      <c r="DK465" s="86"/>
      <c r="DL465" s="86"/>
      <c r="DM465" s="86"/>
      <c r="DN465" s="86"/>
      <c r="DO465" s="86"/>
      <c r="DP465" s="86"/>
      <c r="DQ465" s="86"/>
      <c r="DR465" s="86"/>
      <c r="DS465" s="86"/>
      <c r="DT465" s="86"/>
      <c r="DU465" s="86"/>
      <c r="DV465" s="86"/>
      <c r="DW465" s="86"/>
      <c r="DX465" s="86"/>
      <c r="DY465" s="86"/>
      <c r="DZ465" s="86"/>
      <c r="EA465" s="86"/>
      <c r="EB465" s="86"/>
      <c r="EC465" s="86"/>
      <c r="ED465" s="86"/>
      <c r="EE465" s="86"/>
      <c r="EF465" s="86"/>
      <c r="EG465" s="86"/>
      <c r="EH465" s="86"/>
      <c r="EI465" s="86"/>
      <c r="EJ465" s="86"/>
      <c r="EK465" s="86"/>
      <c r="EL465" s="86"/>
      <c r="EM465" s="86"/>
      <c r="EN465" s="86"/>
      <c r="EO465" s="86"/>
      <c r="EP465" s="86"/>
      <c r="EQ465" s="86"/>
      <c r="ER465" s="86"/>
      <c r="ES465" s="86"/>
      <c r="ET465" s="86"/>
      <c r="EU465" s="86"/>
      <c r="EV465" s="86"/>
      <c r="EW465" s="86"/>
      <c r="EX465" s="86"/>
      <c r="EY465" s="86"/>
      <c r="EZ465" s="86"/>
      <c r="FA465" s="86"/>
    </row>
    <row r="466" spans="2:157" ht="9.75" customHeight="1">
      <c r="B466" s="182"/>
      <c r="C466" s="182"/>
      <c r="D466" s="182"/>
      <c r="E466" s="182"/>
      <c r="F466" s="182"/>
      <c r="G466" s="182"/>
      <c r="H466" s="182"/>
      <c r="J466" s="101"/>
      <c r="K466" s="101"/>
      <c r="L466" s="101"/>
      <c r="Z466" s="86"/>
      <c r="AA466" s="86"/>
      <c r="AB466" s="86"/>
      <c r="AC466" s="86"/>
      <c r="AD466" s="86"/>
      <c r="AE466" s="86"/>
      <c r="AF466" s="86"/>
      <c r="AG466" s="86"/>
      <c r="AH466" s="86"/>
      <c r="AI466" s="86"/>
      <c r="AJ466" s="86"/>
      <c r="AK466" s="86"/>
      <c r="AL466" s="86"/>
      <c r="AM466" s="86"/>
      <c r="AN466" s="86"/>
      <c r="AO466" s="86"/>
      <c r="AP466" s="86"/>
      <c r="AQ466" s="86"/>
      <c r="AR466" s="86"/>
      <c r="AS466" s="86"/>
      <c r="AT466" s="86"/>
      <c r="AU466" s="86"/>
      <c r="AV466" s="86"/>
      <c r="AW466" s="86"/>
      <c r="AX466" s="86"/>
      <c r="AY466" s="86"/>
      <c r="AZ466" s="86"/>
      <c r="BA466" s="86"/>
      <c r="BB466" s="86"/>
      <c r="BC466" s="86"/>
      <c r="BD466" s="86"/>
      <c r="BE466" s="86"/>
      <c r="BF466" s="86"/>
      <c r="BG466" s="86"/>
      <c r="BH466" s="86"/>
      <c r="BI466" s="86"/>
      <c r="BJ466" s="86"/>
      <c r="BK466" s="86"/>
      <c r="BL466" s="86"/>
      <c r="BM466" s="86"/>
      <c r="BN466" s="86"/>
      <c r="BO466" s="86"/>
      <c r="BP466" s="86"/>
      <c r="BQ466" s="86"/>
      <c r="BR466" s="86"/>
      <c r="BS466" s="86"/>
      <c r="BT466" s="86"/>
      <c r="BU466" s="86"/>
      <c r="BV466" s="86"/>
      <c r="BW466" s="86"/>
      <c r="BX466" s="86"/>
      <c r="BY466" s="86"/>
      <c r="BZ466" s="86"/>
      <c r="CA466" s="86"/>
      <c r="CB466" s="86"/>
      <c r="CC466" s="86"/>
      <c r="CD466" s="86"/>
      <c r="CE466" s="86"/>
      <c r="CF466" s="86"/>
      <c r="CG466" s="86"/>
      <c r="CH466" s="86"/>
      <c r="CI466" s="86"/>
      <c r="CJ466" s="86"/>
      <c r="CK466" s="86"/>
      <c r="CL466" s="86"/>
      <c r="CM466" s="86"/>
      <c r="CN466" s="86"/>
      <c r="CO466" s="86"/>
      <c r="CP466" s="86"/>
      <c r="CQ466" s="86"/>
      <c r="CR466" s="86"/>
      <c r="CS466" s="86"/>
      <c r="CT466" s="86"/>
      <c r="CU466" s="86"/>
      <c r="CV466" s="86"/>
      <c r="CW466" s="86"/>
      <c r="CX466" s="86"/>
      <c r="CY466" s="86"/>
      <c r="CZ466" s="86"/>
      <c r="DA466" s="86"/>
      <c r="DB466" s="86"/>
      <c r="DC466" s="86"/>
      <c r="DD466" s="86"/>
      <c r="DE466" s="86"/>
      <c r="DF466" s="86"/>
      <c r="DG466" s="86"/>
      <c r="DH466" s="86"/>
      <c r="DI466" s="86"/>
      <c r="DJ466" s="86"/>
      <c r="DK466" s="86"/>
      <c r="DL466" s="86"/>
      <c r="DM466" s="86"/>
      <c r="DN466" s="86"/>
      <c r="DO466" s="86"/>
      <c r="DP466" s="86"/>
      <c r="DQ466" s="86"/>
      <c r="DR466" s="86"/>
      <c r="DS466" s="86"/>
      <c r="DT466" s="86"/>
      <c r="DU466" s="86"/>
      <c r="DV466" s="86"/>
      <c r="DW466" s="86"/>
      <c r="DX466" s="86"/>
      <c r="DY466" s="86"/>
      <c r="DZ466" s="86"/>
      <c r="EA466" s="86"/>
      <c r="EB466" s="86"/>
      <c r="EC466" s="86"/>
      <c r="ED466" s="86"/>
      <c r="EE466" s="86"/>
      <c r="EF466" s="86"/>
      <c r="EG466" s="86"/>
      <c r="EH466" s="86"/>
      <c r="EI466" s="86"/>
      <c r="EJ466" s="86"/>
      <c r="EK466" s="86"/>
      <c r="EL466" s="86"/>
      <c r="EM466" s="86"/>
      <c r="EN466" s="86"/>
      <c r="EO466" s="86"/>
      <c r="EP466" s="86"/>
      <c r="EQ466" s="86"/>
      <c r="ER466" s="86"/>
      <c r="ES466" s="86"/>
      <c r="ET466" s="86"/>
      <c r="EU466" s="86"/>
      <c r="EV466" s="86"/>
      <c r="EW466" s="86"/>
      <c r="EX466" s="86"/>
      <c r="EY466" s="86"/>
      <c r="EZ466" s="86"/>
      <c r="FA466" s="86"/>
    </row>
    <row r="467" spans="2:157" ht="9.75" customHeight="1">
      <c r="B467" s="182"/>
      <c r="C467" s="182"/>
      <c r="D467" s="182"/>
      <c r="E467" s="182"/>
      <c r="F467" s="182"/>
      <c r="G467" s="182"/>
      <c r="H467" s="182"/>
      <c r="J467" s="101"/>
      <c r="K467" s="101"/>
      <c r="L467" s="101"/>
      <c r="Z467" s="86"/>
      <c r="AA467" s="86"/>
      <c r="AB467" s="86"/>
      <c r="AC467" s="86"/>
      <c r="AD467" s="86"/>
      <c r="AE467" s="86"/>
      <c r="AF467" s="86"/>
      <c r="AG467" s="86"/>
      <c r="AH467" s="86"/>
      <c r="AI467" s="86"/>
      <c r="AJ467" s="86"/>
      <c r="AK467" s="86"/>
      <c r="AL467" s="86"/>
      <c r="AM467" s="86"/>
      <c r="AN467" s="86"/>
      <c r="AO467" s="86"/>
      <c r="AP467" s="86"/>
      <c r="AQ467" s="86"/>
      <c r="AR467" s="86"/>
      <c r="AS467" s="86"/>
      <c r="AT467" s="86"/>
      <c r="AU467" s="86"/>
      <c r="AV467" s="86"/>
      <c r="AW467" s="86"/>
      <c r="AX467" s="86"/>
      <c r="AY467" s="86"/>
      <c r="AZ467" s="86"/>
      <c r="BA467" s="86"/>
      <c r="BB467" s="86"/>
      <c r="BC467" s="86"/>
      <c r="BD467" s="86"/>
      <c r="BE467" s="86"/>
      <c r="BF467" s="86"/>
      <c r="BG467" s="86"/>
      <c r="BH467" s="86"/>
      <c r="BI467" s="86"/>
      <c r="BJ467" s="86"/>
      <c r="BK467" s="86"/>
      <c r="BL467" s="86"/>
      <c r="BM467" s="86"/>
      <c r="BN467" s="86"/>
      <c r="BO467" s="86"/>
      <c r="BP467" s="86"/>
      <c r="BQ467" s="86"/>
      <c r="BR467" s="86"/>
      <c r="BS467" s="86"/>
      <c r="BT467" s="86"/>
      <c r="BU467" s="86"/>
      <c r="BV467" s="86"/>
      <c r="BW467" s="86"/>
      <c r="BX467" s="86"/>
      <c r="BY467" s="86"/>
      <c r="BZ467" s="86"/>
      <c r="CA467" s="86"/>
      <c r="CB467" s="86"/>
      <c r="CC467" s="86"/>
      <c r="CD467" s="86"/>
      <c r="CE467" s="86"/>
      <c r="CF467" s="86"/>
      <c r="CG467" s="86"/>
      <c r="CH467" s="86"/>
      <c r="CI467" s="86"/>
      <c r="CJ467" s="86"/>
      <c r="CK467" s="86"/>
      <c r="CL467" s="86"/>
      <c r="CM467" s="86"/>
      <c r="CN467" s="86"/>
      <c r="CO467" s="86"/>
      <c r="CP467" s="86"/>
      <c r="CQ467" s="86"/>
      <c r="CR467" s="86"/>
      <c r="CS467" s="86"/>
      <c r="CT467" s="86"/>
      <c r="CU467" s="86"/>
      <c r="CV467" s="86"/>
      <c r="CW467" s="86"/>
      <c r="CX467" s="86"/>
      <c r="CY467" s="86"/>
      <c r="CZ467" s="86"/>
      <c r="DA467" s="86"/>
      <c r="DB467" s="86"/>
      <c r="DC467" s="86"/>
      <c r="DD467" s="86"/>
      <c r="DE467" s="86"/>
      <c r="DF467" s="86"/>
      <c r="DG467" s="86"/>
      <c r="DH467" s="86"/>
      <c r="DI467" s="86"/>
      <c r="DJ467" s="86"/>
      <c r="DK467" s="86"/>
      <c r="DL467" s="86"/>
      <c r="DM467" s="86"/>
      <c r="DN467" s="86"/>
      <c r="DO467" s="86"/>
      <c r="DP467" s="86"/>
      <c r="DQ467" s="86"/>
      <c r="DR467" s="86"/>
      <c r="DS467" s="86"/>
      <c r="DT467" s="86"/>
      <c r="DU467" s="86"/>
      <c r="DV467" s="86"/>
      <c r="DW467" s="86"/>
      <c r="DX467" s="86"/>
      <c r="DY467" s="86"/>
      <c r="DZ467" s="86"/>
      <c r="EA467" s="86"/>
      <c r="EB467" s="86"/>
      <c r="EC467" s="86"/>
      <c r="ED467" s="86"/>
      <c r="EE467" s="86"/>
      <c r="EF467" s="86"/>
      <c r="EG467" s="86"/>
      <c r="EH467" s="86"/>
      <c r="EI467" s="86"/>
      <c r="EJ467" s="86"/>
      <c r="EK467" s="86"/>
      <c r="EL467" s="86"/>
      <c r="EM467" s="86"/>
      <c r="EN467" s="86"/>
      <c r="EO467" s="86"/>
      <c r="EP467" s="86"/>
      <c r="EQ467" s="86"/>
      <c r="ER467" s="86"/>
      <c r="ES467" s="86"/>
      <c r="ET467" s="86"/>
      <c r="EU467" s="86"/>
      <c r="EV467" s="86"/>
      <c r="EW467" s="86"/>
      <c r="EX467" s="86"/>
      <c r="EY467" s="86"/>
      <c r="EZ467" s="86"/>
      <c r="FA467" s="86"/>
    </row>
    <row r="468" spans="2:157" ht="9.75" customHeight="1">
      <c r="B468" s="182"/>
      <c r="C468" s="182"/>
      <c r="D468" s="182"/>
      <c r="E468" s="182"/>
      <c r="F468" s="182"/>
      <c r="G468" s="182"/>
      <c r="H468" s="182"/>
      <c r="J468" s="101"/>
      <c r="K468" s="101"/>
      <c r="L468" s="101"/>
      <c r="Z468" s="86"/>
      <c r="AA468" s="86"/>
      <c r="AB468" s="86"/>
      <c r="AC468" s="86"/>
      <c r="AD468" s="86"/>
      <c r="AE468" s="86"/>
      <c r="AF468" s="86"/>
      <c r="AG468" s="86"/>
      <c r="AH468" s="86"/>
      <c r="AI468" s="86"/>
      <c r="AJ468" s="86"/>
      <c r="AK468" s="86"/>
      <c r="AL468" s="86"/>
      <c r="AM468" s="86"/>
      <c r="AN468" s="86"/>
      <c r="AO468" s="86"/>
      <c r="AP468" s="86"/>
      <c r="AQ468" s="86"/>
      <c r="AR468" s="86"/>
      <c r="AS468" s="86"/>
      <c r="AT468" s="86"/>
      <c r="AU468" s="86"/>
      <c r="AV468" s="86"/>
      <c r="AW468" s="86"/>
      <c r="AX468" s="86"/>
      <c r="AY468" s="86"/>
      <c r="AZ468" s="86"/>
      <c r="BA468" s="86"/>
      <c r="BB468" s="86"/>
      <c r="BC468" s="86"/>
      <c r="BD468" s="86"/>
      <c r="BE468" s="86"/>
      <c r="BF468" s="86"/>
      <c r="BG468" s="86"/>
      <c r="BH468" s="86"/>
      <c r="BI468" s="86"/>
      <c r="BJ468" s="86"/>
      <c r="BK468" s="86"/>
      <c r="BL468" s="86"/>
      <c r="BM468" s="86"/>
      <c r="BN468" s="86"/>
      <c r="BO468" s="86"/>
      <c r="BP468" s="86"/>
      <c r="BQ468" s="86"/>
      <c r="BR468" s="86"/>
      <c r="BS468" s="86"/>
      <c r="BT468" s="86"/>
      <c r="BU468" s="86"/>
      <c r="BV468" s="86"/>
      <c r="BW468" s="86"/>
      <c r="BX468" s="86"/>
      <c r="BY468" s="86"/>
      <c r="BZ468" s="86"/>
      <c r="CA468" s="86"/>
      <c r="CB468" s="86"/>
      <c r="CC468" s="86"/>
      <c r="CD468" s="86"/>
      <c r="CE468" s="86"/>
      <c r="CF468" s="86"/>
      <c r="CG468" s="86"/>
      <c r="CH468" s="86"/>
      <c r="CI468" s="86"/>
      <c r="CJ468" s="86"/>
      <c r="CK468" s="86"/>
      <c r="CL468" s="86"/>
      <c r="CM468" s="86"/>
      <c r="CN468" s="86"/>
      <c r="CO468" s="86"/>
      <c r="CP468" s="86"/>
      <c r="CQ468" s="86"/>
      <c r="CR468" s="86"/>
      <c r="CS468" s="86"/>
      <c r="CT468" s="86"/>
      <c r="CU468" s="86"/>
      <c r="CV468" s="86"/>
      <c r="CW468" s="86"/>
      <c r="CX468" s="86"/>
      <c r="CY468" s="86"/>
      <c r="CZ468" s="86"/>
      <c r="DA468" s="86"/>
      <c r="DB468" s="86"/>
      <c r="DC468" s="86"/>
      <c r="DD468" s="86"/>
      <c r="DE468" s="86"/>
      <c r="DF468" s="86"/>
      <c r="DG468" s="86"/>
      <c r="DH468" s="86"/>
      <c r="DI468" s="86"/>
      <c r="DJ468" s="86"/>
      <c r="DK468" s="86"/>
      <c r="DL468" s="86"/>
      <c r="DM468" s="86"/>
      <c r="DN468" s="86"/>
      <c r="DO468" s="86"/>
      <c r="DP468" s="86"/>
      <c r="DQ468" s="86"/>
      <c r="DR468" s="86"/>
      <c r="DS468" s="86"/>
      <c r="DT468" s="86"/>
      <c r="DU468" s="86"/>
      <c r="DV468" s="86"/>
      <c r="DW468" s="86"/>
      <c r="DX468" s="86"/>
      <c r="DY468" s="86"/>
      <c r="DZ468" s="86"/>
      <c r="EA468" s="86"/>
      <c r="EB468" s="86"/>
      <c r="EC468" s="86"/>
      <c r="ED468" s="86"/>
      <c r="EE468" s="86"/>
      <c r="EF468" s="86"/>
      <c r="EG468" s="86"/>
      <c r="EH468" s="86"/>
      <c r="EI468" s="86"/>
      <c r="EJ468" s="86"/>
      <c r="EK468" s="86"/>
      <c r="EL468" s="86"/>
      <c r="EM468" s="86"/>
      <c r="EN468" s="86"/>
      <c r="EO468" s="86"/>
      <c r="EP468" s="86"/>
      <c r="EQ468" s="86"/>
      <c r="ER468" s="86"/>
      <c r="ES468" s="86"/>
      <c r="ET468" s="86"/>
      <c r="EU468" s="86"/>
      <c r="EV468" s="86"/>
      <c r="EW468" s="86"/>
      <c r="EX468" s="86"/>
      <c r="EY468" s="86"/>
      <c r="EZ468" s="86"/>
      <c r="FA468" s="86"/>
    </row>
    <row r="469" spans="2:157" ht="9.75" customHeight="1">
      <c r="B469" s="182"/>
      <c r="C469" s="182"/>
      <c r="D469" s="182"/>
      <c r="E469" s="182"/>
      <c r="F469" s="182"/>
      <c r="G469" s="182"/>
      <c r="H469" s="182"/>
      <c r="J469" s="101"/>
      <c r="K469" s="101"/>
      <c r="L469" s="101"/>
      <c r="Z469" s="86"/>
      <c r="AA469" s="86"/>
      <c r="AB469" s="86"/>
      <c r="AC469" s="86"/>
      <c r="AD469" s="86"/>
      <c r="AE469" s="86"/>
      <c r="AF469" s="86"/>
      <c r="AG469" s="86"/>
      <c r="AH469" s="86"/>
      <c r="AI469" s="86"/>
      <c r="AJ469" s="86"/>
      <c r="AK469" s="86"/>
      <c r="AL469" s="86"/>
      <c r="AM469" s="86"/>
      <c r="AN469" s="86"/>
      <c r="AO469" s="86"/>
      <c r="AP469" s="86"/>
      <c r="AQ469" s="86"/>
      <c r="AR469" s="86"/>
      <c r="AS469" s="86"/>
      <c r="AT469" s="86"/>
      <c r="AU469" s="86"/>
      <c r="AV469" s="86"/>
      <c r="AW469" s="86"/>
      <c r="AX469" s="86"/>
      <c r="AY469" s="86"/>
      <c r="AZ469" s="86"/>
      <c r="BA469" s="86"/>
      <c r="BB469" s="86"/>
      <c r="BC469" s="86"/>
      <c r="BD469" s="86"/>
      <c r="BE469" s="86"/>
      <c r="BF469" s="86"/>
      <c r="BG469" s="86"/>
      <c r="BH469" s="86"/>
      <c r="BI469" s="86"/>
      <c r="BJ469" s="86"/>
      <c r="BK469" s="86"/>
      <c r="BL469" s="86"/>
      <c r="BM469" s="86"/>
      <c r="BN469" s="86"/>
      <c r="BO469" s="86"/>
      <c r="BP469" s="86"/>
      <c r="BQ469" s="86"/>
      <c r="BR469" s="86"/>
      <c r="BS469" s="86"/>
      <c r="BT469" s="86"/>
      <c r="BU469" s="86"/>
      <c r="BV469" s="86"/>
      <c r="BW469" s="86"/>
      <c r="BX469" s="86"/>
      <c r="BY469" s="86"/>
      <c r="BZ469" s="86"/>
      <c r="CA469" s="86"/>
      <c r="CB469" s="86"/>
      <c r="CC469" s="86"/>
      <c r="CD469" s="86"/>
      <c r="CE469" s="86"/>
      <c r="CF469" s="86"/>
      <c r="CG469" s="86"/>
      <c r="CH469" s="86"/>
      <c r="CI469" s="86"/>
      <c r="CJ469" s="86"/>
      <c r="CK469" s="86"/>
      <c r="CL469" s="86"/>
      <c r="CM469" s="86"/>
      <c r="CN469" s="86"/>
      <c r="CO469" s="86"/>
      <c r="CP469" s="86"/>
      <c r="CQ469" s="86"/>
      <c r="CR469" s="86"/>
      <c r="CS469" s="86"/>
      <c r="CT469" s="86"/>
      <c r="CU469" s="86"/>
      <c r="CV469" s="86"/>
      <c r="CW469" s="86"/>
      <c r="CX469" s="86"/>
      <c r="CY469" s="86"/>
      <c r="CZ469" s="86"/>
      <c r="DA469" s="86"/>
      <c r="DB469" s="86"/>
      <c r="DC469" s="86"/>
      <c r="DD469" s="86"/>
      <c r="DE469" s="86"/>
      <c r="DF469" s="86"/>
      <c r="DG469" s="86"/>
      <c r="DH469" s="86"/>
      <c r="DI469" s="86"/>
      <c r="DJ469" s="86"/>
      <c r="DK469" s="86"/>
      <c r="DL469" s="86"/>
      <c r="DM469" s="86"/>
      <c r="DN469" s="86"/>
      <c r="DO469" s="86"/>
      <c r="DP469" s="86"/>
      <c r="DQ469" s="86"/>
      <c r="DR469" s="86"/>
      <c r="DS469" s="86"/>
      <c r="DT469" s="86"/>
      <c r="DU469" s="86"/>
      <c r="DV469" s="86"/>
      <c r="DW469" s="86"/>
      <c r="DX469" s="86"/>
      <c r="DY469" s="86"/>
      <c r="DZ469" s="86"/>
      <c r="EA469" s="86"/>
      <c r="EB469" s="86"/>
      <c r="EC469" s="86"/>
      <c r="ED469" s="86"/>
      <c r="EE469" s="86"/>
      <c r="EF469" s="86"/>
      <c r="EG469" s="86"/>
      <c r="EH469" s="86"/>
      <c r="EI469" s="86"/>
      <c r="EJ469" s="86"/>
      <c r="EK469" s="86"/>
      <c r="EL469" s="86"/>
      <c r="EM469" s="86"/>
      <c r="EN469" s="86"/>
      <c r="EO469" s="86"/>
      <c r="EP469" s="86"/>
      <c r="EQ469" s="86"/>
      <c r="ER469" s="86"/>
      <c r="ES469" s="86"/>
      <c r="ET469" s="86"/>
      <c r="EU469" s="86"/>
      <c r="EV469" s="86"/>
      <c r="EW469" s="86"/>
      <c r="EX469" s="86"/>
      <c r="EY469" s="86"/>
      <c r="EZ469" s="86"/>
      <c r="FA469" s="86"/>
    </row>
    <row r="470" spans="2:157" ht="9.75" customHeight="1">
      <c r="B470" s="182"/>
      <c r="C470" s="182"/>
      <c r="D470" s="182"/>
      <c r="E470" s="182"/>
      <c r="F470" s="182"/>
      <c r="G470" s="182"/>
      <c r="H470" s="182"/>
      <c r="J470" s="101"/>
      <c r="K470" s="101"/>
      <c r="L470" s="101"/>
      <c r="Z470" s="86"/>
      <c r="AA470" s="86"/>
      <c r="AB470" s="86"/>
      <c r="AC470" s="86"/>
      <c r="AD470" s="86"/>
      <c r="AE470" s="86"/>
      <c r="AF470" s="86"/>
      <c r="AG470" s="86"/>
      <c r="AH470" s="86"/>
      <c r="AI470" s="86"/>
      <c r="AJ470" s="86"/>
      <c r="AK470" s="86"/>
      <c r="AL470" s="86"/>
      <c r="AM470" s="86"/>
      <c r="AN470" s="86"/>
      <c r="AO470" s="86"/>
      <c r="AP470" s="86"/>
      <c r="AQ470" s="86"/>
      <c r="AR470" s="86"/>
      <c r="AS470" s="86"/>
      <c r="AT470" s="86"/>
      <c r="AU470" s="86"/>
      <c r="AV470" s="86"/>
      <c r="AW470" s="86"/>
      <c r="AX470" s="86"/>
      <c r="AY470" s="86"/>
      <c r="AZ470" s="86"/>
      <c r="BA470" s="86"/>
      <c r="BB470" s="86"/>
      <c r="BC470" s="86"/>
      <c r="BD470" s="86"/>
      <c r="BE470" s="86"/>
      <c r="BF470" s="86"/>
      <c r="BG470" s="86"/>
      <c r="BH470" s="86"/>
      <c r="BI470" s="86"/>
      <c r="BJ470" s="86"/>
      <c r="BK470" s="86"/>
      <c r="BL470" s="86"/>
      <c r="BM470" s="86"/>
      <c r="BN470" s="86"/>
      <c r="BO470" s="86"/>
      <c r="BP470" s="86"/>
      <c r="BQ470" s="86"/>
      <c r="BR470" s="86"/>
      <c r="BS470" s="86"/>
      <c r="BT470" s="86"/>
      <c r="BU470" s="86"/>
      <c r="BV470" s="86"/>
      <c r="BW470" s="86"/>
      <c r="BX470" s="86"/>
      <c r="BY470" s="86"/>
      <c r="BZ470" s="86"/>
      <c r="CA470" s="86"/>
      <c r="CB470" s="86"/>
      <c r="CC470" s="86"/>
      <c r="CD470" s="86"/>
      <c r="CE470" s="86"/>
      <c r="CF470" s="86"/>
      <c r="CG470" s="86"/>
      <c r="CH470" s="86"/>
      <c r="CI470" s="86"/>
      <c r="CJ470" s="86"/>
      <c r="CK470" s="86"/>
      <c r="CL470" s="86"/>
      <c r="CM470" s="86"/>
      <c r="CN470" s="86"/>
      <c r="CO470" s="86"/>
      <c r="CP470" s="86"/>
      <c r="CQ470" s="86"/>
      <c r="CR470" s="86"/>
      <c r="CS470" s="86"/>
      <c r="CT470" s="86"/>
      <c r="CU470" s="86"/>
      <c r="CV470" s="86"/>
      <c r="CW470" s="86"/>
      <c r="CX470" s="86"/>
      <c r="CY470" s="86"/>
      <c r="CZ470" s="86"/>
      <c r="DA470" s="86"/>
      <c r="DB470" s="86"/>
      <c r="DC470" s="86"/>
      <c r="DD470" s="86"/>
      <c r="DE470" s="86"/>
      <c r="DF470" s="86"/>
      <c r="DG470" s="86"/>
      <c r="DH470" s="86"/>
      <c r="DI470" s="86"/>
      <c r="DJ470" s="86"/>
      <c r="DK470" s="86"/>
      <c r="DL470" s="86"/>
      <c r="DM470" s="86"/>
      <c r="DN470" s="86"/>
      <c r="DO470" s="86"/>
      <c r="DP470" s="86"/>
      <c r="DQ470" s="86"/>
      <c r="DR470" s="86"/>
      <c r="DS470" s="86"/>
      <c r="DT470" s="86"/>
      <c r="DU470" s="86"/>
      <c r="DV470" s="86"/>
      <c r="DW470" s="86"/>
      <c r="DX470" s="86"/>
      <c r="DY470" s="86"/>
      <c r="DZ470" s="86"/>
      <c r="EA470" s="86"/>
      <c r="EB470" s="86"/>
      <c r="EC470" s="86"/>
      <c r="ED470" s="86"/>
      <c r="EE470" s="86"/>
      <c r="EF470" s="86"/>
      <c r="EG470" s="86"/>
      <c r="EH470" s="86"/>
      <c r="EI470" s="86"/>
      <c r="EJ470" s="86"/>
      <c r="EK470" s="86"/>
      <c r="EL470" s="86"/>
      <c r="EM470" s="86"/>
      <c r="EN470" s="86"/>
      <c r="EO470" s="86"/>
      <c r="EP470" s="86"/>
      <c r="EQ470" s="86"/>
      <c r="ER470" s="86"/>
      <c r="ES470" s="86"/>
      <c r="ET470" s="86"/>
      <c r="EU470" s="86"/>
      <c r="EV470" s="86"/>
      <c r="EW470" s="86"/>
      <c r="EX470" s="86"/>
      <c r="EY470" s="86"/>
      <c r="EZ470" s="86"/>
      <c r="FA470" s="86"/>
    </row>
    <row r="471" spans="2:157" ht="9.75" customHeight="1">
      <c r="B471" s="182"/>
      <c r="C471" s="182"/>
      <c r="D471" s="182"/>
      <c r="E471" s="182"/>
      <c r="F471" s="182"/>
      <c r="G471" s="182"/>
      <c r="H471" s="182"/>
      <c r="J471" s="101"/>
      <c r="K471" s="101"/>
      <c r="L471" s="101"/>
      <c r="Z471" s="86"/>
      <c r="AA471" s="86"/>
      <c r="AB471" s="86"/>
      <c r="AC471" s="86"/>
      <c r="AD471" s="86"/>
      <c r="AE471" s="86"/>
      <c r="AF471" s="86"/>
      <c r="AG471" s="86"/>
      <c r="AH471" s="86"/>
      <c r="AI471" s="86"/>
      <c r="AJ471" s="86"/>
      <c r="AK471" s="86"/>
      <c r="AL471" s="86"/>
      <c r="AM471" s="86"/>
      <c r="AN471" s="86"/>
      <c r="AO471" s="86"/>
      <c r="AP471" s="86"/>
      <c r="AQ471" s="86"/>
      <c r="AR471" s="86"/>
      <c r="AS471" s="86"/>
      <c r="AT471" s="86"/>
      <c r="AU471" s="86"/>
      <c r="AV471" s="86"/>
      <c r="AW471" s="86"/>
      <c r="AX471" s="86"/>
      <c r="AY471" s="86"/>
      <c r="AZ471" s="86"/>
      <c r="BA471" s="86"/>
      <c r="BB471" s="86"/>
      <c r="BC471" s="86"/>
      <c r="BD471" s="86"/>
      <c r="BE471" s="86"/>
      <c r="BF471" s="86"/>
      <c r="BG471" s="86"/>
      <c r="BH471" s="86"/>
      <c r="BI471" s="86"/>
      <c r="BJ471" s="86"/>
      <c r="BK471" s="86"/>
      <c r="BL471" s="86"/>
      <c r="BM471" s="86"/>
      <c r="BN471" s="86"/>
      <c r="BO471" s="86"/>
      <c r="BP471" s="86"/>
      <c r="BQ471" s="86"/>
      <c r="BR471" s="86"/>
      <c r="BS471" s="86"/>
      <c r="BT471" s="86"/>
      <c r="BU471" s="86"/>
      <c r="BV471" s="86"/>
      <c r="BW471" s="86"/>
      <c r="BX471" s="86"/>
      <c r="BY471" s="86"/>
      <c r="BZ471" s="86"/>
      <c r="CA471" s="86"/>
      <c r="CB471" s="86"/>
      <c r="CC471" s="86"/>
      <c r="CD471" s="86"/>
      <c r="CE471" s="86"/>
      <c r="CF471" s="86"/>
      <c r="CG471" s="86"/>
      <c r="CH471" s="86"/>
      <c r="CI471" s="86"/>
      <c r="CJ471" s="86"/>
      <c r="CK471" s="86"/>
      <c r="CL471" s="86"/>
      <c r="CM471" s="86"/>
      <c r="CN471" s="86"/>
      <c r="CO471" s="86"/>
      <c r="CP471" s="86"/>
      <c r="CQ471" s="86"/>
      <c r="CR471" s="86"/>
      <c r="CS471" s="86"/>
      <c r="CT471" s="86"/>
      <c r="CU471" s="86"/>
      <c r="CV471" s="86"/>
      <c r="CW471" s="86"/>
      <c r="CX471" s="86"/>
      <c r="CY471" s="86"/>
      <c r="CZ471" s="86"/>
      <c r="DA471" s="86"/>
      <c r="DB471" s="86"/>
      <c r="DC471" s="86"/>
      <c r="DD471" s="86"/>
      <c r="DE471" s="86"/>
      <c r="DF471" s="86"/>
      <c r="DG471" s="86"/>
      <c r="DH471" s="86"/>
      <c r="DI471" s="86"/>
      <c r="DJ471" s="86"/>
      <c r="DK471" s="86"/>
      <c r="DL471" s="86"/>
      <c r="DM471" s="86"/>
      <c r="DN471" s="86"/>
      <c r="DO471" s="86"/>
      <c r="DP471" s="86"/>
      <c r="DQ471" s="86"/>
      <c r="DR471" s="86"/>
      <c r="DS471" s="86"/>
      <c r="DT471" s="86"/>
      <c r="DU471" s="86"/>
      <c r="DV471" s="86"/>
      <c r="DW471" s="86"/>
      <c r="DX471" s="86"/>
      <c r="DY471" s="86"/>
      <c r="DZ471" s="86"/>
      <c r="EA471" s="86"/>
      <c r="EB471" s="86"/>
      <c r="EC471" s="86"/>
      <c r="ED471" s="86"/>
      <c r="EE471" s="86"/>
      <c r="EF471" s="86"/>
      <c r="EG471" s="86"/>
      <c r="EH471" s="86"/>
      <c r="EI471" s="86"/>
      <c r="EJ471" s="86"/>
      <c r="EK471" s="86"/>
      <c r="EL471" s="86"/>
      <c r="EM471" s="86"/>
      <c r="EN471" s="86"/>
      <c r="EO471" s="86"/>
      <c r="EP471" s="86"/>
      <c r="EQ471" s="86"/>
      <c r="ER471" s="86"/>
      <c r="ES471" s="86"/>
      <c r="ET471" s="86"/>
      <c r="EU471" s="86"/>
      <c r="EV471" s="86"/>
      <c r="EW471" s="86"/>
      <c r="EX471" s="86"/>
      <c r="EY471" s="86"/>
      <c r="EZ471" s="86"/>
      <c r="FA471" s="86"/>
    </row>
    <row r="472" spans="2:157" ht="9.75" customHeight="1">
      <c r="B472" s="182"/>
      <c r="C472" s="182"/>
      <c r="D472" s="182"/>
      <c r="E472" s="182"/>
      <c r="F472" s="182"/>
      <c r="G472" s="182"/>
      <c r="H472" s="182"/>
      <c r="J472" s="101"/>
      <c r="K472" s="101"/>
      <c r="L472" s="101"/>
      <c r="Z472" s="86"/>
      <c r="AA472" s="86"/>
      <c r="AB472" s="86"/>
      <c r="AC472" s="86"/>
      <c r="AD472" s="86"/>
      <c r="AE472" s="86"/>
      <c r="AF472" s="86"/>
      <c r="AG472" s="86"/>
      <c r="AH472" s="86"/>
      <c r="AI472" s="86"/>
      <c r="AJ472" s="86"/>
      <c r="AK472" s="86"/>
      <c r="AL472" s="86"/>
      <c r="AM472" s="86"/>
      <c r="AN472" s="86"/>
      <c r="AO472" s="86"/>
      <c r="AP472" s="86"/>
      <c r="AQ472" s="86"/>
      <c r="AR472" s="86"/>
      <c r="AS472" s="86"/>
      <c r="AT472" s="86"/>
      <c r="AU472" s="86"/>
      <c r="AV472" s="86"/>
      <c r="AW472" s="86"/>
      <c r="AX472" s="86"/>
      <c r="AY472" s="86"/>
      <c r="AZ472" s="86"/>
      <c r="BA472" s="86"/>
      <c r="BB472" s="86"/>
      <c r="BC472" s="86"/>
      <c r="BD472" s="86"/>
      <c r="BE472" s="86"/>
      <c r="BF472" s="86"/>
      <c r="BG472" s="86"/>
      <c r="BH472" s="86"/>
      <c r="BI472" s="86"/>
      <c r="BJ472" s="86"/>
      <c r="BK472" s="86"/>
      <c r="BL472" s="86"/>
      <c r="BM472" s="86"/>
      <c r="BN472" s="86"/>
      <c r="BO472" s="86"/>
      <c r="BP472" s="86"/>
      <c r="BQ472" s="86"/>
      <c r="BR472" s="86"/>
      <c r="BS472" s="86"/>
      <c r="BT472" s="86"/>
      <c r="BU472" s="86"/>
      <c r="BV472" s="86"/>
      <c r="BW472" s="86"/>
      <c r="BX472" s="86"/>
      <c r="BY472" s="86"/>
      <c r="BZ472" s="86"/>
      <c r="CA472" s="86"/>
      <c r="CB472" s="86"/>
      <c r="CC472" s="86"/>
      <c r="CD472" s="86"/>
      <c r="CE472" s="86"/>
      <c r="CF472" s="86"/>
      <c r="CG472" s="86"/>
      <c r="CH472" s="86"/>
      <c r="CI472" s="86"/>
      <c r="CJ472" s="86"/>
      <c r="CK472" s="86"/>
      <c r="CL472" s="86"/>
      <c r="CM472" s="86"/>
      <c r="CN472" s="86"/>
      <c r="CO472" s="86"/>
      <c r="CP472" s="86"/>
      <c r="CQ472" s="86"/>
      <c r="CR472" s="86"/>
      <c r="CS472" s="86"/>
      <c r="CT472" s="86"/>
      <c r="CU472" s="86"/>
      <c r="CV472" s="86"/>
      <c r="CW472" s="86"/>
      <c r="CX472" s="86"/>
      <c r="CY472" s="86"/>
      <c r="CZ472" s="86"/>
      <c r="DA472" s="86"/>
      <c r="DB472" s="86"/>
      <c r="DC472" s="86"/>
      <c r="DD472" s="86"/>
      <c r="DE472" s="86"/>
      <c r="DF472" s="86"/>
      <c r="DG472" s="86"/>
      <c r="DH472" s="86"/>
      <c r="DI472" s="86"/>
      <c r="DJ472" s="86"/>
      <c r="DK472" s="86"/>
      <c r="DL472" s="86"/>
      <c r="DM472" s="86"/>
      <c r="DN472" s="86"/>
      <c r="DO472" s="86"/>
      <c r="DP472" s="86"/>
      <c r="DQ472" s="86"/>
      <c r="DR472" s="86"/>
      <c r="DS472" s="86"/>
      <c r="DT472" s="86"/>
      <c r="DU472" s="86"/>
      <c r="DV472" s="86"/>
      <c r="DW472" s="86"/>
      <c r="DX472" s="86"/>
      <c r="DY472" s="86"/>
      <c r="DZ472" s="86"/>
      <c r="EA472" s="86"/>
      <c r="EB472" s="86"/>
      <c r="EC472" s="86"/>
      <c r="ED472" s="86"/>
      <c r="EE472" s="86"/>
      <c r="EF472" s="86"/>
      <c r="EG472" s="86"/>
      <c r="EH472" s="86"/>
      <c r="EI472" s="86"/>
      <c r="EJ472" s="86"/>
      <c r="EK472" s="86"/>
      <c r="EL472" s="86"/>
      <c r="EM472" s="86"/>
      <c r="EN472" s="86"/>
      <c r="EO472" s="86"/>
      <c r="EP472" s="86"/>
      <c r="EQ472" s="86"/>
      <c r="ER472" s="86"/>
      <c r="ES472" s="86"/>
      <c r="ET472" s="86"/>
      <c r="EU472" s="86"/>
      <c r="EV472" s="86"/>
      <c r="EW472" s="86"/>
      <c r="EX472" s="86"/>
      <c r="EY472" s="86"/>
      <c r="EZ472" s="86"/>
      <c r="FA472" s="86"/>
    </row>
    <row r="473" spans="2:157" ht="9.75" customHeight="1">
      <c r="B473" s="182"/>
      <c r="C473" s="182"/>
      <c r="D473" s="182"/>
      <c r="E473" s="182"/>
      <c r="F473" s="182"/>
      <c r="G473" s="182"/>
      <c r="H473" s="182"/>
      <c r="J473" s="101"/>
      <c r="K473" s="101"/>
      <c r="L473" s="101"/>
      <c r="Z473" s="86"/>
      <c r="AA473" s="86"/>
      <c r="AB473" s="86"/>
      <c r="AC473" s="86"/>
      <c r="AD473" s="86"/>
      <c r="AE473" s="86"/>
      <c r="AF473" s="86"/>
      <c r="AG473" s="86"/>
      <c r="AH473" s="86"/>
      <c r="AI473" s="86"/>
      <c r="AJ473" s="86"/>
      <c r="AK473" s="86"/>
      <c r="AL473" s="86"/>
      <c r="AM473" s="86"/>
      <c r="AN473" s="86"/>
      <c r="AO473" s="86"/>
      <c r="AP473" s="86"/>
      <c r="AQ473" s="86"/>
      <c r="AR473" s="86"/>
      <c r="AS473" s="86"/>
      <c r="AT473" s="86"/>
      <c r="AU473" s="86"/>
      <c r="AV473" s="86"/>
      <c r="AW473" s="86"/>
      <c r="AX473" s="86"/>
      <c r="AY473" s="86"/>
      <c r="AZ473" s="86"/>
      <c r="BA473" s="86"/>
      <c r="BB473" s="86"/>
      <c r="BC473" s="86"/>
      <c r="BD473" s="86"/>
      <c r="BE473" s="86"/>
      <c r="BF473" s="86"/>
      <c r="BG473" s="86"/>
      <c r="BH473" s="86"/>
      <c r="BI473" s="86"/>
      <c r="BJ473" s="86"/>
      <c r="BK473" s="86"/>
      <c r="BL473" s="86"/>
      <c r="BM473" s="86"/>
      <c r="BN473" s="86"/>
      <c r="BO473" s="86"/>
      <c r="BP473" s="86"/>
      <c r="BQ473" s="86"/>
      <c r="BR473" s="86"/>
      <c r="BS473" s="86"/>
      <c r="BT473" s="86"/>
      <c r="BU473" s="86"/>
      <c r="BV473" s="86"/>
      <c r="BW473" s="86"/>
      <c r="BX473" s="86"/>
      <c r="BY473" s="86"/>
      <c r="BZ473" s="86"/>
      <c r="CA473" s="86"/>
      <c r="CB473" s="86"/>
      <c r="CC473" s="86"/>
      <c r="CD473" s="86"/>
      <c r="CE473" s="86"/>
      <c r="CF473" s="86"/>
      <c r="CG473" s="86"/>
      <c r="CH473" s="86"/>
      <c r="CI473" s="86"/>
      <c r="CJ473" s="86"/>
      <c r="CK473" s="86"/>
      <c r="CL473" s="86"/>
      <c r="CM473" s="86"/>
      <c r="CN473" s="86"/>
      <c r="CO473" s="86"/>
      <c r="CP473" s="86"/>
      <c r="CQ473" s="86"/>
      <c r="CR473" s="86"/>
      <c r="CS473" s="86"/>
      <c r="CT473" s="86"/>
      <c r="CU473" s="86"/>
      <c r="CV473" s="86"/>
      <c r="CW473" s="86"/>
      <c r="CX473" s="86"/>
      <c r="CY473" s="86"/>
      <c r="CZ473" s="86"/>
      <c r="DA473" s="86"/>
      <c r="DB473" s="86"/>
      <c r="DC473" s="86"/>
      <c r="DD473" s="86"/>
      <c r="DE473" s="86"/>
      <c r="DF473" s="86"/>
      <c r="DG473" s="86"/>
      <c r="DH473" s="86"/>
      <c r="DI473" s="86"/>
      <c r="DJ473" s="86"/>
      <c r="DK473" s="86"/>
      <c r="DL473" s="86"/>
      <c r="DM473" s="86"/>
      <c r="DN473" s="86"/>
      <c r="DO473" s="86"/>
      <c r="DP473" s="86"/>
      <c r="DQ473" s="86"/>
      <c r="DR473" s="86"/>
      <c r="DS473" s="86"/>
      <c r="DT473" s="86"/>
      <c r="DU473" s="86"/>
      <c r="DV473" s="86"/>
      <c r="DW473" s="86"/>
      <c r="DX473" s="86"/>
      <c r="DY473" s="86"/>
      <c r="DZ473" s="86"/>
      <c r="EA473" s="86"/>
      <c r="EB473" s="86"/>
      <c r="EC473" s="86"/>
      <c r="ED473" s="86"/>
      <c r="EE473" s="86"/>
      <c r="EF473" s="86"/>
      <c r="EG473" s="86"/>
      <c r="EH473" s="86"/>
      <c r="EI473" s="86"/>
      <c r="EJ473" s="86"/>
      <c r="EK473" s="86"/>
      <c r="EL473" s="86"/>
      <c r="EM473" s="86"/>
      <c r="EN473" s="86"/>
      <c r="EO473" s="86"/>
      <c r="EP473" s="86"/>
      <c r="EQ473" s="86"/>
      <c r="ER473" s="86"/>
      <c r="ES473" s="86"/>
      <c r="ET473" s="86"/>
      <c r="EU473" s="86"/>
      <c r="EV473" s="86"/>
      <c r="EW473" s="86"/>
      <c r="EX473" s="86"/>
      <c r="EY473" s="86"/>
      <c r="EZ473" s="86"/>
      <c r="FA473" s="86"/>
    </row>
    <row r="474" spans="2:157" ht="9.75" customHeight="1">
      <c r="B474" s="182"/>
      <c r="C474" s="182"/>
      <c r="D474" s="182"/>
      <c r="E474" s="182"/>
      <c r="F474" s="182"/>
      <c r="G474" s="182"/>
      <c r="H474" s="182"/>
      <c r="J474" s="101"/>
      <c r="K474" s="101"/>
      <c r="L474" s="101"/>
      <c r="Z474" s="86"/>
      <c r="AA474" s="86"/>
      <c r="AB474" s="86"/>
      <c r="AC474" s="86"/>
      <c r="AD474" s="86"/>
      <c r="AE474" s="86"/>
      <c r="AF474" s="86"/>
      <c r="AG474" s="86"/>
      <c r="AH474" s="86"/>
      <c r="AI474" s="86"/>
      <c r="AJ474" s="86"/>
      <c r="AK474" s="86"/>
      <c r="AL474" s="86"/>
      <c r="AM474" s="86"/>
      <c r="AN474" s="86"/>
      <c r="AO474" s="86"/>
      <c r="AP474" s="86"/>
      <c r="AQ474" s="86"/>
      <c r="AR474" s="86"/>
      <c r="AS474" s="86"/>
      <c r="AT474" s="86"/>
      <c r="AU474" s="86"/>
      <c r="AV474" s="86"/>
      <c r="AW474" s="86"/>
      <c r="AX474" s="86"/>
      <c r="AY474" s="86"/>
      <c r="AZ474" s="86"/>
      <c r="BA474" s="86"/>
      <c r="BB474" s="86"/>
      <c r="BC474" s="86"/>
      <c r="BD474" s="86"/>
      <c r="BE474" s="86"/>
      <c r="BF474" s="86"/>
      <c r="BG474" s="86"/>
      <c r="BH474" s="86"/>
      <c r="BI474" s="86"/>
      <c r="BJ474" s="86"/>
      <c r="BK474" s="86"/>
      <c r="BL474" s="86"/>
      <c r="BM474" s="86"/>
      <c r="BN474" s="86"/>
      <c r="BO474" s="86"/>
      <c r="BP474" s="86"/>
      <c r="BQ474" s="86"/>
      <c r="BR474" s="86"/>
      <c r="BS474" s="86"/>
      <c r="BT474" s="86"/>
      <c r="BU474" s="86"/>
      <c r="BV474" s="86"/>
      <c r="BW474" s="86"/>
      <c r="BX474" s="86"/>
      <c r="BY474" s="86"/>
      <c r="BZ474" s="86"/>
      <c r="CA474" s="86"/>
      <c r="CB474" s="86"/>
      <c r="CC474" s="86"/>
      <c r="CD474" s="86"/>
      <c r="CE474" s="86"/>
      <c r="CF474" s="86"/>
      <c r="CG474" s="86"/>
      <c r="CH474" s="86"/>
      <c r="CI474" s="86"/>
      <c r="CJ474" s="86"/>
      <c r="CK474" s="86"/>
      <c r="CL474" s="86"/>
      <c r="CM474" s="86"/>
      <c r="CN474" s="86"/>
      <c r="CO474" s="86"/>
      <c r="CP474" s="86"/>
      <c r="CQ474" s="86"/>
      <c r="CR474" s="86"/>
      <c r="CS474" s="86"/>
      <c r="CT474" s="86"/>
      <c r="CU474" s="86"/>
      <c r="CV474" s="86"/>
      <c r="CW474" s="86"/>
      <c r="CX474" s="86"/>
      <c r="CY474" s="86"/>
      <c r="CZ474" s="86"/>
      <c r="DA474" s="86"/>
      <c r="DB474" s="86"/>
      <c r="DC474" s="86"/>
      <c r="DD474" s="86"/>
      <c r="DE474" s="86"/>
      <c r="DF474" s="86"/>
      <c r="DG474" s="86"/>
      <c r="DH474" s="86"/>
      <c r="DI474" s="86"/>
      <c r="DJ474" s="86"/>
      <c r="DK474" s="86"/>
      <c r="DL474" s="86"/>
      <c r="DM474" s="86"/>
      <c r="DN474" s="86"/>
      <c r="DO474" s="86"/>
      <c r="DP474" s="86"/>
      <c r="DQ474" s="86"/>
      <c r="DR474" s="86"/>
      <c r="DS474" s="86"/>
      <c r="DT474" s="86"/>
      <c r="DU474" s="86"/>
      <c r="DV474" s="86"/>
      <c r="DW474" s="86"/>
      <c r="DX474" s="86"/>
      <c r="DY474" s="86"/>
      <c r="DZ474" s="86"/>
      <c r="EA474" s="86"/>
      <c r="EB474" s="86"/>
      <c r="EC474" s="86"/>
      <c r="ED474" s="86"/>
      <c r="EE474" s="86"/>
      <c r="EF474" s="86"/>
      <c r="EG474" s="86"/>
      <c r="EH474" s="86"/>
      <c r="EI474" s="86"/>
      <c r="EJ474" s="86"/>
      <c r="EK474" s="86"/>
      <c r="EL474" s="86"/>
      <c r="EM474" s="86"/>
      <c r="EN474" s="86"/>
      <c r="EO474" s="86"/>
      <c r="EP474" s="86"/>
      <c r="EQ474" s="86"/>
      <c r="ER474" s="86"/>
      <c r="ES474" s="86"/>
      <c r="ET474" s="86"/>
      <c r="EU474" s="86"/>
      <c r="EV474" s="86"/>
      <c r="EW474" s="86"/>
      <c r="EX474" s="86"/>
      <c r="EY474" s="86"/>
      <c r="EZ474" s="86"/>
      <c r="FA474" s="86"/>
    </row>
    <row r="475" spans="2:157" ht="9.75" customHeight="1">
      <c r="B475" s="182"/>
      <c r="C475" s="182"/>
      <c r="D475" s="182"/>
      <c r="E475" s="182"/>
      <c r="F475" s="182"/>
      <c r="G475" s="182"/>
      <c r="H475" s="182"/>
      <c r="J475" s="101"/>
      <c r="K475" s="101"/>
      <c r="L475" s="101"/>
      <c r="Z475" s="86"/>
      <c r="AA475" s="86"/>
      <c r="AB475" s="86"/>
      <c r="AC475" s="86"/>
      <c r="AD475" s="86"/>
      <c r="AE475" s="86"/>
      <c r="AF475" s="86"/>
      <c r="AG475" s="86"/>
      <c r="AH475" s="86"/>
      <c r="AI475" s="86"/>
      <c r="AJ475" s="86"/>
      <c r="AK475" s="86"/>
      <c r="AL475" s="86"/>
      <c r="AM475" s="86"/>
      <c r="AN475" s="86"/>
      <c r="AO475" s="86"/>
      <c r="AP475" s="86"/>
      <c r="AQ475" s="86"/>
      <c r="AR475" s="86"/>
      <c r="AS475" s="86"/>
      <c r="AT475" s="86"/>
      <c r="AU475" s="86"/>
      <c r="AV475" s="86"/>
      <c r="AW475" s="86"/>
      <c r="AX475" s="86"/>
      <c r="AY475" s="86"/>
      <c r="AZ475" s="86"/>
      <c r="BA475" s="86"/>
      <c r="BB475" s="86"/>
      <c r="BC475" s="86"/>
      <c r="BD475" s="86"/>
      <c r="BE475" s="86"/>
      <c r="BF475" s="86"/>
      <c r="BG475" s="86"/>
      <c r="BH475" s="86"/>
      <c r="BI475" s="86"/>
      <c r="BJ475" s="86"/>
      <c r="BK475" s="86"/>
      <c r="BL475" s="86"/>
      <c r="BM475" s="86"/>
      <c r="BN475" s="86"/>
      <c r="BO475" s="86"/>
      <c r="BP475" s="86"/>
      <c r="BQ475" s="86"/>
      <c r="BR475" s="86"/>
      <c r="BS475" s="86"/>
      <c r="BT475" s="86"/>
      <c r="BU475" s="86"/>
      <c r="BV475" s="86"/>
      <c r="BW475" s="86"/>
      <c r="BX475" s="86"/>
      <c r="BY475" s="86"/>
      <c r="BZ475" s="86"/>
      <c r="CA475" s="86"/>
      <c r="CB475" s="86"/>
      <c r="CC475" s="86"/>
      <c r="CD475" s="86"/>
      <c r="CE475" s="86"/>
      <c r="CF475" s="86"/>
      <c r="CG475" s="86"/>
      <c r="CH475" s="86"/>
      <c r="CI475" s="86"/>
      <c r="CJ475" s="86"/>
      <c r="CK475" s="86"/>
      <c r="CL475" s="86"/>
      <c r="CM475" s="86"/>
      <c r="CN475" s="86"/>
      <c r="CO475" s="86"/>
      <c r="CP475" s="86"/>
      <c r="CQ475" s="86"/>
      <c r="CR475" s="86"/>
      <c r="CS475" s="86"/>
      <c r="CT475" s="86"/>
      <c r="CU475" s="86"/>
      <c r="CV475" s="86"/>
      <c r="CW475" s="86"/>
      <c r="CX475" s="86"/>
      <c r="CY475" s="86"/>
      <c r="CZ475" s="86"/>
      <c r="DA475" s="86"/>
      <c r="DB475" s="86"/>
      <c r="DC475" s="86"/>
      <c r="DD475" s="86"/>
      <c r="DE475" s="86"/>
      <c r="DF475" s="86"/>
      <c r="DG475" s="86"/>
      <c r="DH475" s="86"/>
      <c r="DI475" s="86"/>
      <c r="DJ475" s="86"/>
      <c r="DK475" s="86"/>
      <c r="DL475" s="86"/>
      <c r="DM475" s="86"/>
      <c r="DN475" s="86"/>
      <c r="DO475" s="86"/>
      <c r="DP475" s="86"/>
      <c r="DQ475" s="86"/>
      <c r="DR475" s="86"/>
      <c r="DS475" s="86"/>
      <c r="DT475" s="86"/>
      <c r="DU475" s="86"/>
      <c r="DV475" s="86"/>
      <c r="DW475" s="86"/>
      <c r="DX475" s="86"/>
      <c r="DY475" s="86"/>
      <c r="DZ475" s="86"/>
      <c r="EA475" s="86"/>
      <c r="EB475" s="86"/>
      <c r="EC475" s="86"/>
      <c r="ED475" s="86"/>
      <c r="EE475" s="86"/>
      <c r="EF475" s="86"/>
      <c r="EG475" s="86"/>
      <c r="EH475" s="86"/>
      <c r="EI475" s="86"/>
      <c r="EJ475" s="86"/>
      <c r="EK475" s="86"/>
      <c r="EL475" s="86"/>
      <c r="EM475" s="86"/>
      <c r="EN475" s="86"/>
      <c r="EO475" s="86"/>
      <c r="EP475" s="86"/>
      <c r="EQ475" s="86"/>
      <c r="ER475" s="86"/>
      <c r="ES475" s="86"/>
      <c r="ET475" s="86"/>
      <c r="EU475" s="86"/>
      <c r="EV475" s="86"/>
      <c r="EW475" s="86"/>
      <c r="EX475" s="86"/>
      <c r="EY475" s="86"/>
      <c r="EZ475" s="86"/>
      <c r="FA475" s="86"/>
    </row>
    <row r="476" spans="2:157" ht="9.75" customHeight="1">
      <c r="B476" s="182"/>
      <c r="C476" s="182"/>
      <c r="D476" s="182"/>
      <c r="E476" s="182"/>
      <c r="F476" s="182"/>
      <c r="G476" s="182"/>
      <c r="H476" s="182"/>
      <c r="J476" s="101"/>
      <c r="K476" s="101"/>
      <c r="L476" s="101"/>
      <c r="Z476" s="86"/>
      <c r="AA476" s="86"/>
      <c r="AB476" s="86"/>
      <c r="AC476" s="86"/>
      <c r="AD476" s="86"/>
      <c r="AE476" s="86"/>
      <c r="AF476" s="86"/>
      <c r="AG476" s="86"/>
      <c r="AH476" s="86"/>
      <c r="AI476" s="86"/>
      <c r="AJ476" s="86"/>
      <c r="AK476" s="86"/>
      <c r="AL476" s="86"/>
      <c r="AM476" s="86"/>
      <c r="AN476" s="86"/>
      <c r="AO476" s="86"/>
      <c r="AP476" s="86"/>
      <c r="AQ476" s="86"/>
      <c r="AR476" s="86"/>
      <c r="AS476" s="86"/>
      <c r="AT476" s="86"/>
      <c r="AU476" s="86"/>
      <c r="AV476" s="86"/>
      <c r="AW476" s="86"/>
      <c r="AX476" s="86"/>
      <c r="AY476" s="86"/>
      <c r="AZ476" s="86"/>
      <c r="BA476" s="86"/>
      <c r="BB476" s="86"/>
      <c r="BC476" s="86"/>
      <c r="BD476" s="86"/>
      <c r="BE476" s="86"/>
      <c r="BF476" s="86"/>
      <c r="BG476" s="86"/>
      <c r="BH476" s="86"/>
      <c r="BI476" s="86"/>
      <c r="BJ476" s="86"/>
      <c r="BK476" s="86"/>
      <c r="BL476" s="86"/>
      <c r="BM476" s="86"/>
      <c r="BN476" s="86"/>
      <c r="BO476" s="86"/>
      <c r="BP476" s="86"/>
      <c r="BQ476" s="86"/>
      <c r="BR476" s="86"/>
      <c r="BS476" s="86"/>
      <c r="BT476" s="86"/>
      <c r="BU476" s="86"/>
      <c r="BV476" s="86"/>
      <c r="BW476" s="86"/>
      <c r="BX476" s="86"/>
      <c r="BY476" s="86"/>
      <c r="BZ476" s="86"/>
      <c r="CA476" s="86"/>
      <c r="CB476" s="86"/>
      <c r="CC476" s="86"/>
      <c r="CD476" s="86"/>
      <c r="CE476" s="86"/>
      <c r="CF476" s="86"/>
      <c r="CG476" s="86"/>
      <c r="CH476" s="86"/>
      <c r="CI476" s="86"/>
      <c r="CJ476" s="86"/>
      <c r="CK476" s="86"/>
      <c r="CL476" s="86"/>
      <c r="CM476" s="86"/>
      <c r="CN476" s="86"/>
      <c r="CO476" s="86"/>
      <c r="CP476" s="86"/>
      <c r="CQ476" s="86"/>
      <c r="CR476" s="86"/>
      <c r="CS476" s="86"/>
      <c r="CT476" s="86"/>
      <c r="CU476" s="86"/>
      <c r="CV476" s="86"/>
      <c r="CW476" s="86"/>
      <c r="CX476" s="86"/>
      <c r="CY476" s="86"/>
      <c r="CZ476" s="86"/>
      <c r="DA476" s="86"/>
      <c r="DB476" s="86"/>
      <c r="DC476" s="86"/>
      <c r="DD476" s="86"/>
      <c r="DE476" s="86"/>
      <c r="DF476" s="86"/>
      <c r="DG476" s="86"/>
      <c r="DH476" s="86"/>
      <c r="DI476" s="86"/>
      <c r="DJ476" s="86"/>
      <c r="DK476" s="86"/>
      <c r="DL476" s="86"/>
      <c r="DM476" s="86"/>
      <c r="DN476" s="86"/>
      <c r="DO476" s="86"/>
      <c r="DP476" s="86"/>
      <c r="DQ476" s="86"/>
      <c r="DR476" s="86"/>
      <c r="DS476" s="86"/>
      <c r="DT476" s="86"/>
      <c r="DU476" s="86"/>
      <c r="DV476" s="86"/>
      <c r="DW476" s="86"/>
      <c r="DX476" s="86"/>
      <c r="DY476" s="86"/>
      <c r="DZ476" s="86"/>
      <c r="EA476" s="86"/>
      <c r="EB476" s="86"/>
      <c r="EC476" s="86"/>
      <c r="ED476" s="86"/>
      <c r="EE476" s="86"/>
      <c r="EF476" s="86"/>
      <c r="EG476" s="86"/>
      <c r="EH476" s="86"/>
      <c r="EI476" s="86"/>
      <c r="EJ476" s="86"/>
      <c r="EK476" s="86"/>
      <c r="EL476" s="86"/>
      <c r="EM476" s="86"/>
      <c r="EN476" s="86"/>
      <c r="EO476" s="86"/>
      <c r="EP476" s="86"/>
      <c r="EQ476" s="86"/>
      <c r="ER476" s="86"/>
      <c r="ES476" s="86"/>
      <c r="ET476" s="86"/>
      <c r="EU476" s="86"/>
      <c r="EV476" s="86"/>
      <c r="EW476" s="86"/>
      <c r="EX476" s="86"/>
      <c r="EY476" s="86"/>
      <c r="EZ476" s="86"/>
      <c r="FA476" s="86"/>
    </row>
    <row r="477" spans="2:157" ht="9.75" customHeight="1">
      <c r="B477" s="182"/>
      <c r="C477" s="182"/>
      <c r="D477" s="182"/>
      <c r="E477" s="182"/>
      <c r="F477" s="182"/>
      <c r="G477" s="182"/>
      <c r="H477" s="182"/>
      <c r="J477" s="101"/>
      <c r="K477" s="101"/>
      <c r="L477" s="101"/>
      <c r="Z477" s="86"/>
      <c r="AA477" s="86"/>
      <c r="AB477" s="86"/>
      <c r="AC477" s="86"/>
      <c r="AD477" s="86"/>
      <c r="AE477" s="86"/>
      <c r="AF477" s="86"/>
      <c r="AG477" s="86"/>
      <c r="AH477" s="86"/>
      <c r="AI477" s="86"/>
      <c r="AJ477" s="86"/>
      <c r="AK477" s="86"/>
      <c r="AL477" s="86"/>
      <c r="AM477" s="86"/>
      <c r="AN477" s="86"/>
      <c r="AO477" s="86"/>
      <c r="AP477" s="86"/>
      <c r="AQ477" s="86"/>
      <c r="AR477" s="86"/>
      <c r="AS477" s="86"/>
      <c r="AT477" s="86"/>
      <c r="AU477" s="86"/>
      <c r="AV477" s="86"/>
      <c r="AW477" s="86"/>
      <c r="AX477" s="86"/>
      <c r="AY477" s="86"/>
      <c r="AZ477" s="86"/>
      <c r="BA477" s="86"/>
      <c r="BB477" s="86"/>
      <c r="BC477" s="86"/>
      <c r="BD477" s="86"/>
      <c r="BE477" s="86"/>
      <c r="BF477" s="86"/>
      <c r="BG477" s="86"/>
      <c r="BH477" s="86"/>
      <c r="BI477" s="86"/>
      <c r="BJ477" s="86"/>
      <c r="BK477" s="86"/>
      <c r="BL477" s="86"/>
      <c r="BM477" s="86"/>
      <c r="BN477" s="86"/>
      <c r="BO477" s="86"/>
      <c r="BP477" s="86"/>
      <c r="BQ477" s="86"/>
      <c r="BR477" s="86"/>
      <c r="BS477" s="86"/>
      <c r="BT477" s="86"/>
      <c r="BU477" s="86"/>
      <c r="BV477" s="86"/>
      <c r="BW477" s="86"/>
      <c r="BX477" s="86"/>
      <c r="BY477" s="86"/>
      <c r="BZ477" s="86"/>
      <c r="CA477" s="86"/>
      <c r="CB477" s="86"/>
      <c r="CC477" s="86"/>
      <c r="CD477" s="86"/>
      <c r="CE477" s="86"/>
      <c r="CF477" s="86"/>
      <c r="CG477" s="86"/>
      <c r="CH477" s="86"/>
      <c r="CI477" s="86"/>
      <c r="CJ477" s="86"/>
      <c r="CK477" s="86"/>
      <c r="CL477" s="86"/>
      <c r="CM477" s="86"/>
      <c r="CN477" s="86"/>
      <c r="CO477" s="86"/>
      <c r="CP477" s="86"/>
      <c r="CQ477" s="86"/>
      <c r="CR477" s="86"/>
      <c r="CS477" s="86"/>
      <c r="CT477" s="86"/>
      <c r="CU477" s="86"/>
      <c r="CV477" s="86"/>
      <c r="CW477" s="86"/>
      <c r="CX477" s="86"/>
      <c r="CY477" s="86"/>
      <c r="CZ477" s="86"/>
      <c r="DA477" s="86"/>
      <c r="DB477" s="86"/>
      <c r="DC477" s="86"/>
      <c r="DD477" s="86"/>
      <c r="DE477" s="86"/>
      <c r="DF477" s="86"/>
      <c r="DG477" s="86"/>
      <c r="DH477" s="86"/>
      <c r="DI477" s="86"/>
      <c r="DJ477" s="86"/>
      <c r="DK477" s="86"/>
      <c r="DL477" s="86"/>
      <c r="DM477" s="86"/>
      <c r="DN477" s="86"/>
      <c r="DO477" s="86"/>
      <c r="DP477" s="86"/>
      <c r="DQ477" s="86"/>
      <c r="DR477" s="86"/>
      <c r="DS477" s="86"/>
      <c r="DT477" s="86"/>
      <c r="DU477" s="86"/>
      <c r="DV477" s="86"/>
      <c r="DW477" s="86"/>
      <c r="DX477" s="86"/>
      <c r="DY477" s="86"/>
      <c r="DZ477" s="86"/>
      <c r="EA477" s="86"/>
      <c r="EB477" s="86"/>
      <c r="EC477" s="86"/>
      <c r="ED477" s="86"/>
      <c r="EE477" s="86"/>
      <c r="EF477" s="86"/>
      <c r="EG477" s="86"/>
      <c r="EH477" s="86"/>
      <c r="EI477" s="86"/>
      <c r="EJ477" s="86"/>
      <c r="EK477" s="86"/>
      <c r="EL477" s="86"/>
      <c r="EM477" s="86"/>
      <c r="EN477" s="86"/>
      <c r="EO477" s="86"/>
      <c r="EP477" s="86"/>
      <c r="EQ477" s="86"/>
      <c r="ER477" s="86"/>
      <c r="ES477" s="86"/>
      <c r="ET477" s="86"/>
      <c r="EU477" s="86"/>
      <c r="EV477" s="86"/>
      <c r="EW477" s="86"/>
      <c r="EX477" s="86"/>
      <c r="EY477" s="86"/>
      <c r="EZ477" s="86"/>
      <c r="FA477" s="86"/>
    </row>
    <row r="478" spans="2:157" ht="9.75" customHeight="1">
      <c r="B478" s="182"/>
      <c r="C478" s="182"/>
      <c r="D478" s="182"/>
      <c r="E478" s="182"/>
      <c r="F478" s="182"/>
      <c r="G478" s="182"/>
      <c r="H478" s="182"/>
      <c r="J478" s="101"/>
      <c r="K478" s="101"/>
      <c r="L478" s="101"/>
      <c r="Z478" s="86"/>
      <c r="AA478" s="86"/>
      <c r="AB478" s="86"/>
      <c r="AC478" s="86"/>
      <c r="AD478" s="86"/>
      <c r="AE478" s="86"/>
      <c r="AF478" s="86"/>
      <c r="AG478" s="86"/>
      <c r="AH478" s="86"/>
      <c r="AI478" s="86"/>
      <c r="AJ478" s="86"/>
      <c r="AK478" s="86"/>
      <c r="AL478" s="86"/>
      <c r="AM478" s="86"/>
      <c r="AN478" s="86"/>
      <c r="AO478" s="86"/>
      <c r="AP478" s="86"/>
      <c r="AQ478" s="86"/>
      <c r="AR478" s="86"/>
      <c r="AS478" s="86"/>
      <c r="AT478" s="86"/>
      <c r="AU478" s="86"/>
      <c r="AV478" s="86"/>
      <c r="AW478" s="86"/>
      <c r="AX478" s="86"/>
      <c r="AY478" s="86"/>
      <c r="AZ478" s="86"/>
      <c r="BA478" s="86"/>
      <c r="BB478" s="86"/>
      <c r="BC478" s="86"/>
      <c r="BD478" s="86"/>
      <c r="BE478" s="86"/>
      <c r="BF478" s="86"/>
      <c r="BG478" s="86"/>
      <c r="BH478" s="86"/>
      <c r="BI478" s="86"/>
      <c r="BJ478" s="86"/>
      <c r="BK478" s="86"/>
      <c r="BL478" s="86"/>
      <c r="BM478" s="86"/>
      <c r="BN478" s="86"/>
      <c r="BO478" s="86"/>
      <c r="BP478" s="86"/>
      <c r="BQ478" s="86"/>
      <c r="BR478" s="86"/>
      <c r="BS478" s="86"/>
      <c r="BT478" s="86"/>
      <c r="BU478" s="86"/>
      <c r="BV478" s="86"/>
      <c r="BW478" s="86"/>
      <c r="BX478" s="86"/>
      <c r="BY478" s="86"/>
      <c r="BZ478" s="86"/>
      <c r="CA478" s="86"/>
      <c r="CB478" s="86"/>
      <c r="CC478" s="86"/>
      <c r="CD478" s="86"/>
      <c r="CE478" s="86"/>
      <c r="CF478" s="86"/>
      <c r="CG478" s="86"/>
      <c r="CH478" s="86"/>
      <c r="CI478" s="86"/>
      <c r="CJ478" s="86"/>
      <c r="CK478" s="86"/>
      <c r="CL478" s="86"/>
      <c r="CM478" s="86"/>
      <c r="CN478" s="86"/>
      <c r="CO478" s="86"/>
      <c r="CP478" s="86"/>
      <c r="CQ478" s="86"/>
      <c r="CR478" s="86"/>
      <c r="CS478" s="86"/>
      <c r="CT478" s="86"/>
      <c r="CU478" s="86"/>
      <c r="CV478" s="86"/>
      <c r="CW478" s="86"/>
      <c r="CX478" s="86"/>
      <c r="CY478" s="86"/>
      <c r="CZ478" s="86"/>
      <c r="DA478" s="86"/>
      <c r="DB478" s="86"/>
      <c r="DC478" s="86"/>
      <c r="DD478" s="86"/>
      <c r="DE478" s="86"/>
      <c r="DF478" s="86"/>
      <c r="DG478" s="86"/>
      <c r="DH478" s="86"/>
      <c r="DI478" s="86"/>
      <c r="DJ478" s="86"/>
      <c r="DK478" s="86"/>
      <c r="DL478" s="86"/>
      <c r="DM478" s="86"/>
      <c r="DN478" s="86"/>
      <c r="DO478" s="86"/>
      <c r="DP478" s="86"/>
      <c r="DQ478" s="86"/>
      <c r="DR478" s="86"/>
      <c r="DS478" s="86"/>
      <c r="DT478" s="86"/>
      <c r="DU478" s="86"/>
      <c r="DV478" s="86"/>
      <c r="DW478" s="86"/>
      <c r="DX478" s="86"/>
      <c r="DY478" s="86"/>
      <c r="DZ478" s="86"/>
      <c r="EA478" s="86"/>
      <c r="EB478" s="86"/>
      <c r="EC478" s="86"/>
      <c r="ED478" s="86"/>
      <c r="EE478" s="86"/>
      <c r="EF478" s="86"/>
      <c r="EG478" s="86"/>
      <c r="EH478" s="86"/>
      <c r="EI478" s="86"/>
      <c r="EJ478" s="86"/>
      <c r="EK478" s="86"/>
      <c r="EL478" s="86"/>
      <c r="EM478" s="86"/>
      <c r="EN478" s="86"/>
      <c r="EO478" s="86"/>
      <c r="EP478" s="86"/>
      <c r="EQ478" s="86"/>
      <c r="ER478" s="86"/>
      <c r="ES478" s="86"/>
      <c r="ET478" s="86"/>
      <c r="EU478" s="86"/>
      <c r="EV478" s="86"/>
      <c r="EW478" s="86"/>
      <c r="EX478" s="86"/>
      <c r="EY478" s="86"/>
      <c r="EZ478" s="86"/>
      <c r="FA478" s="86"/>
    </row>
    <row r="479" spans="2:157" ht="9.75" customHeight="1">
      <c r="B479" s="182"/>
      <c r="C479" s="182"/>
      <c r="D479" s="182"/>
      <c r="E479" s="182"/>
      <c r="F479" s="182"/>
      <c r="G479" s="182"/>
      <c r="H479" s="182"/>
      <c r="J479" s="101"/>
      <c r="K479" s="101"/>
      <c r="L479" s="101"/>
      <c r="Z479" s="86"/>
      <c r="AA479" s="86"/>
      <c r="AB479" s="86"/>
      <c r="AC479" s="86"/>
      <c r="AD479" s="86"/>
      <c r="AE479" s="86"/>
      <c r="AF479" s="86"/>
      <c r="AG479" s="86"/>
      <c r="AH479" s="86"/>
      <c r="AI479" s="86"/>
      <c r="AJ479" s="86"/>
      <c r="AK479" s="86"/>
      <c r="AL479" s="86"/>
      <c r="AM479" s="86"/>
      <c r="AN479" s="86"/>
      <c r="AO479" s="86"/>
      <c r="AP479" s="86"/>
      <c r="AQ479" s="86"/>
      <c r="AR479" s="86"/>
      <c r="AS479" s="86"/>
      <c r="AT479" s="86"/>
      <c r="AU479" s="86"/>
      <c r="AV479" s="86"/>
      <c r="AW479" s="86"/>
      <c r="AX479" s="86"/>
      <c r="AY479" s="86"/>
      <c r="AZ479" s="86"/>
      <c r="BA479" s="86"/>
      <c r="BB479" s="86"/>
      <c r="BC479" s="86"/>
      <c r="BD479" s="86"/>
      <c r="BE479" s="86"/>
      <c r="BF479" s="86"/>
      <c r="BG479" s="86"/>
      <c r="BH479" s="86"/>
      <c r="BI479" s="86"/>
      <c r="BJ479" s="86"/>
      <c r="BK479" s="86"/>
      <c r="BL479" s="86"/>
      <c r="BM479" s="86"/>
      <c r="BN479" s="86"/>
      <c r="BO479" s="86"/>
      <c r="BP479" s="86"/>
      <c r="BQ479" s="86"/>
      <c r="BR479" s="86"/>
      <c r="BS479" s="86"/>
      <c r="BT479" s="86"/>
      <c r="BU479" s="86"/>
      <c r="BV479" s="86"/>
      <c r="BW479" s="86"/>
      <c r="BX479" s="86"/>
      <c r="BY479" s="86"/>
      <c r="BZ479" s="86"/>
      <c r="CA479" s="86"/>
      <c r="CB479" s="86"/>
      <c r="CC479" s="86"/>
      <c r="CD479" s="86"/>
      <c r="CE479" s="86"/>
      <c r="CF479" s="86"/>
      <c r="CG479" s="86"/>
      <c r="CH479" s="86"/>
      <c r="CI479" s="86"/>
      <c r="CJ479" s="86"/>
      <c r="CK479" s="86"/>
      <c r="CL479" s="86"/>
      <c r="CM479" s="86"/>
      <c r="CN479" s="86"/>
      <c r="CO479" s="86"/>
      <c r="CP479" s="86"/>
      <c r="CQ479" s="86"/>
      <c r="CR479" s="86"/>
      <c r="CS479" s="86"/>
      <c r="CT479" s="86"/>
      <c r="CU479" s="86"/>
      <c r="CV479" s="86"/>
      <c r="CW479" s="86"/>
      <c r="CX479" s="86"/>
      <c r="CY479" s="86"/>
      <c r="CZ479" s="86"/>
      <c r="DA479" s="86"/>
      <c r="DB479" s="86"/>
      <c r="DC479" s="86"/>
      <c r="DD479" s="86"/>
      <c r="DE479" s="86"/>
      <c r="DF479" s="86"/>
      <c r="DG479" s="86"/>
      <c r="DH479" s="86"/>
      <c r="DI479" s="86"/>
      <c r="DJ479" s="86"/>
      <c r="DK479" s="86"/>
      <c r="DL479" s="86"/>
      <c r="DM479" s="86"/>
      <c r="DN479" s="86"/>
      <c r="DO479" s="86"/>
      <c r="DP479" s="86"/>
      <c r="DQ479" s="86"/>
      <c r="DR479" s="86"/>
      <c r="DS479" s="86"/>
      <c r="DT479" s="86"/>
      <c r="DU479" s="86"/>
      <c r="DV479" s="86"/>
      <c r="DW479" s="86"/>
      <c r="DX479" s="86"/>
      <c r="DY479" s="86"/>
      <c r="DZ479" s="86"/>
      <c r="EA479" s="86"/>
      <c r="EB479" s="86"/>
      <c r="EC479" s="86"/>
      <c r="ED479" s="86"/>
      <c r="EE479" s="86"/>
      <c r="EF479" s="86"/>
      <c r="EG479" s="86"/>
      <c r="EH479" s="86"/>
      <c r="EI479" s="86"/>
      <c r="EJ479" s="86"/>
      <c r="EK479" s="86"/>
      <c r="EL479" s="86"/>
      <c r="EM479" s="86"/>
      <c r="EN479" s="86"/>
      <c r="EO479" s="86"/>
      <c r="EP479" s="86"/>
      <c r="EQ479" s="86"/>
      <c r="ER479" s="86"/>
      <c r="ES479" s="86"/>
      <c r="ET479" s="86"/>
      <c r="EU479" s="86"/>
      <c r="EV479" s="86"/>
      <c r="EW479" s="86"/>
      <c r="EX479" s="86"/>
      <c r="EY479" s="86"/>
      <c r="EZ479" s="86"/>
      <c r="FA479" s="86"/>
    </row>
    <row r="480" spans="2:157" ht="9.75" customHeight="1">
      <c r="B480" s="182"/>
      <c r="C480" s="182"/>
      <c r="D480" s="182"/>
      <c r="E480" s="182"/>
      <c r="F480" s="182"/>
      <c r="G480" s="182"/>
      <c r="H480" s="182"/>
      <c r="J480" s="101"/>
      <c r="K480" s="101"/>
      <c r="L480" s="101"/>
      <c r="Z480" s="86"/>
      <c r="AA480" s="86"/>
      <c r="AB480" s="86"/>
      <c r="AC480" s="86"/>
      <c r="AD480" s="86"/>
      <c r="AE480" s="86"/>
      <c r="AF480" s="86"/>
      <c r="AG480" s="86"/>
      <c r="AH480" s="86"/>
      <c r="AI480" s="86"/>
      <c r="AJ480" s="86"/>
      <c r="AK480" s="86"/>
      <c r="AL480" s="86"/>
      <c r="AM480" s="86"/>
      <c r="AN480" s="86"/>
      <c r="AO480" s="86"/>
      <c r="AP480" s="86"/>
      <c r="AQ480" s="86"/>
      <c r="AR480" s="86"/>
      <c r="AS480" s="86"/>
      <c r="AT480" s="86"/>
      <c r="AU480" s="86"/>
      <c r="AV480" s="86"/>
      <c r="AW480" s="86"/>
      <c r="AX480" s="86"/>
      <c r="AY480" s="86"/>
      <c r="AZ480" s="86"/>
      <c r="BA480" s="86"/>
      <c r="BB480" s="86"/>
      <c r="BC480" s="86"/>
      <c r="BD480" s="86"/>
      <c r="BE480" s="86"/>
      <c r="BF480" s="86"/>
      <c r="BG480" s="86"/>
      <c r="BH480" s="86"/>
      <c r="BI480" s="86"/>
      <c r="BJ480" s="86"/>
      <c r="BK480" s="86"/>
      <c r="BL480" s="86"/>
      <c r="BM480" s="86"/>
      <c r="BN480" s="86"/>
      <c r="BO480" s="86"/>
      <c r="BP480" s="86"/>
      <c r="BQ480" s="86"/>
      <c r="BR480" s="86"/>
      <c r="BS480" s="86"/>
      <c r="BT480" s="86"/>
      <c r="BU480" s="86"/>
      <c r="BV480" s="86"/>
      <c r="BW480" s="86"/>
      <c r="BX480" s="86"/>
      <c r="BY480" s="86"/>
      <c r="BZ480" s="86"/>
      <c r="CA480" s="86"/>
      <c r="CB480" s="86"/>
      <c r="CC480" s="86"/>
      <c r="CD480" s="86"/>
      <c r="CE480" s="86"/>
      <c r="CF480" s="86"/>
      <c r="CG480" s="86"/>
      <c r="CH480" s="86"/>
      <c r="CI480" s="86"/>
      <c r="CJ480" s="86"/>
      <c r="CK480" s="86"/>
      <c r="CL480" s="86"/>
      <c r="CM480" s="86"/>
      <c r="CN480" s="86"/>
      <c r="CO480" s="86"/>
      <c r="CP480" s="86"/>
      <c r="CQ480" s="86"/>
      <c r="CR480" s="86"/>
      <c r="CS480" s="86"/>
      <c r="CT480" s="86"/>
      <c r="CU480" s="86"/>
      <c r="CV480" s="86"/>
      <c r="CW480" s="86"/>
      <c r="CX480" s="86"/>
      <c r="CY480" s="86"/>
      <c r="CZ480" s="86"/>
      <c r="DA480" s="86"/>
      <c r="DB480" s="86"/>
      <c r="DC480" s="86"/>
      <c r="DD480" s="86"/>
      <c r="DE480" s="86"/>
      <c r="DF480" s="86"/>
      <c r="DG480" s="86"/>
      <c r="DH480" s="86"/>
      <c r="DI480" s="86"/>
      <c r="DJ480" s="86"/>
      <c r="DK480" s="86"/>
      <c r="DL480" s="86"/>
      <c r="DM480" s="86"/>
      <c r="DN480" s="86"/>
      <c r="DO480" s="86"/>
      <c r="DP480" s="86"/>
      <c r="DQ480" s="86"/>
      <c r="DR480" s="86"/>
      <c r="DS480" s="86"/>
      <c r="DT480" s="86"/>
      <c r="DU480" s="86"/>
      <c r="DV480" s="86"/>
      <c r="DW480" s="86"/>
      <c r="DX480" s="86"/>
      <c r="DY480" s="86"/>
      <c r="DZ480" s="86"/>
      <c r="EA480" s="86"/>
      <c r="EB480" s="86"/>
      <c r="EC480" s="86"/>
      <c r="ED480" s="86"/>
      <c r="EE480" s="86"/>
      <c r="EF480" s="86"/>
      <c r="EG480" s="86"/>
      <c r="EH480" s="86"/>
      <c r="EI480" s="86"/>
      <c r="EJ480" s="86"/>
      <c r="EK480" s="86"/>
      <c r="EL480" s="86"/>
      <c r="EM480" s="86"/>
      <c r="EN480" s="86"/>
      <c r="EO480" s="86"/>
      <c r="EP480" s="86"/>
      <c r="EQ480" s="86"/>
      <c r="ER480" s="86"/>
      <c r="ES480" s="86"/>
      <c r="ET480" s="86"/>
      <c r="EU480" s="86"/>
      <c r="EV480" s="86"/>
      <c r="EW480" s="86"/>
      <c r="EX480" s="86"/>
      <c r="EY480" s="86"/>
      <c r="EZ480" s="86"/>
      <c r="FA480" s="86"/>
    </row>
    <row r="481" spans="2:157" ht="9.75" customHeight="1">
      <c r="B481" s="182"/>
      <c r="C481" s="182"/>
      <c r="D481" s="182"/>
      <c r="E481" s="182"/>
      <c r="F481" s="182"/>
      <c r="G481" s="182"/>
      <c r="H481" s="182"/>
      <c r="J481" s="101"/>
      <c r="K481" s="101"/>
      <c r="L481" s="101"/>
      <c r="Z481" s="86"/>
      <c r="AA481" s="86"/>
      <c r="AB481" s="86"/>
      <c r="AC481" s="86"/>
      <c r="AD481" s="86"/>
      <c r="AE481" s="86"/>
      <c r="AF481" s="86"/>
      <c r="AG481" s="86"/>
      <c r="AH481" s="86"/>
      <c r="AI481" s="86"/>
      <c r="AJ481" s="86"/>
      <c r="AK481" s="86"/>
      <c r="AL481" s="86"/>
      <c r="AM481" s="86"/>
      <c r="AN481" s="86"/>
      <c r="AO481" s="86"/>
      <c r="AP481" s="86"/>
      <c r="AQ481" s="86"/>
      <c r="AR481" s="86"/>
      <c r="AS481" s="86"/>
      <c r="AT481" s="86"/>
      <c r="AU481" s="86"/>
      <c r="AV481" s="86"/>
      <c r="AW481" s="86"/>
      <c r="AX481" s="86"/>
      <c r="AY481" s="86"/>
      <c r="AZ481" s="86"/>
      <c r="BA481" s="86"/>
      <c r="BB481" s="86"/>
      <c r="BC481" s="86"/>
      <c r="BD481" s="86"/>
      <c r="BE481" s="86"/>
      <c r="BF481" s="86"/>
      <c r="BG481" s="86"/>
      <c r="BH481" s="86"/>
      <c r="BI481" s="86"/>
      <c r="BJ481" s="86"/>
      <c r="BK481" s="86"/>
      <c r="BL481" s="86"/>
      <c r="BM481" s="86"/>
      <c r="BN481" s="86"/>
      <c r="BO481" s="86"/>
      <c r="BP481" s="86"/>
      <c r="BQ481" s="86"/>
      <c r="BR481" s="86"/>
      <c r="BS481" s="86"/>
      <c r="BT481" s="86"/>
      <c r="BU481" s="86"/>
      <c r="BV481" s="86"/>
      <c r="BW481" s="86"/>
      <c r="BX481" s="86"/>
      <c r="BY481" s="86"/>
      <c r="BZ481" s="86"/>
      <c r="CA481" s="86"/>
      <c r="CB481" s="86"/>
      <c r="CC481" s="86"/>
      <c r="CD481" s="86"/>
      <c r="CE481" s="86"/>
      <c r="CF481" s="86"/>
      <c r="CG481" s="86"/>
      <c r="CH481" s="86"/>
      <c r="CI481" s="86"/>
      <c r="CJ481" s="86"/>
      <c r="CK481" s="86"/>
      <c r="CL481" s="86"/>
      <c r="CM481" s="86"/>
      <c r="CN481" s="86"/>
      <c r="CO481" s="86"/>
      <c r="CP481" s="86"/>
      <c r="CQ481" s="86"/>
      <c r="CR481" s="86"/>
      <c r="CS481" s="86"/>
      <c r="CT481" s="86"/>
      <c r="CU481" s="86"/>
      <c r="CV481" s="86"/>
      <c r="CW481" s="86"/>
      <c r="CX481" s="86"/>
      <c r="CY481" s="86"/>
      <c r="CZ481" s="86"/>
      <c r="DA481" s="86"/>
      <c r="DB481" s="86"/>
      <c r="DC481" s="86"/>
      <c r="DD481" s="86"/>
      <c r="DE481" s="86"/>
      <c r="DF481" s="86"/>
      <c r="DG481" s="86"/>
      <c r="DH481" s="86"/>
      <c r="DI481" s="86"/>
      <c r="DJ481" s="86"/>
      <c r="DK481" s="86"/>
      <c r="DL481" s="86"/>
      <c r="DM481" s="86"/>
      <c r="DN481" s="86"/>
      <c r="DO481" s="86"/>
      <c r="DP481" s="86"/>
      <c r="DQ481" s="86"/>
      <c r="DR481" s="86"/>
      <c r="DS481" s="86"/>
      <c r="DT481" s="86"/>
      <c r="DU481" s="86"/>
      <c r="DV481" s="86"/>
      <c r="DW481" s="86"/>
      <c r="DX481" s="86"/>
      <c r="DY481" s="86"/>
      <c r="DZ481" s="86"/>
      <c r="EA481" s="86"/>
      <c r="EB481" s="86"/>
      <c r="EC481" s="86"/>
      <c r="ED481" s="86"/>
      <c r="EE481" s="86"/>
      <c r="EF481" s="86"/>
      <c r="EG481" s="86"/>
      <c r="EH481" s="86"/>
      <c r="EI481" s="86"/>
      <c r="EJ481" s="86"/>
      <c r="EK481" s="86"/>
      <c r="EL481" s="86"/>
      <c r="EM481" s="86"/>
      <c r="EN481" s="86"/>
      <c r="EO481" s="86"/>
      <c r="EP481" s="86"/>
      <c r="EQ481" s="86"/>
      <c r="ER481" s="86"/>
      <c r="ES481" s="86"/>
      <c r="ET481" s="86"/>
      <c r="EU481" s="86"/>
      <c r="EV481" s="86"/>
      <c r="EW481" s="86"/>
      <c r="EX481" s="86"/>
      <c r="EY481" s="86"/>
      <c r="EZ481" s="86"/>
      <c r="FA481" s="86"/>
    </row>
    <row r="482" spans="2:157" ht="9.75" customHeight="1">
      <c r="B482" s="182"/>
      <c r="C482" s="182"/>
      <c r="D482" s="182"/>
      <c r="E482" s="182"/>
      <c r="F482" s="182"/>
      <c r="G482" s="182"/>
      <c r="H482" s="182"/>
      <c r="J482" s="101"/>
      <c r="K482" s="101"/>
      <c r="L482" s="101"/>
      <c r="Z482" s="86"/>
      <c r="AA482" s="86"/>
      <c r="AB482" s="86"/>
      <c r="AC482" s="86"/>
      <c r="AD482" s="86"/>
      <c r="AE482" s="86"/>
      <c r="AF482" s="86"/>
      <c r="AG482" s="86"/>
      <c r="AH482" s="86"/>
      <c r="AI482" s="86"/>
      <c r="AJ482" s="86"/>
      <c r="AK482" s="86"/>
      <c r="AL482" s="86"/>
      <c r="AM482" s="86"/>
      <c r="AN482" s="86"/>
      <c r="AO482" s="86"/>
      <c r="AP482" s="86"/>
      <c r="AQ482" s="86"/>
      <c r="AR482" s="86"/>
      <c r="AS482" s="86"/>
      <c r="AT482" s="86"/>
      <c r="AU482" s="86"/>
      <c r="AV482" s="86"/>
      <c r="AW482" s="86"/>
      <c r="AX482" s="86"/>
      <c r="AY482" s="86"/>
      <c r="AZ482" s="86"/>
      <c r="BA482" s="86"/>
      <c r="BB482" s="86"/>
      <c r="BC482" s="86"/>
      <c r="BD482" s="86"/>
      <c r="BE482" s="86"/>
      <c r="BF482" s="86"/>
      <c r="BG482" s="86"/>
      <c r="BH482" s="86"/>
      <c r="BI482" s="86"/>
      <c r="BJ482" s="86"/>
      <c r="BK482" s="86"/>
      <c r="BL482" s="86"/>
      <c r="BM482" s="86"/>
      <c r="BN482" s="86"/>
      <c r="BO482" s="86"/>
      <c r="BP482" s="86"/>
      <c r="BQ482" s="86"/>
      <c r="BR482" s="86"/>
      <c r="BS482" s="86"/>
      <c r="BT482" s="86"/>
      <c r="BU482" s="86"/>
      <c r="BV482" s="86"/>
      <c r="BW482" s="86"/>
      <c r="BX482" s="86"/>
      <c r="BY482" s="86"/>
      <c r="BZ482" s="86"/>
      <c r="CA482" s="86"/>
      <c r="CB482" s="86"/>
      <c r="CC482" s="86"/>
      <c r="CD482" s="86"/>
      <c r="CE482" s="86"/>
      <c r="CF482" s="86"/>
      <c r="CG482" s="86"/>
      <c r="CH482" s="86"/>
      <c r="CI482" s="86"/>
      <c r="CJ482" s="86"/>
      <c r="CK482" s="86"/>
      <c r="CL482" s="86"/>
      <c r="CM482" s="86"/>
      <c r="CN482" s="86"/>
      <c r="CO482" s="86"/>
      <c r="CP482" s="86"/>
      <c r="CQ482" s="86"/>
      <c r="CR482" s="86"/>
      <c r="CS482" s="86"/>
      <c r="CT482" s="86"/>
      <c r="CU482" s="86"/>
      <c r="CV482" s="86"/>
      <c r="CW482" s="86"/>
      <c r="CX482" s="86"/>
      <c r="CY482" s="86"/>
      <c r="CZ482" s="86"/>
      <c r="DA482" s="86"/>
      <c r="DB482" s="86"/>
      <c r="DC482" s="86"/>
      <c r="DD482" s="86"/>
      <c r="DE482" s="86"/>
      <c r="DF482" s="86"/>
      <c r="DG482" s="86"/>
      <c r="DH482" s="86"/>
      <c r="DI482" s="86"/>
      <c r="DJ482" s="86"/>
      <c r="DK482" s="86"/>
      <c r="DL482" s="86"/>
      <c r="DM482" s="86"/>
      <c r="DN482" s="86"/>
      <c r="DO482" s="86"/>
      <c r="DP482" s="86"/>
      <c r="DQ482" s="86"/>
      <c r="DR482" s="86"/>
      <c r="DS482" s="86"/>
      <c r="DT482" s="86"/>
      <c r="DU482" s="86"/>
      <c r="DV482" s="86"/>
      <c r="DW482" s="86"/>
      <c r="DX482" s="86"/>
      <c r="DY482" s="86"/>
      <c r="DZ482" s="86"/>
      <c r="EA482" s="86"/>
      <c r="EB482" s="86"/>
      <c r="EC482" s="86"/>
      <c r="ED482" s="86"/>
      <c r="EE482" s="86"/>
      <c r="EF482" s="86"/>
      <c r="EG482" s="86"/>
      <c r="EH482" s="86"/>
      <c r="EI482" s="86"/>
      <c r="EJ482" s="86"/>
      <c r="EK482" s="86"/>
      <c r="EL482" s="86"/>
      <c r="EM482" s="86"/>
      <c r="EN482" s="86"/>
      <c r="EO482" s="86"/>
      <c r="EP482" s="86"/>
      <c r="EQ482" s="86"/>
      <c r="ER482" s="86"/>
      <c r="ES482" s="86"/>
      <c r="ET482" s="86"/>
      <c r="EU482" s="86"/>
      <c r="EV482" s="86"/>
      <c r="EW482" s="86"/>
      <c r="EX482" s="86"/>
      <c r="EY482" s="86"/>
      <c r="EZ482" s="86"/>
      <c r="FA482" s="86"/>
    </row>
    <row r="483" spans="2:157" ht="9.75" customHeight="1">
      <c r="B483" s="182"/>
      <c r="C483" s="182"/>
      <c r="D483" s="182"/>
      <c r="E483" s="182"/>
      <c r="F483" s="182"/>
      <c r="G483" s="182"/>
      <c r="H483" s="182"/>
      <c r="J483" s="101"/>
      <c r="K483" s="101"/>
      <c r="L483" s="101"/>
      <c r="Z483" s="86"/>
      <c r="AA483" s="86"/>
      <c r="AB483" s="86"/>
      <c r="AC483" s="86"/>
      <c r="AD483" s="86"/>
      <c r="AE483" s="86"/>
      <c r="AF483" s="86"/>
      <c r="AG483" s="86"/>
      <c r="AH483" s="86"/>
      <c r="AI483" s="86"/>
      <c r="AJ483" s="86"/>
      <c r="AK483" s="86"/>
      <c r="AL483" s="86"/>
      <c r="AM483" s="86"/>
      <c r="AN483" s="86"/>
      <c r="AO483" s="86"/>
      <c r="AP483" s="86"/>
      <c r="AQ483" s="86"/>
      <c r="AR483" s="86"/>
      <c r="AS483" s="86"/>
      <c r="AT483" s="86"/>
      <c r="AU483" s="86"/>
      <c r="AV483" s="86"/>
      <c r="AW483" s="86"/>
      <c r="AX483" s="86"/>
      <c r="AY483" s="86"/>
      <c r="AZ483" s="86"/>
      <c r="BA483" s="86"/>
      <c r="BB483" s="86"/>
      <c r="BC483" s="86"/>
      <c r="BD483" s="86"/>
      <c r="BE483" s="86"/>
      <c r="BF483" s="86"/>
      <c r="BG483" s="86"/>
      <c r="BH483" s="86"/>
      <c r="BI483" s="86"/>
      <c r="BJ483" s="86"/>
      <c r="BK483" s="86"/>
      <c r="BL483" s="86"/>
      <c r="BM483" s="86"/>
      <c r="BN483" s="86"/>
      <c r="BO483" s="86"/>
      <c r="BP483" s="86"/>
      <c r="BQ483" s="86"/>
      <c r="BR483" s="86"/>
      <c r="BS483" s="86"/>
      <c r="BT483" s="86"/>
      <c r="BU483" s="86"/>
      <c r="BV483" s="86"/>
      <c r="BW483" s="86"/>
      <c r="BX483" s="86"/>
      <c r="BY483" s="86"/>
      <c r="BZ483" s="86"/>
      <c r="CA483" s="86"/>
      <c r="CB483" s="86"/>
      <c r="CC483" s="86"/>
      <c r="CD483" s="86"/>
      <c r="CE483" s="86"/>
      <c r="CF483" s="86"/>
      <c r="CG483" s="86"/>
      <c r="CH483" s="86"/>
      <c r="CI483" s="86"/>
      <c r="CJ483" s="86"/>
      <c r="CK483" s="86"/>
      <c r="CL483" s="86"/>
      <c r="CM483" s="86"/>
      <c r="CN483" s="86"/>
      <c r="CO483" s="86"/>
      <c r="CP483" s="86"/>
      <c r="CQ483" s="86"/>
      <c r="CR483" s="86"/>
      <c r="CS483" s="86"/>
      <c r="CT483" s="86"/>
      <c r="CU483" s="86"/>
      <c r="CV483" s="86"/>
      <c r="CW483" s="86"/>
      <c r="CX483" s="86"/>
      <c r="CY483" s="86"/>
      <c r="CZ483" s="86"/>
      <c r="DA483" s="86"/>
      <c r="DB483" s="86"/>
      <c r="DC483" s="86"/>
      <c r="DD483" s="86"/>
      <c r="DE483" s="86"/>
      <c r="DF483" s="86"/>
      <c r="DG483" s="86"/>
      <c r="DH483" s="86"/>
      <c r="DI483" s="86"/>
      <c r="DJ483" s="86"/>
      <c r="DK483" s="86"/>
      <c r="DL483" s="86"/>
      <c r="DM483" s="86"/>
      <c r="DN483" s="86"/>
      <c r="DO483" s="86"/>
      <c r="DP483" s="86"/>
      <c r="DQ483" s="86"/>
      <c r="DR483" s="86"/>
      <c r="DS483" s="86"/>
      <c r="DT483" s="86"/>
      <c r="DU483" s="86"/>
      <c r="DV483" s="86"/>
      <c r="DW483" s="86"/>
      <c r="DX483" s="86"/>
      <c r="DY483" s="86"/>
      <c r="DZ483" s="86"/>
      <c r="EA483" s="86"/>
      <c r="EB483" s="86"/>
      <c r="EC483" s="86"/>
      <c r="ED483" s="86"/>
      <c r="EE483" s="86"/>
      <c r="EF483" s="86"/>
      <c r="EG483" s="86"/>
      <c r="EH483" s="86"/>
      <c r="EI483" s="86"/>
      <c r="EJ483" s="86"/>
      <c r="EK483" s="86"/>
      <c r="EL483" s="86"/>
      <c r="EM483" s="86"/>
      <c r="EN483" s="86"/>
      <c r="EO483" s="86"/>
      <c r="EP483" s="86"/>
      <c r="EQ483" s="86"/>
      <c r="ER483" s="86"/>
      <c r="ES483" s="86"/>
      <c r="ET483" s="86"/>
      <c r="EU483" s="86"/>
      <c r="EV483" s="86"/>
      <c r="EW483" s="86"/>
      <c r="EX483" s="86"/>
      <c r="EY483" s="86"/>
      <c r="EZ483" s="86"/>
      <c r="FA483" s="86"/>
    </row>
    <row r="484" spans="2:157" ht="9.75" customHeight="1">
      <c r="B484" s="182"/>
      <c r="C484" s="182"/>
      <c r="D484" s="182"/>
      <c r="E484" s="182"/>
      <c r="F484" s="182"/>
      <c r="G484" s="182"/>
      <c r="H484" s="182"/>
      <c r="J484" s="101"/>
      <c r="K484" s="101"/>
      <c r="L484" s="101"/>
      <c r="Z484" s="86"/>
      <c r="AA484" s="86"/>
      <c r="AB484" s="86"/>
      <c r="AC484" s="86"/>
      <c r="AD484" s="86"/>
      <c r="AE484" s="86"/>
      <c r="AF484" s="86"/>
      <c r="AG484" s="86"/>
      <c r="AH484" s="86"/>
      <c r="AI484" s="86"/>
      <c r="AJ484" s="86"/>
      <c r="AK484" s="86"/>
      <c r="AL484" s="86"/>
      <c r="AM484" s="86"/>
      <c r="AN484" s="86"/>
      <c r="AO484" s="86"/>
      <c r="AP484" s="86"/>
      <c r="AQ484" s="86"/>
      <c r="AR484" s="86"/>
      <c r="AS484" s="86"/>
      <c r="AT484" s="86"/>
      <c r="AU484" s="86"/>
      <c r="AV484" s="86"/>
      <c r="AW484" s="86"/>
      <c r="AX484" s="86"/>
      <c r="AY484" s="86"/>
      <c r="AZ484" s="86"/>
      <c r="BA484" s="86"/>
      <c r="BB484" s="86"/>
      <c r="BC484" s="86"/>
      <c r="BD484" s="86"/>
      <c r="BE484" s="86"/>
      <c r="BF484" s="86"/>
      <c r="BG484" s="86"/>
      <c r="BH484" s="86"/>
      <c r="BI484" s="86"/>
      <c r="BJ484" s="86"/>
      <c r="BK484" s="86"/>
      <c r="BL484" s="86"/>
      <c r="BM484" s="86"/>
      <c r="BN484" s="86"/>
      <c r="BO484" s="86"/>
      <c r="BP484" s="86"/>
      <c r="BQ484" s="86"/>
      <c r="BR484" s="86"/>
      <c r="BS484" s="86"/>
      <c r="BT484" s="86"/>
      <c r="BU484" s="86"/>
      <c r="BV484" s="86"/>
      <c r="BW484" s="86"/>
      <c r="BX484" s="86"/>
      <c r="BY484" s="86"/>
      <c r="BZ484" s="86"/>
      <c r="CA484" s="86"/>
      <c r="CB484" s="86"/>
      <c r="CC484" s="86"/>
      <c r="CD484" s="86"/>
      <c r="CE484" s="86"/>
      <c r="CF484" s="86"/>
      <c r="CG484" s="86"/>
      <c r="CH484" s="86"/>
      <c r="CI484" s="86"/>
      <c r="CJ484" s="86"/>
      <c r="CK484" s="86"/>
      <c r="CL484" s="86"/>
      <c r="CM484" s="86"/>
      <c r="CN484" s="86"/>
      <c r="CO484" s="86"/>
      <c r="CP484" s="86"/>
      <c r="CQ484" s="86"/>
      <c r="CR484" s="86"/>
      <c r="CS484" s="86"/>
      <c r="CT484" s="86"/>
      <c r="CU484" s="86"/>
      <c r="CV484" s="86"/>
      <c r="CW484" s="86"/>
      <c r="CX484" s="86"/>
      <c r="CY484" s="86"/>
      <c r="CZ484" s="86"/>
      <c r="DA484" s="86"/>
      <c r="DB484" s="86"/>
      <c r="DC484" s="86"/>
      <c r="DD484" s="86"/>
      <c r="DE484" s="86"/>
      <c r="DF484" s="86"/>
      <c r="DG484" s="86"/>
      <c r="DH484" s="86"/>
      <c r="DI484" s="86"/>
      <c r="DJ484" s="86"/>
      <c r="DK484" s="86"/>
      <c r="DL484" s="86"/>
      <c r="DM484" s="86"/>
      <c r="DN484" s="86"/>
      <c r="DO484" s="86"/>
      <c r="DP484" s="86"/>
      <c r="DQ484" s="86"/>
      <c r="DR484" s="86"/>
      <c r="DS484" s="86"/>
      <c r="DT484" s="86"/>
      <c r="DU484" s="86"/>
      <c r="DV484" s="86"/>
      <c r="DW484" s="86"/>
      <c r="DX484" s="86"/>
      <c r="DY484" s="86"/>
      <c r="DZ484" s="86"/>
      <c r="EA484" s="86"/>
      <c r="EB484" s="86"/>
      <c r="EC484" s="86"/>
      <c r="ED484" s="86"/>
      <c r="EE484" s="86"/>
      <c r="EF484" s="86"/>
      <c r="EG484" s="86"/>
      <c r="EH484" s="86"/>
      <c r="EI484" s="86"/>
      <c r="EJ484" s="86"/>
      <c r="EK484" s="86"/>
      <c r="EL484" s="86"/>
      <c r="EM484" s="86"/>
      <c r="EN484" s="86"/>
      <c r="EO484" s="86"/>
      <c r="EP484" s="86"/>
      <c r="EQ484" s="86"/>
      <c r="ER484" s="86"/>
      <c r="ES484" s="86"/>
      <c r="ET484" s="86"/>
      <c r="EU484" s="86"/>
      <c r="EV484" s="86"/>
      <c r="EW484" s="86"/>
      <c r="EX484" s="86"/>
      <c r="EY484" s="86"/>
      <c r="EZ484" s="86"/>
      <c r="FA484" s="86"/>
    </row>
    <row r="485" spans="2:157" ht="9.75" customHeight="1">
      <c r="B485" s="182"/>
      <c r="C485" s="182"/>
      <c r="D485" s="182"/>
      <c r="E485" s="182"/>
      <c r="F485" s="182"/>
      <c r="G485" s="182"/>
      <c r="H485" s="182"/>
      <c r="J485" s="101"/>
      <c r="K485" s="101"/>
      <c r="L485" s="101"/>
      <c r="Z485" s="86"/>
      <c r="AA485" s="86"/>
      <c r="AB485" s="86"/>
      <c r="AC485" s="86"/>
      <c r="AD485" s="86"/>
      <c r="AE485" s="86"/>
      <c r="AF485" s="86"/>
      <c r="AG485" s="86"/>
      <c r="AH485" s="86"/>
      <c r="AI485" s="86"/>
      <c r="AJ485" s="86"/>
      <c r="AK485" s="86"/>
      <c r="AL485" s="86"/>
      <c r="AM485" s="86"/>
      <c r="AN485" s="86"/>
      <c r="AO485" s="86"/>
      <c r="AP485" s="86"/>
      <c r="AQ485" s="86"/>
      <c r="AR485" s="86"/>
      <c r="AS485" s="86"/>
      <c r="AT485" s="86"/>
      <c r="AU485" s="86"/>
      <c r="AV485" s="86"/>
      <c r="AW485" s="86"/>
      <c r="AX485" s="86"/>
      <c r="AY485" s="86"/>
      <c r="AZ485" s="86"/>
      <c r="BA485" s="86"/>
      <c r="BB485" s="86"/>
      <c r="BC485" s="86"/>
      <c r="BD485" s="86"/>
      <c r="BE485" s="86"/>
      <c r="BF485" s="86"/>
      <c r="BG485" s="86"/>
      <c r="BH485" s="86"/>
      <c r="BI485" s="86"/>
      <c r="BJ485" s="86"/>
      <c r="BK485" s="86"/>
      <c r="BL485" s="86"/>
      <c r="BM485" s="86"/>
      <c r="BN485" s="86"/>
      <c r="BO485" s="86"/>
      <c r="BP485" s="86"/>
      <c r="BQ485" s="86"/>
      <c r="BR485" s="86"/>
      <c r="BS485" s="86"/>
      <c r="BT485" s="86"/>
      <c r="BU485" s="86"/>
      <c r="BV485" s="86"/>
      <c r="BW485" s="86"/>
      <c r="BX485" s="86"/>
      <c r="BY485" s="86"/>
      <c r="BZ485" s="86"/>
      <c r="CA485" s="86"/>
      <c r="CB485" s="86"/>
      <c r="CC485" s="86"/>
      <c r="CD485" s="86"/>
      <c r="CE485" s="86"/>
      <c r="CF485" s="86"/>
      <c r="CG485" s="86"/>
      <c r="CH485" s="86"/>
      <c r="CI485" s="86"/>
      <c r="CJ485" s="86"/>
      <c r="CK485" s="86"/>
      <c r="CL485" s="86"/>
      <c r="CM485" s="86"/>
      <c r="CN485" s="86"/>
      <c r="CO485" s="86"/>
      <c r="CP485" s="86"/>
      <c r="CQ485" s="86"/>
      <c r="CR485" s="86"/>
      <c r="CS485" s="86"/>
      <c r="CT485" s="86"/>
      <c r="CU485" s="86"/>
      <c r="CV485" s="86"/>
      <c r="CW485" s="86"/>
      <c r="CX485" s="86"/>
      <c r="CY485" s="86"/>
      <c r="CZ485" s="86"/>
      <c r="DA485" s="86"/>
      <c r="DB485" s="86"/>
      <c r="DC485" s="86"/>
      <c r="DD485" s="86"/>
      <c r="DE485" s="86"/>
      <c r="DF485" s="86"/>
      <c r="DG485" s="86"/>
      <c r="DH485" s="86"/>
      <c r="DI485" s="86"/>
      <c r="DJ485" s="86"/>
      <c r="DK485" s="86"/>
      <c r="DL485" s="86"/>
      <c r="DM485" s="86"/>
      <c r="DN485" s="86"/>
      <c r="DO485" s="86"/>
      <c r="DP485" s="86"/>
      <c r="DQ485" s="86"/>
      <c r="DR485" s="86"/>
      <c r="DS485" s="86"/>
      <c r="DT485" s="86"/>
      <c r="DU485" s="86"/>
      <c r="DV485" s="86"/>
      <c r="DW485" s="86"/>
      <c r="DX485" s="86"/>
      <c r="DY485" s="86"/>
      <c r="DZ485" s="86"/>
      <c r="EA485" s="86"/>
      <c r="EB485" s="86"/>
      <c r="EC485" s="86"/>
      <c r="ED485" s="86"/>
      <c r="EE485" s="86"/>
      <c r="EF485" s="86"/>
      <c r="EG485" s="86"/>
      <c r="EH485" s="86"/>
      <c r="EI485" s="86"/>
      <c r="EJ485" s="86"/>
      <c r="EK485" s="86"/>
      <c r="EL485" s="86"/>
      <c r="EM485" s="86"/>
      <c r="EN485" s="86"/>
      <c r="EO485" s="86"/>
      <c r="EP485" s="86"/>
      <c r="EQ485" s="86"/>
      <c r="ER485" s="86"/>
      <c r="ES485" s="86"/>
      <c r="ET485" s="86"/>
      <c r="EU485" s="86"/>
      <c r="EV485" s="86"/>
      <c r="EW485" s="86"/>
      <c r="EX485" s="86"/>
      <c r="EY485" s="86"/>
      <c r="EZ485" s="86"/>
      <c r="FA485" s="86"/>
    </row>
    <row r="486" spans="2:157" ht="9.75" customHeight="1">
      <c r="B486" s="182"/>
      <c r="C486" s="182"/>
      <c r="D486" s="182"/>
      <c r="E486" s="182"/>
      <c r="F486" s="182"/>
      <c r="G486" s="182"/>
      <c r="H486" s="182"/>
      <c r="J486" s="101"/>
      <c r="K486" s="101"/>
      <c r="L486" s="101"/>
      <c r="Z486" s="86"/>
      <c r="AA486" s="86"/>
      <c r="AB486" s="86"/>
      <c r="AC486" s="86"/>
      <c r="AD486" s="86"/>
      <c r="AE486" s="86"/>
      <c r="AF486" s="86"/>
      <c r="AG486" s="86"/>
      <c r="AH486" s="86"/>
      <c r="AI486" s="86"/>
      <c r="AJ486" s="86"/>
      <c r="AK486" s="86"/>
      <c r="AL486" s="86"/>
      <c r="AM486" s="86"/>
      <c r="AN486" s="86"/>
      <c r="AO486" s="86"/>
      <c r="AP486" s="86"/>
      <c r="AQ486" s="86"/>
      <c r="AR486" s="86"/>
      <c r="AS486" s="86"/>
      <c r="AT486" s="86"/>
      <c r="AU486" s="86"/>
      <c r="AV486" s="86"/>
      <c r="AW486" s="86"/>
      <c r="AX486" s="86"/>
      <c r="AY486" s="86"/>
      <c r="AZ486" s="86"/>
      <c r="BA486" s="86"/>
      <c r="BB486" s="86"/>
      <c r="BC486" s="86"/>
      <c r="BD486" s="86"/>
      <c r="BE486" s="86"/>
      <c r="BF486" s="86"/>
      <c r="BG486" s="86"/>
      <c r="BH486" s="86"/>
      <c r="BI486" s="86"/>
      <c r="BJ486" s="86"/>
      <c r="BK486" s="86"/>
      <c r="BL486" s="86"/>
      <c r="BM486" s="86"/>
      <c r="BN486" s="86"/>
      <c r="BO486" s="86"/>
      <c r="BP486" s="86"/>
      <c r="BQ486" s="86"/>
      <c r="BR486" s="86"/>
      <c r="BS486" s="86"/>
      <c r="BT486" s="86"/>
      <c r="BU486" s="86"/>
      <c r="BV486" s="86"/>
      <c r="BW486" s="86"/>
      <c r="BX486" s="86"/>
      <c r="BY486" s="86"/>
      <c r="BZ486" s="86"/>
      <c r="CA486" s="86"/>
      <c r="CB486" s="86"/>
      <c r="CC486" s="86"/>
      <c r="CD486" s="86"/>
      <c r="CE486" s="86"/>
      <c r="CF486" s="86"/>
      <c r="CG486" s="86"/>
      <c r="CH486" s="86"/>
      <c r="CI486" s="86"/>
      <c r="CJ486" s="86"/>
      <c r="CK486" s="86"/>
      <c r="CL486" s="86"/>
      <c r="CM486" s="86"/>
      <c r="CN486" s="86"/>
      <c r="CO486" s="86"/>
      <c r="CP486" s="86"/>
      <c r="CQ486" s="86"/>
      <c r="CR486" s="86"/>
      <c r="CS486" s="86"/>
      <c r="CT486" s="86"/>
      <c r="CU486" s="86"/>
      <c r="CV486" s="86"/>
      <c r="CW486" s="86"/>
      <c r="CX486" s="86"/>
      <c r="CY486" s="86"/>
      <c r="CZ486" s="86"/>
      <c r="DA486" s="86"/>
      <c r="DB486" s="86"/>
      <c r="DC486" s="86"/>
      <c r="DD486" s="86"/>
      <c r="DE486" s="86"/>
      <c r="DF486" s="86"/>
      <c r="DG486" s="86"/>
      <c r="DH486" s="86"/>
      <c r="DI486" s="86"/>
      <c r="DJ486" s="86"/>
      <c r="DK486" s="86"/>
      <c r="DL486" s="86"/>
      <c r="DM486" s="86"/>
      <c r="DN486" s="86"/>
      <c r="DO486" s="86"/>
      <c r="DP486" s="86"/>
      <c r="DQ486" s="86"/>
      <c r="DR486" s="86"/>
      <c r="DS486" s="86"/>
      <c r="DT486" s="86"/>
      <c r="DU486" s="86"/>
      <c r="DV486" s="86"/>
      <c r="DW486" s="86"/>
      <c r="DX486" s="86"/>
      <c r="DY486" s="86"/>
      <c r="DZ486" s="86"/>
      <c r="EA486" s="86"/>
      <c r="EB486" s="86"/>
      <c r="EC486" s="86"/>
      <c r="ED486" s="86"/>
      <c r="EE486" s="86"/>
      <c r="EF486" s="86"/>
      <c r="EG486" s="86"/>
      <c r="EH486" s="86"/>
      <c r="EI486" s="86"/>
      <c r="EJ486" s="86"/>
      <c r="EK486" s="86"/>
      <c r="EL486" s="86"/>
      <c r="EM486" s="86"/>
      <c r="EN486" s="86"/>
      <c r="EO486" s="86"/>
      <c r="EP486" s="86"/>
      <c r="EQ486" s="86"/>
      <c r="ER486" s="86"/>
      <c r="ES486" s="86"/>
      <c r="ET486" s="86"/>
      <c r="EU486" s="86"/>
      <c r="EV486" s="86"/>
      <c r="EW486" s="86"/>
      <c r="EX486" s="86"/>
      <c r="EY486" s="86"/>
      <c r="EZ486" s="86"/>
      <c r="FA486" s="86"/>
    </row>
    <row r="487" spans="2:157" ht="9.75" customHeight="1">
      <c r="B487" s="182"/>
      <c r="C487" s="182"/>
      <c r="D487" s="182"/>
      <c r="E487" s="182"/>
      <c r="F487" s="182"/>
      <c r="G487" s="182"/>
      <c r="H487" s="182"/>
      <c r="J487" s="101"/>
      <c r="K487" s="101"/>
      <c r="L487" s="101"/>
      <c r="Z487" s="86"/>
      <c r="AA487" s="86"/>
      <c r="AB487" s="86"/>
      <c r="AC487" s="86"/>
      <c r="AD487" s="86"/>
      <c r="AE487" s="86"/>
      <c r="AF487" s="86"/>
      <c r="AG487" s="86"/>
      <c r="AH487" s="86"/>
      <c r="AI487" s="86"/>
      <c r="AJ487" s="86"/>
      <c r="AK487" s="86"/>
      <c r="AL487" s="86"/>
      <c r="AM487" s="86"/>
      <c r="AN487" s="86"/>
      <c r="AO487" s="86"/>
      <c r="AP487" s="86"/>
      <c r="AQ487" s="86"/>
      <c r="AR487" s="86"/>
      <c r="AS487" s="86"/>
      <c r="AT487" s="86"/>
      <c r="AU487" s="86"/>
      <c r="AV487" s="86"/>
      <c r="AW487" s="86"/>
      <c r="AX487" s="86"/>
      <c r="AY487" s="86"/>
      <c r="AZ487" s="86"/>
      <c r="BA487" s="86"/>
      <c r="BB487" s="86"/>
      <c r="BC487" s="86"/>
      <c r="BD487" s="86"/>
      <c r="BE487" s="86"/>
      <c r="BF487" s="86"/>
      <c r="BG487" s="86"/>
      <c r="BH487" s="86"/>
      <c r="BI487" s="86"/>
      <c r="BJ487" s="86"/>
      <c r="BK487" s="86"/>
      <c r="BL487" s="86"/>
      <c r="BM487" s="86"/>
      <c r="BN487" s="86"/>
      <c r="BO487" s="86"/>
      <c r="BP487" s="86"/>
      <c r="BQ487" s="86"/>
      <c r="BR487" s="86"/>
      <c r="BS487" s="86"/>
      <c r="BT487" s="86"/>
      <c r="BU487" s="86"/>
      <c r="BV487" s="86"/>
      <c r="BW487" s="86"/>
      <c r="BX487" s="86"/>
      <c r="BY487" s="86"/>
      <c r="BZ487" s="86"/>
      <c r="CA487" s="86"/>
      <c r="CB487" s="86"/>
      <c r="CC487" s="86"/>
      <c r="CD487" s="86"/>
      <c r="CE487" s="86"/>
      <c r="CF487" s="86"/>
      <c r="CG487" s="86"/>
      <c r="CH487" s="86"/>
      <c r="CI487" s="86"/>
      <c r="CJ487" s="86"/>
      <c r="CK487" s="86"/>
      <c r="CL487" s="86"/>
      <c r="CM487" s="86"/>
      <c r="CN487" s="86"/>
      <c r="CO487" s="86"/>
      <c r="CP487" s="86"/>
      <c r="CQ487" s="86"/>
      <c r="CR487" s="86"/>
      <c r="CS487" s="86"/>
      <c r="CT487" s="86"/>
      <c r="CU487" s="86"/>
      <c r="CV487" s="86"/>
      <c r="CW487" s="86"/>
      <c r="CX487" s="86"/>
      <c r="CY487" s="86"/>
      <c r="CZ487" s="86"/>
      <c r="DA487" s="86"/>
      <c r="DB487" s="86"/>
      <c r="DC487" s="86"/>
      <c r="DD487" s="86"/>
      <c r="DE487" s="86"/>
      <c r="DF487" s="86"/>
      <c r="DG487" s="86"/>
      <c r="DH487" s="86"/>
      <c r="DI487" s="86"/>
      <c r="DJ487" s="86"/>
      <c r="DK487" s="86"/>
      <c r="DL487" s="86"/>
      <c r="DM487" s="86"/>
      <c r="DN487" s="86"/>
      <c r="DO487" s="86"/>
      <c r="DP487" s="86"/>
      <c r="DQ487" s="86"/>
      <c r="DR487" s="86"/>
      <c r="DS487" s="86"/>
      <c r="DT487" s="86"/>
      <c r="DU487" s="86"/>
      <c r="DV487" s="86"/>
      <c r="DW487" s="86"/>
      <c r="DX487" s="86"/>
      <c r="DY487" s="86"/>
      <c r="DZ487" s="86"/>
      <c r="EA487" s="86"/>
      <c r="EB487" s="86"/>
      <c r="EC487" s="86"/>
      <c r="ED487" s="86"/>
      <c r="EE487" s="86"/>
      <c r="EF487" s="86"/>
      <c r="EG487" s="86"/>
      <c r="EH487" s="86"/>
      <c r="EI487" s="86"/>
      <c r="EJ487" s="86"/>
      <c r="EK487" s="86"/>
      <c r="EL487" s="86"/>
      <c r="EM487" s="86"/>
      <c r="EN487" s="86"/>
      <c r="EO487" s="86"/>
      <c r="EP487" s="86"/>
      <c r="EQ487" s="86"/>
      <c r="ER487" s="86"/>
      <c r="ES487" s="86"/>
      <c r="ET487" s="86"/>
      <c r="EU487" s="86"/>
      <c r="EV487" s="86"/>
      <c r="EW487" s="86"/>
      <c r="EX487" s="86"/>
      <c r="EY487" s="86"/>
      <c r="EZ487" s="86"/>
      <c r="FA487" s="86"/>
    </row>
    <row r="488" spans="2:157" ht="9.75" customHeight="1">
      <c r="B488" s="182"/>
      <c r="C488" s="182"/>
      <c r="D488" s="182"/>
      <c r="E488" s="182"/>
      <c r="F488" s="182"/>
      <c r="G488" s="182"/>
      <c r="H488" s="182"/>
      <c r="J488" s="101"/>
      <c r="K488" s="101"/>
      <c r="L488" s="101"/>
      <c r="Z488" s="86"/>
      <c r="AA488" s="86"/>
      <c r="AB488" s="86"/>
      <c r="AC488" s="86"/>
      <c r="AD488" s="86"/>
      <c r="AE488" s="86"/>
      <c r="AF488" s="86"/>
      <c r="AG488" s="86"/>
      <c r="AH488" s="86"/>
      <c r="AI488" s="86"/>
      <c r="AJ488" s="86"/>
      <c r="AK488" s="86"/>
      <c r="AL488" s="86"/>
      <c r="AM488" s="86"/>
      <c r="AN488" s="86"/>
      <c r="AO488" s="86"/>
      <c r="AP488" s="86"/>
      <c r="AQ488" s="86"/>
      <c r="AR488" s="86"/>
      <c r="AS488" s="86"/>
      <c r="AT488" s="86"/>
      <c r="AU488" s="86"/>
      <c r="AV488" s="86"/>
      <c r="AW488" s="86"/>
      <c r="AX488" s="86"/>
      <c r="AY488" s="86"/>
      <c r="AZ488" s="86"/>
      <c r="BA488" s="86"/>
      <c r="BB488" s="86"/>
      <c r="BC488" s="86"/>
      <c r="BD488" s="86"/>
      <c r="BE488" s="86"/>
      <c r="BF488" s="86"/>
      <c r="BG488" s="86"/>
      <c r="BH488" s="86"/>
      <c r="BI488" s="86"/>
      <c r="BJ488" s="86"/>
      <c r="BK488" s="86"/>
      <c r="BL488" s="86"/>
      <c r="BM488" s="86"/>
      <c r="BN488" s="86"/>
      <c r="BO488" s="86"/>
      <c r="BP488" s="86"/>
      <c r="BQ488" s="86"/>
      <c r="BR488" s="86"/>
      <c r="BS488" s="86"/>
      <c r="BT488" s="86"/>
      <c r="BU488" s="86"/>
      <c r="BV488" s="86"/>
      <c r="BW488" s="86"/>
      <c r="BX488" s="86"/>
      <c r="BY488" s="86"/>
      <c r="BZ488" s="86"/>
      <c r="CA488" s="86"/>
      <c r="CB488" s="86"/>
      <c r="CC488" s="86"/>
      <c r="CD488" s="86"/>
      <c r="CE488" s="86"/>
      <c r="CF488" s="86"/>
      <c r="CG488" s="86"/>
      <c r="CH488" s="86"/>
      <c r="CI488" s="86"/>
      <c r="CJ488" s="86"/>
      <c r="CK488" s="86"/>
      <c r="CL488" s="86"/>
      <c r="CM488" s="86"/>
      <c r="CN488" s="86"/>
      <c r="CO488" s="86"/>
      <c r="CP488" s="86"/>
      <c r="CQ488" s="86"/>
      <c r="CR488" s="86"/>
      <c r="CS488" s="86"/>
      <c r="CT488" s="86"/>
      <c r="CU488" s="86"/>
      <c r="CV488" s="86"/>
      <c r="CW488" s="86"/>
      <c r="CX488" s="86"/>
      <c r="CY488" s="86"/>
      <c r="CZ488" s="86"/>
      <c r="DA488" s="86"/>
      <c r="DB488" s="86"/>
      <c r="DC488" s="86"/>
      <c r="DD488" s="86"/>
      <c r="DE488" s="86"/>
      <c r="DF488" s="86"/>
      <c r="DG488" s="86"/>
      <c r="DH488" s="86"/>
      <c r="DI488" s="86"/>
      <c r="DJ488" s="86"/>
      <c r="DK488" s="86"/>
      <c r="DL488" s="86"/>
      <c r="DM488" s="86"/>
      <c r="DN488" s="86"/>
      <c r="DO488" s="86"/>
      <c r="DP488" s="86"/>
      <c r="DQ488" s="86"/>
      <c r="DR488" s="86"/>
      <c r="DS488" s="86"/>
      <c r="DT488" s="86"/>
      <c r="DU488" s="86"/>
      <c r="DV488" s="86"/>
      <c r="DW488" s="86"/>
      <c r="DX488" s="86"/>
      <c r="DY488" s="86"/>
      <c r="DZ488" s="86"/>
      <c r="EA488" s="86"/>
      <c r="EB488" s="86"/>
      <c r="EC488" s="86"/>
      <c r="ED488" s="86"/>
      <c r="EE488" s="86"/>
      <c r="EF488" s="86"/>
      <c r="EG488" s="86"/>
      <c r="EH488" s="86"/>
      <c r="EI488" s="86"/>
      <c r="EJ488" s="86"/>
      <c r="EK488" s="86"/>
      <c r="EL488" s="86"/>
      <c r="EM488" s="86"/>
      <c r="EN488" s="86"/>
      <c r="EO488" s="86"/>
      <c r="EP488" s="86"/>
      <c r="EQ488" s="86"/>
      <c r="ER488" s="86"/>
      <c r="ES488" s="86"/>
      <c r="ET488" s="86"/>
      <c r="EU488" s="86"/>
      <c r="EV488" s="86"/>
      <c r="EW488" s="86"/>
      <c r="EX488" s="86"/>
      <c r="EY488" s="86"/>
      <c r="EZ488" s="86"/>
      <c r="FA488" s="86"/>
    </row>
    <row r="489" spans="2:157" ht="9.75" customHeight="1">
      <c r="B489" s="182"/>
      <c r="C489" s="182"/>
      <c r="D489" s="182"/>
      <c r="E489" s="182"/>
      <c r="F489" s="182"/>
      <c r="G489" s="182"/>
      <c r="H489" s="182"/>
      <c r="J489" s="101"/>
      <c r="K489" s="101"/>
      <c r="L489" s="101"/>
      <c r="Z489" s="86"/>
      <c r="AA489" s="86"/>
      <c r="AB489" s="86"/>
      <c r="AC489" s="86"/>
      <c r="AD489" s="86"/>
      <c r="AE489" s="86"/>
      <c r="AF489" s="86"/>
      <c r="AG489" s="86"/>
      <c r="AH489" s="86"/>
      <c r="AI489" s="86"/>
      <c r="AJ489" s="86"/>
      <c r="AK489" s="86"/>
      <c r="AL489" s="86"/>
      <c r="AM489" s="86"/>
      <c r="AN489" s="86"/>
      <c r="AO489" s="86"/>
      <c r="AP489" s="86"/>
      <c r="AQ489" s="86"/>
      <c r="AR489" s="86"/>
      <c r="AS489" s="86"/>
      <c r="AT489" s="86"/>
      <c r="AU489" s="86"/>
      <c r="AV489" s="86"/>
      <c r="AW489" s="86"/>
      <c r="AX489" s="86"/>
      <c r="AY489" s="86"/>
      <c r="AZ489" s="86"/>
      <c r="BA489" s="86"/>
      <c r="BB489" s="86"/>
      <c r="BC489" s="86"/>
      <c r="BD489" s="86"/>
      <c r="BE489" s="86"/>
      <c r="BF489" s="86"/>
      <c r="BG489" s="86"/>
      <c r="BH489" s="86"/>
      <c r="BI489" s="86"/>
      <c r="BJ489" s="86"/>
      <c r="BK489" s="86"/>
      <c r="BL489" s="86"/>
      <c r="BM489" s="86"/>
      <c r="BN489" s="86"/>
      <c r="BO489" s="86"/>
      <c r="BP489" s="86"/>
      <c r="BQ489" s="86"/>
      <c r="BR489" s="86"/>
      <c r="BS489" s="86"/>
      <c r="BT489" s="86"/>
      <c r="BU489" s="86"/>
      <c r="BV489" s="86"/>
      <c r="BW489" s="86"/>
      <c r="BX489" s="86"/>
      <c r="BY489" s="86"/>
      <c r="BZ489" s="86"/>
      <c r="CA489" s="86"/>
      <c r="CB489" s="86"/>
      <c r="CC489" s="86"/>
      <c r="CD489" s="86"/>
      <c r="CE489" s="86"/>
      <c r="CF489" s="86"/>
      <c r="CG489" s="86"/>
      <c r="CH489" s="86"/>
      <c r="CI489" s="86"/>
      <c r="CJ489" s="86"/>
      <c r="CK489" s="86"/>
      <c r="CL489" s="86"/>
      <c r="CM489" s="86"/>
      <c r="CN489" s="86"/>
      <c r="CO489" s="86"/>
      <c r="CP489" s="86"/>
      <c r="CQ489" s="86"/>
      <c r="CR489" s="86"/>
      <c r="CS489" s="86"/>
      <c r="CT489" s="86"/>
      <c r="CU489" s="86"/>
      <c r="CV489" s="86"/>
      <c r="CW489" s="86"/>
      <c r="CX489" s="86"/>
      <c r="CY489" s="86"/>
      <c r="CZ489" s="86"/>
      <c r="DA489" s="86"/>
      <c r="DB489" s="86"/>
      <c r="DC489" s="86"/>
      <c r="DD489" s="86"/>
      <c r="DE489" s="86"/>
      <c r="DF489" s="86"/>
      <c r="DG489" s="86"/>
      <c r="DH489" s="86"/>
      <c r="DI489" s="86"/>
      <c r="DJ489" s="86"/>
      <c r="DK489" s="86"/>
      <c r="DL489" s="86"/>
      <c r="DM489" s="86"/>
      <c r="DN489" s="86"/>
      <c r="DO489" s="86"/>
      <c r="DP489" s="86"/>
      <c r="DQ489" s="86"/>
      <c r="DR489" s="86"/>
      <c r="DS489" s="86"/>
      <c r="DT489" s="86"/>
      <c r="DU489" s="86"/>
      <c r="DV489" s="86"/>
      <c r="DW489" s="86"/>
      <c r="DX489" s="86"/>
      <c r="DY489" s="86"/>
      <c r="DZ489" s="86"/>
      <c r="EA489" s="86"/>
      <c r="EB489" s="86"/>
      <c r="EC489" s="86"/>
      <c r="ED489" s="86"/>
      <c r="EE489" s="86"/>
      <c r="EF489" s="86"/>
      <c r="EG489" s="86"/>
      <c r="EH489" s="86"/>
      <c r="EI489" s="86"/>
      <c r="EJ489" s="86"/>
      <c r="EK489" s="86"/>
      <c r="EL489" s="86"/>
      <c r="EM489" s="86"/>
      <c r="EN489" s="86"/>
      <c r="EO489" s="86"/>
      <c r="EP489" s="86"/>
      <c r="EQ489" s="86"/>
      <c r="ER489" s="86"/>
      <c r="ES489" s="86"/>
      <c r="ET489" s="86"/>
      <c r="EU489" s="86"/>
      <c r="EV489" s="86"/>
      <c r="EW489" s="86"/>
      <c r="EX489" s="86"/>
      <c r="EY489" s="86"/>
      <c r="EZ489" s="86"/>
      <c r="FA489" s="86"/>
    </row>
    <row r="490" spans="2:157" ht="9.75" customHeight="1">
      <c r="B490" s="182"/>
      <c r="C490" s="182"/>
      <c r="D490" s="182"/>
      <c r="E490" s="182"/>
      <c r="F490" s="182"/>
      <c r="G490" s="182"/>
      <c r="H490" s="182"/>
      <c r="J490" s="101"/>
      <c r="K490" s="101"/>
      <c r="L490" s="101"/>
      <c r="Z490" s="86"/>
      <c r="AA490" s="86"/>
      <c r="AB490" s="86"/>
      <c r="AC490" s="86"/>
      <c r="AD490" s="86"/>
      <c r="AE490" s="86"/>
      <c r="AF490" s="86"/>
      <c r="AG490" s="86"/>
      <c r="AH490" s="86"/>
      <c r="AI490" s="86"/>
      <c r="AJ490" s="86"/>
      <c r="AK490" s="86"/>
      <c r="AL490" s="86"/>
      <c r="AM490" s="86"/>
      <c r="AN490" s="86"/>
      <c r="AO490" s="86"/>
      <c r="AP490" s="86"/>
      <c r="AQ490" s="86"/>
      <c r="AR490" s="86"/>
      <c r="AS490" s="86"/>
      <c r="AT490" s="86"/>
      <c r="AU490" s="86"/>
      <c r="AV490" s="86"/>
      <c r="AW490" s="86"/>
      <c r="AX490" s="86"/>
      <c r="AY490" s="86"/>
      <c r="AZ490" s="86"/>
      <c r="BA490" s="86"/>
      <c r="BB490" s="86"/>
      <c r="BC490" s="86"/>
      <c r="BD490" s="86"/>
      <c r="BE490" s="86"/>
      <c r="BF490" s="86"/>
      <c r="BG490" s="86"/>
      <c r="BH490" s="86"/>
      <c r="BI490" s="86"/>
      <c r="BJ490" s="86"/>
      <c r="BK490" s="86"/>
      <c r="BL490" s="86"/>
      <c r="BM490" s="86"/>
      <c r="BN490" s="86"/>
      <c r="BO490" s="86"/>
      <c r="BP490" s="86"/>
      <c r="BQ490" s="86"/>
      <c r="BR490" s="86"/>
      <c r="BS490" s="86"/>
      <c r="BT490" s="86"/>
      <c r="BU490" s="86"/>
      <c r="BV490" s="86"/>
      <c r="BW490" s="86"/>
      <c r="BX490" s="86"/>
      <c r="BY490" s="86"/>
      <c r="BZ490" s="86"/>
      <c r="CA490" s="86"/>
      <c r="CB490" s="86"/>
      <c r="CC490" s="86"/>
      <c r="CD490" s="86"/>
      <c r="CE490" s="86"/>
      <c r="CF490" s="86"/>
      <c r="CG490" s="86"/>
      <c r="CH490" s="86"/>
      <c r="CI490" s="86"/>
      <c r="CJ490" s="86"/>
      <c r="CK490" s="86"/>
      <c r="CL490" s="86"/>
      <c r="CM490" s="86"/>
      <c r="CN490" s="86"/>
      <c r="CO490" s="86"/>
      <c r="CP490" s="86"/>
      <c r="CQ490" s="86"/>
      <c r="CR490" s="86"/>
      <c r="CS490" s="86"/>
      <c r="CT490" s="86"/>
      <c r="CU490" s="86"/>
      <c r="CV490" s="86"/>
      <c r="CW490" s="86"/>
      <c r="CX490" s="86"/>
      <c r="CY490" s="86"/>
      <c r="CZ490" s="86"/>
      <c r="DA490" s="86"/>
      <c r="DB490" s="86"/>
      <c r="DC490" s="86"/>
      <c r="DD490" s="86"/>
      <c r="DE490" s="86"/>
      <c r="DF490" s="86"/>
      <c r="DG490" s="86"/>
      <c r="DH490" s="86"/>
      <c r="DI490" s="86"/>
      <c r="DJ490" s="86"/>
      <c r="DK490" s="86"/>
      <c r="DL490" s="86"/>
      <c r="DM490" s="86"/>
      <c r="DN490" s="86"/>
      <c r="DO490" s="86"/>
      <c r="DP490" s="86"/>
      <c r="DQ490" s="86"/>
      <c r="DR490" s="86"/>
      <c r="DS490" s="86"/>
      <c r="DT490" s="86"/>
      <c r="DU490" s="86"/>
      <c r="DV490" s="86"/>
      <c r="DW490" s="86"/>
      <c r="DX490" s="86"/>
      <c r="DY490" s="86"/>
      <c r="DZ490" s="86"/>
      <c r="EA490" s="86"/>
      <c r="EB490" s="86"/>
      <c r="EC490" s="86"/>
      <c r="ED490" s="86"/>
      <c r="EE490" s="86"/>
      <c r="EF490" s="86"/>
      <c r="EG490" s="86"/>
      <c r="EH490" s="86"/>
      <c r="EI490" s="86"/>
      <c r="EJ490" s="86"/>
      <c r="EK490" s="86"/>
      <c r="EL490" s="86"/>
      <c r="EM490" s="86"/>
      <c r="EN490" s="86"/>
      <c r="EO490" s="86"/>
      <c r="EP490" s="86"/>
      <c r="EQ490" s="86"/>
      <c r="ER490" s="86"/>
      <c r="ES490" s="86"/>
      <c r="ET490" s="86"/>
      <c r="EU490" s="86"/>
      <c r="EV490" s="86"/>
      <c r="EW490" s="86"/>
      <c r="EX490" s="86"/>
      <c r="EY490" s="86"/>
      <c r="EZ490" s="86"/>
      <c r="FA490" s="86"/>
    </row>
    <row r="491" spans="2:157" ht="9.75" customHeight="1">
      <c r="B491" s="182"/>
      <c r="C491" s="182"/>
      <c r="D491" s="182"/>
      <c r="E491" s="182"/>
      <c r="F491" s="182"/>
      <c r="G491" s="182"/>
      <c r="H491" s="182"/>
      <c r="J491" s="101"/>
      <c r="K491" s="101"/>
      <c r="L491" s="101"/>
      <c r="Z491" s="86"/>
      <c r="AA491" s="86"/>
      <c r="AB491" s="86"/>
      <c r="AC491" s="86"/>
      <c r="AD491" s="86"/>
      <c r="AE491" s="86"/>
      <c r="AF491" s="86"/>
      <c r="AG491" s="86"/>
      <c r="AH491" s="86"/>
      <c r="AI491" s="86"/>
      <c r="AJ491" s="86"/>
      <c r="AK491" s="86"/>
      <c r="AL491" s="86"/>
      <c r="AM491" s="86"/>
      <c r="AN491" s="86"/>
      <c r="AO491" s="86"/>
      <c r="AP491" s="86"/>
      <c r="AQ491" s="86"/>
      <c r="AR491" s="86"/>
      <c r="AS491" s="86"/>
      <c r="AT491" s="86"/>
      <c r="AU491" s="86"/>
      <c r="AV491" s="86"/>
      <c r="AW491" s="86"/>
      <c r="AX491" s="86"/>
      <c r="AY491" s="86"/>
      <c r="AZ491" s="86"/>
      <c r="BA491" s="86"/>
      <c r="BB491" s="86"/>
      <c r="BC491" s="86"/>
      <c r="BD491" s="86"/>
      <c r="BE491" s="86"/>
      <c r="BF491" s="86"/>
      <c r="BG491" s="86"/>
      <c r="BH491" s="86"/>
      <c r="BI491" s="86"/>
      <c r="BJ491" s="86"/>
      <c r="BK491" s="86"/>
      <c r="BL491" s="86"/>
      <c r="BM491" s="86"/>
      <c r="BN491" s="86"/>
      <c r="BO491" s="86"/>
      <c r="BP491" s="86"/>
      <c r="BQ491" s="86"/>
      <c r="BR491" s="86"/>
      <c r="BS491" s="86"/>
      <c r="BT491" s="86"/>
      <c r="BU491" s="86"/>
      <c r="BV491" s="86"/>
      <c r="BW491" s="86"/>
      <c r="BX491" s="86"/>
      <c r="BY491" s="86"/>
      <c r="BZ491" s="86"/>
      <c r="CA491" s="86"/>
      <c r="CB491" s="86"/>
      <c r="CC491" s="86"/>
      <c r="CD491" s="86"/>
      <c r="CE491" s="86"/>
      <c r="CF491" s="86"/>
      <c r="CG491" s="86"/>
      <c r="CH491" s="86"/>
      <c r="CI491" s="86"/>
      <c r="CJ491" s="86"/>
      <c r="CK491" s="86"/>
      <c r="CL491" s="86"/>
      <c r="CM491" s="86"/>
      <c r="CN491" s="86"/>
      <c r="CO491" s="86"/>
      <c r="CP491" s="86"/>
      <c r="CQ491" s="86"/>
      <c r="CR491" s="86"/>
      <c r="CS491" s="86"/>
      <c r="CT491" s="86"/>
      <c r="CU491" s="86"/>
      <c r="CV491" s="86"/>
      <c r="CW491" s="86"/>
      <c r="CX491" s="86"/>
      <c r="CY491" s="86"/>
      <c r="CZ491" s="86"/>
      <c r="DA491" s="86"/>
      <c r="DB491" s="86"/>
      <c r="DC491" s="86"/>
      <c r="DD491" s="86"/>
      <c r="DE491" s="86"/>
      <c r="DF491" s="86"/>
      <c r="DG491" s="86"/>
      <c r="DH491" s="86"/>
      <c r="DI491" s="86"/>
      <c r="DJ491" s="86"/>
      <c r="DK491" s="86"/>
      <c r="DL491" s="86"/>
      <c r="DM491" s="86"/>
      <c r="DN491" s="86"/>
      <c r="DO491" s="86"/>
      <c r="DP491" s="86"/>
      <c r="DQ491" s="86"/>
      <c r="DR491" s="86"/>
      <c r="DS491" s="86"/>
      <c r="DT491" s="86"/>
      <c r="DU491" s="86"/>
      <c r="DV491" s="86"/>
      <c r="DW491" s="86"/>
      <c r="DX491" s="86"/>
      <c r="DY491" s="86"/>
      <c r="DZ491" s="86"/>
      <c r="EA491" s="86"/>
      <c r="EB491" s="86"/>
      <c r="EC491" s="86"/>
      <c r="ED491" s="86"/>
      <c r="EE491" s="86"/>
      <c r="EF491" s="86"/>
      <c r="EG491" s="86"/>
      <c r="EH491" s="86"/>
      <c r="EI491" s="86"/>
      <c r="EJ491" s="86"/>
      <c r="EK491" s="86"/>
      <c r="EL491" s="86"/>
      <c r="EM491" s="86"/>
      <c r="EN491" s="86"/>
      <c r="EO491" s="86"/>
      <c r="EP491" s="86"/>
      <c r="EQ491" s="86"/>
      <c r="ER491" s="86"/>
      <c r="ES491" s="86"/>
      <c r="ET491" s="86"/>
      <c r="EU491" s="86"/>
      <c r="EV491" s="86"/>
      <c r="EW491" s="86"/>
      <c r="EX491" s="86"/>
      <c r="EY491" s="86"/>
      <c r="EZ491" s="86"/>
      <c r="FA491" s="86"/>
    </row>
    <row r="492" spans="2:157" ht="9.75" customHeight="1">
      <c r="B492" s="182"/>
      <c r="C492" s="182"/>
      <c r="D492" s="182"/>
      <c r="E492" s="182"/>
      <c r="F492" s="182"/>
      <c r="G492" s="182"/>
      <c r="H492" s="182"/>
      <c r="J492" s="101"/>
      <c r="K492" s="101"/>
      <c r="L492" s="101"/>
      <c r="Z492" s="86"/>
      <c r="AA492" s="86"/>
      <c r="AB492" s="86"/>
      <c r="AC492" s="86"/>
      <c r="AD492" s="86"/>
      <c r="AE492" s="86"/>
      <c r="AF492" s="86"/>
      <c r="AG492" s="86"/>
      <c r="AH492" s="86"/>
      <c r="AI492" s="86"/>
      <c r="AJ492" s="86"/>
      <c r="AK492" s="86"/>
      <c r="AL492" s="86"/>
      <c r="AM492" s="86"/>
      <c r="AN492" s="86"/>
      <c r="AO492" s="86"/>
      <c r="AP492" s="86"/>
      <c r="AQ492" s="86"/>
      <c r="AR492" s="86"/>
      <c r="AS492" s="86"/>
      <c r="AT492" s="86"/>
      <c r="AU492" s="86"/>
      <c r="AV492" s="86"/>
      <c r="AW492" s="86"/>
      <c r="AX492" s="86"/>
      <c r="AY492" s="86"/>
      <c r="AZ492" s="86"/>
      <c r="BA492" s="86"/>
      <c r="BB492" s="86"/>
      <c r="BC492" s="86"/>
      <c r="BD492" s="86"/>
      <c r="BE492" s="86"/>
      <c r="BF492" s="86"/>
      <c r="BG492" s="86"/>
      <c r="BH492" s="86"/>
      <c r="BI492" s="86"/>
      <c r="BJ492" s="86"/>
      <c r="BK492" s="86"/>
      <c r="BL492" s="86"/>
      <c r="BM492" s="86"/>
      <c r="BN492" s="86"/>
      <c r="BO492" s="86"/>
      <c r="BP492" s="86"/>
      <c r="BQ492" s="86"/>
      <c r="BR492" s="86"/>
      <c r="BS492" s="86"/>
      <c r="BT492" s="86"/>
      <c r="BU492" s="86"/>
      <c r="BV492" s="86"/>
      <c r="BW492" s="86"/>
      <c r="BX492" s="86"/>
      <c r="BY492" s="86"/>
      <c r="BZ492" s="86"/>
      <c r="CA492" s="86"/>
      <c r="CB492" s="86"/>
      <c r="CC492" s="86"/>
      <c r="CD492" s="86"/>
      <c r="CE492" s="86"/>
      <c r="CF492" s="86"/>
      <c r="CG492" s="86"/>
      <c r="CH492" s="86"/>
      <c r="CI492" s="86"/>
      <c r="CJ492" s="86"/>
      <c r="CK492" s="86"/>
      <c r="CL492" s="86"/>
      <c r="CM492" s="86"/>
      <c r="CN492" s="86"/>
      <c r="CO492" s="86"/>
      <c r="CP492" s="86"/>
      <c r="CQ492" s="86"/>
      <c r="CR492" s="86"/>
      <c r="CS492" s="86"/>
      <c r="CT492" s="86"/>
      <c r="CU492" s="86"/>
      <c r="CV492" s="86"/>
      <c r="CW492" s="86"/>
      <c r="CX492" s="86"/>
      <c r="CY492" s="86"/>
      <c r="CZ492" s="86"/>
      <c r="DA492" s="86"/>
      <c r="DB492" s="86"/>
      <c r="DC492" s="86"/>
      <c r="DD492" s="86"/>
      <c r="DE492" s="86"/>
      <c r="DF492" s="86"/>
      <c r="DG492" s="86"/>
      <c r="DH492" s="86"/>
      <c r="DI492" s="86"/>
      <c r="DJ492" s="86"/>
      <c r="DK492" s="86"/>
      <c r="DL492" s="86"/>
      <c r="DM492" s="86"/>
      <c r="DN492" s="86"/>
      <c r="DO492" s="86"/>
      <c r="DP492" s="86"/>
      <c r="DQ492" s="86"/>
      <c r="DR492" s="86"/>
      <c r="DS492" s="86"/>
      <c r="DT492" s="86"/>
      <c r="DU492" s="86"/>
      <c r="DV492" s="86"/>
      <c r="DW492" s="86"/>
      <c r="DX492" s="86"/>
      <c r="DY492" s="86"/>
      <c r="DZ492" s="86"/>
      <c r="EA492" s="86"/>
      <c r="EB492" s="86"/>
      <c r="EC492" s="86"/>
      <c r="ED492" s="86"/>
      <c r="EE492" s="86"/>
      <c r="EF492" s="86"/>
      <c r="EG492" s="86"/>
      <c r="EH492" s="86"/>
      <c r="EI492" s="86"/>
      <c r="EJ492" s="86"/>
      <c r="EK492" s="86"/>
      <c r="EL492" s="86"/>
      <c r="EM492" s="86"/>
      <c r="EN492" s="86"/>
      <c r="EO492" s="86"/>
      <c r="EP492" s="86"/>
      <c r="EQ492" s="86"/>
      <c r="ER492" s="86"/>
      <c r="ES492" s="86"/>
      <c r="ET492" s="86"/>
      <c r="EU492" s="86"/>
      <c r="EV492" s="86"/>
      <c r="EW492" s="86"/>
      <c r="EX492" s="86"/>
      <c r="EY492" s="86"/>
      <c r="EZ492" s="86"/>
      <c r="FA492" s="86"/>
    </row>
    <row r="493" spans="2:157" ht="9.75" customHeight="1">
      <c r="B493" s="182"/>
      <c r="C493" s="182"/>
      <c r="D493" s="182"/>
      <c r="E493" s="182"/>
      <c r="F493" s="182"/>
      <c r="G493" s="182"/>
      <c r="H493" s="182"/>
      <c r="J493" s="101"/>
      <c r="K493" s="101"/>
      <c r="L493" s="101"/>
      <c r="Z493" s="86"/>
      <c r="AA493" s="86"/>
      <c r="AB493" s="86"/>
      <c r="AC493" s="86"/>
      <c r="AD493" s="86"/>
      <c r="AE493" s="86"/>
      <c r="AF493" s="86"/>
      <c r="AG493" s="86"/>
      <c r="AH493" s="86"/>
      <c r="AI493" s="86"/>
      <c r="AJ493" s="86"/>
      <c r="AK493" s="86"/>
      <c r="AL493" s="86"/>
      <c r="AM493" s="86"/>
      <c r="AN493" s="86"/>
      <c r="AO493" s="86"/>
      <c r="AP493" s="86"/>
      <c r="AQ493" s="86"/>
      <c r="AR493" s="86"/>
      <c r="AS493" s="86"/>
      <c r="AT493" s="86"/>
      <c r="AU493" s="86"/>
      <c r="AV493" s="86"/>
      <c r="AW493" s="86"/>
      <c r="AX493" s="86"/>
      <c r="AY493" s="86"/>
      <c r="AZ493" s="86"/>
      <c r="BA493" s="86"/>
      <c r="BB493" s="86"/>
      <c r="BC493" s="86"/>
      <c r="BD493" s="86"/>
      <c r="BE493" s="86"/>
      <c r="BF493" s="86"/>
      <c r="BG493" s="86"/>
      <c r="BH493" s="86"/>
      <c r="BI493" s="86"/>
      <c r="BJ493" s="86"/>
      <c r="BK493" s="86"/>
      <c r="BL493" s="86"/>
      <c r="BM493" s="86"/>
      <c r="BN493" s="86"/>
      <c r="BO493" s="86"/>
      <c r="BP493" s="86"/>
      <c r="BQ493" s="86"/>
      <c r="BR493" s="86"/>
      <c r="BS493" s="86"/>
      <c r="BT493" s="86"/>
      <c r="BU493" s="86"/>
      <c r="BV493" s="86"/>
      <c r="BW493" s="86"/>
      <c r="BX493" s="86"/>
      <c r="BY493" s="86"/>
      <c r="BZ493" s="86"/>
      <c r="CA493" s="86"/>
      <c r="CB493" s="86"/>
      <c r="CC493" s="86"/>
      <c r="CD493" s="86"/>
      <c r="CE493" s="86"/>
      <c r="CF493" s="86"/>
      <c r="CG493" s="86"/>
      <c r="CH493" s="86"/>
      <c r="CI493" s="86"/>
      <c r="CJ493" s="86"/>
      <c r="CK493" s="86"/>
      <c r="CL493" s="86"/>
      <c r="CM493" s="86"/>
      <c r="CN493" s="86"/>
      <c r="CO493" s="86"/>
      <c r="CP493" s="86"/>
      <c r="CQ493" s="86"/>
      <c r="CR493" s="86"/>
      <c r="CS493" s="86"/>
      <c r="CT493" s="86"/>
      <c r="CU493" s="86"/>
      <c r="CV493" s="86"/>
      <c r="CW493" s="86"/>
      <c r="CX493" s="86"/>
      <c r="CY493" s="86"/>
      <c r="CZ493" s="86"/>
      <c r="DA493" s="86"/>
      <c r="DB493" s="86"/>
      <c r="DC493" s="86"/>
      <c r="DD493" s="86"/>
      <c r="DE493" s="86"/>
      <c r="DF493" s="86"/>
      <c r="DG493" s="86"/>
      <c r="DH493" s="86"/>
      <c r="DI493" s="86"/>
      <c r="DJ493" s="86"/>
      <c r="DK493" s="86"/>
      <c r="DL493" s="86"/>
      <c r="DM493" s="86"/>
      <c r="DN493" s="86"/>
      <c r="DO493" s="86"/>
      <c r="DP493" s="86"/>
      <c r="DQ493" s="86"/>
      <c r="DR493" s="86"/>
      <c r="DS493" s="86"/>
      <c r="DT493" s="86"/>
      <c r="DU493" s="86"/>
      <c r="DV493" s="86"/>
      <c r="DW493" s="86"/>
      <c r="DX493" s="86"/>
      <c r="DY493" s="86"/>
      <c r="DZ493" s="86"/>
      <c r="EA493" s="86"/>
      <c r="EB493" s="86"/>
      <c r="EC493" s="86"/>
      <c r="ED493" s="86"/>
      <c r="EE493" s="86"/>
      <c r="EF493" s="86"/>
      <c r="EG493" s="86"/>
      <c r="EH493" s="86"/>
      <c r="EI493" s="86"/>
      <c r="EJ493" s="86"/>
      <c r="EK493" s="86"/>
      <c r="EL493" s="86"/>
      <c r="EM493" s="86"/>
      <c r="EN493" s="86"/>
      <c r="EO493" s="86"/>
      <c r="EP493" s="86"/>
      <c r="EQ493" s="86"/>
      <c r="ER493" s="86"/>
      <c r="ES493" s="86"/>
      <c r="ET493" s="86"/>
      <c r="EU493" s="86"/>
      <c r="EV493" s="86"/>
      <c r="EW493" s="86"/>
      <c r="EX493" s="86"/>
      <c r="EY493" s="86"/>
      <c r="EZ493" s="86"/>
      <c r="FA493" s="86"/>
    </row>
    <row r="494" spans="2:157" ht="9.75" customHeight="1">
      <c r="B494" s="182"/>
      <c r="C494" s="182"/>
      <c r="D494" s="182"/>
      <c r="E494" s="182"/>
      <c r="F494" s="182"/>
      <c r="G494" s="182"/>
      <c r="H494" s="182"/>
      <c r="J494" s="101"/>
      <c r="K494" s="101"/>
      <c r="L494" s="101"/>
      <c r="Z494" s="86"/>
      <c r="AA494" s="86"/>
      <c r="AB494" s="86"/>
      <c r="AC494" s="86"/>
      <c r="AD494" s="86"/>
      <c r="AE494" s="86"/>
      <c r="AF494" s="86"/>
      <c r="AG494" s="86"/>
      <c r="AH494" s="86"/>
      <c r="AI494" s="86"/>
      <c r="AJ494" s="86"/>
      <c r="AK494" s="86"/>
      <c r="AL494" s="86"/>
      <c r="AM494" s="86"/>
      <c r="AN494" s="86"/>
      <c r="AO494" s="86"/>
      <c r="AP494" s="86"/>
      <c r="AQ494" s="86"/>
      <c r="AR494" s="86"/>
      <c r="AS494" s="86"/>
      <c r="AT494" s="86"/>
      <c r="AU494" s="86"/>
      <c r="AV494" s="86"/>
      <c r="AW494" s="86"/>
      <c r="AX494" s="86"/>
      <c r="AY494" s="86"/>
      <c r="AZ494" s="86"/>
      <c r="BA494" s="86"/>
      <c r="BB494" s="86"/>
      <c r="BC494" s="86"/>
      <c r="BD494" s="86"/>
      <c r="BE494" s="86"/>
      <c r="BF494" s="86"/>
      <c r="BG494" s="86"/>
      <c r="BH494" s="86"/>
      <c r="BI494" s="86"/>
      <c r="BJ494" s="86"/>
      <c r="BK494" s="86"/>
      <c r="BL494" s="86"/>
      <c r="BM494" s="86"/>
      <c r="BN494" s="86"/>
      <c r="BO494" s="86"/>
      <c r="BP494" s="86"/>
      <c r="BQ494" s="86"/>
      <c r="BR494" s="86"/>
      <c r="BS494" s="86"/>
      <c r="BT494" s="86"/>
      <c r="BU494" s="86"/>
      <c r="BV494" s="86"/>
      <c r="BW494" s="86"/>
      <c r="BX494" s="86"/>
      <c r="BY494" s="86"/>
      <c r="BZ494" s="86"/>
      <c r="CA494" s="86"/>
      <c r="CB494" s="86"/>
      <c r="CC494" s="86"/>
      <c r="CD494" s="86"/>
      <c r="CE494" s="86"/>
      <c r="CF494" s="86"/>
      <c r="CG494" s="86"/>
      <c r="CH494" s="86"/>
      <c r="CI494" s="86"/>
      <c r="CJ494" s="86"/>
      <c r="CK494" s="86"/>
      <c r="CL494" s="86"/>
      <c r="CM494" s="86"/>
      <c r="CN494" s="86"/>
      <c r="CO494" s="86"/>
      <c r="CP494" s="86"/>
      <c r="CQ494" s="86"/>
      <c r="CR494" s="86"/>
      <c r="CS494" s="86"/>
      <c r="CT494" s="86"/>
      <c r="CU494" s="86"/>
      <c r="CV494" s="86"/>
      <c r="CW494" s="86"/>
      <c r="CX494" s="86"/>
      <c r="CY494" s="86"/>
      <c r="CZ494" s="86"/>
      <c r="DA494" s="86"/>
      <c r="DB494" s="86"/>
      <c r="DC494" s="86"/>
      <c r="DD494" s="86"/>
      <c r="DE494" s="86"/>
      <c r="DF494" s="86"/>
      <c r="DG494" s="86"/>
      <c r="DH494" s="86"/>
      <c r="DI494" s="86"/>
      <c r="DJ494" s="86"/>
      <c r="DK494" s="86"/>
      <c r="DL494" s="86"/>
      <c r="DM494" s="86"/>
      <c r="DN494" s="86"/>
      <c r="DO494" s="86"/>
      <c r="DP494" s="86"/>
      <c r="DQ494" s="86"/>
      <c r="DR494" s="86"/>
      <c r="DS494" s="86"/>
      <c r="DT494" s="86"/>
      <c r="DU494" s="86"/>
      <c r="DV494" s="86"/>
      <c r="DW494" s="86"/>
      <c r="DX494" s="86"/>
      <c r="DY494" s="86"/>
      <c r="DZ494" s="86"/>
      <c r="EA494" s="86"/>
      <c r="EB494" s="86"/>
      <c r="EC494" s="86"/>
      <c r="ED494" s="86"/>
      <c r="EE494" s="86"/>
      <c r="EF494" s="86"/>
      <c r="EG494" s="86"/>
      <c r="EH494" s="86"/>
      <c r="EI494" s="86"/>
      <c r="EJ494" s="86"/>
      <c r="EK494" s="86"/>
      <c r="EL494" s="86"/>
      <c r="EM494" s="86"/>
      <c r="EN494" s="86"/>
      <c r="EO494" s="86"/>
      <c r="EP494" s="86"/>
      <c r="EQ494" s="86"/>
      <c r="ER494" s="86"/>
      <c r="ES494" s="86"/>
      <c r="ET494" s="86"/>
      <c r="EU494" s="86"/>
      <c r="EV494" s="86"/>
      <c r="EW494" s="86"/>
      <c r="EX494" s="86"/>
      <c r="EY494" s="86"/>
      <c r="EZ494" s="86"/>
      <c r="FA494" s="86"/>
    </row>
    <row r="495" spans="2:157" ht="9.75" customHeight="1">
      <c r="B495" s="182"/>
      <c r="C495" s="182"/>
      <c r="D495" s="182"/>
      <c r="E495" s="182"/>
      <c r="F495" s="182"/>
      <c r="G495" s="182"/>
      <c r="H495" s="182"/>
      <c r="J495" s="101"/>
      <c r="K495" s="101"/>
      <c r="L495" s="101"/>
      <c r="Z495" s="86"/>
      <c r="AA495" s="86"/>
      <c r="AB495" s="86"/>
      <c r="AC495" s="86"/>
      <c r="AD495" s="86"/>
      <c r="AE495" s="86"/>
      <c r="AF495" s="86"/>
      <c r="AG495" s="86"/>
      <c r="AH495" s="86"/>
      <c r="AI495" s="86"/>
      <c r="AJ495" s="86"/>
      <c r="AK495" s="86"/>
      <c r="AL495" s="86"/>
      <c r="AM495" s="86"/>
      <c r="AN495" s="86"/>
      <c r="AO495" s="86"/>
      <c r="AP495" s="86"/>
      <c r="AQ495" s="86"/>
      <c r="AR495" s="86"/>
      <c r="AS495" s="86"/>
      <c r="AT495" s="86"/>
      <c r="AU495" s="86"/>
      <c r="AV495" s="86"/>
      <c r="AW495" s="86"/>
      <c r="AX495" s="86"/>
      <c r="AY495" s="86"/>
      <c r="AZ495" s="86"/>
      <c r="BA495" s="86"/>
      <c r="BB495" s="86"/>
      <c r="BC495" s="86"/>
      <c r="BD495" s="86"/>
      <c r="BE495" s="86"/>
      <c r="BF495" s="86"/>
      <c r="BG495" s="86"/>
      <c r="BH495" s="86"/>
      <c r="BI495" s="86"/>
      <c r="BJ495" s="86"/>
      <c r="BK495" s="86"/>
      <c r="BL495" s="86"/>
      <c r="BM495" s="86"/>
      <c r="BN495" s="86"/>
      <c r="BO495" s="86"/>
      <c r="BP495" s="86"/>
      <c r="BQ495" s="86"/>
      <c r="BR495" s="86"/>
      <c r="BS495" s="86"/>
      <c r="BT495" s="86"/>
      <c r="BU495" s="86"/>
      <c r="BV495" s="86"/>
      <c r="BW495" s="86"/>
      <c r="BX495" s="86"/>
      <c r="BY495" s="86"/>
      <c r="BZ495" s="86"/>
      <c r="CA495" s="86"/>
      <c r="CB495" s="86"/>
      <c r="CC495" s="86"/>
      <c r="CD495" s="86"/>
      <c r="CE495" s="86"/>
      <c r="CF495" s="86"/>
      <c r="CG495" s="86"/>
      <c r="CH495" s="86"/>
      <c r="CI495" s="86"/>
      <c r="CJ495" s="86"/>
      <c r="CK495" s="86"/>
      <c r="CL495" s="86"/>
      <c r="CM495" s="86"/>
      <c r="CN495" s="86"/>
      <c r="CO495" s="86"/>
      <c r="CP495" s="86"/>
      <c r="CQ495" s="86"/>
      <c r="CR495" s="86"/>
      <c r="CS495" s="86"/>
      <c r="CT495" s="86"/>
      <c r="CU495" s="86"/>
      <c r="CV495" s="86"/>
      <c r="CW495" s="86"/>
      <c r="CX495" s="86"/>
      <c r="CY495" s="86"/>
      <c r="CZ495" s="86"/>
      <c r="DA495" s="86"/>
      <c r="DB495" s="86"/>
      <c r="DC495" s="86"/>
      <c r="DD495" s="86"/>
      <c r="DE495" s="86"/>
      <c r="DF495" s="86"/>
      <c r="DG495" s="86"/>
      <c r="DH495" s="86"/>
      <c r="DI495" s="86"/>
      <c r="DJ495" s="86"/>
      <c r="DK495" s="86"/>
      <c r="DL495" s="86"/>
      <c r="DM495" s="86"/>
      <c r="DN495" s="86"/>
      <c r="DO495" s="86"/>
      <c r="DP495" s="86"/>
      <c r="DQ495" s="86"/>
      <c r="DR495" s="86"/>
      <c r="DS495" s="86"/>
      <c r="DT495" s="86"/>
      <c r="DU495" s="86"/>
      <c r="DV495" s="86"/>
      <c r="DW495" s="86"/>
      <c r="DX495" s="86"/>
      <c r="DY495" s="86"/>
      <c r="DZ495" s="86"/>
      <c r="EA495" s="86"/>
      <c r="EB495" s="86"/>
      <c r="EC495" s="86"/>
      <c r="ED495" s="86"/>
      <c r="EE495" s="86"/>
      <c r="EF495" s="86"/>
      <c r="EG495" s="86"/>
      <c r="EH495" s="86"/>
      <c r="EI495" s="86"/>
      <c r="EJ495" s="86"/>
      <c r="EK495" s="86"/>
      <c r="EL495" s="86"/>
      <c r="EM495" s="86"/>
      <c r="EN495" s="86"/>
      <c r="EO495" s="86"/>
      <c r="EP495" s="86"/>
      <c r="EQ495" s="86"/>
      <c r="ER495" s="86"/>
      <c r="ES495" s="86"/>
      <c r="ET495" s="86"/>
      <c r="EU495" s="86"/>
      <c r="EV495" s="86"/>
      <c r="EW495" s="86"/>
      <c r="EX495" s="86"/>
      <c r="EY495" s="86"/>
      <c r="EZ495" s="86"/>
      <c r="FA495" s="86"/>
    </row>
    <row r="496" spans="2:157" ht="9.75" customHeight="1">
      <c r="B496" s="182"/>
      <c r="C496" s="182"/>
      <c r="D496" s="182"/>
      <c r="E496" s="182"/>
      <c r="F496" s="182"/>
      <c r="G496" s="182"/>
      <c r="H496" s="182"/>
      <c r="J496" s="101"/>
      <c r="K496" s="101"/>
      <c r="L496" s="101"/>
      <c r="Z496" s="86"/>
      <c r="AA496" s="86"/>
      <c r="AB496" s="86"/>
      <c r="AC496" s="86"/>
      <c r="AD496" s="86"/>
      <c r="AE496" s="86"/>
      <c r="AF496" s="86"/>
      <c r="AG496" s="86"/>
      <c r="AH496" s="86"/>
      <c r="AI496" s="86"/>
      <c r="AJ496" s="86"/>
      <c r="AK496" s="86"/>
      <c r="AL496" s="86"/>
      <c r="AM496" s="86"/>
      <c r="AN496" s="86"/>
      <c r="AO496" s="86"/>
      <c r="AP496" s="86"/>
      <c r="AQ496" s="86"/>
      <c r="AR496" s="86"/>
      <c r="AS496" s="86"/>
      <c r="AT496" s="86"/>
      <c r="AU496" s="86"/>
      <c r="AV496" s="86"/>
      <c r="AW496" s="86"/>
      <c r="AX496" s="86"/>
      <c r="AY496" s="86"/>
      <c r="AZ496" s="86"/>
      <c r="BA496" s="86"/>
      <c r="BB496" s="86"/>
      <c r="BC496" s="86"/>
      <c r="BD496" s="86"/>
      <c r="BE496" s="86"/>
      <c r="BF496" s="86"/>
      <c r="BG496" s="86"/>
      <c r="BH496" s="86"/>
      <c r="BI496" s="86"/>
      <c r="BJ496" s="86"/>
      <c r="BK496" s="86"/>
      <c r="BL496" s="86"/>
      <c r="BM496" s="86"/>
      <c r="BN496" s="86"/>
      <c r="BO496" s="86"/>
      <c r="BP496" s="86"/>
      <c r="BQ496" s="86"/>
      <c r="BR496" s="86"/>
      <c r="BS496" s="86"/>
      <c r="BT496" s="86"/>
      <c r="BU496" s="86"/>
      <c r="BV496" s="86"/>
      <c r="BW496" s="86"/>
      <c r="BX496" s="86"/>
      <c r="BY496" s="86"/>
      <c r="BZ496" s="86"/>
      <c r="CA496" s="86"/>
      <c r="CB496" s="86"/>
      <c r="CC496" s="86"/>
      <c r="CD496" s="86"/>
      <c r="CE496" s="86"/>
      <c r="CF496" s="86"/>
      <c r="CG496" s="86"/>
      <c r="CH496" s="86"/>
      <c r="CI496" s="86"/>
      <c r="CJ496" s="86"/>
      <c r="CK496" s="86"/>
      <c r="CL496" s="86"/>
      <c r="CM496" s="86"/>
      <c r="CN496" s="86"/>
      <c r="CO496" s="86"/>
      <c r="CP496" s="86"/>
      <c r="CQ496" s="86"/>
      <c r="CR496" s="86"/>
      <c r="CS496" s="86"/>
      <c r="CT496" s="86"/>
      <c r="CU496" s="86"/>
      <c r="CV496" s="86"/>
      <c r="CW496" s="86"/>
      <c r="CX496" s="86"/>
      <c r="CY496" s="86"/>
      <c r="CZ496" s="86"/>
      <c r="DA496" s="86"/>
      <c r="DB496" s="86"/>
      <c r="DC496" s="86"/>
      <c r="DD496" s="86"/>
      <c r="DE496" s="86"/>
      <c r="DF496" s="86"/>
      <c r="DG496" s="86"/>
      <c r="DH496" s="86"/>
      <c r="DI496" s="86"/>
      <c r="DJ496" s="86"/>
      <c r="DK496" s="86"/>
      <c r="DL496" s="86"/>
      <c r="DM496" s="86"/>
      <c r="DN496" s="86"/>
      <c r="DO496" s="86"/>
      <c r="DP496" s="86"/>
      <c r="DQ496" s="86"/>
      <c r="DR496" s="86"/>
      <c r="DS496" s="86"/>
      <c r="DT496" s="86"/>
      <c r="DU496" s="86"/>
      <c r="DV496" s="86"/>
      <c r="DW496" s="86"/>
      <c r="DX496" s="86"/>
      <c r="DY496" s="86"/>
      <c r="DZ496" s="86"/>
      <c r="EA496" s="86"/>
      <c r="EB496" s="86"/>
      <c r="EC496" s="86"/>
      <c r="ED496" s="86"/>
      <c r="EE496" s="86"/>
      <c r="EF496" s="86"/>
      <c r="EG496" s="86"/>
      <c r="EH496" s="86"/>
      <c r="EI496" s="86"/>
      <c r="EJ496" s="86"/>
      <c r="EK496" s="86"/>
      <c r="EL496" s="86"/>
      <c r="EM496" s="86"/>
      <c r="EN496" s="86"/>
      <c r="EO496" s="86"/>
      <c r="EP496" s="86"/>
      <c r="EQ496" s="86"/>
      <c r="ER496" s="86"/>
      <c r="ES496" s="86"/>
      <c r="ET496" s="86"/>
      <c r="EU496" s="86"/>
      <c r="EV496" s="86"/>
      <c r="EW496" s="86"/>
      <c r="EX496" s="86"/>
      <c r="EY496" s="86"/>
      <c r="EZ496" s="86"/>
      <c r="FA496" s="86"/>
    </row>
    <row r="497" spans="2:157" ht="9.75" customHeight="1">
      <c r="B497" s="182"/>
      <c r="C497" s="182"/>
      <c r="D497" s="182"/>
      <c r="E497" s="182"/>
      <c r="F497" s="182"/>
      <c r="G497" s="182"/>
      <c r="H497" s="182"/>
      <c r="J497" s="101"/>
      <c r="K497" s="101"/>
      <c r="L497" s="101"/>
      <c r="Z497" s="86"/>
      <c r="AA497" s="86"/>
      <c r="AB497" s="86"/>
      <c r="AC497" s="86"/>
      <c r="AD497" s="86"/>
      <c r="AE497" s="86"/>
      <c r="AF497" s="86"/>
      <c r="AG497" s="86"/>
      <c r="AH497" s="86"/>
      <c r="AI497" s="86"/>
      <c r="AJ497" s="86"/>
      <c r="AK497" s="86"/>
      <c r="AL497" s="86"/>
      <c r="AM497" s="86"/>
      <c r="AN497" s="86"/>
      <c r="AO497" s="86"/>
      <c r="AP497" s="86"/>
      <c r="AQ497" s="86"/>
      <c r="AR497" s="86"/>
      <c r="AS497" s="86"/>
      <c r="AT497" s="86"/>
      <c r="AU497" s="86"/>
      <c r="AV497" s="86"/>
      <c r="AW497" s="86"/>
      <c r="AX497" s="86"/>
      <c r="AY497" s="86"/>
      <c r="AZ497" s="86"/>
      <c r="BA497" s="86"/>
      <c r="BB497" s="86"/>
      <c r="BC497" s="86"/>
      <c r="BD497" s="86"/>
      <c r="BE497" s="86"/>
      <c r="BF497" s="86"/>
      <c r="BG497" s="86"/>
      <c r="BH497" s="86"/>
      <c r="BI497" s="86"/>
      <c r="BJ497" s="86"/>
      <c r="BK497" s="86"/>
      <c r="BL497" s="86"/>
      <c r="BM497" s="86"/>
      <c r="BN497" s="86"/>
      <c r="BO497" s="86"/>
      <c r="BP497" s="86"/>
      <c r="BQ497" s="86"/>
      <c r="BR497" s="86"/>
      <c r="BS497" s="86"/>
      <c r="BT497" s="86"/>
      <c r="BU497" s="86"/>
      <c r="BV497" s="86"/>
      <c r="BW497" s="86"/>
      <c r="BX497" s="86"/>
      <c r="BY497" s="86"/>
      <c r="BZ497" s="86"/>
      <c r="CA497" s="86"/>
      <c r="CB497" s="86"/>
      <c r="CC497" s="86"/>
      <c r="CD497" s="86"/>
      <c r="CE497" s="86"/>
      <c r="CF497" s="86"/>
      <c r="CG497" s="86"/>
      <c r="CH497" s="86"/>
      <c r="CI497" s="86"/>
      <c r="CJ497" s="86"/>
      <c r="CK497" s="86"/>
      <c r="CL497" s="86"/>
      <c r="CM497" s="86"/>
      <c r="CN497" s="86"/>
      <c r="CO497" s="86"/>
      <c r="CP497" s="86"/>
      <c r="CQ497" s="86"/>
      <c r="CR497" s="86"/>
      <c r="CS497" s="86"/>
      <c r="CT497" s="86"/>
      <c r="CU497" s="86"/>
      <c r="CV497" s="86"/>
      <c r="CW497" s="86"/>
      <c r="CX497" s="86"/>
      <c r="CY497" s="86"/>
      <c r="CZ497" s="86"/>
      <c r="DA497" s="86"/>
      <c r="DB497" s="86"/>
      <c r="DC497" s="86"/>
      <c r="DD497" s="86"/>
      <c r="DE497" s="86"/>
      <c r="DF497" s="86"/>
      <c r="DG497" s="86"/>
      <c r="DH497" s="86"/>
      <c r="DI497" s="86"/>
      <c r="DJ497" s="86"/>
      <c r="DK497" s="86"/>
      <c r="DL497" s="86"/>
      <c r="DM497" s="86"/>
      <c r="DN497" s="86"/>
      <c r="DO497" s="86"/>
      <c r="DP497" s="86"/>
      <c r="DQ497" s="86"/>
      <c r="DR497" s="86"/>
      <c r="DS497" s="86"/>
      <c r="DT497" s="86"/>
      <c r="DU497" s="86"/>
      <c r="DV497" s="86"/>
      <c r="DW497" s="86"/>
      <c r="DX497" s="86"/>
      <c r="DY497" s="86"/>
      <c r="DZ497" s="86"/>
      <c r="EA497" s="86"/>
      <c r="EB497" s="86"/>
      <c r="EC497" s="86"/>
      <c r="ED497" s="86"/>
      <c r="EE497" s="86"/>
      <c r="EF497" s="86"/>
      <c r="EG497" s="86"/>
      <c r="EH497" s="86"/>
      <c r="EI497" s="86"/>
      <c r="EJ497" s="86"/>
      <c r="EK497" s="86"/>
      <c r="EL497" s="86"/>
      <c r="EM497" s="86"/>
      <c r="EN497" s="86"/>
      <c r="EO497" s="86"/>
      <c r="EP497" s="86"/>
      <c r="EQ497" s="86"/>
      <c r="ER497" s="86"/>
      <c r="ES497" s="86"/>
      <c r="ET497" s="86"/>
      <c r="EU497" s="86"/>
      <c r="EV497" s="86"/>
      <c r="EW497" s="86"/>
      <c r="EX497" s="86"/>
      <c r="EY497" s="86"/>
      <c r="EZ497" s="86"/>
      <c r="FA497" s="86"/>
    </row>
    <row r="498" spans="2:157" ht="9.75" customHeight="1">
      <c r="B498" s="182"/>
      <c r="C498" s="182"/>
      <c r="D498" s="182"/>
      <c r="E498" s="182"/>
      <c r="F498" s="182"/>
      <c r="G498" s="182"/>
      <c r="H498" s="182"/>
      <c r="J498" s="101"/>
      <c r="K498" s="101"/>
      <c r="L498" s="101"/>
      <c r="Z498" s="86"/>
      <c r="AA498" s="86"/>
      <c r="AB498" s="86"/>
      <c r="AC498" s="86"/>
      <c r="AD498" s="86"/>
      <c r="AE498" s="86"/>
      <c r="AF498" s="86"/>
      <c r="AG498" s="86"/>
      <c r="AH498" s="86"/>
      <c r="AI498" s="86"/>
      <c r="AJ498" s="86"/>
      <c r="AK498" s="86"/>
      <c r="AL498" s="86"/>
      <c r="AM498" s="86"/>
      <c r="AN498" s="86"/>
      <c r="AO498" s="86"/>
      <c r="AP498" s="86"/>
      <c r="AQ498" s="86"/>
      <c r="AR498" s="86"/>
      <c r="AS498" s="86"/>
      <c r="AT498" s="86"/>
      <c r="AU498" s="86"/>
      <c r="AV498" s="86"/>
      <c r="AW498" s="86"/>
      <c r="AX498" s="86"/>
      <c r="AY498" s="86"/>
      <c r="AZ498" s="86"/>
      <c r="BA498" s="86"/>
      <c r="BB498" s="86"/>
      <c r="BC498" s="86"/>
      <c r="BD498" s="86"/>
      <c r="BE498" s="86"/>
      <c r="BF498" s="86"/>
      <c r="BG498" s="86"/>
      <c r="BH498" s="86"/>
      <c r="BI498" s="86"/>
      <c r="BJ498" s="86"/>
      <c r="BK498" s="86"/>
      <c r="BL498" s="86"/>
      <c r="BM498" s="86"/>
      <c r="BN498" s="86"/>
      <c r="BO498" s="86"/>
      <c r="BP498" s="86"/>
      <c r="BQ498" s="86"/>
      <c r="BR498" s="86"/>
      <c r="BS498" s="86"/>
      <c r="BT498" s="86"/>
      <c r="BU498" s="86"/>
      <c r="BV498" s="86"/>
      <c r="BW498" s="86"/>
      <c r="BX498" s="86"/>
      <c r="BY498" s="86"/>
      <c r="BZ498" s="86"/>
      <c r="CA498" s="86"/>
      <c r="CB498" s="86"/>
      <c r="CC498" s="86"/>
      <c r="CD498" s="86"/>
      <c r="CE498" s="86"/>
      <c r="CF498" s="86"/>
      <c r="CG498" s="86"/>
      <c r="CH498" s="86"/>
      <c r="CI498" s="86"/>
      <c r="CJ498" s="86"/>
      <c r="CK498" s="86"/>
      <c r="CL498" s="86"/>
      <c r="CM498" s="86"/>
      <c r="CN498" s="86"/>
      <c r="CO498" s="86"/>
      <c r="CP498" s="86"/>
      <c r="CQ498" s="86"/>
      <c r="CR498" s="86"/>
      <c r="CS498" s="86"/>
      <c r="CT498" s="86"/>
      <c r="CU498" s="86"/>
      <c r="CV498" s="86"/>
      <c r="CW498" s="86"/>
      <c r="CX498" s="86"/>
      <c r="CY498" s="86"/>
      <c r="CZ498" s="86"/>
      <c r="DA498" s="86"/>
      <c r="DB498" s="86"/>
      <c r="DC498" s="86"/>
      <c r="DD498" s="86"/>
      <c r="DE498" s="86"/>
      <c r="DF498" s="86"/>
      <c r="DG498" s="86"/>
      <c r="DH498" s="86"/>
      <c r="DI498" s="86"/>
      <c r="DJ498" s="86"/>
      <c r="DK498" s="86"/>
      <c r="DL498" s="86"/>
      <c r="DM498" s="86"/>
      <c r="DN498" s="86"/>
      <c r="DO498" s="86"/>
      <c r="DP498" s="86"/>
      <c r="DQ498" s="86"/>
      <c r="DR498" s="86"/>
      <c r="DS498" s="86"/>
      <c r="DT498" s="86"/>
      <c r="DU498" s="86"/>
      <c r="DV498" s="86"/>
      <c r="DW498" s="86"/>
      <c r="DX498" s="86"/>
      <c r="DY498" s="86"/>
      <c r="DZ498" s="86"/>
      <c r="EA498" s="86"/>
      <c r="EB498" s="86"/>
      <c r="EC498" s="86"/>
      <c r="ED498" s="86"/>
      <c r="EE498" s="86"/>
      <c r="EF498" s="86"/>
      <c r="EG498" s="86"/>
      <c r="EH498" s="86"/>
      <c r="EI498" s="86"/>
      <c r="EJ498" s="86"/>
      <c r="EK498" s="86"/>
      <c r="EL498" s="86"/>
      <c r="EM498" s="86"/>
      <c r="EN498" s="86"/>
      <c r="EO498" s="86"/>
      <c r="EP498" s="86"/>
      <c r="EQ498" s="86"/>
      <c r="ER498" s="86"/>
      <c r="ES498" s="86"/>
      <c r="ET498" s="86"/>
      <c r="EU498" s="86"/>
      <c r="EV498" s="86"/>
      <c r="EW498" s="86"/>
      <c r="EX498" s="86"/>
      <c r="EY498" s="86"/>
      <c r="EZ498" s="86"/>
      <c r="FA498" s="86"/>
    </row>
    <row r="499" spans="2:157" ht="9.75" customHeight="1">
      <c r="B499" s="182"/>
      <c r="C499" s="182"/>
      <c r="D499" s="182"/>
      <c r="E499" s="182"/>
      <c r="F499" s="182"/>
      <c r="G499" s="182"/>
      <c r="H499" s="182"/>
      <c r="J499" s="101"/>
      <c r="K499" s="101"/>
      <c r="L499" s="101"/>
      <c r="Z499" s="86"/>
      <c r="AA499" s="86"/>
      <c r="AB499" s="86"/>
      <c r="AC499" s="86"/>
      <c r="AD499" s="86"/>
      <c r="AE499" s="86"/>
      <c r="AF499" s="86"/>
      <c r="AG499" s="86"/>
      <c r="AH499" s="86"/>
      <c r="AI499" s="86"/>
      <c r="AJ499" s="86"/>
      <c r="AK499" s="86"/>
      <c r="AL499" s="86"/>
      <c r="AM499" s="86"/>
      <c r="AN499" s="86"/>
      <c r="AO499" s="86"/>
      <c r="AP499" s="86"/>
      <c r="AQ499" s="86"/>
      <c r="AR499" s="86"/>
      <c r="AS499" s="86"/>
      <c r="AT499" s="86"/>
      <c r="AU499" s="86"/>
      <c r="AV499" s="86"/>
      <c r="AW499" s="86"/>
      <c r="AX499" s="86"/>
      <c r="AY499" s="86"/>
      <c r="AZ499" s="86"/>
      <c r="BA499" s="86"/>
      <c r="BB499" s="86"/>
      <c r="BC499" s="86"/>
      <c r="BD499" s="86"/>
      <c r="BE499" s="86"/>
      <c r="BF499" s="86"/>
      <c r="BG499" s="86"/>
      <c r="BH499" s="86"/>
      <c r="BI499" s="86"/>
      <c r="BJ499" s="86"/>
      <c r="BK499" s="86"/>
      <c r="BL499" s="86"/>
      <c r="BM499" s="86"/>
      <c r="BN499" s="86"/>
      <c r="BO499" s="86"/>
      <c r="BP499" s="86"/>
      <c r="BQ499" s="86"/>
      <c r="BR499" s="86"/>
      <c r="BS499" s="86"/>
      <c r="BT499" s="86"/>
      <c r="BU499" s="86"/>
      <c r="BV499" s="86"/>
      <c r="BW499" s="86"/>
      <c r="BX499" s="86"/>
      <c r="BY499" s="86"/>
      <c r="BZ499" s="86"/>
      <c r="CA499" s="86"/>
      <c r="CB499" s="86"/>
      <c r="CC499" s="86"/>
      <c r="CD499" s="86"/>
      <c r="CE499" s="86"/>
      <c r="CF499" s="86"/>
      <c r="CG499" s="86"/>
      <c r="CH499" s="86"/>
      <c r="CI499" s="86"/>
      <c r="CJ499" s="86"/>
      <c r="CK499" s="86"/>
      <c r="CL499" s="86"/>
      <c r="CM499" s="86"/>
      <c r="CN499" s="86"/>
      <c r="CO499" s="86"/>
      <c r="CP499" s="86"/>
      <c r="CQ499" s="86"/>
      <c r="CR499" s="86"/>
      <c r="CS499" s="86"/>
      <c r="CT499" s="86"/>
      <c r="CU499" s="86"/>
      <c r="CV499" s="86"/>
      <c r="CW499" s="86"/>
      <c r="CX499" s="86"/>
      <c r="CY499" s="86"/>
      <c r="CZ499" s="86"/>
      <c r="DA499" s="86"/>
      <c r="DB499" s="86"/>
      <c r="DC499" s="86"/>
      <c r="DD499" s="86"/>
      <c r="DE499" s="86"/>
      <c r="DF499" s="86"/>
      <c r="DG499" s="86"/>
      <c r="DH499" s="86"/>
      <c r="DI499" s="86"/>
      <c r="DJ499" s="86"/>
      <c r="DK499" s="86"/>
      <c r="DL499" s="86"/>
      <c r="DM499" s="86"/>
      <c r="DN499" s="86"/>
      <c r="DO499" s="86"/>
      <c r="DP499" s="86"/>
      <c r="DQ499" s="86"/>
      <c r="DR499" s="86"/>
      <c r="DS499" s="86"/>
      <c r="DT499" s="86"/>
      <c r="DU499" s="86"/>
      <c r="DV499" s="86"/>
      <c r="DW499" s="86"/>
      <c r="DX499" s="86"/>
      <c r="DY499" s="86"/>
      <c r="DZ499" s="86"/>
      <c r="EA499" s="86"/>
      <c r="EB499" s="86"/>
      <c r="EC499" s="86"/>
      <c r="ED499" s="86"/>
      <c r="EE499" s="86"/>
      <c r="EF499" s="86"/>
      <c r="EG499" s="86"/>
      <c r="EH499" s="86"/>
      <c r="EI499" s="86"/>
      <c r="EJ499" s="86"/>
      <c r="EK499" s="86"/>
      <c r="EL499" s="86"/>
      <c r="EM499" s="86"/>
      <c r="EN499" s="86"/>
      <c r="EO499" s="86"/>
      <c r="EP499" s="86"/>
      <c r="EQ499" s="86"/>
      <c r="ER499" s="86"/>
      <c r="ES499" s="86"/>
      <c r="ET499" s="86"/>
      <c r="EU499" s="86"/>
      <c r="EV499" s="86"/>
      <c r="EW499" s="86"/>
      <c r="EX499" s="86"/>
      <c r="EY499" s="86"/>
      <c r="EZ499" s="86"/>
      <c r="FA499" s="86"/>
    </row>
    <row r="500" spans="2:157" ht="9.75" customHeight="1">
      <c r="B500" s="182"/>
      <c r="C500" s="182"/>
      <c r="D500" s="182"/>
      <c r="E500" s="182"/>
      <c r="F500" s="182"/>
      <c r="G500" s="182"/>
      <c r="H500" s="182"/>
      <c r="J500" s="101"/>
      <c r="K500" s="101"/>
      <c r="L500" s="101"/>
      <c r="Z500" s="86"/>
      <c r="AA500" s="86"/>
      <c r="AB500" s="86"/>
      <c r="AC500" s="86"/>
      <c r="AD500" s="86"/>
      <c r="AE500" s="86"/>
      <c r="AF500" s="86"/>
      <c r="AG500" s="86"/>
      <c r="AH500" s="86"/>
      <c r="AI500" s="86"/>
      <c r="AJ500" s="86"/>
      <c r="AK500" s="86"/>
      <c r="AL500" s="86"/>
      <c r="AM500" s="86"/>
      <c r="AN500" s="86"/>
      <c r="AO500" s="86"/>
      <c r="AP500" s="86"/>
      <c r="AQ500" s="86"/>
      <c r="AR500" s="86"/>
      <c r="AS500" s="86"/>
      <c r="AT500" s="86"/>
      <c r="AU500" s="86"/>
      <c r="AV500" s="86"/>
      <c r="AW500" s="86"/>
      <c r="AX500" s="86"/>
      <c r="AY500" s="86"/>
      <c r="AZ500" s="86"/>
      <c r="BA500" s="86"/>
      <c r="BB500" s="86"/>
      <c r="BC500" s="86"/>
      <c r="BD500" s="86"/>
      <c r="BE500" s="86"/>
      <c r="BF500" s="86"/>
      <c r="BG500" s="86"/>
      <c r="BH500" s="86"/>
      <c r="BI500" s="86"/>
      <c r="BJ500" s="86"/>
      <c r="BK500" s="86"/>
      <c r="BL500" s="86"/>
      <c r="BM500" s="86"/>
      <c r="BN500" s="86"/>
      <c r="BO500" s="86"/>
      <c r="BP500" s="86"/>
      <c r="BQ500" s="86"/>
      <c r="BR500" s="86"/>
      <c r="BS500" s="86"/>
      <c r="BT500" s="86"/>
      <c r="BU500" s="86"/>
      <c r="BV500" s="86"/>
      <c r="BW500" s="86"/>
      <c r="BX500" s="86"/>
      <c r="BY500" s="86"/>
      <c r="BZ500" s="86"/>
      <c r="CA500" s="86"/>
      <c r="CB500" s="86"/>
      <c r="CC500" s="86"/>
      <c r="CD500" s="86"/>
      <c r="CE500" s="86"/>
      <c r="CF500" s="86"/>
      <c r="CG500" s="86"/>
      <c r="CH500" s="86"/>
      <c r="CI500" s="86"/>
      <c r="CJ500" s="86"/>
      <c r="CK500" s="86"/>
      <c r="CL500" s="86"/>
      <c r="CM500" s="86"/>
      <c r="CN500" s="86"/>
      <c r="CO500" s="86"/>
      <c r="CP500" s="86"/>
      <c r="CQ500" s="86"/>
      <c r="CR500" s="86"/>
      <c r="CS500" s="86"/>
      <c r="CT500" s="86"/>
      <c r="CU500" s="86"/>
      <c r="CV500" s="86"/>
      <c r="CW500" s="86"/>
      <c r="CX500" s="86"/>
      <c r="CY500" s="86"/>
      <c r="CZ500" s="86"/>
      <c r="DA500" s="86"/>
      <c r="DB500" s="86"/>
      <c r="DC500" s="86"/>
      <c r="DD500" s="86"/>
      <c r="DE500" s="86"/>
      <c r="DF500" s="86"/>
      <c r="DG500" s="86"/>
      <c r="DH500" s="86"/>
      <c r="DI500" s="86"/>
      <c r="DJ500" s="86"/>
      <c r="DK500" s="86"/>
      <c r="DL500" s="86"/>
      <c r="DM500" s="86"/>
      <c r="DN500" s="86"/>
      <c r="DO500" s="86"/>
      <c r="DP500" s="86"/>
      <c r="DQ500" s="86"/>
      <c r="DR500" s="86"/>
      <c r="DS500" s="86"/>
      <c r="DT500" s="86"/>
      <c r="DU500" s="86"/>
      <c r="DV500" s="86"/>
      <c r="DW500" s="86"/>
      <c r="DX500" s="86"/>
      <c r="DY500" s="86"/>
      <c r="DZ500" s="86"/>
      <c r="EA500" s="86"/>
      <c r="EB500" s="86"/>
      <c r="EC500" s="86"/>
      <c r="ED500" s="86"/>
      <c r="EE500" s="86"/>
      <c r="EF500" s="86"/>
      <c r="EG500" s="86"/>
      <c r="EH500" s="86"/>
      <c r="EI500" s="86"/>
      <c r="EJ500" s="86"/>
      <c r="EK500" s="86"/>
      <c r="EL500" s="86"/>
      <c r="EM500" s="86"/>
      <c r="EN500" s="86"/>
      <c r="EO500" s="86"/>
      <c r="EP500" s="86"/>
      <c r="EQ500" s="86"/>
      <c r="ER500" s="86"/>
      <c r="ES500" s="86"/>
      <c r="ET500" s="86"/>
      <c r="EU500" s="86"/>
      <c r="EV500" s="86"/>
      <c r="EW500" s="86"/>
      <c r="EX500" s="86"/>
      <c r="EY500" s="86"/>
      <c r="EZ500" s="86"/>
      <c r="FA500" s="86"/>
    </row>
    <row r="501" spans="2:157" ht="9.75" customHeight="1">
      <c r="B501" s="182"/>
      <c r="C501" s="182"/>
      <c r="D501" s="182"/>
      <c r="E501" s="182"/>
      <c r="F501" s="182"/>
      <c r="G501" s="182"/>
      <c r="H501" s="182"/>
      <c r="J501" s="101"/>
      <c r="K501" s="101"/>
      <c r="L501" s="101"/>
      <c r="Z501" s="86"/>
      <c r="AA501" s="86"/>
      <c r="AB501" s="86"/>
      <c r="AC501" s="86"/>
      <c r="AD501" s="86"/>
      <c r="AE501" s="86"/>
      <c r="AF501" s="86"/>
      <c r="AG501" s="86"/>
      <c r="AH501" s="86"/>
      <c r="AI501" s="86"/>
      <c r="AJ501" s="86"/>
      <c r="AK501" s="86"/>
      <c r="AL501" s="86"/>
      <c r="AM501" s="86"/>
      <c r="AN501" s="86"/>
      <c r="AO501" s="86"/>
      <c r="AP501" s="86"/>
      <c r="AQ501" s="86"/>
      <c r="AR501" s="86"/>
      <c r="AS501" s="86"/>
      <c r="AT501" s="86"/>
      <c r="AU501" s="86"/>
      <c r="AV501" s="86"/>
      <c r="AW501" s="86"/>
      <c r="AX501" s="86"/>
      <c r="AY501" s="86"/>
      <c r="AZ501" s="86"/>
      <c r="BA501" s="86"/>
      <c r="BB501" s="86"/>
      <c r="BC501" s="86"/>
      <c r="BD501" s="86"/>
      <c r="BE501" s="86"/>
      <c r="BF501" s="86"/>
      <c r="BG501" s="86"/>
      <c r="BH501" s="86"/>
      <c r="BI501" s="86"/>
      <c r="BJ501" s="86"/>
      <c r="BK501" s="86"/>
      <c r="BL501" s="86"/>
      <c r="BM501" s="86"/>
      <c r="BN501" s="86"/>
      <c r="BO501" s="86"/>
      <c r="BP501" s="86"/>
      <c r="BQ501" s="86"/>
      <c r="BR501" s="86"/>
      <c r="BS501" s="86"/>
      <c r="BT501" s="86"/>
      <c r="BU501" s="86"/>
      <c r="BV501" s="86"/>
      <c r="BW501" s="86"/>
      <c r="BX501" s="86"/>
      <c r="BY501" s="86"/>
      <c r="BZ501" s="86"/>
      <c r="CA501" s="86"/>
      <c r="CB501" s="86"/>
      <c r="CC501" s="86"/>
      <c r="CD501" s="86"/>
      <c r="CE501" s="86"/>
      <c r="CF501" s="86"/>
      <c r="CG501" s="86"/>
      <c r="CH501" s="86"/>
      <c r="CI501" s="86"/>
      <c r="CJ501" s="86"/>
      <c r="CK501" s="86"/>
      <c r="CL501" s="86"/>
      <c r="CM501" s="86"/>
      <c r="CN501" s="86"/>
      <c r="CO501" s="86"/>
      <c r="CP501" s="86"/>
      <c r="CQ501" s="86"/>
      <c r="CR501" s="86"/>
      <c r="CS501" s="86"/>
      <c r="CT501" s="86"/>
      <c r="CU501" s="86"/>
      <c r="CV501" s="86"/>
      <c r="CW501" s="86"/>
      <c r="CX501" s="86"/>
      <c r="CY501" s="86"/>
      <c r="CZ501" s="86"/>
      <c r="DA501" s="86"/>
      <c r="DB501" s="86"/>
      <c r="DC501" s="86"/>
      <c r="DD501" s="86"/>
      <c r="DE501" s="86"/>
      <c r="DF501" s="86"/>
      <c r="DG501" s="86"/>
      <c r="DH501" s="86"/>
      <c r="DI501" s="86"/>
      <c r="DJ501" s="86"/>
      <c r="DK501" s="86"/>
      <c r="DL501" s="86"/>
      <c r="DM501" s="86"/>
      <c r="DN501" s="86"/>
      <c r="DO501" s="86"/>
      <c r="DP501" s="86"/>
      <c r="DQ501" s="86"/>
      <c r="DR501" s="86"/>
      <c r="DS501" s="86"/>
      <c r="DT501" s="86"/>
      <c r="DU501" s="86"/>
      <c r="DV501" s="86"/>
      <c r="DW501" s="86"/>
      <c r="DX501" s="86"/>
      <c r="DY501" s="86"/>
      <c r="DZ501" s="86"/>
      <c r="EA501" s="86"/>
      <c r="EB501" s="86"/>
      <c r="EC501" s="86"/>
      <c r="ED501" s="86"/>
      <c r="EE501" s="86"/>
      <c r="EF501" s="86"/>
      <c r="EG501" s="86"/>
      <c r="EH501" s="86"/>
      <c r="EI501" s="86"/>
      <c r="EJ501" s="86"/>
      <c r="EK501" s="86"/>
      <c r="EL501" s="86"/>
      <c r="EM501" s="86"/>
      <c r="EN501" s="86"/>
      <c r="EO501" s="86"/>
      <c r="EP501" s="86"/>
      <c r="EQ501" s="86"/>
      <c r="ER501" s="86"/>
      <c r="ES501" s="86"/>
      <c r="ET501" s="86"/>
      <c r="EU501" s="86"/>
      <c r="EV501" s="86"/>
      <c r="EW501" s="86"/>
      <c r="EX501" s="86"/>
      <c r="EY501" s="86"/>
      <c r="EZ501" s="86"/>
      <c r="FA501" s="86"/>
    </row>
    <row r="502" spans="2:157" ht="9.75" customHeight="1">
      <c r="B502" s="182"/>
      <c r="C502" s="182"/>
      <c r="D502" s="182"/>
      <c r="E502" s="182"/>
      <c r="F502" s="182"/>
      <c r="G502" s="182"/>
      <c r="H502" s="182"/>
      <c r="J502" s="101"/>
      <c r="K502" s="101"/>
      <c r="L502" s="101"/>
      <c r="Z502" s="86"/>
      <c r="AA502" s="86"/>
      <c r="AB502" s="86"/>
      <c r="AC502" s="86"/>
      <c r="AD502" s="86"/>
      <c r="AE502" s="86"/>
      <c r="AF502" s="86"/>
      <c r="AG502" s="86"/>
      <c r="AH502" s="86"/>
      <c r="AI502" s="86"/>
      <c r="AJ502" s="86"/>
      <c r="AK502" s="86"/>
      <c r="AL502" s="86"/>
      <c r="AM502" s="86"/>
      <c r="AN502" s="86"/>
      <c r="AO502" s="86"/>
      <c r="AP502" s="86"/>
      <c r="AQ502" s="86"/>
      <c r="AR502" s="86"/>
      <c r="AS502" s="86"/>
      <c r="AT502" s="86"/>
      <c r="AU502" s="86"/>
      <c r="AV502" s="86"/>
      <c r="AW502" s="86"/>
      <c r="AX502" s="86"/>
      <c r="AY502" s="86"/>
      <c r="AZ502" s="86"/>
      <c r="BA502" s="86"/>
      <c r="BB502" s="86"/>
      <c r="BC502" s="86"/>
      <c r="BD502" s="86"/>
      <c r="BE502" s="86"/>
      <c r="BF502" s="86"/>
      <c r="BG502" s="86"/>
      <c r="BH502" s="86"/>
      <c r="BI502" s="86"/>
      <c r="BJ502" s="86"/>
      <c r="BK502" s="86"/>
      <c r="BL502" s="86"/>
      <c r="BM502" s="86"/>
      <c r="BN502" s="86"/>
      <c r="BO502" s="86"/>
      <c r="BP502" s="86"/>
      <c r="BQ502" s="86"/>
      <c r="BR502" s="86"/>
      <c r="BS502" s="86"/>
      <c r="BT502" s="86"/>
      <c r="BU502" s="86"/>
      <c r="BV502" s="86"/>
      <c r="BW502" s="86"/>
      <c r="BX502" s="86"/>
      <c r="BY502" s="86"/>
      <c r="BZ502" s="86"/>
      <c r="CA502" s="86"/>
      <c r="CB502" s="86"/>
      <c r="CC502" s="86"/>
      <c r="CD502" s="86"/>
      <c r="CE502" s="86"/>
      <c r="CF502" s="86"/>
      <c r="CG502" s="86"/>
      <c r="CH502" s="86"/>
      <c r="CI502" s="86"/>
      <c r="CJ502" s="86"/>
      <c r="CK502" s="86"/>
      <c r="CL502" s="86"/>
      <c r="CM502" s="86"/>
      <c r="CN502" s="86"/>
      <c r="CO502" s="86"/>
      <c r="CP502" s="86"/>
      <c r="CQ502" s="86"/>
      <c r="CR502" s="86"/>
      <c r="CS502" s="86"/>
      <c r="CT502" s="86"/>
      <c r="CU502" s="86"/>
      <c r="CV502" s="86"/>
      <c r="CW502" s="86"/>
      <c r="CX502" s="86"/>
      <c r="CY502" s="86"/>
      <c r="CZ502" s="86"/>
      <c r="DA502" s="86"/>
      <c r="DB502" s="86"/>
      <c r="DC502" s="86"/>
      <c r="DD502" s="86"/>
      <c r="DE502" s="86"/>
      <c r="DF502" s="86"/>
      <c r="DG502" s="86"/>
      <c r="DH502" s="86"/>
      <c r="DI502" s="86"/>
      <c r="DJ502" s="86"/>
      <c r="DK502" s="86"/>
      <c r="DL502" s="86"/>
      <c r="DM502" s="86"/>
      <c r="DN502" s="86"/>
      <c r="DO502" s="86"/>
      <c r="DP502" s="86"/>
      <c r="DQ502" s="86"/>
      <c r="DR502" s="86"/>
      <c r="DS502" s="86"/>
      <c r="DT502" s="86"/>
      <c r="DU502" s="86"/>
      <c r="DV502" s="86"/>
      <c r="DW502" s="86"/>
      <c r="DX502" s="86"/>
      <c r="DY502" s="86"/>
      <c r="DZ502" s="86"/>
      <c r="EA502" s="86"/>
      <c r="EB502" s="86"/>
      <c r="EC502" s="86"/>
      <c r="ED502" s="86"/>
      <c r="EE502" s="86"/>
      <c r="EF502" s="86"/>
      <c r="EG502" s="86"/>
      <c r="EH502" s="86"/>
      <c r="EI502" s="86"/>
      <c r="EJ502" s="86"/>
      <c r="EK502" s="86"/>
      <c r="EL502" s="86"/>
      <c r="EM502" s="86"/>
      <c r="EN502" s="86"/>
      <c r="EO502" s="86"/>
      <c r="EP502" s="86"/>
      <c r="EQ502" s="86"/>
      <c r="ER502" s="86"/>
      <c r="ES502" s="86"/>
      <c r="ET502" s="86"/>
      <c r="EU502" s="86"/>
      <c r="EV502" s="86"/>
      <c r="EW502" s="86"/>
      <c r="EX502" s="86"/>
      <c r="EY502" s="86"/>
      <c r="EZ502" s="86"/>
      <c r="FA502" s="86"/>
    </row>
    <row r="503" spans="2:157" ht="9.75" customHeight="1">
      <c r="B503" s="182"/>
      <c r="C503" s="182"/>
      <c r="D503" s="182"/>
      <c r="E503" s="182"/>
      <c r="F503" s="182"/>
      <c r="G503" s="182"/>
      <c r="H503" s="182"/>
      <c r="J503" s="101"/>
      <c r="K503" s="101"/>
      <c r="L503" s="101"/>
      <c r="Z503" s="86"/>
      <c r="AA503" s="86"/>
      <c r="AB503" s="86"/>
      <c r="AC503" s="86"/>
      <c r="AD503" s="86"/>
      <c r="AE503" s="86"/>
      <c r="AF503" s="86"/>
      <c r="AG503" s="86"/>
      <c r="AH503" s="86"/>
      <c r="AI503" s="86"/>
      <c r="AJ503" s="86"/>
      <c r="AK503" s="86"/>
      <c r="AL503" s="86"/>
      <c r="AM503" s="86"/>
      <c r="AN503" s="86"/>
      <c r="AO503" s="86"/>
      <c r="AP503" s="86"/>
      <c r="AQ503" s="86"/>
      <c r="AR503" s="86"/>
      <c r="AS503" s="86"/>
      <c r="AT503" s="86"/>
      <c r="AU503" s="86"/>
      <c r="AV503" s="86"/>
      <c r="AW503" s="86"/>
      <c r="AX503" s="86"/>
      <c r="AY503" s="86"/>
      <c r="AZ503" s="86"/>
      <c r="BA503" s="86"/>
      <c r="BB503" s="86"/>
      <c r="BC503" s="86"/>
      <c r="BD503" s="86"/>
      <c r="BE503" s="86"/>
      <c r="BF503" s="86"/>
      <c r="BG503" s="86"/>
      <c r="BH503" s="86"/>
      <c r="BI503" s="86"/>
      <c r="BJ503" s="86"/>
      <c r="BK503" s="86"/>
      <c r="BL503" s="86"/>
      <c r="BM503" s="86"/>
      <c r="BN503" s="86"/>
      <c r="BO503" s="86"/>
      <c r="BP503" s="86"/>
      <c r="BQ503" s="86"/>
      <c r="BR503" s="86"/>
      <c r="BS503" s="86"/>
      <c r="BT503" s="86"/>
      <c r="BU503" s="86"/>
      <c r="BV503" s="86"/>
      <c r="BW503" s="86"/>
      <c r="BX503" s="86"/>
      <c r="BY503" s="86"/>
      <c r="BZ503" s="86"/>
      <c r="CA503" s="86"/>
      <c r="CB503" s="86"/>
      <c r="CC503" s="86"/>
      <c r="CD503" s="86"/>
      <c r="CE503" s="86"/>
      <c r="CF503" s="86"/>
      <c r="CG503" s="86"/>
      <c r="CH503" s="86"/>
      <c r="CI503" s="86"/>
      <c r="CJ503" s="86"/>
      <c r="CK503" s="86"/>
      <c r="CL503" s="86"/>
      <c r="CM503" s="86"/>
      <c r="CN503" s="86"/>
      <c r="CO503" s="86"/>
      <c r="CP503" s="86"/>
      <c r="CQ503" s="86"/>
      <c r="CR503" s="86"/>
      <c r="CS503" s="86"/>
      <c r="CT503" s="86"/>
      <c r="CU503" s="86"/>
      <c r="CV503" s="86"/>
      <c r="CW503" s="86"/>
      <c r="CX503" s="86"/>
      <c r="CY503" s="86"/>
      <c r="CZ503" s="86"/>
      <c r="DA503" s="86"/>
      <c r="DB503" s="86"/>
      <c r="DC503" s="86"/>
      <c r="DD503" s="86"/>
      <c r="DE503" s="86"/>
      <c r="DF503" s="86"/>
      <c r="DG503" s="86"/>
      <c r="DH503" s="86"/>
      <c r="DI503" s="86"/>
      <c r="DJ503" s="86"/>
      <c r="DK503" s="86"/>
      <c r="DL503" s="86"/>
      <c r="DM503" s="86"/>
      <c r="DN503" s="86"/>
      <c r="DO503" s="86"/>
      <c r="DP503" s="86"/>
      <c r="DQ503" s="86"/>
      <c r="DR503" s="86"/>
      <c r="DS503" s="86"/>
      <c r="DT503" s="86"/>
      <c r="DU503" s="86"/>
      <c r="DV503" s="86"/>
      <c r="DW503" s="86"/>
      <c r="DX503" s="86"/>
      <c r="DY503" s="86"/>
      <c r="DZ503" s="86"/>
      <c r="EA503" s="86"/>
      <c r="EB503" s="86"/>
      <c r="EC503" s="86"/>
      <c r="ED503" s="86"/>
      <c r="EE503" s="86"/>
      <c r="EF503" s="86"/>
      <c r="EG503" s="86"/>
      <c r="EH503" s="86"/>
      <c r="EI503" s="86"/>
      <c r="EJ503" s="86"/>
      <c r="EK503" s="86"/>
      <c r="EL503" s="86"/>
      <c r="EM503" s="86"/>
      <c r="EN503" s="86"/>
      <c r="EO503" s="86"/>
      <c r="EP503" s="86"/>
      <c r="EQ503" s="86"/>
      <c r="ER503" s="86"/>
      <c r="ES503" s="86"/>
      <c r="ET503" s="86"/>
      <c r="EU503" s="86"/>
      <c r="EV503" s="86"/>
      <c r="EW503" s="86"/>
      <c r="EX503" s="86"/>
      <c r="EY503" s="86"/>
      <c r="EZ503" s="86"/>
      <c r="FA503" s="86"/>
    </row>
    <row r="504" spans="2:157" ht="9.75" customHeight="1">
      <c r="B504" s="182"/>
      <c r="C504" s="182"/>
      <c r="D504" s="182"/>
      <c r="E504" s="182"/>
      <c r="F504" s="182"/>
      <c r="G504" s="182"/>
      <c r="H504" s="182"/>
      <c r="J504" s="101"/>
      <c r="K504" s="101"/>
      <c r="L504" s="101"/>
      <c r="Z504" s="86"/>
      <c r="AA504" s="86"/>
      <c r="AB504" s="86"/>
      <c r="AC504" s="86"/>
      <c r="AD504" s="86"/>
      <c r="AE504" s="86"/>
      <c r="AF504" s="86"/>
      <c r="AG504" s="86"/>
      <c r="AH504" s="86"/>
      <c r="AI504" s="86"/>
      <c r="AJ504" s="86"/>
      <c r="AK504" s="86"/>
      <c r="AL504" s="86"/>
      <c r="AM504" s="86"/>
      <c r="AN504" s="86"/>
      <c r="AO504" s="86"/>
      <c r="AP504" s="86"/>
      <c r="AQ504" s="86"/>
      <c r="AR504" s="86"/>
      <c r="AS504" s="86"/>
      <c r="AT504" s="86"/>
      <c r="AU504" s="86"/>
      <c r="AV504" s="86"/>
      <c r="AW504" s="86"/>
      <c r="AX504" s="86"/>
      <c r="AY504" s="86"/>
      <c r="AZ504" s="86"/>
      <c r="BA504" s="86"/>
      <c r="BB504" s="86"/>
      <c r="BC504" s="86"/>
      <c r="BD504" s="86"/>
      <c r="BE504" s="86"/>
      <c r="BF504" s="86"/>
      <c r="BG504" s="86"/>
      <c r="BH504" s="86"/>
      <c r="BI504" s="86"/>
      <c r="BJ504" s="86"/>
      <c r="BK504" s="86"/>
      <c r="BL504" s="86"/>
      <c r="BM504" s="86"/>
      <c r="BN504" s="86"/>
      <c r="BO504" s="86"/>
      <c r="BP504" s="86"/>
      <c r="BQ504" s="86"/>
      <c r="BR504" s="86"/>
      <c r="BS504" s="86"/>
      <c r="BT504" s="86"/>
      <c r="BU504" s="86"/>
      <c r="BV504" s="86"/>
      <c r="BW504" s="86"/>
      <c r="BX504" s="86"/>
      <c r="BY504" s="86"/>
      <c r="BZ504" s="86"/>
      <c r="CA504" s="86"/>
      <c r="CB504" s="86"/>
      <c r="CC504" s="86"/>
      <c r="CD504" s="86"/>
      <c r="CE504" s="86"/>
      <c r="CF504" s="86"/>
      <c r="CG504" s="86"/>
      <c r="CH504" s="86"/>
      <c r="CI504" s="86"/>
      <c r="CJ504" s="86"/>
      <c r="CK504" s="86"/>
      <c r="CL504" s="86"/>
      <c r="CM504" s="86"/>
      <c r="CN504" s="86"/>
      <c r="CO504" s="86"/>
      <c r="CP504" s="86"/>
      <c r="CQ504" s="86"/>
      <c r="CR504" s="86"/>
      <c r="CS504" s="86"/>
      <c r="CT504" s="86"/>
      <c r="CU504" s="86"/>
      <c r="CV504" s="86"/>
      <c r="CW504" s="86"/>
      <c r="CX504" s="86"/>
      <c r="CY504" s="86"/>
      <c r="CZ504" s="86"/>
      <c r="DA504" s="86"/>
      <c r="DB504" s="86"/>
      <c r="DC504" s="86"/>
      <c r="DD504" s="86"/>
      <c r="DE504" s="86"/>
      <c r="DF504" s="86"/>
      <c r="DG504" s="86"/>
      <c r="DH504" s="86"/>
      <c r="DI504" s="86"/>
      <c r="DJ504" s="86"/>
      <c r="DK504" s="86"/>
      <c r="DL504" s="86"/>
      <c r="DM504" s="86"/>
      <c r="DN504" s="86"/>
      <c r="DO504" s="86"/>
      <c r="DP504" s="86"/>
      <c r="DQ504" s="86"/>
      <c r="DR504" s="86"/>
      <c r="DS504" s="86"/>
      <c r="DT504" s="86"/>
      <c r="DU504" s="86"/>
      <c r="DV504" s="86"/>
      <c r="DW504" s="86"/>
      <c r="DX504" s="86"/>
      <c r="DY504" s="86"/>
      <c r="DZ504" s="86"/>
      <c r="EA504" s="86"/>
      <c r="EB504" s="86"/>
      <c r="EC504" s="86"/>
      <c r="ED504" s="86"/>
      <c r="EE504" s="86"/>
      <c r="EF504" s="86"/>
      <c r="EG504" s="86"/>
      <c r="EH504" s="86"/>
      <c r="EI504" s="86"/>
      <c r="EJ504" s="86"/>
      <c r="EK504" s="86"/>
      <c r="EL504" s="86"/>
      <c r="EM504" s="86"/>
      <c r="EN504" s="86"/>
      <c r="EO504" s="86"/>
      <c r="EP504" s="86"/>
      <c r="EQ504" s="86"/>
      <c r="ER504" s="86"/>
      <c r="ES504" s="86"/>
      <c r="ET504" s="86"/>
      <c r="EU504" s="86"/>
      <c r="EV504" s="86"/>
      <c r="EW504" s="86"/>
      <c r="EX504" s="86"/>
      <c r="EY504" s="86"/>
      <c r="EZ504" s="86"/>
      <c r="FA504" s="86"/>
    </row>
    <row r="505" spans="2:157" ht="9.75" customHeight="1">
      <c r="B505" s="182"/>
      <c r="C505" s="182"/>
      <c r="D505" s="182"/>
      <c r="E505" s="182"/>
      <c r="F505" s="182"/>
      <c r="G505" s="182"/>
      <c r="H505" s="182"/>
      <c r="J505" s="101"/>
      <c r="K505" s="101"/>
      <c r="L505" s="101"/>
      <c r="Z505" s="86"/>
      <c r="AA505" s="86"/>
      <c r="AB505" s="86"/>
      <c r="AC505" s="86"/>
      <c r="AD505" s="86"/>
      <c r="AE505" s="86"/>
      <c r="AF505" s="86"/>
      <c r="AG505" s="86"/>
      <c r="AH505" s="86"/>
      <c r="AI505" s="86"/>
      <c r="AJ505" s="86"/>
      <c r="AK505" s="86"/>
      <c r="AL505" s="86"/>
      <c r="AM505" s="86"/>
      <c r="AN505" s="86"/>
      <c r="AO505" s="86"/>
      <c r="AP505" s="86"/>
      <c r="AQ505" s="86"/>
      <c r="AR505" s="86"/>
      <c r="AS505" s="86"/>
      <c r="AT505" s="86"/>
      <c r="AU505" s="86"/>
      <c r="AV505" s="86"/>
      <c r="AW505" s="86"/>
      <c r="AX505" s="86"/>
      <c r="AY505" s="86"/>
      <c r="AZ505" s="86"/>
      <c r="BA505" s="86"/>
      <c r="BB505" s="86"/>
      <c r="BC505" s="86"/>
      <c r="BD505" s="86"/>
      <c r="BE505" s="86"/>
      <c r="BF505" s="86"/>
      <c r="BG505" s="86"/>
      <c r="BH505" s="86"/>
      <c r="BI505" s="86"/>
      <c r="BJ505" s="86"/>
      <c r="BK505" s="86"/>
      <c r="BL505" s="86"/>
      <c r="BM505" s="86"/>
      <c r="BN505" s="86"/>
      <c r="BO505" s="86"/>
      <c r="BP505" s="86"/>
      <c r="BQ505" s="86"/>
      <c r="BR505" s="86"/>
      <c r="BS505" s="86"/>
      <c r="BT505" s="86"/>
      <c r="BU505" s="86"/>
      <c r="BV505" s="86"/>
      <c r="BW505" s="86"/>
      <c r="BX505" s="86"/>
      <c r="BY505" s="86"/>
      <c r="BZ505" s="86"/>
      <c r="CA505" s="86"/>
      <c r="CB505" s="86"/>
      <c r="CC505" s="86"/>
      <c r="CD505" s="86"/>
      <c r="CE505" s="86"/>
      <c r="CF505" s="86"/>
      <c r="CG505" s="86"/>
      <c r="CH505" s="86"/>
      <c r="CI505" s="86"/>
      <c r="CJ505" s="86"/>
      <c r="CK505" s="86"/>
      <c r="CL505" s="86"/>
      <c r="CM505" s="86"/>
      <c r="CN505" s="86"/>
      <c r="CO505" s="86"/>
      <c r="CP505" s="86"/>
      <c r="CQ505" s="86"/>
      <c r="CR505" s="86"/>
      <c r="CS505" s="86"/>
      <c r="CT505" s="86"/>
      <c r="CU505" s="86"/>
      <c r="CV505" s="86"/>
      <c r="CW505" s="86"/>
      <c r="CX505" s="86"/>
      <c r="CY505" s="86"/>
      <c r="CZ505" s="86"/>
      <c r="DA505" s="86"/>
      <c r="DB505" s="86"/>
      <c r="DC505" s="86"/>
      <c r="DD505" s="86"/>
      <c r="DE505" s="86"/>
      <c r="DF505" s="86"/>
      <c r="DG505" s="86"/>
      <c r="DH505" s="86"/>
      <c r="DI505" s="86"/>
      <c r="DJ505" s="86"/>
      <c r="DK505" s="86"/>
      <c r="DL505" s="86"/>
      <c r="DM505" s="86"/>
      <c r="DN505" s="86"/>
      <c r="DO505" s="86"/>
      <c r="DP505" s="86"/>
      <c r="DQ505" s="86"/>
      <c r="DR505" s="86"/>
      <c r="DS505" s="86"/>
      <c r="DT505" s="86"/>
      <c r="DU505" s="86"/>
      <c r="DV505" s="86"/>
      <c r="DW505" s="86"/>
      <c r="DX505" s="86"/>
      <c r="DY505" s="86"/>
      <c r="DZ505" s="86"/>
      <c r="EA505" s="86"/>
      <c r="EB505" s="86"/>
      <c r="EC505" s="86"/>
      <c r="ED505" s="86"/>
      <c r="EE505" s="86"/>
      <c r="EF505" s="86"/>
      <c r="EG505" s="86"/>
      <c r="EH505" s="86"/>
      <c r="EI505" s="86"/>
      <c r="EJ505" s="86"/>
      <c r="EK505" s="86"/>
      <c r="EL505" s="86"/>
      <c r="EM505" s="86"/>
      <c r="EN505" s="86"/>
      <c r="EO505" s="86"/>
      <c r="EP505" s="86"/>
      <c r="EQ505" s="86"/>
      <c r="ER505" s="86"/>
      <c r="ES505" s="86"/>
      <c r="ET505" s="86"/>
      <c r="EU505" s="86"/>
      <c r="EV505" s="86"/>
      <c r="EW505" s="86"/>
      <c r="EX505" s="86"/>
      <c r="EY505" s="86"/>
      <c r="EZ505" s="86"/>
      <c r="FA505" s="86"/>
    </row>
    <row r="506" spans="2:157" ht="9.75" customHeight="1">
      <c r="B506" s="182"/>
      <c r="C506" s="182"/>
      <c r="D506" s="182"/>
      <c r="E506" s="182"/>
      <c r="F506" s="182"/>
      <c r="G506" s="182"/>
      <c r="H506" s="182"/>
      <c r="J506" s="101"/>
      <c r="K506" s="101"/>
      <c r="L506" s="101"/>
      <c r="Z506" s="86"/>
      <c r="AA506" s="86"/>
      <c r="AB506" s="86"/>
      <c r="AC506" s="86"/>
      <c r="AD506" s="86"/>
      <c r="AE506" s="86"/>
      <c r="AF506" s="86"/>
      <c r="AG506" s="86"/>
      <c r="AH506" s="86"/>
      <c r="AI506" s="86"/>
      <c r="AJ506" s="86"/>
      <c r="AK506" s="86"/>
      <c r="AL506" s="86"/>
      <c r="AM506" s="86"/>
      <c r="AN506" s="86"/>
      <c r="AO506" s="86"/>
      <c r="AP506" s="86"/>
      <c r="AQ506" s="86"/>
      <c r="AR506" s="86"/>
      <c r="AS506" s="86"/>
      <c r="AT506" s="86"/>
      <c r="AU506" s="86"/>
      <c r="AV506" s="86"/>
      <c r="AW506" s="86"/>
      <c r="AX506" s="86"/>
      <c r="AY506" s="86"/>
      <c r="AZ506" s="86"/>
      <c r="BA506" s="86"/>
      <c r="BB506" s="86"/>
      <c r="BC506" s="86"/>
      <c r="BD506" s="86"/>
      <c r="BE506" s="86"/>
      <c r="BF506" s="86"/>
      <c r="BG506" s="86"/>
      <c r="BH506" s="86"/>
      <c r="BI506" s="86"/>
      <c r="BJ506" s="86"/>
      <c r="BK506" s="86"/>
      <c r="BL506" s="86"/>
      <c r="BM506" s="86"/>
      <c r="BN506" s="86"/>
      <c r="BO506" s="86"/>
      <c r="BP506" s="86"/>
      <c r="BQ506" s="86"/>
      <c r="BR506" s="86"/>
      <c r="BS506" s="86"/>
      <c r="BT506" s="86"/>
      <c r="BU506" s="86"/>
      <c r="BV506" s="86"/>
      <c r="BW506" s="86"/>
      <c r="BX506" s="86"/>
      <c r="BY506" s="86"/>
      <c r="BZ506" s="86"/>
      <c r="CA506" s="86"/>
      <c r="CB506" s="86"/>
      <c r="CC506" s="86"/>
      <c r="CD506" s="86"/>
      <c r="CE506" s="86"/>
      <c r="CF506" s="86"/>
      <c r="CG506" s="86"/>
      <c r="CH506" s="86"/>
      <c r="CI506" s="86"/>
      <c r="CJ506" s="86"/>
      <c r="CK506" s="86"/>
      <c r="CL506" s="86"/>
      <c r="CM506" s="86"/>
      <c r="CN506" s="86"/>
      <c r="CO506" s="86"/>
      <c r="CP506" s="86"/>
      <c r="CQ506" s="86"/>
      <c r="CR506" s="86"/>
      <c r="CS506" s="86"/>
      <c r="CT506" s="86"/>
      <c r="CU506" s="86"/>
      <c r="CV506" s="86"/>
      <c r="CW506" s="86"/>
      <c r="CX506" s="86"/>
      <c r="CY506" s="86"/>
      <c r="CZ506" s="86"/>
      <c r="DA506" s="86"/>
      <c r="DB506" s="86"/>
      <c r="DC506" s="86"/>
      <c r="DD506" s="86"/>
      <c r="DE506" s="86"/>
      <c r="DF506" s="86"/>
      <c r="DG506" s="86"/>
      <c r="DH506" s="86"/>
      <c r="DI506" s="86"/>
      <c r="DJ506" s="86"/>
      <c r="DK506" s="86"/>
      <c r="DL506" s="86"/>
      <c r="DM506" s="86"/>
      <c r="DN506" s="86"/>
      <c r="DO506" s="86"/>
      <c r="DP506" s="86"/>
      <c r="DQ506" s="86"/>
      <c r="DR506" s="86"/>
      <c r="DS506" s="86"/>
      <c r="DT506" s="86"/>
      <c r="DU506" s="86"/>
      <c r="DV506" s="86"/>
      <c r="DW506" s="86"/>
      <c r="DX506" s="86"/>
      <c r="DY506" s="86"/>
      <c r="DZ506" s="86"/>
      <c r="EA506" s="86"/>
      <c r="EB506" s="86"/>
      <c r="EC506" s="86"/>
      <c r="ED506" s="86"/>
      <c r="EE506" s="86"/>
      <c r="EF506" s="86"/>
      <c r="EG506" s="86"/>
      <c r="EH506" s="86"/>
      <c r="EI506" s="86"/>
      <c r="EJ506" s="86"/>
      <c r="EK506" s="86"/>
      <c r="EL506" s="86"/>
      <c r="EM506" s="86"/>
      <c r="EN506" s="86"/>
      <c r="EO506" s="86"/>
      <c r="EP506" s="86"/>
      <c r="EQ506" s="86"/>
      <c r="ER506" s="86"/>
      <c r="ES506" s="86"/>
      <c r="ET506" s="86"/>
      <c r="EU506" s="86"/>
      <c r="EV506" s="86"/>
      <c r="EW506" s="86"/>
      <c r="EX506" s="86"/>
      <c r="EY506" s="86"/>
      <c r="EZ506" s="86"/>
      <c r="FA506" s="86"/>
    </row>
    <row r="507" spans="2:157" ht="9.75" customHeight="1">
      <c r="B507" s="182"/>
      <c r="C507" s="182"/>
      <c r="D507" s="182"/>
      <c r="E507" s="182"/>
      <c r="F507" s="182"/>
      <c r="G507" s="182"/>
      <c r="H507" s="182"/>
      <c r="J507" s="101"/>
      <c r="K507" s="101"/>
      <c r="L507" s="101"/>
    </row>
    <row r="508" spans="2:157" ht="9.75" customHeight="1">
      <c r="B508" s="182"/>
      <c r="C508" s="182"/>
      <c r="D508" s="182"/>
      <c r="E508" s="182"/>
      <c r="F508" s="182"/>
      <c r="G508" s="182"/>
      <c r="H508" s="182"/>
      <c r="J508" s="101"/>
      <c r="K508" s="101"/>
      <c r="L508" s="101"/>
    </row>
    <row r="509" spans="2:157" ht="9.75" customHeight="1">
      <c r="B509" s="182"/>
      <c r="C509" s="182"/>
      <c r="D509" s="182"/>
      <c r="E509" s="182"/>
      <c r="F509" s="182"/>
      <c r="G509" s="182"/>
      <c r="H509" s="182"/>
      <c r="J509" s="101"/>
      <c r="K509" s="101"/>
      <c r="L509" s="101"/>
    </row>
    <row r="510" spans="2:157" ht="9.75" customHeight="1">
      <c r="B510" s="182"/>
      <c r="C510" s="182"/>
      <c r="D510" s="182"/>
      <c r="E510" s="182"/>
      <c r="F510" s="182"/>
      <c r="G510" s="182"/>
      <c r="H510" s="182"/>
      <c r="J510" s="101"/>
      <c r="K510" s="101"/>
      <c r="L510" s="101"/>
    </row>
    <row r="511" spans="2:157" ht="9.75" customHeight="1">
      <c r="B511" s="182"/>
      <c r="C511" s="182"/>
      <c r="D511" s="182"/>
      <c r="E511" s="182"/>
      <c r="F511" s="182"/>
      <c r="G511" s="182"/>
      <c r="H511" s="182"/>
      <c r="J511" s="101"/>
      <c r="K511" s="101"/>
      <c r="L511" s="101"/>
    </row>
    <row r="512" spans="2:157" ht="9.75" customHeight="1">
      <c r="B512" s="182"/>
      <c r="C512" s="182"/>
      <c r="D512" s="182"/>
      <c r="E512" s="182"/>
      <c r="F512" s="182"/>
      <c r="G512" s="182"/>
      <c r="H512" s="182"/>
      <c r="J512" s="101"/>
      <c r="K512" s="101"/>
      <c r="L512" s="101"/>
    </row>
    <row r="513" spans="2:12" ht="9.75" customHeight="1">
      <c r="B513" s="182"/>
      <c r="C513" s="182"/>
      <c r="D513" s="182"/>
      <c r="E513" s="182"/>
      <c r="F513" s="182"/>
      <c r="G513" s="182"/>
      <c r="H513" s="182"/>
      <c r="J513" s="101"/>
      <c r="K513" s="101"/>
      <c r="L513" s="101"/>
    </row>
    <row r="514" spans="2:12" ht="9.75" customHeight="1">
      <c r="B514" s="182"/>
      <c r="C514" s="182"/>
      <c r="D514" s="182"/>
      <c r="E514" s="182"/>
      <c r="F514" s="182"/>
      <c r="G514" s="182"/>
      <c r="H514" s="182"/>
      <c r="J514" s="101"/>
      <c r="K514" s="101"/>
      <c r="L514" s="101"/>
    </row>
    <row r="515" spans="2:12" ht="9.75" customHeight="1">
      <c r="B515" s="182"/>
      <c r="C515" s="182"/>
      <c r="D515" s="182"/>
      <c r="E515" s="182"/>
      <c r="F515" s="182"/>
      <c r="G515" s="182"/>
      <c r="H515" s="182"/>
      <c r="J515" s="101"/>
      <c r="K515" s="101"/>
      <c r="L515" s="101"/>
    </row>
    <row r="516" spans="2:12" ht="9.75" customHeight="1">
      <c r="B516" s="182"/>
      <c r="C516" s="182"/>
      <c r="D516" s="182"/>
      <c r="E516" s="182"/>
      <c r="F516" s="182"/>
      <c r="G516" s="182"/>
      <c r="H516" s="182"/>
      <c r="J516" s="101"/>
      <c r="K516" s="101"/>
      <c r="L516" s="101"/>
    </row>
    <row r="517" spans="2:12" ht="9.75" customHeight="1">
      <c r="B517" s="182"/>
      <c r="C517" s="182"/>
      <c r="D517" s="182"/>
      <c r="E517" s="182"/>
      <c r="F517" s="182"/>
      <c r="G517" s="182"/>
      <c r="H517" s="182"/>
      <c r="J517" s="101"/>
      <c r="K517" s="101"/>
      <c r="L517" s="101"/>
    </row>
    <row r="518" spans="2:12" ht="9.75" customHeight="1">
      <c r="B518" s="182"/>
      <c r="C518" s="182"/>
      <c r="D518" s="182"/>
      <c r="E518" s="182"/>
      <c r="F518" s="182"/>
      <c r="G518" s="182"/>
      <c r="H518" s="182"/>
      <c r="J518" s="101"/>
      <c r="K518" s="101"/>
      <c r="L518" s="101"/>
    </row>
    <row r="519" spans="2:12" ht="9.75" customHeight="1">
      <c r="B519" s="182"/>
      <c r="C519" s="182"/>
      <c r="D519" s="182"/>
      <c r="E519" s="182"/>
      <c r="F519" s="182"/>
      <c r="G519" s="182"/>
      <c r="H519" s="182"/>
      <c r="J519" s="101"/>
      <c r="K519" s="101"/>
      <c r="L519" s="101"/>
    </row>
    <row r="520" spans="2:12" ht="9.75" customHeight="1">
      <c r="B520" s="182"/>
      <c r="C520" s="182"/>
      <c r="D520" s="182"/>
      <c r="E520" s="182"/>
      <c r="F520" s="182"/>
      <c r="G520" s="182"/>
      <c r="H520" s="182"/>
      <c r="J520" s="101"/>
      <c r="K520" s="101"/>
      <c r="L520" s="101"/>
    </row>
    <row r="521" spans="2:12" ht="9.75" customHeight="1">
      <c r="B521" s="182"/>
      <c r="C521" s="182"/>
      <c r="D521" s="182"/>
      <c r="E521" s="182"/>
      <c r="F521" s="182"/>
      <c r="G521" s="182"/>
      <c r="H521" s="182"/>
      <c r="J521" s="101"/>
      <c r="K521" s="101"/>
      <c r="L521" s="101"/>
    </row>
    <row r="522" spans="2:12" ht="9.75" customHeight="1">
      <c r="B522" s="182"/>
      <c r="C522" s="182"/>
      <c r="D522" s="182"/>
      <c r="E522" s="182"/>
      <c r="F522" s="182"/>
      <c r="G522" s="182"/>
      <c r="H522" s="182"/>
      <c r="J522" s="101"/>
      <c r="K522" s="101"/>
      <c r="L522" s="101"/>
    </row>
    <row r="523" spans="2:12" ht="9.75" customHeight="1">
      <c r="B523" s="182"/>
      <c r="C523" s="182"/>
      <c r="D523" s="182"/>
      <c r="E523" s="182"/>
      <c r="F523" s="182"/>
      <c r="G523" s="182"/>
      <c r="H523" s="182"/>
      <c r="J523" s="101"/>
      <c r="K523" s="101"/>
      <c r="L523" s="101"/>
    </row>
    <row r="524" spans="2:12" ht="9.75" customHeight="1">
      <c r="B524" s="182"/>
      <c r="C524" s="182"/>
      <c r="D524" s="182"/>
      <c r="E524" s="182"/>
      <c r="F524" s="182"/>
      <c r="G524" s="182"/>
      <c r="H524" s="182"/>
      <c r="J524" s="101"/>
      <c r="K524" s="101"/>
      <c r="L524" s="101"/>
    </row>
    <row r="525" spans="2:12" ht="9.75" customHeight="1">
      <c r="B525" s="182"/>
      <c r="C525" s="182"/>
      <c r="D525" s="182"/>
      <c r="E525" s="182"/>
      <c r="F525" s="182"/>
      <c r="G525" s="182"/>
      <c r="H525" s="182"/>
      <c r="J525" s="101"/>
      <c r="K525" s="101"/>
      <c r="L525" s="101"/>
    </row>
    <row r="526" spans="2:12" ht="9.75" customHeight="1">
      <c r="B526" s="182"/>
      <c r="C526" s="182"/>
      <c r="D526" s="182"/>
      <c r="E526" s="182"/>
      <c r="F526" s="182"/>
      <c r="G526" s="182"/>
      <c r="H526" s="182"/>
      <c r="J526" s="101"/>
      <c r="K526" s="101"/>
      <c r="L526" s="101"/>
    </row>
    <row r="527" spans="2:12" ht="9.75" customHeight="1">
      <c r="B527" s="182"/>
      <c r="C527" s="182"/>
      <c r="D527" s="182"/>
      <c r="E527" s="182"/>
      <c r="F527" s="182"/>
      <c r="G527" s="182"/>
      <c r="H527" s="182"/>
      <c r="J527" s="101"/>
      <c r="K527" s="101"/>
      <c r="L527" s="101"/>
    </row>
    <row r="528" spans="2:12" ht="9.75" customHeight="1">
      <c r="B528" s="182"/>
      <c r="C528" s="182"/>
      <c r="D528" s="182"/>
      <c r="E528" s="182"/>
      <c r="F528" s="182"/>
      <c r="G528" s="182"/>
      <c r="H528" s="182"/>
      <c r="J528" s="101"/>
      <c r="K528" s="101"/>
      <c r="L528" s="101"/>
    </row>
    <row r="529" spans="2:12" ht="9.75" customHeight="1">
      <c r="B529" s="182"/>
      <c r="C529" s="182"/>
      <c r="D529" s="182"/>
      <c r="E529" s="182"/>
      <c r="F529" s="182"/>
      <c r="G529" s="182"/>
      <c r="H529" s="182"/>
      <c r="J529" s="101"/>
      <c r="K529" s="101"/>
      <c r="L529" s="101"/>
    </row>
    <row r="530" spans="2:12" ht="9.75" customHeight="1">
      <c r="B530" s="182"/>
      <c r="C530" s="182"/>
      <c r="D530" s="182"/>
      <c r="E530" s="182"/>
      <c r="F530" s="182"/>
      <c r="G530" s="182"/>
      <c r="H530" s="182"/>
      <c r="J530" s="101"/>
      <c r="K530" s="101"/>
      <c r="L530" s="101"/>
    </row>
    <row r="531" spans="2:12" ht="9.75" customHeight="1">
      <c r="B531" s="182"/>
      <c r="C531" s="182"/>
      <c r="D531" s="182"/>
      <c r="E531" s="182"/>
      <c r="F531" s="182"/>
      <c r="G531" s="182"/>
      <c r="H531" s="182"/>
      <c r="J531" s="101"/>
      <c r="K531" s="101"/>
      <c r="L531" s="101"/>
    </row>
    <row r="532" spans="2:12" ht="9.75" customHeight="1">
      <c r="B532" s="182"/>
      <c r="C532" s="182"/>
      <c r="D532" s="182"/>
      <c r="E532" s="182"/>
      <c r="F532" s="182"/>
      <c r="G532" s="182"/>
      <c r="H532" s="182"/>
      <c r="J532" s="101"/>
      <c r="K532" s="101"/>
      <c r="L532" s="101"/>
    </row>
    <row r="533" spans="2:12" ht="9.75" customHeight="1">
      <c r="B533" s="182"/>
      <c r="C533" s="182"/>
      <c r="D533" s="182"/>
      <c r="E533" s="182"/>
      <c r="F533" s="182"/>
      <c r="G533" s="182"/>
      <c r="H533" s="182"/>
      <c r="J533" s="101"/>
      <c r="K533" s="101"/>
      <c r="L533" s="101"/>
    </row>
    <row r="534" spans="2:12" ht="9.75" customHeight="1">
      <c r="B534" s="182"/>
      <c r="C534" s="182"/>
      <c r="D534" s="182"/>
      <c r="E534" s="182"/>
      <c r="F534" s="182"/>
      <c r="G534" s="182"/>
      <c r="H534" s="182"/>
      <c r="J534" s="101"/>
      <c r="K534" s="101"/>
      <c r="L534" s="101"/>
    </row>
    <row r="535" spans="2:12" ht="9.75" customHeight="1">
      <c r="B535" s="182"/>
      <c r="C535" s="182"/>
      <c r="D535" s="182"/>
      <c r="E535" s="182"/>
      <c r="F535" s="182"/>
      <c r="G535" s="182"/>
      <c r="H535" s="182"/>
      <c r="J535" s="101"/>
      <c r="K535" s="101"/>
      <c r="L535" s="101"/>
    </row>
    <row r="536" spans="2:12" ht="9.75" customHeight="1">
      <c r="B536" s="182"/>
      <c r="C536" s="182"/>
      <c r="D536" s="182"/>
      <c r="E536" s="182"/>
      <c r="F536" s="182"/>
      <c r="G536" s="182"/>
      <c r="H536" s="182"/>
      <c r="J536" s="101"/>
      <c r="K536" s="101"/>
      <c r="L536" s="101"/>
    </row>
    <row r="537" spans="2:12" ht="9.75" customHeight="1">
      <c r="B537" s="182"/>
      <c r="C537" s="182"/>
      <c r="D537" s="182"/>
      <c r="E537" s="182"/>
      <c r="F537" s="182"/>
      <c r="G537" s="182"/>
      <c r="H537" s="182"/>
      <c r="J537" s="101"/>
      <c r="K537" s="101"/>
      <c r="L537" s="101"/>
    </row>
    <row r="538" spans="2:12" ht="9.75" customHeight="1">
      <c r="B538" s="182"/>
      <c r="C538" s="182"/>
      <c r="D538" s="182"/>
      <c r="E538" s="182"/>
      <c r="F538" s="182"/>
      <c r="G538" s="182"/>
      <c r="H538" s="182"/>
      <c r="J538" s="101"/>
      <c r="K538" s="101"/>
      <c r="L538" s="101"/>
    </row>
    <row r="539" spans="2:12" ht="9.75" customHeight="1">
      <c r="B539" s="182"/>
      <c r="C539" s="182"/>
      <c r="D539" s="182"/>
      <c r="E539" s="182"/>
      <c r="F539" s="182"/>
      <c r="G539" s="182"/>
      <c r="H539" s="182"/>
      <c r="J539" s="101"/>
      <c r="K539" s="101"/>
      <c r="L539" s="101"/>
    </row>
    <row r="540" spans="2:12" ht="9.75" customHeight="1">
      <c r="B540" s="182"/>
      <c r="C540" s="182"/>
      <c r="D540" s="182"/>
      <c r="E540" s="182"/>
      <c r="F540" s="182"/>
      <c r="G540" s="182"/>
      <c r="H540" s="182"/>
      <c r="J540" s="101"/>
      <c r="K540" s="101"/>
      <c r="L540" s="101"/>
    </row>
    <row r="541" spans="2:12" ht="9.75" customHeight="1">
      <c r="B541" s="182"/>
      <c r="C541" s="182"/>
      <c r="D541" s="182"/>
      <c r="E541" s="182"/>
      <c r="F541" s="182"/>
      <c r="G541" s="182"/>
      <c r="H541" s="182"/>
      <c r="J541" s="101"/>
      <c r="K541" s="101"/>
      <c r="L541" s="101"/>
    </row>
    <row r="542" spans="2:12" ht="9.75" customHeight="1">
      <c r="B542" s="182"/>
      <c r="C542" s="182"/>
      <c r="D542" s="182"/>
      <c r="E542" s="182"/>
      <c r="F542" s="182"/>
      <c r="G542" s="182"/>
      <c r="H542" s="182"/>
      <c r="J542" s="101"/>
      <c r="K542" s="101"/>
      <c r="L542" s="101"/>
    </row>
    <row r="543" spans="2:12" ht="9.75" customHeight="1">
      <c r="B543" s="182"/>
      <c r="C543" s="182"/>
      <c r="D543" s="182"/>
      <c r="E543" s="182"/>
      <c r="F543" s="182"/>
      <c r="G543" s="182"/>
      <c r="H543" s="182"/>
    </row>
    <row r="544" spans="2:12" ht="9.75" customHeight="1">
      <c r="B544" s="182"/>
      <c r="C544" s="182"/>
      <c r="D544" s="182"/>
      <c r="E544" s="182"/>
      <c r="F544" s="182"/>
      <c r="G544" s="182"/>
      <c r="H544" s="182"/>
    </row>
    <row r="545" spans="2:8" ht="9.75" customHeight="1">
      <c r="B545" s="182"/>
      <c r="C545" s="182"/>
      <c r="D545" s="182"/>
      <c r="E545" s="182"/>
      <c r="F545" s="182"/>
      <c r="G545" s="182"/>
      <c r="H545" s="182"/>
    </row>
    <row r="546" spans="2:8" ht="9.75" customHeight="1">
      <c r="B546" s="182"/>
      <c r="C546" s="182"/>
      <c r="D546" s="182"/>
      <c r="E546" s="182"/>
      <c r="F546" s="182"/>
      <c r="G546" s="182"/>
      <c r="H546" s="182"/>
    </row>
    <row r="547" spans="2:8" ht="9.75" customHeight="1">
      <c r="B547" s="182"/>
      <c r="C547" s="182"/>
      <c r="D547" s="182"/>
      <c r="E547" s="182"/>
      <c r="F547" s="182"/>
      <c r="G547" s="182"/>
      <c r="H547" s="182"/>
    </row>
    <row r="548" spans="2:8" ht="9.75" customHeight="1">
      <c r="B548" s="182"/>
      <c r="C548" s="182"/>
      <c r="D548" s="182"/>
      <c r="E548" s="182"/>
      <c r="F548" s="182"/>
      <c r="G548" s="182"/>
      <c r="H548" s="182"/>
    </row>
    <row r="549" spans="2:8" ht="9.75" customHeight="1">
      <c r="B549" s="182"/>
      <c r="C549" s="182"/>
      <c r="D549" s="182"/>
      <c r="E549" s="182"/>
      <c r="F549" s="182"/>
      <c r="G549" s="182"/>
      <c r="H549" s="182"/>
    </row>
    <row r="550" spans="2:8" ht="9.75" customHeight="1">
      <c r="B550" s="182"/>
      <c r="C550" s="182"/>
      <c r="D550" s="182"/>
      <c r="E550" s="182"/>
      <c r="F550" s="182"/>
      <c r="G550" s="182"/>
      <c r="H550" s="182"/>
    </row>
    <row r="551" spans="2:8" ht="9.75" customHeight="1">
      <c r="B551" s="182"/>
      <c r="C551" s="182"/>
      <c r="D551" s="182"/>
      <c r="E551" s="182"/>
      <c r="F551" s="182"/>
      <c r="G551" s="182"/>
      <c r="H551" s="182"/>
    </row>
    <row r="552" spans="2:8" ht="9.75" customHeight="1">
      <c r="B552" s="182"/>
      <c r="C552" s="182"/>
      <c r="D552" s="182"/>
      <c r="E552" s="182"/>
      <c r="F552" s="182"/>
      <c r="G552" s="182"/>
      <c r="H552" s="182"/>
    </row>
    <row r="553" spans="2:8" ht="9.75" customHeight="1">
      <c r="B553" s="182"/>
      <c r="C553" s="182"/>
      <c r="D553" s="182"/>
      <c r="E553" s="182"/>
      <c r="F553" s="182"/>
      <c r="G553" s="182"/>
      <c r="H553" s="182"/>
    </row>
    <row r="554" spans="2:8" ht="9.75" customHeight="1">
      <c r="B554" s="182"/>
      <c r="C554" s="182"/>
      <c r="D554" s="182"/>
      <c r="E554" s="182"/>
      <c r="F554" s="182"/>
      <c r="G554" s="182"/>
      <c r="H554" s="182"/>
    </row>
    <row r="555" spans="2:8" ht="9.75" customHeight="1">
      <c r="B555" s="182"/>
      <c r="C555" s="182"/>
      <c r="D555" s="182"/>
      <c r="E555" s="182"/>
      <c r="F555" s="182"/>
      <c r="G555" s="182"/>
      <c r="H555" s="182"/>
    </row>
    <row r="556" spans="2:8" ht="9.75" customHeight="1">
      <c r="B556" s="182"/>
      <c r="C556" s="182"/>
      <c r="D556" s="182"/>
      <c r="E556" s="182"/>
      <c r="F556" s="182"/>
      <c r="G556" s="182"/>
      <c r="H556" s="182"/>
    </row>
    <row r="557" spans="2:8" ht="9.75" customHeight="1">
      <c r="B557" s="182"/>
      <c r="C557" s="182"/>
      <c r="D557" s="182"/>
      <c r="E557" s="182"/>
      <c r="F557" s="182"/>
      <c r="G557" s="182"/>
      <c r="H557" s="182"/>
    </row>
    <row r="558" spans="2:8" ht="9.75" customHeight="1">
      <c r="B558" s="182"/>
      <c r="C558" s="182"/>
      <c r="D558" s="182"/>
      <c r="E558" s="182"/>
      <c r="F558" s="182"/>
      <c r="G558" s="182"/>
      <c r="H558" s="182"/>
    </row>
    <row r="559" spans="2:8" ht="9.75" customHeight="1">
      <c r="B559" s="182"/>
      <c r="C559" s="182"/>
      <c r="D559" s="182"/>
      <c r="E559" s="182"/>
      <c r="F559" s="182"/>
      <c r="G559" s="182"/>
      <c r="H559" s="182"/>
    </row>
    <row r="560" spans="2:8" ht="9.75" customHeight="1">
      <c r="B560" s="182"/>
      <c r="C560" s="182"/>
      <c r="D560" s="182"/>
      <c r="E560" s="182"/>
      <c r="F560" s="182"/>
      <c r="G560" s="182"/>
      <c r="H560" s="182"/>
    </row>
    <row r="561" spans="2:8" ht="9.75" customHeight="1">
      <c r="B561" s="182"/>
      <c r="C561" s="182"/>
      <c r="D561" s="182"/>
      <c r="E561" s="182"/>
      <c r="F561" s="182"/>
      <c r="G561" s="182"/>
      <c r="H561" s="182"/>
    </row>
    <row r="562" spans="2:8" ht="9.75" customHeight="1">
      <c r="B562" s="182"/>
      <c r="C562" s="182"/>
      <c r="D562" s="182"/>
      <c r="E562" s="182"/>
      <c r="F562" s="182"/>
      <c r="G562" s="182"/>
      <c r="H562" s="182"/>
    </row>
    <row r="563" spans="2:8" ht="9.75" customHeight="1">
      <c r="B563" s="182"/>
      <c r="C563" s="182"/>
      <c r="D563" s="182"/>
      <c r="E563" s="182"/>
      <c r="F563" s="182"/>
      <c r="G563" s="182"/>
      <c r="H563" s="182"/>
    </row>
    <row r="564" spans="2:8" ht="9.75" customHeight="1">
      <c r="B564" s="182"/>
      <c r="C564" s="182"/>
      <c r="D564" s="182"/>
      <c r="E564" s="182"/>
      <c r="F564" s="182"/>
      <c r="G564" s="182"/>
      <c r="H564" s="182"/>
    </row>
    <row r="565" spans="2:8" ht="9.75" customHeight="1">
      <c r="B565" s="182"/>
      <c r="C565" s="182"/>
      <c r="D565" s="182"/>
      <c r="E565" s="182"/>
      <c r="F565" s="182"/>
      <c r="G565" s="182"/>
      <c r="H565" s="182"/>
    </row>
    <row r="566" spans="2:8" ht="9.75" customHeight="1">
      <c r="B566" s="182"/>
      <c r="C566" s="182"/>
      <c r="D566" s="182"/>
      <c r="E566" s="182"/>
      <c r="F566" s="182"/>
      <c r="G566" s="182"/>
      <c r="H566" s="182"/>
    </row>
    <row r="567" spans="2:8" ht="9.75" customHeight="1">
      <c r="B567" s="182"/>
      <c r="C567" s="182"/>
      <c r="D567" s="182"/>
      <c r="E567" s="182"/>
      <c r="F567" s="182"/>
      <c r="G567" s="182"/>
      <c r="H567" s="182"/>
    </row>
    <row r="568" spans="2:8" ht="9.75" customHeight="1">
      <c r="B568" s="182"/>
      <c r="C568" s="182"/>
      <c r="D568" s="182"/>
      <c r="E568" s="182"/>
      <c r="F568" s="182"/>
      <c r="G568" s="182"/>
      <c r="H568" s="182"/>
    </row>
    <row r="569" spans="2:8" ht="9.75" customHeight="1">
      <c r="B569" s="182"/>
      <c r="C569" s="182"/>
      <c r="D569" s="182"/>
      <c r="E569" s="182"/>
      <c r="F569" s="182"/>
      <c r="G569" s="182"/>
      <c r="H569" s="182"/>
    </row>
    <row r="570" spans="2:8" ht="9.75" customHeight="1">
      <c r="B570" s="182"/>
      <c r="C570" s="182"/>
      <c r="D570" s="182"/>
      <c r="E570" s="182"/>
      <c r="F570" s="182"/>
      <c r="G570" s="182"/>
      <c r="H570" s="182"/>
    </row>
    <row r="571" spans="2:8" ht="9.75" customHeight="1">
      <c r="B571" s="182"/>
      <c r="C571" s="182"/>
      <c r="D571" s="182"/>
      <c r="E571" s="182"/>
      <c r="F571" s="182"/>
      <c r="G571" s="182"/>
      <c r="H571" s="182"/>
    </row>
    <row r="572" spans="2:8" ht="9.75" customHeight="1">
      <c r="B572" s="182"/>
      <c r="C572" s="182"/>
      <c r="D572" s="182"/>
      <c r="E572" s="182"/>
      <c r="F572" s="182"/>
      <c r="G572" s="182"/>
      <c r="H572" s="182"/>
    </row>
    <row r="573" spans="2:8" ht="9.75" customHeight="1">
      <c r="B573" s="182"/>
      <c r="C573" s="182"/>
      <c r="D573" s="182"/>
      <c r="E573" s="182"/>
      <c r="F573" s="182"/>
      <c r="G573" s="182"/>
      <c r="H573" s="182"/>
    </row>
    <row r="574" spans="2:8" ht="9.75" customHeight="1">
      <c r="B574" s="182"/>
      <c r="C574" s="182"/>
      <c r="D574" s="182"/>
      <c r="E574" s="182"/>
      <c r="F574" s="182"/>
      <c r="G574" s="182"/>
      <c r="H574" s="182"/>
    </row>
    <row r="575" spans="2:8" ht="9.75" customHeight="1">
      <c r="B575" s="182"/>
      <c r="C575" s="182"/>
      <c r="D575" s="182"/>
      <c r="E575" s="182"/>
      <c r="F575" s="182"/>
      <c r="G575" s="182"/>
      <c r="H575" s="182"/>
    </row>
    <row r="576" spans="2:8" ht="9.75" customHeight="1">
      <c r="B576" s="182"/>
      <c r="C576" s="182"/>
      <c r="D576" s="182"/>
      <c r="E576" s="182"/>
      <c r="F576" s="182"/>
      <c r="G576" s="182"/>
      <c r="H576" s="182"/>
    </row>
    <row r="577" spans="2:8" ht="9.75" customHeight="1">
      <c r="B577" s="182"/>
      <c r="C577" s="182"/>
      <c r="D577" s="182"/>
      <c r="E577" s="182"/>
      <c r="F577" s="182"/>
      <c r="G577" s="182"/>
      <c r="H577" s="182"/>
    </row>
    <row r="578" spans="2:8" ht="9.75" customHeight="1">
      <c r="B578" s="182"/>
      <c r="C578" s="182"/>
      <c r="D578" s="182"/>
      <c r="E578" s="182"/>
      <c r="F578" s="182"/>
      <c r="G578" s="182"/>
      <c r="H578" s="182"/>
    </row>
    <row r="579" spans="2:8" ht="9.75" customHeight="1">
      <c r="B579" s="182"/>
      <c r="C579" s="182"/>
      <c r="D579" s="182"/>
      <c r="E579" s="182"/>
      <c r="F579" s="182"/>
      <c r="G579" s="182"/>
      <c r="H579" s="182"/>
    </row>
    <row r="580" spans="2:8" ht="9.75" customHeight="1">
      <c r="B580" s="182"/>
      <c r="C580" s="182"/>
      <c r="D580" s="182"/>
      <c r="E580" s="182"/>
      <c r="F580" s="182"/>
      <c r="G580" s="182"/>
      <c r="H580" s="182"/>
    </row>
    <row r="581" spans="2:8" ht="9.75" customHeight="1">
      <c r="B581" s="182"/>
      <c r="C581" s="182"/>
      <c r="D581" s="182"/>
      <c r="E581" s="182"/>
      <c r="F581" s="182"/>
      <c r="G581" s="182"/>
      <c r="H581" s="182"/>
    </row>
    <row r="582" spans="2:8" ht="9.75" customHeight="1">
      <c r="B582" s="182"/>
      <c r="C582" s="182"/>
      <c r="D582" s="182"/>
      <c r="E582" s="182"/>
      <c r="F582" s="182"/>
      <c r="G582" s="182"/>
      <c r="H582" s="182"/>
    </row>
    <row r="583" spans="2:8" ht="9.75" customHeight="1">
      <c r="B583" s="182"/>
      <c r="C583" s="182"/>
      <c r="D583" s="182"/>
      <c r="E583" s="182"/>
      <c r="F583" s="182"/>
      <c r="G583" s="182"/>
      <c r="H583" s="182"/>
    </row>
    <row r="584" spans="2:8" ht="9.75" customHeight="1">
      <c r="B584" s="182"/>
      <c r="C584" s="182"/>
      <c r="D584" s="182"/>
      <c r="E584" s="182"/>
      <c r="F584" s="182"/>
      <c r="G584" s="182"/>
      <c r="H584" s="182"/>
    </row>
    <row r="585" spans="2:8" ht="9.75" customHeight="1">
      <c r="B585" s="182"/>
      <c r="C585" s="182"/>
      <c r="D585" s="182"/>
      <c r="E585" s="182"/>
      <c r="F585" s="182"/>
      <c r="G585" s="182"/>
      <c r="H585" s="182"/>
    </row>
    <row r="586" spans="2:8" ht="9.75" customHeight="1">
      <c r="B586" s="182"/>
      <c r="C586" s="182"/>
      <c r="D586" s="182"/>
      <c r="E586" s="182"/>
      <c r="F586" s="182"/>
      <c r="G586" s="182"/>
      <c r="H586" s="182"/>
    </row>
    <row r="587" spans="2:8" ht="9.75" customHeight="1">
      <c r="B587" s="182"/>
      <c r="C587" s="182"/>
      <c r="D587" s="182"/>
      <c r="E587" s="182"/>
      <c r="F587" s="182"/>
      <c r="G587" s="182"/>
      <c r="H587" s="182"/>
    </row>
    <row r="588" spans="2:8" ht="9.75" customHeight="1">
      <c r="B588" s="182"/>
      <c r="C588" s="182"/>
      <c r="D588" s="182"/>
      <c r="E588" s="182"/>
      <c r="F588" s="182"/>
      <c r="G588" s="182"/>
      <c r="H588" s="182"/>
    </row>
    <row r="589" spans="2:8" ht="9.75" customHeight="1">
      <c r="B589" s="182"/>
      <c r="C589" s="182"/>
      <c r="D589" s="182"/>
      <c r="E589" s="182"/>
      <c r="F589" s="182"/>
      <c r="G589" s="182"/>
      <c r="H589" s="182"/>
    </row>
    <row r="590" spans="2:8" ht="9.75" customHeight="1">
      <c r="B590" s="182"/>
      <c r="C590" s="182"/>
      <c r="D590" s="182"/>
      <c r="E590" s="182"/>
      <c r="F590" s="182"/>
      <c r="G590" s="182"/>
      <c r="H590" s="182"/>
    </row>
    <row r="591" spans="2:8" ht="9.75" customHeight="1">
      <c r="B591" s="182"/>
      <c r="C591" s="182"/>
      <c r="D591" s="182"/>
      <c r="E591" s="182"/>
      <c r="F591" s="182"/>
      <c r="G591" s="182"/>
      <c r="H591" s="182"/>
    </row>
    <row r="592" spans="2:8" ht="9.75" customHeight="1">
      <c r="B592" s="182"/>
      <c r="C592" s="182"/>
      <c r="D592" s="182"/>
      <c r="E592" s="182"/>
      <c r="F592" s="182"/>
      <c r="G592" s="182"/>
      <c r="H592" s="182"/>
    </row>
    <row r="593" spans="2:8" ht="9.75" customHeight="1">
      <c r="B593" s="182"/>
      <c r="C593" s="182"/>
      <c r="D593" s="182"/>
      <c r="E593" s="182"/>
      <c r="F593" s="182"/>
      <c r="G593" s="182"/>
      <c r="H593" s="182"/>
    </row>
    <row r="594" spans="2:8" ht="9.75" customHeight="1">
      <c r="B594" s="182"/>
      <c r="C594" s="182"/>
      <c r="D594" s="182"/>
      <c r="E594" s="182"/>
      <c r="F594" s="182"/>
      <c r="G594" s="182"/>
      <c r="H594" s="182"/>
    </row>
    <row r="595" spans="2:8" ht="9.75" customHeight="1">
      <c r="B595" s="182"/>
      <c r="C595" s="182"/>
      <c r="D595" s="182"/>
      <c r="E595" s="182"/>
      <c r="F595" s="182"/>
      <c r="G595" s="182"/>
      <c r="H595" s="182"/>
    </row>
    <row r="596" spans="2:8" ht="9.75" customHeight="1">
      <c r="B596" s="182"/>
      <c r="C596" s="182"/>
      <c r="D596" s="182"/>
      <c r="E596" s="182"/>
      <c r="F596" s="182"/>
      <c r="G596" s="182"/>
      <c r="H596" s="182"/>
    </row>
    <row r="597" spans="2:8" ht="9.75" customHeight="1">
      <c r="B597" s="182"/>
      <c r="C597" s="182"/>
      <c r="D597" s="182"/>
      <c r="E597" s="182"/>
      <c r="F597" s="182"/>
      <c r="G597" s="182"/>
      <c r="H597" s="182"/>
    </row>
    <row r="598" spans="2:8" ht="9.75" customHeight="1">
      <c r="B598" s="182"/>
      <c r="C598" s="182"/>
      <c r="D598" s="182"/>
      <c r="E598" s="182"/>
      <c r="F598" s="182"/>
      <c r="G598" s="182"/>
      <c r="H598" s="182"/>
    </row>
    <row r="599" spans="2:8" ht="9.75" customHeight="1">
      <c r="B599" s="182"/>
      <c r="C599" s="182"/>
      <c r="D599" s="182"/>
      <c r="E599" s="182"/>
      <c r="F599" s="182"/>
      <c r="G599" s="182"/>
      <c r="H599" s="182"/>
    </row>
    <row r="600" spans="2:8" ht="9.75" customHeight="1">
      <c r="B600" s="182"/>
      <c r="C600" s="182"/>
      <c r="D600" s="182"/>
      <c r="E600" s="182"/>
      <c r="F600" s="182"/>
      <c r="G600" s="182"/>
      <c r="H600" s="182"/>
    </row>
    <row r="601" spans="2:8" ht="9.75" customHeight="1">
      <c r="B601" s="182"/>
      <c r="C601" s="182"/>
      <c r="D601" s="182"/>
      <c r="E601" s="182"/>
      <c r="F601" s="182"/>
      <c r="G601" s="182"/>
      <c r="H601" s="182"/>
    </row>
    <row r="602" spans="2:8" ht="9.75" customHeight="1">
      <c r="B602" s="182"/>
      <c r="C602" s="182"/>
      <c r="D602" s="182"/>
      <c r="E602" s="182"/>
      <c r="F602" s="182"/>
      <c r="G602" s="182"/>
      <c r="H602" s="182"/>
    </row>
    <row r="603" spans="2:8" ht="9.75" customHeight="1">
      <c r="B603" s="182"/>
      <c r="C603" s="182"/>
      <c r="D603" s="182"/>
      <c r="E603" s="182"/>
      <c r="F603" s="182"/>
      <c r="G603" s="182"/>
      <c r="H603" s="182"/>
    </row>
    <row r="604" spans="2:8" ht="9.75" customHeight="1">
      <c r="B604" s="182"/>
      <c r="C604" s="182"/>
      <c r="D604" s="182"/>
      <c r="E604" s="182"/>
      <c r="F604" s="182"/>
      <c r="G604" s="182"/>
      <c r="H604" s="182"/>
    </row>
    <row r="605" spans="2:8" ht="9.75" customHeight="1">
      <c r="B605" s="182"/>
      <c r="C605" s="182"/>
      <c r="D605" s="182"/>
      <c r="E605" s="182"/>
      <c r="F605" s="182"/>
      <c r="G605" s="182"/>
      <c r="H605" s="182"/>
    </row>
    <row r="606" spans="2:8" ht="9.75" customHeight="1">
      <c r="B606" s="182"/>
      <c r="C606" s="182"/>
      <c r="D606" s="182"/>
      <c r="E606" s="182"/>
      <c r="F606" s="182"/>
      <c r="G606" s="182"/>
      <c r="H606" s="182"/>
    </row>
    <row r="607" spans="2:8" ht="9.75" customHeight="1">
      <c r="B607" s="182"/>
      <c r="C607" s="182"/>
      <c r="D607" s="182"/>
      <c r="E607" s="182"/>
      <c r="F607" s="182"/>
      <c r="G607" s="182"/>
      <c r="H607" s="182"/>
    </row>
    <row r="608" spans="2:8" ht="9.75" customHeight="1">
      <c r="B608" s="182"/>
      <c r="C608" s="182"/>
      <c r="D608" s="182"/>
      <c r="E608" s="182"/>
      <c r="F608" s="182"/>
      <c r="G608" s="182"/>
      <c r="H608" s="182"/>
    </row>
    <row r="609" spans="2:8" ht="9.75" customHeight="1">
      <c r="B609" s="182"/>
      <c r="C609" s="182"/>
      <c r="D609" s="182"/>
      <c r="E609" s="182"/>
      <c r="F609" s="182"/>
      <c r="G609" s="182"/>
      <c r="H609" s="182"/>
    </row>
    <row r="610" spans="2:8" ht="9.75" customHeight="1">
      <c r="B610" s="182"/>
      <c r="C610" s="182"/>
      <c r="D610" s="182"/>
      <c r="E610" s="182"/>
      <c r="F610" s="182"/>
      <c r="G610" s="182"/>
      <c r="H610" s="182"/>
    </row>
    <row r="611" spans="2:8" ht="9.75" customHeight="1">
      <c r="B611" s="182"/>
      <c r="C611" s="182"/>
      <c r="D611" s="182"/>
      <c r="E611" s="182"/>
      <c r="F611" s="182"/>
      <c r="G611" s="182"/>
      <c r="H611" s="182"/>
    </row>
    <row r="612" spans="2:8" ht="9.75" customHeight="1"/>
    <row r="613" spans="2:8" ht="9.75" customHeight="1"/>
    <row r="614" spans="2:8" ht="9.75" customHeight="1"/>
    <row r="615" spans="2:8" ht="9.75" customHeight="1"/>
    <row r="616" spans="2:8" ht="9.75" customHeight="1"/>
    <row r="617" spans="2:8" ht="9.75" customHeight="1"/>
    <row r="618" spans="2:8" ht="9.75" customHeight="1"/>
    <row r="619" spans="2:8" ht="9.75" customHeight="1"/>
    <row r="620" spans="2:8" ht="9.75" customHeight="1"/>
    <row r="621" spans="2:8" ht="9.75" customHeight="1"/>
    <row r="622" spans="2:8" ht="9.75" customHeight="1"/>
    <row r="623" spans="2:8" ht="9.75" customHeight="1"/>
    <row r="624" spans="2:8" ht="9.75" customHeight="1"/>
    <row r="625" ht="9.75" customHeight="1"/>
    <row r="626" ht="9.75" customHeight="1"/>
    <row r="627" ht="9.75" customHeight="1"/>
    <row r="628" ht="9.75" customHeight="1"/>
    <row r="629" ht="9.75" customHeight="1"/>
    <row r="630" ht="9.75" customHeight="1"/>
    <row r="631" ht="9.75" customHeight="1"/>
    <row r="632" ht="9.75" customHeight="1"/>
    <row r="633" ht="9.75" customHeight="1"/>
    <row r="634" ht="9.75" customHeight="1"/>
    <row r="635" ht="9.75" customHeight="1"/>
    <row r="636" ht="9.75" customHeight="1"/>
    <row r="637" ht="9.75" customHeight="1"/>
    <row r="638" ht="9.75" customHeight="1"/>
    <row r="639" ht="9.75" customHeight="1"/>
    <row r="640" ht="9.75" customHeight="1"/>
    <row r="641" ht="9.75" customHeight="1"/>
    <row r="642" ht="9.75" customHeight="1"/>
    <row r="643" ht="9.75" customHeight="1"/>
    <row r="644" ht="9.75" customHeight="1"/>
    <row r="645" ht="9.75" customHeight="1"/>
    <row r="646" ht="9.75" customHeight="1"/>
    <row r="647" ht="9.75" customHeight="1"/>
    <row r="648" ht="9.75" customHeight="1"/>
    <row r="649" ht="9.75" customHeight="1"/>
    <row r="650" ht="9.75" customHeight="1"/>
    <row r="651" ht="9.75" customHeight="1"/>
    <row r="652" ht="9.75" customHeight="1"/>
    <row r="653" ht="9.75" customHeight="1"/>
    <row r="654" ht="9.75" customHeight="1"/>
    <row r="655" ht="9.75" customHeight="1"/>
    <row r="656" ht="9.75" customHeight="1"/>
    <row r="657" ht="9.75" customHeight="1"/>
    <row r="658" ht="9.75" customHeight="1"/>
    <row r="659" ht="9.75" customHeight="1"/>
    <row r="660" ht="9.75" customHeight="1"/>
    <row r="661" ht="9.75" customHeight="1"/>
    <row r="662" ht="9.75" customHeight="1"/>
    <row r="663" ht="9.75" customHeight="1"/>
    <row r="664" ht="9.75" customHeight="1"/>
    <row r="665" ht="9.75" customHeight="1"/>
    <row r="666" ht="9.75" customHeight="1"/>
    <row r="667" ht="9.75" customHeight="1"/>
    <row r="668" ht="9.75" customHeight="1"/>
    <row r="669" ht="9.75" customHeight="1"/>
    <row r="670" ht="9.75" customHeight="1"/>
    <row r="671" ht="9.75" customHeight="1"/>
    <row r="672" ht="9.75" customHeight="1"/>
    <row r="673" ht="9.75" customHeight="1"/>
    <row r="674" ht="9.75" customHeight="1"/>
    <row r="675" ht="9.75" customHeight="1"/>
    <row r="676" ht="9.75" customHeight="1"/>
    <row r="677" ht="9.75" customHeight="1"/>
    <row r="678" ht="9.75" customHeight="1"/>
    <row r="679" ht="9.75" customHeight="1"/>
    <row r="680" ht="9.75" customHeight="1"/>
    <row r="681" ht="9.75" customHeight="1"/>
    <row r="682" ht="9.75" customHeight="1"/>
    <row r="683" ht="9.75" customHeight="1"/>
    <row r="684" ht="9.75" customHeight="1"/>
    <row r="685" ht="9.75" customHeight="1"/>
    <row r="686" ht="9.75" customHeight="1"/>
    <row r="687" ht="9.75" customHeight="1"/>
    <row r="688" ht="9.75" customHeight="1"/>
    <row r="689" ht="9.75" customHeight="1"/>
    <row r="690" ht="9.75" customHeight="1"/>
    <row r="691" ht="9.75" customHeight="1"/>
    <row r="692" ht="9.75" customHeight="1"/>
    <row r="693" ht="9.75" customHeight="1"/>
    <row r="694" ht="9.75" customHeight="1"/>
    <row r="695" ht="9.75" customHeight="1"/>
    <row r="696" ht="9.75" customHeight="1"/>
    <row r="697" ht="9.75" customHeight="1"/>
    <row r="698" ht="9.75" customHeight="1"/>
    <row r="699" ht="9.75" customHeight="1"/>
    <row r="700" ht="9.75" customHeight="1"/>
    <row r="701" ht="9.75" customHeight="1"/>
    <row r="702" ht="9.75" customHeight="1"/>
    <row r="703" ht="9.75" customHeight="1"/>
    <row r="704" ht="9.75" customHeight="1"/>
    <row r="705" ht="9.75" customHeight="1"/>
    <row r="706" ht="9.75" customHeight="1"/>
    <row r="707" ht="9.75" customHeight="1"/>
    <row r="708" ht="9.75" customHeight="1"/>
    <row r="709" ht="9.75" customHeight="1"/>
    <row r="710" ht="9.75" customHeight="1"/>
    <row r="711" ht="9.75" customHeight="1"/>
    <row r="712" ht="9.75" customHeight="1"/>
    <row r="713" ht="9.75" customHeight="1"/>
    <row r="714" ht="9.75" customHeight="1"/>
    <row r="715" ht="9.75" customHeight="1"/>
    <row r="716" ht="9.75" customHeight="1"/>
    <row r="717" ht="9.75" customHeight="1"/>
    <row r="718" ht="9.75" customHeight="1"/>
    <row r="719" ht="9.75" customHeight="1"/>
    <row r="720" ht="9.75" customHeight="1"/>
    <row r="721" ht="9.75" customHeight="1"/>
    <row r="722" ht="9.75" customHeight="1"/>
    <row r="723" ht="9.75" customHeight="1"/>
    <row r="724" ht="9.75" customHeight="1"/>
    <row r="725" ht="9.75" customHeight="1"/>
    <row r="726" ht="9.75" customHeight="1"/>
    <row r="727" ht="9.75" customHeight="1"/>
    <row r="728" ht="9.75" customHeight="1"/>
    <row r="729" ht="9.75" customHeight="1"/>
    <row r="730" ht="9.75" customHeight="1"/>
    <row r="731" ht="9.75" customHeight="1"/>
    <row r="732" ht="9.75" customHeight="1"/>
    <row r="733" ht="9.75" customHeight="1"/>
    <row r="734" ht="9.75" customHeight="1"/>
    <row r="735" ht="9.75" customHeight="1"/>
    <row r="736" ht="9.75" customHeight="1"/>
    <row r="737" ht="9.75" customHeight="1"/>
    <row r="738" ht="9.75" customHeight="1"/>
    <row r="739" ht="9.75" customHeight="1"/>
    <row r="740" ht="9.75" customHeight="1"/>
    <row r="741" ht="9.75" customHeight="1"/>
    <row r="742" ht="9.75" customHeight="1"/>
    <row r="743" ht="9.75" customHeight="1"/>
    <row r="744" ht="9.75" customHeight="1"/>
    <row r="745" ht="9.75" customHeight="1"/>
    <row r="746" ht="9.75" customHeight="1"/>
    <row r="747" ht="9.75" customHeight="1"/>
    <row r="748" ht="9.75" customHeight="1"/>
    <row r="749" ht="9.75" customHeight="1"/>
    <row r="750" ht="9.75" customHeight="1"/>
    <row r="751" ht="9.75" customHeight="1"/>
    <row r="752" ht="9.75" customHeight="1"/>
    <row r="753" ht="9.75" customHeight="1"/>
    <row r="754" ht="9.75" customHeight="1"/>
    <row r="755" ht="9.75" customHeight="1"/>
    <row r="756" ht="9.75" customHeight="1"/>
    <row r="757" ht="9.75" customHeight="1"/>
    <row r="758" ht="9.75" customHeight="1"/>
    <row r="759" ht="9.75" customHeight="1"/>
    <row r="760" ht="9.75" customHeight="1"/>
    <row r="761" ht="9.75" customHeight="1"/>
    <row r="762" ht="9.75" customHeight="1"/>
    <row r="763" ht="9.75" customHeight="1"/>
    <row r="764" ht="9.75" customHeight="1"/>
    <row r="765" ht="9.75" customHeight="1"/>
    <row r="766" ht="9.75" customHeight="1"/>
    <row r="767" ht="9.75" customHeight="1"/>
    <row r="768" ht="9.75" customHeight="1"/>
    <row r="769" ht="9.75" customHeight="1"/>
    <row r="770" ht="9.75" customHeight="1"/>
    <row r="771" ht="9.75" customHeight="1"/>
    <row r="772" ht="9.75" customHeight="1"/>
    <row r="773" ht="9.75" customHeight="1"/>
    <row r="774" ht="9.75" customHeight="1"/>
    <row r="775" ht="9.75" customHeight="1"/>
    <row r="776" ht="9.75" customHeight="1"/>
    <row r="777" ht="9.75" customHeight="1"/>
    <row r="778" ht="9.75" customHeight="1"/>
    <row r="779" ht="9.75" customHeight="1"/>
    <row r="780" ht="9.75" customHeight="1"/>
    <row r="781" ht="9.75" customHeight="1"/>
    <row r="782" ht="9.75" customHeight="1"/>
    <row r="783" ht="9.75" customHeight="1"/>
    <row r="784" ht="9.75" customHeight="1"/>
    <row r="785" ht="9.75" customHeight="1"/>
    <row r="786" ht="9.75" customHeight="1"/>
    <row r="787" ht="9.75" customHeight="1"/>
    <row r="788" ht="9.75" customHeight="1"/>
    <row r="789" ht="9.75" customHeight="1"/>
    <row r="790" ht="9.75" customHeight="1"/>
    <row r="791" ht="9.75" customHeight="1"/>
  </sheetData>
  <sheetProtection password="D950" sheet="1" objects="1" scenarios="1"/>
  <mergeCells count="311">
    <mergeCell ref="G87:H87"/>
    <mergeCell ref="G175:H175"/>
    <mergeCell ref="D94:E94"/>
    <mergeCell ref="B95:C95"/>
    <mergeCell ref="D95:E95"/>
    <mergeCell ref="C103:E103"/>
    <mergeCell ref="C35:E35"/>
    <mergeCell ref="C36:E36"/>
    <mergeCell ref="C38:E38"/>
    <mergeCell ref="C55:E55"/>
    <mergeCell ref="C98:D98"/>
    <mergeCell ref="C79:E79"/>
    <mergeCell ref="B94:C94"/>
    <mergeCell ref="C69:D69"/>
    <mergeCell ref="C70:D70"/>
    <mergeCell ref="C77:E77"/>
    <mergeCell ref="C78:E78"/>
    <mergeCell ref="C97:D97"/>
    <mergeCell ref="C124:E124"/>
    <mergeCell ref="C125:E125"/>
    <mergeCell ref="C126:E126"/>
    <mergeCell ref="C119:E119"/>
    <mergeCell ref="C120:E120"/>
    <mergeCell ref="C121:E121"/>
    <mergeCell ref="G263:H263"/>
    <mergeCell ref="G351:H351"/>
    <mergeCell ref="C50:D50"/>
    <mergeCell ref="C71:E71"/>
    <mergeCell ref="C72:E72"/>
    <mergeCell ref="C73:E73"/>
    <mergeCell ref="C74:E74"/>
    <mergeCell ref="C75:E75"/>
    <mergeCell ref="C76:E76"/>
    <mergeCell ref="C104:E104"/>
    <mergeCell ref="C105:E105"/>
    <mergeCell ref="C106:E106"/>
    <mergeCell ref="C99:E99"/>
    <mergeCell ref="C100:E100"/>
    <mergeCell ref="C101:E101"/>
    <mergeCell ref="C102:E102"/>
    <mergeCell ref="C117:D117"/>
    <mergeCell ref="C118:D118"/>
    <mergeCell ref="C107:E107"/>
    <mergeCell ref="B114:C114"/>
    <mergeCell ref="D114:E114"/>
    <mergeCell ref="B115:C115"/>
    <mergeCell ref="D115:E115"/>
    <mergeCell ref="C123:E123"/>
    <mergeCell ref="C122:E122"/>
    <mergeCell ref="C137:D137"/>
    <mergeCell ref="C138:D138"/>
    <mergeCell ref="C127:E127"/>
    <mergeCell ref="B134:C134"/>
    <mergeCell ref="D134:E134"/>
    <mergeCell ref="B135:C135"/>
    <mergeCell ref="D135:E135"/>
    <mergeCell ref="C143:E143"/>
    <mergeCell ref="C144:E144"/>
    <mergeCell ref="C145:E145"/>
    <mergeCell ref="C146:E146"/>
    <mergeCell ref="C139:E139"/>
    <mergeCell ref="C140:E140"/>
    <mergeCell ref="C141:E141"/>
    <mergeCell ref="C142:E142"/>
    <mergeCell ref="C157:D157"/>
    <mergeCell ref="C158:D158"/>
    <mergeCell ref="C147:E147"/>
    <mergeCell ref="B154:C154"/>
    <mergeCell ref="D154:E154"/>
    <mergeCell ref="B155:C155"/>
    <mergeCell ref="D155:E155"/>
    <mergeCell ref="C163:E163"/>
    <mergeCell ref="C164:E164"/>
    <mergeCell ref="C165:E165"/>
    <mergeCell ref="C166:E166"/>
    <mergeCell ref="C159:E159"/>
    <mergeCell ref="C160:E160"/>
    <mergeCell ref="C161:E161"/>
    <mergeCell ref="C162:E162"/>
    <mergeCell ref="C185:D185"/>
    <mergeCell ref="C186:D186"/>
    <mergeCell ref="C167:E167"/>
    <mergeCell ref="B182:C182"/>
    <mergeCell ref="D182:E182"/>
    <mergeCell ref="B183:C183"/>
    <mergeCell ref="D183:E183"/>
    <mergeCell ref="C191:E191"/>
    <mergeCell ref="C192:E192"/>
    <mergeCell ref="C193:E193"/>
    <mergeCell ref="C194:E194"/>
    <mergeCell ref="C187:E187"/>
    <mergeCell ref="C188:E188"/>
    <mergeCell ref="C189:E189"/>
    <mergeCell ref="C190:E190"/>
    <mergeCell ref="C205:D205"/>
    <mergeCell ref="C206:D206"/>
    <mergeCell ref="C195:E195"/>
    <mergeCell ref="B202:C202"/>
    <mergeCell ref="D202:E202"/>
    <mergeCell ref="B203:C203"/>
    <mergeCell ref="D203:E203"/>
    <mergeCell ref="C211:E211"/>
    <mergeCell ref="C212:E212"/>
    <mergeCell ref="C213:E213"/>
    <mergeCell ref="C214:E214"/>
    <mergeCell ref="C207:E207"/>
    <mergeCell ref="C208:E208"/>
    <mergeCell ref="C209:E209"/>
    <mergeCell ref="C210:E210"/>
    <mergeCell ref="C225:D225"/>
    <mergeCell ref="C226:D226"/>
    <mergeCell ref="C215:E215"/>
    <mergeCell ref="B222:C222"/>
    <mergeCell ref="D222:E222"/>
    <mergeCell ref="B223:C223"/>
    <mergeCell ref="D223:E223"/>
    <mergeCell ref="C231:E231"/>
    <mergeCell ref="C232:E232"/>
    <mergeCell ref="C233:E233"/>
    <mergeCell ref="C234:E234"/>
    <mergeCell ref="C227:E227"/>
    <mergeCell ref="C228:E228"/>
    <mergeCell ref="C229:E229"/>
    <mergeCell ref="C230:E230"/>
    <mergeCell ref="C245:D245"/>
    <mergeCell ref="C246:D246"/>
    <mergeCell ref="C235:E235"/>
    <mergeCell ref="B242:C242"/>
    <mergeCell ref="D242:E242"/>
    <mergeCell ref="B243:C243"/>
    <mergeCell ref="D243:E243"/>
    <mergeCell ref="C251:E251"/>
    <mergeCell ref="C252:E252"/>
    <mergeCell ref="C253:E253"/>
    <mergeCell ref="C254:E254"/>
    <mergeCell ref="C247:E247"/>
    <mergeCell ref="C248:E248"/>
    <mergeCell ref="C249:E249"/>
    <mergeCell ref="C250:E250"/>
    <mergeCell ref="C273:D273"/>
    <mergeCell ref="C274:D274"/>
    <mergeCell ref="C255:E255"/>
    <mergeCell ref="B270:C270"/>
    <mergeCell ref="D270:E270"/>
    <mergeCell ref="B271:C271"/>
    <mergeCell ref="D271:E271"/>
    <mergeCell ref="C279:E279"/>
    <mergeCell ref="C280:E280"/>
    <mergeCell ref="C281:E281"/>
    <mergeCell ref="C282:E282"/>
    <mergeCell ref="C275:E275"/>
    <mergeCell ref="C276:E276"/>
    <mergeCell ref="C277:E277"/>
    <mergeCell ref="C278:E278"/>
    <mergeCell ref="C293:D293"/>
    <mergeCell ref="C294:D294"/>
    <mergeCell ref="C283:E283"/>
    <mergeCell ref="B290:C290"/>
    <mergeCell ref="D290:E290"/>
    <mergeCell ref="B291:C291"/>
    <mergeCell ref="D291:E291"/>
    <mergeCell ref="C299:E299"/>
    <mergeCell ref="C300:E300"/>
    <mergeCell ref="C301:E301"/>
    <mergeCell ref="C302:E302"/>
    <mergeCell ref="C295:E295"/>
    <mergeCell ref="C296:E296"/>
    <mergeCell ref="C297:E297"/>
    <mergeCell ref="C298:E298"/>
    <mergeCell ref="C313:D313"/>
    <mergeCell ref="C314:D314"/>
    <mergeCell ref="C303:E303"/>
    <mergeCell ref="B310:C310"/>
    <mergeCell ref="D310:E310"/>
    <mergeCell ref="B311:C311"/>
    <mergeCell ref="D311:E311"/>
    <mergeCell ref="C319:E319"/>
    <mergeCell ref="C320:E320"/>
    <mergeCell ref="C321:E321"/>
    <mergeCell ref="C322:E322"/>
    <mergeCell ref="C315:E315"/>
    <mergeCell ref="C316:E316"/>
    <mergeCell ref="C317:E317"/>
    <mergeCell ref="C318:E318"/>
    <mergeCell ref="C333:D333"/>
    <mergeCell ref="C334:D334"/>
    <mergeCell ref="C323:E323"/>
    <mergeCell ref="B330:C330"/>
    <mergeCell ref="D330:E330"/>
    <mergeCell ref="B331:C331"/>
    <mergeCell ref="D331:E331"/>
    <mergeCell ref="C339:E339"/>
    <mergeCell ref="C340:E340"/>
    <mergeCell ref="C341:E341"/>
    <mergeCell ref="C342:E342"/>
    <mergeCell ref="C335:E335"/>
    <mergeCell ref="C336:E336"/>
    <mergeCell ref="C337:E337"/>
    <mergeCell ref="C338:E338"/>
    <mergeCell ref="C361:D361"/>
    <mergeCell ref="C382:D382"/>
    <mergeCell ref="C371:E371"/>
    <mergeCell ref="B378:C378"/>
    <mergeCell ref="D378:E378"/>
    <mergeCell ref="B379:C379"/>
    <mergeCell ref="D379:E379"/>
    <mergeCell ref="C362:D362"/>
    <mergeCell ref="B352:C352"/>
    <mergeCell ref="C343:E343"/>
    <mergeCell ref="B358:C358"/>
    <mergeCell ref="D358:E358"/>
    <mergeCell ref="B359:C359"/>
    <mergeCell ref="D359:E359"/>
    <mergeCell ref="C367:E367"/>
    <mergeCell ref="C368:E368"/>
    <mergeCell ref="C56:E56"/>
    <mergeCell ref="C57:E57"/>
    <mergeCell ref="C58:E58"/>
    <mergeCell ref="C59:E59"/>
    <mergeCell ref="C429:E429"/>
    <mergeCell ref="C430:E430"/>
    <mergeCell ref="C421:D421"/>
    <mergeCell ref="C387:E387"/>
    <mergeCell ref="C388:E388"/>
    <mergeCell ref="C389:E389"/>
    <mergeCell ref="C428:E428"/>
    <mergeCell ref="C390:E390"/>
    <mergeCell ref="C383:E383"/>
    <mergeCell ref="C384:E384"/>
    <mergeCell ref="C385:E385"/>
    <mergeCell ref="C386:E386"/>
    <mergeCell ref="C401:D401"/>
    <mergeCell ref="C402:D402"/>
    <mergeCell ref="C391:E391"/>
    <mergeCell ref="B398:C398"/>
    <mergeCell ref="D398:E398"/>
    <mergeCell ref="B399:C399"/>
    <mergeCell ref="D399:E399"/>
    <mergeCell ref="D418:E418"/>
    <mergeCell ref="C431:E431"/>
    <mergeCell ref="C423:E423"/>
    <mergeCell ref="C424:E424"/>
    <mergeCell ref="C425:E425"/>
    <mergeCell ref="C426:E426"/>
    <mergeCell ref="C427:E427"/>
    <mergeCell ref="B66:C66"/>
    <mergeCell ref="D66:E66"/>
    <mergeCell ref="B67:C67"/>
    <mergeCell ref="D67:E67"/>
    <mergeCell ref="B419:C419"/>
    <mergeCell ref="D419:E419"/>
    <mergeCell ref="C407:E407"/>
    <mergeCell ref="C408:E408"/>
    <mergeCell ref="C409:E409"/>
    <mergeCell ref="C410:E410"/>
    <mergeCell ref="C403:E403"/>
    <mergeCell ref="C369:E369"/>
    <mergeCell ref="C370:E370"/>
    <mergeCell ref="C363:E363"/>
    <mergeCell ref="C364:E364"/>
    <mergeCell ref="C365:E365"/>
    <mergeCell ref="C366:E366"/>
    <mergeCell ref="C381:D381"/>
    <mergeCell ref="C422:D422"/>
    <mergeCell ref="C411:E411"/>
    <mergeCell ref="B418:C418"/>
    <mergeCell ref="B4:H4"/>
    <mergeCell ref="C29:D29"/>
    <mergeCell ref="C19:E19"/>
    <mergeCell ref="C49:D49"/>
    <mergeCell ref="C20:E20"/>
    <mergeCell ref="B26:C26"/>
    <mergeCell ref="D26:E26"/>
    <mergeCell ref="B27:C27"/>
    <mergeCell ref="D27:E27"/>
    <mergeCell ref="C10:D10"/>
    <mergeCell ref="C32:E32"/>
    <mergeCell ref="C33:E33"/>
    <mergeCell ref="C34:E34"/>
    <mergeCell ref="C37:E37"/>
    <mergeCell ref="C404:E404"/>
    <mergeCell ref="C405:E405"/>
    <mergeCell ref="C406:E406"/>
    <mergeCell ref="C51:E51"/>
    <mergeCell ref="C52:E52"/>
    <mergeCell ref="C53:E53"/>
    <mergeCell ref="C54:E54"/>
    <mergeCell ref="G439:H439"/>
    <mergeCell ref="B1:C1"/>
    <mergeCell ref="B88:C88"/>
    <mergeCell ref="B176:C176"/>
    <mergeCell ref="B264:C264"/>
    <mergeCell ref="C13:E13"/>
    <mergeCell ref="C14:E14"/>
    <mergeCell ref="C15:E15"/>
    <mergeCell ref="C16:E16"/>
    <mergeCell ref="C17:E17"/>
    <mergeCell ref="D7:E7"/>
    <mergeCell ref="B7:C7"/>
    <mergeCell ref="B8:C8"/>
    <mergeCell ref="C12:E12"/>
    <mergeCell ref="D8:E8"/>
    <mergeCell ref="C11:D11"/>
    <mergeCell ref="C39:E39"/>
    <mergeCell ref="B46:C46"/>
    <mergeCell ref="D46:E46"/>
    <mergeCell ref="B47:C47"/>
    <mergeCell ref="D47:E47"/>
    <mergeCell ref="C18:E18"/>
    <mergeCell ref="C30:D30"/>
    <mergeCell ref="C31:E31"/>
  </mergeCells>
  <phoneticPr fontId="18" type="noConversion"/>
  <conditionalFormatting sqref="D7:E7">
    <cfRule type="notContainsBlanks" dxfId="60" priority="60">
      <formula>LEN(TRIM(D7))&gt;0</formula>
    </cfRule>
  </conditionalFormatting>
  <conditionalFormatting sqref="D8:E8">
    <cfRule type="notContainsBlanks" dxfId="59" priority="59">
      <formula>LEN(TRIM(D8))&gt;0</formula>
    </cfRule>
  </conditionalFormatting>
  <conditionalFormatting sqref="D26:E26">
    <cfRule type="notContainsBlanks" dxfId="58" priority="58">
      <formula>LEN(TRIM(D26))&gt;0</formula>
    </cfRule>
  </conditionalFormatting>
  <conditionalFormatting sqref="D27:E27">
    <cfRule type="notContainsBlanks" dxfId="57" priority="57">
      <formula>LEN(TRIM(D27))&gt;0</formula>
    </cfRule>
  </conditionalFormatting>
  <conditionalFormatting sqref="D46:E46">
    <cfRule type="notContainsBlanks" dxfId="56" priority="56">
      <formula>LEN(TRIM(D46))&gt;0</formula>
    </cfRule>
  </conditionalFormatting>
  <conditionalFormatting sqref="D47:E47">
    <cfRule type="notContainsBlanks" dxfId="55" priority="55">
      <formula>LEN(TRIM(D47))&gt;0</formula>
    </cfRule>
  </conditionalFormatting>
  <conditionalFormatting sqref="D66:E66">
    <cfRule type="notContainsBlanks" dxfId="54" priority="54">
      <formula>LEN(TRIM(D66))&gt;0</formula>
    </cfRule>
  </conditionalFormatting>
  <conditionalFormatting sqref="D67:E67">
    <cfRule type="notContainsBlanks" dxfId="53" priority="53">
      <formula>LEN(TRIM(D67))&gt;0</formula>
    </cfRule>
  </conditionalFormatting>
  <conditionalFormatting sqref="D94:E94">
    <cfRule type="notContainsBlanks" dxfId="52" priority="52">
      <formula>LEN(TRIM(D94))&gt;0</formula>
    </cfRule>
  </conditionalFormatting>
  <conditionalFormatting sqref="D95:E95">
    <cfRule type="notContainsBlanks" dxfId="51" priority="51">
      <formula>LEN(TRIM(D95))&gt;0</formula>
    </cfRule>
  </conditionalFormatting>
  <conditionalFormatting sqref="D114:E114">
    <cfRule type="notContainsBlanks" dxfId="50" priority="50">
      <formula>LEN(TRIM(D114))&gt;0</formula>
    </cfRule>
  </conditionalFormatting>
  <conditionalFormatting sqref="D115:E115">
    <cfRule type="notContainsBlanks" dxfId="49" priority="49">
      <formula>LEN(TRIM(D115))&gt;0</formula>
    </cfRule>
  </conditionalFormatting>
  <conditionalFormatting sqref="D134:E134">
    <cfRule type="notContainsBlanks" dxfId="48" priority="48">
      <formula>LEN(TRIM(D134))&gt;0</formula>
    </cfRule>
  </conditionalFormatting>
  <conditionalFormatting sqref="D135:E135">
    <cfRule type="notContainsBlanks" dxfId="47" priority="47">
      <formula>LEN(TRIM(D135))&gt;0</formula>
    </cfRule>
  </conditionalFormatting>
  <conditionalFormatting sqref="D154:E154">
    <cfRule type="notContainsBlanks" dxfId="46" priority="46">
      <formula>LEN(TRIM(D154))&gt;0</formula>
    </cfRule>
  </conditionalFormatting>
  <conditionalFormatting sqref="D155:E155">
    <cfRule type="notContainsBlanks" dxfId="45" priority="45">
      <formula>LEN(TRIM(D155))&gt;0</formula>
    </cfRule>
  </conditionalFormatting>
  <conditionalFormatting sqref="D182:E182">
    <cfRule type="notContainsBlanks" dxfId="44" priority="44">
      <formula>LEN(TRIM(D182))&gt;0</formula>
    </cfRule>
  </conditionalFormatting>
  <conditionalFormatting sqref="D183:E183">
    <cfRule type="notContainsBlanks" dxfId="43" priority="43">
      <formula>LEN(TRIM(D183))&gt;0</formula>
    </cfRule>
  </conditionalFormatting>
  <conditionalFormatting sqref="D202:E202">
    <cfRule type="notContainsBlanks" dxfId="42" priority="42">
      <formula>LEN(TRIM(D202))&gt;0</formula>
    </cfRule>
  </conditionalFormatting>
  <conditionalFormatting sqref="D203:E203">
    <cfRule type="notContainsBlanks" dxfId="41" priority="41">
      <formula>LEN(TRIM(D203))&gt;0</formula>
    </cfRule>
  </conditionalFormatting>
  <conditionalFormatting sqref="D222:E222">
    <cfRule type="notContainsBlanks" dxfId="40" priority="40">
      <formula>LEN(TRIM(D222))&gt;0</formula>
    </cfRule>
  </conditionalFormatting>
  <conditionalFormatting sqref="D223:E223">
    <cfRule type="notContainsBlanks" dxfId="39" priority="39">
      <formula>LEN(TRIM(D223))&gt;0</formula>
    </cfRule>
  </conditionalFormatting>
  <conditionalFormatting sqref="D242:E242">
    <cfRule type="notContainsBlanks" dxfId="38" priority="38">
      <formula>LEN(TRIM(D242))&gt;0</formula>
    </cfRule>
  </conditionalFormatting>
  <conditionalFormatting sqref="D243:E243">
    <cfRule type="notContainsBlanks" dxfId="37" priority="37">
      <formula>LEN(TRIM(D243))&gt;0</formula>
    </cfRule>
  </conditionalFormatting>
  <conditionalFormatting sqref="D270:E270">
    <cfRule type="notContainsBlanks" dxfId="36" priority="36">
      <formula>LEN(TRIM(D270))&gt;0</formula>
    </cfRule>
  </conditionalFormatting>
  <conditionalFormatting sqref="D271:E271">
    <cfRule type="notContainsBlanks" dxfId="35" priority="35">
      <formula>LEN(TRIM(D271))&gt;0</formula>
    </cfRule>
  </conditionalFormatting>
  <conditionalFormatting sqref="D290:E290">
    <cfRule type="notContainsBlanks" dxfId="34" priority="34">
      <formula>LEN(TRIM(D290))&gt;0</formula>
    </cfRule>
  </conditionalFormatting>
  <conditionalFormatting sqref="D291:E291">
    <cfRule type="notContainsBlanks" dxfId="33" priority="33">
      <formula>LEN(TRIM(D291))&gt;0</formula>
    </cfRule>
  </conditionalFormatting>
  <conditionalFormatting sqref="D310:E310">
    <cfRule type="notContainsBlanks" dxfId="32" priority="32">
      <formula>LEN(TRIM(D310))&gt;0</formula>
    </cfRule>
  </conditionalFormatting>
  <conditionalFormatting sqref="D311:E311">
    <cfRule type="notContainsBlanks" dxfId="31" priority="31">
      <formula>LEN(TRIM(D311))&gt;0</formula>
    </cfRule>
  </conditionalFormatting>
  <conditionalFormatting sqref="D330:E330">
    <cfRule type="notContainsBlanks" dxfId="30" priority="30">
      <formula>LEN(TRIM(D330))&gt;0</formula>
    </cfRule>
  </conditionalFormatting>
  <conditionalFormatting sqref="D331:E331">
    <cfRule type="notContainsBlanks" dxfId="29" priority="29">
      <formula>LEN(TRIM(D331))&gt;0</formula>
    </cfRule>
  </conditionalFormatting>
  <conditionalFormatting sqref="D358:E358">
    <cfRule type="notContainsBlanks" dxfId="28" priority="28">
      <formula>LEN(TRIM(D358))&gt;0</formula>
    </cfRule>
  </conditionalFormatting>
  <conditionalFormatting sqref="D359:E359">
    <cfRule type="notContainsBlanks" dxfId="27" priority="27">
      <formula>LEN(TRIM(D359))&gt;0</formula>
    </cfRule>
  </conditionalFormatting>
  <conditionalFormatting sqref="D378:E378">
    <cfRule type="notContainsBlanks" dxfId="26" priority="26">
      <formula>LEN(TRIM(D378))&gt;0</formula>
    </cfRule>
  </conditionalFormatting>
  <conditionalFormatting sqref="D379:E379">
    <cfRule type="notContainsBlanks" dxfId="25" priority="25">
      <formula>LEN(TRIM(D379))&gt;0</formula>
    </cfRule>
  </conditionalFormatting>
  <conditionalFormatting sqref="D398:E398">
    <cfRule type="notContainsBlanks" dxfId="24" priority="24">
      <formula>LEN(TRIM(D398))&gt;0</formula>
    </cfRule>
  </conditionalFormatting>
  <conditionalFormatting sqref="D399:E399">
    <cfRule type="notContainsBlanks" dxfId="23" priority="23">
      <formula>LEN(TRIM(D399))&gt;0</formula>
    </cfRule>
  </conditionalFormatting>
  <conditionalFormatting sqref="D418:E418">
    <cfRule type="notContainsBlanks" dxfId="22" priority="22">
      <formula>LEN(TRIM(D418))&gt;0</formula>
    </cfRule>
  </conditionalFormatting>
  <conditionalFormatting sqref="D419:E419">
    <cfRule type="notContainsBlanks" dxfId="21" priority="21">
      <formula>LEN(TRIM(D419))&gt;0</formula>
    </cfRule>
  </conditionalFormatting>
  <conditionalFormatting sqref="H7">
    <cfRule type="notContainsBlanks" dxfId="20" priority="20">
      <formula>LEN(TRIM(H7))&gt;0</formula>
    </cfRule>
  </conditionalFormatting>
  <conditionalFormatting sqref="H26">
    <cfRule type="notContainsBlanks" dxfId="19" priority="19">
      <formula>LEN(TRIM(H26))&gt;0</formula>
    </cfRule>
  </conditionalFormatting>
  <conditionalFormatting sqref="H46">
    <cfRule type="notContainsBlanks" dxfId="18" priority="18">
      <formula>LEN(TRIM(H46))&gt;0</formula>
    </cfRule>
  </conditionalFormatting>
  <conditionalFormatting sqref="H66">
    <cfRule type="notContainsBlanks" dxfId="17" priority="17">
      <formula>LEN(TRIM(H66))&gt;0</formula>
    </cfRule>
  </conditionalFormatting>
  <conditionalFormatting sqref="H94">
    <cfRule type="notContainsBlanks" dxfId="16" priority="16">
      <formula>LEN(TRIM(H94))&gt;0</formula>
    </cfRule>
  </conditionalFormatting>
  <conditionalFormatting sqref="H114">
    <cfRule type="notContainsBlanks" dxfId="15" priority="15">
      <formula>LEN(TRIM(H114))&gt;0</formula>
    </cfRule>
  </conditionalFormatting>
  <conditionalFormatting sqref="H134">
    <cfRule type="notContainsBlanks" dxfId="14" priority="14">
      <formula>LEN(TRIM(H134))&gt;0</formula>
    </cfRule>
  </conditionalFormatting>
  <conditionalFormatting sqref="H154">
    <cfRule type="notContainsBlanks" dxfId="13" priority="13">
      <formula>LEN(TRIM(H154))&gt;0</formula>
    </cfRule>
  </conditionalFormatting>
  <conditionalFormatting sqref="H182">
    <cfRule type="notContainsBlanks" dxfId="12" priority="12">
      <formula>LEN(TRIM(H182))&gt;0</formula>
    </cfRule>
  </conditionalFormatting>
  <conditionalFormatting sqref="H202">
    <cfRule type="notContainsBlanks" dxfId="11" priority="11">
      <formula>LEN(TRIM(H202))&gt;0</formula>
    </cfRule>
  </conditionalFormatting>
  <conditionalFormatting sqref="H222">
    <cfRule type="notContainsBlanks" dxfId="10" priority="10">
      <formula>LEN(TRIM(H222))&gt;0</formula>
    </cfRule>
  </conditionalFormatting>
  <conditionalFormatting sqref="H242">
    <cfRule type="notContainsBlanks" dxfId="9" priority="9">
      <formula>LEN(TRIM(H242))&gt;0</formula>
    </cfRule>
  </conditionalFormatting>
  <conditionalFormatting sqref="H270">
    <cfRule type="notContainsBlanks" dxfId="8" priority="8">
      <formula>LEN(TRIM(H270))&gt;0</formula>
    </cfRule>
  </conditionalFormatting>
  <conditionalFormatting sqref="H290">
    <cfRule type="notContainsBlanks" dxfId="7" priority="7">
      <formula>LEN(TRIM(H290))&gt;0</formula>
    </cfRule>
  </conditionalFormatting>
  <conditionalFormatting sqref="H310">
    <cfRule type="notContainsBlanks" dxfId="6" priority="6">
      <formula>LEN(TRIM(H310))&gt;0</formula>
    </cfRule>
  </conditionalFormatting>
  <conditionalFormatting sqref="H330">
    <cfRule type="notContainsBlanks" dxfId="5" priority="5">
      <formula>LEN(TRIM(H330))&gt;0</formula>
    </cfRule>
  </conditionalFormatting>
  <conditionalFormatting sqref="H358">
    <cfRule type="notContainsBlanks" dxfId="4" priority="4">
      <formula>LEN(TRIM(H358))&gt;0</formula>
    </cfRule>
  </conditionalFormatting>
  <conditionalFormatting sqref="H378">
    <cfRule type="notContainsBlanks" dxfId="3" priority="3">
      <formula>LEN(TRIM(H378))&gt;0</formula>
    </cfRule>
  </conditionalFormatting>
  <conditionalFormatting sqref="H398">
    <cfRule type="notContainsBlanks" dxfId="2" priority="2">
      <formula>LEN(TRIM(H398))&gt;0</formula>
    </cfRule>
  </conditionalFormatting>
  <conditionalFormatting sqref="H418">
    <cfRule type="notContainsBlanks" dxfId="1" priority="1">
      <formula>LEN(TRIM(H418))&gt;0</formula>
    </cfRule>
  </conditionalFormatting>
  <dataValidations count="1">
    <dataValidation type="decimal" errorStyle="information" operator="lessThan" allowBlank="1" showInputMessage="1" showErrorMessage="1" errorTitle="Bauteilabmessungen" error="Beachten Sie, dass die Eingabe in Metern erfolgen muss. Ihre Eingabe ist unüblich gross." sqref="F12:F20 F403:F411 F423:F431 F31:F39 F51:F59 F99:F107 F119:F127 F139:F147 F159:F167 F187:F195 F207:F215 F227:F235 F247:F255 F275:F283 F295:F303 F315:F323 F335:F343 F363:F371 F383:F391 F71:F79" xr:uid="{00000000-0002-0000-0600-000000000000}">
      <formula1>1</formula1>
    </dataValidation>
  </dataValidations>
  <pageMargins left="0.79000000000000015" right="0.39000000000000007" top="0.55000000000000004" bottom="0.55000000000000004" header="0.51" footer="0.51"/>
  <pageSetup paperSize="9" scale="82" orientation="portrait" horizontalDpi="4294967292" verticalDpi="4294967292"/>
  <headerFooter>
    <oddFooter>&amp;L&amp;"Arial,Standard"&amp;8&amp;Z&amp;F&amp;R&amp;"Arial,Standard"&amp;8ausgedruckt am: &amp;D; &amp;T</oddFooter>
  </headerFooter>
  <rowBreaks count="4" manualBreakCount="4">
    <brk id="86" min="1" max="7" man="1"/>
    <brk id="174" min="1" max="7" man="1"/>
    <brk id="262" min="1" max="7" man="1"/>
    <brk id="350" min="1" max="7" man="1"/>
  </rowBreaks>
  <colBreaks count="1" manualBreakCount="1">
    <brk id="8" max="1048575" man="1"/>
  </colBreaks>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1">
    <tabColor rgb="FF00B050"/>
    <pageSetUpPr autoPageBreaks="0"/>
  </sheetPr>
  <dimension ref="B2:AP162"/>
  <sheetViews>
    <sheetView showGridLines="0" showRowColHeaders="0" zoomScale="125" zoomScaleNormal="125" zoomScaleSheetLayoutView="120" zoomScalePageLayoutView="125" workbookViewId="0">
      <selection activeCell="K2" sqref="K2"/>
    </sheetView>
  </sheetViews>
  <sheetFormatPr baseColWidth="10" defaultColWidth="10.875" defaultRowHeight="10.199999999999999"/>
  <cols>
    <col min="1" max="1" width="7.875" style="149" customWidth="1"/>
    <col min="2" max="2" width="4.375" style="149" customWidth="1"/>
    <col min="3" max="3" width="34.625" style="149" customWidth="1"/>
    <col min="4" max="7" width="8.875" style="149" customWidth="1"/>
    <col min="8" max="11" width="11.5" style="149" customWidth="1"/>
    <col min="12" max="12" width="6" style="149" customWidth="1"/>
    <col min="13" max="14" width="12.875" style="149" customWidth="1"/>
    <col min="15" max="21" width="12.875" style="149" hidden="1" customWidth="1"/>
    <col min="22" max="22" width="12.875" style="163" hidden="1" customWidth="1"/>
    <col min="23" max="24" width="12.875" style="149" hidden="1" customWidth="1"/>
    <col min="25" max="25" width="10.875" style="155" hidden="1" customWidth="1"/>
    <col min="26" max="42" width="10.875" style="149" hidden="1" customWidth="1"/>
    <col min="43" max="46" width="0" style="149" hidden="1" customWidth="1"/>
    <col min="47" max="16384" width="10.875" style="149"/>
  </cols>
  <sheetData>
    <row r="2" spans="2:40" ht="11.4">
      <c r="B2" s="1359">
        <f>Nutzung!G10</f>
        <v>0</v>
      </c>
      <c r="C2" s="1359"/>
      <c r="D2" s="1359"/>
      <c r="E2" s="1359"/>
      <c r="F2" s="1360">
        <f>Nutzung!E8</f>
        <v>0</v>
      </c>
      <c r="G2" s="1360"/>
      <c r="I2" s="644"/>
      <c r="J2" s="644"/>
      <c r="K2" s="1025" t="s">
        <v>167</v>
      </c>
    </row>
    <row r="4" spans="2:40">
      <c r="O4" s="1353" t="s">
        <v>598</v>
      </c>
      <c r="P4" s="1353"/>
      <c r="R4" s="149" t="s">
        <v>599</v>
      </c>
    </row>
    <row r="5" spans="2:40">
      <c r="R5" s="149" t="s">
        <v>600</v>
      </c>
    </row>
    <row r="6" spans="2:40">
      <c r="O6" s="155" t="s">
        <v>601</v>
      </c>
      <c r="P6" s="155" t="s">
        <v>602</v>
      </c>
      <c r="R6" s="149" t="s">
        <v>603</v>
      </c>
    </row>
    <row r="7" spans="2:40">
      <c r="O7" s="1026">
        <v>3</v>
      </c>
      <c r="P7" s="1026">
        <v>3</v>
      </c>
      <c r="V7" s="163" t="s">
        <v>604</v>
      </c>
      <c r="AF7" s="163" t="s">
        <v>605</v>
      </c>
      <c r="AI7" s="155"/>
    </row>
    <row r="8" spans="2:40">
      <c r="AF8" s="163"/>
      <c r="AI8" s="155"/>
    </row>
    <row r="9" spans="2:40" ht="19.2">
      <c r="B9" s="1354" t="str">
        <f>IF(O7=1,P9,O9)</f>
        <v>U-Wert Berechnung inhomogene Dachkonstruktion</v>
      </c>
      <c r="C9" s="1354"/>
      <c r="D9" s="1354"/>
      <c r="E9" s="1354"/>
      <c r="F9" s="1354"/>
      <c r="G9" s="1354"/>
      <c r="H9" s="1354"/>
      <c r="I9" s="1354"/>
      <c r="J9" s="1354"/>
      <c r="K9" s="1354"/>
      <c r="L9" s="148"/>
      <c r="O9" s="149" t="s">
        <v>606</v>
      </c>
      <c r="P9" s="149" t="s">
        <v>607</v>
      </c>
      <c r="V9" s="163" t="s">
        <v>608</v>
      </c>
      <c r="AF9" s="163" t="s">
        <v>608</v>
      </c>
      <c r="AI9" s="155"/>
    </row>
    <row r="10" spans="2:40" ht="19.2">
      <c r="B10" s="148"/>
      <c r="C10" s="148"/>
      <c r="D10" s="148"/>
      <c r="E10" s="148"/>
      <c r="F10" s="148"/>
      <c r="G10" s="148"/>
      <c r="H10" s="148"/>
      <c r="I10" s="148"/>
      <c r="J10" s="148"/>
      <c r="K10" s="148"/>
      <c r="L10" s="148"/>
      <c r="AF10" s="163"/>
      <c r="AI10" s="155"/>
    </row>
    <row r="11" spans="2:40" ht="9.75" customHeight="1">
      <c r="B11" s="1027"/>
      <c r="C11" s="1028"/>
      <c r="D11" s="1028"/>
      <c r="E11" s="1028"/>
      <c r="F11" s="1028"/>
      <c r="G11" s="1028"/>
      <c r="H11" s="1028"/>
      <c r="I11" s="1028"/>
      <c r="J11" s="1028"/>
      <c r="K11" s="1029"/>
      <c r="V11" s="163" t="s">
        <v>609</v>
      </c>
      <c r="W11" s="167" t="str">
        <f>IF(O7=1,"horizontal","aufwärts")</f>
        <v>aufwärts</v>
      </c>
      <c r="AF11" s="163" t="s">
        <v>609</v>
      </c>
      <c r="AG11" s="167" t="str">
        <f>IF(P7=1,"horizontal","aufwärts")</f>
        <v>aufwärts</v>
      </c>
      <c r="AI11" s="155"/>
    </row>
    <row r="12" spans="2:40" ht="18" customHeight="1">
      <c r="B12" s="1030"/>
      <c r="C12" s="997" t="s">
        <v>4</v>
      </c>
      <c r="D12" s="1355" t="s">
        <v>451</v>
      </c>
      <c r="E12" s="1355"/>
      <c r="F12" s="1355"/>
      <c r="G12" s="150"/>
      <c r="H12" s="1356" t="s">
        <v>463</v>
      </c>
      <c r="I12" s="1356"/>
      <c r="J12" s="1356"/>
      <c r="K12" s="1357"/>
      <c r="V12" s="163" t="s">
        <v>610</v>
      </c>
      <c r="X12" s="1353" t="s">
        <v>611</v>
      </c>
      <c r="Y12" s="1353"/>
      <c r="Z12" s="1353"/>
      <c r="AB12" s="149" t="s">
        <v>612</v>
      </c>
      <c r="AF12" s="163" t="s">
        <v>610</v>
      </c>
      <c r="AH12" s="1353" t="s">
        <v>611</v>
      </c>
      <c r="AI12" s="1353"/>
      <c r="AJ12" s="1353"/>
      <c r="AL12" s="149" t="s">
        <v>612</v>
      </c>
    </row>
    <row r="13" spans="2:40" ht="18" customHeight="1">
      <c r="B13" s="1030"/>
      <c r="C13" s="998" t="s">
        <v>510</v>
      </c>
      <c r="D13" s="1355" t="s">
        <v>431</v>
      </c>
      <c r="E13" s="1355"/>
      <c r="F13" s="1355"/>
      <c r="G13" s="150"/>
      <c r="H13" s="150"/>
      <c r="I13" s="150"/>
      <c r="J13" s="150"/>
      <c r="K13" s="1031"/>
      <c r="X13" s="155" t="s">
        <v>514</v>
      </c>
      <c r="Y13" s="155" t="s">
        <v>613</v>
      </c>
      <c r="Z13" s="155" t="s">
        <v>614</v>
      </c>
      <c r="AB13" s="149" t="s">
        <v>604</v>
      </c>
      <c r="AF13" s="163"/>
      <c r="AH13" s="155" t="s">
        <v>514</v>
      </c>
      <c r="AI13" s="155" t="s">
        <v>613</v>
      </c>
      <c r="AJ13" s="155" t="s">
        <v>614</v>
      </c>
      <c r="AL13" s="149" t="s">
        <v>605</v>
      </c>
    </row>
    <row r="14" spans="2:40" ht="18" customHeight="1">
      <c r="B14" s="1030"/>
      <c r="C14" s="999"/>
      <c r="D14" s="999"/>
      <c r="E14" s="999"/>
      <c r="F14" s="999"/>
      <c r="G14" s="150"/>
      <c r="H14" s="151"/>
      <c r="I14" s="150"/>
      <c r="J14" s="150"/>
      <c r="K14" s="1031"/>
      <c r="M14" s="1061"/>
      <c r="V14" s="1032">
        <v>5</v>
      </c>
      <c r="W14" s="167"/>
      <c r="X14" s="1033">
        <v>0.11</v>
      </c>
      <c r="Y14" s="1033">
        <v>0.11</v>
      </c>
      <c r="Z14" s="1034">
        <f t="shared" ref="Z14:Z77" si="0">IF($O$7=1,X14,Y14)</f>
        <v>0.11</v>
      </c>
      <c r="AB14" s="149" t="s">
        <v>615</v>
      </c>
      <c r="AD14" s="149">
        <f>D25*1000</f>
        <v>25</v>
      </c>
      <c r="AF14" s="1032">
        <v>5</v>
      </c>
      <c r="AG14" s="167"/>
      <c r="AH14" s="1033">
        <v>0.11</v>
      </c>
      <c r="AI14" s="1033">
        <v>0.11</v>
      </c>
      <c r="AJ14" s="1034">
        <f>IF($P$7=1,AH14,AI14)</f>
        <v>0.11</v>
      </c>
      <c r="AL14" s="149" t="s">
        <v>615</v>
      </c>
      <c r="AN14" s="1035">
        <f>D76*1000</f>
        <v>25</v>
      </c>
    </row>
    <row r="15" spans="2:40" ht="18" customHeight="1">
      <c r="B15" s="1030"/>
      <c r="C15" s="1000" t="s">
        <v>524</v>
      </c>
      <c r="D15" s="999"/>
      <c r="E15" s="999"/>
      <c r="F15" s="999"/>
      <c r="G15" s="150"/>
      <c r="H15" s="150"/>
      <c r="I15" s="151"/>
      <c r="J15" s="150"/>
      <c r="K15" s="1036"/>
      <c r="V15" s="163">
        <v>6</v>
      </c>
      <c r="X15" s="1037">
        <f>Y15</f>
        <v>0.11799999999999999</v>
      </c>
      <c r="Y15" s="1037">
        <v>0.11799999999999999</v>
      </c>
      <c r="Z15" s="157">
        <f t="shared" si="0"/>
        <v>0.11799999999999999</v>
      </c>
      <c r="AB15" s="149" t="s">
        <v>616</v>
      </c>
      <c r="AD15" s="149">
        <f>IF(WD_ohne="","",VLOOKUP(WD_ohne,'U-Wert inhomogen'!$V$14:$Z$145,5))</f>
        <v>0.16</v>
      </c>
      <c r="AF15" s="163">
        <v>6</v>
      </c>
      <c r="AH15" s="1037">
        <f>AI15</f>
        <v>0.11799999999999999</v>
      </c>
      <c r="AI15" s="1037">
        <v>0.11799999999999999</v>
      </c>
      <c r="AJ15" s="157">
        <f t="shared" ref="AJ15:AJ31" si="1">IF($P$7=1,AH15,AI15)</f>
        <v>0.11799999999999999</v>
      </c>
      <c r="AL15" s="149" t="s">
        <v>616</v>
      </c>
      <c r="AN15" s="149">
        <f>IF(WD_mit="","",VLOOKUP(WD_mit,'U-Wert inhomogen'!$AF$14:$AJ$145,5))</f>
        <v>0.16</v>
      </c>
    </row>
    <row r="16" spans="2:40" ht="18" customHeight="1">
      <c r="B16" s="1030"/>
      <c r="C16" s="997" t="str">
        <f>IF($O$7=1,P16,O16)</f>
        <v/>
      </c>
      <c r="D16" s="1001">
        <v>0.1</v>
      </c>
      <c r="E16" s="997"/>
      <c r="F16" s="997"/>
      <c r="G16" s="150"/>
      <c r="H16" s="150"/>
      <c r="I16" s="150"/>
      <c r="J16" s="150"/>
      <c r="K16" s="1036"/>
      <c r="O16" s="149" t="str">
        <f>IF(O7=3,"","Sparrenbreite [m]:")</f>
        <v/>
      </c>
      <c r="P16" s="149" t="str">
        <f>IF(O7=3,"","Riegelbreite [m]:")</f>
        <v/>
      </c>
      <c r="V16" s="163">
        <v>7</v>
      </c>
      <c r="X16" s="1037">
        <f>Y16</f>
        <v>0.126</v>
      </c>
      <c r="Y16" s="1037">
        <v>0.126</v>
      </c>
      <c r="Z16" s="157">
        <f t="shared" si="0"/>
        <v>0.126</v>
      </c>
      <c r="AF16" s="163">
        <v>7</v>
      </c>
      <c r="AH16" s="1037">
        <f>AI16</f>
        <v>0.126</v>
      </c>
      <c r="AI16" s="1037">
        <v>0.126</v>
      </c>
      <c r="AJ16" s="157">
        <f t="shared" si="1"/>
        <v>0.126</v>
      </c>
    </row>
    <row r="17" spans="2:36" ht="18" customHeight="1">
      <c r="B17" s="1030"/>
      <c r="C17" s="997" t="str">
        <f>IF($O$7=1,P17,O17)</f>
        <v/>
      </c>
      <c r="D17" s="1001">
        <v>0.2</v>
      </c>
      <c r="E17" s="997"/>
      <c r="F17" s="1002"/>
      <c r="G17" s="150"/>
      <c r="H17" s="150"/>
      <c r="I17" s="150"/>
      <c r="J17" s="150"/>
      <c r="K17" s="1036"/>
      <c r="O17" s="149" t="str">
        <f>IF(O7=3,"","Sparrenhöhe [m]:")</f>
        <v/>
      </c>
      <c r="P17" s="149" t="str">
        <f>IF(O7=3,"","Riegeltiefe [m]:")</f>
        <v/>
      </c>
      <c r="V17" s="163">
        <v>8</v>
      </c>
      <c r="X17" s="1037">
        <f>Y17</f>
        <v>0.13400000000000001</v>
      </c>
      <c r="Y17" s="1037">
        <v>0.13400000000000001</v>
      </c>
      <c r="Z17" s="157">
        <f t="shared" si="0"/>
        <v>0.13400000000000001</v>
      </c>
      <c r="AF17" s="163">
        <v>8</v>
      </c>
      <c r="AH17" s="1037">
        <f>AI17</f>
        <v>0.13400000000000001</v>
      </c>
      <c r="AI17" s="1037">
        <v>0.13400000000000001</v>
      </c>
      <c r="AJ17" s="157">
        <f t="shared" si="1"/>
        <v>0.13400000000000001</v>
      </c>
    </row>
    <row r="18" spans="2:36" ht="18" customHeight="1">
      <c r="B18" s="1030"/>
      <c r="C18" s="997" t="str">
        <f>IF($O$7=1,P18,O18)</f>
        <v/>
      </c>
      <c r="D18" s="1001">
        <v>0.55000000000000004</v>
      </c>
      <c r="E18" s="997"/>
      <c r="F18" s="1002"/>
      <c r="G18" s="150"/>
      <c r="H18" s="150"/>
      <c r="I18" s="150"/>
      <c r="J18" s="150"/>
      <c r="K18" s="1036"/>
      <c r="O18" s="149" t="str">
        <f>IF($O$7=3,"","Sparrenabstand [m]:")</f>
        <v/>
      </c>
      <c r="P18" s="149" t="str">
        <f>IF($O$7=3,"","Riegelabstand [m]:")</f>
        <v/>
      </c>
      <c r="V18" s="163">
        <v>9</v>
      </c>
      <c r="X18" s="1037">
        <f>Y18</f>
        <v>0.14199999999999999</v>
      </c>
      <c r="Y18" s="1037">
        <v>0.14199999999999999</v>
      </c>
      <c r="Z18" s="157">
        <f t="shared" si="0"/>
        <v>0.14199999999999999</v>
      </c>
      <c r="AF18" s="163">
        <v>9</v>
      </c>
      <c r="AH18" s="1037">
        <f>AI18</f>
        <v>0.14199999999999999</v>
      </c>
      <c r="AI18" s="1037">
        <v>0.14199999999999999</v>
      </c>
      <c r="AJ18" s="157">
        <f t="shared" si="1"/>
        <v>0.14199999999999999</v>
      </c>
    </row>
    <row r="19" spans="2:36" ht="18" customHeight="1">
      <c r="B19" s="1030"/>
      <c r="C19" s="997"/>
      <c r="D19" s="1038"/>
      <c r="E19" s="997"/>
      <c r="F19" s="1002"/>
      <c r="G19" s="150"/>
      <c r="H19" s="150"/>
      <c r="I19" s="150"/>
      <c r="J19" s="150"/>
      <c r="K19" s="1036"/>
      <c r="V19" s="1032">
        <v>10</v>
      </c>
      <c r="W19" s="167"/>
      <c r="X19" s="1033">
        <v>0.15</v>
      </c>
      <c r="Y19" s="1033">
        <v>0.15</v>
      </c>
      <c r="Z19" s="1034">
        <f t="shared" si="0"/>
        <v>0.15</v>
      </c>
      <c r="AF19" s="1032">
        <v>10</v>
      </c>
      <c r="AG19" s="167"/>
      <c r="AH19" s="1033">
        <v>0.15</v>
      </c>
      <c r="AI19" s="1033">
        <v>0.15</v>
      </c>
      <c r="AJ19" s="1034">
        <f t="shared" si="1"/>
        <v>0.15</v>
      </c>
    </row>
    <row r="20" spans="2:36" ht="18" customHeight="1">
      <c r="B20" s="1030"/>
      <c r="C20" s="997" t="s">
        <v>617</v>
      </c>
      <c r="D20" s="1001" t="s">
        <v>618</v>
      </c>
      <c r="E20" s="997"/>
      <c r="F20" s="1002"/>
      <c r="G20" s="150"/>
      <c r="H20" s="150"/>
      <c r="I20" s="150"/>
      <c r="J20" s="150"/>
      <c r="K20" s="1036"/>
      <c r="V20" s="163">
        <v>11</v>
      </c>
      <c r="X20" s="1037">
        <v>0.152</v>
      </c>
      <c r="Y20" s="1037">
        <v>0.1507</v>
      </c>
      <c r="Z20" s="157">
        <f t="shared" si="0"/>
        <v>0.1507</v>
      </c>
      <c r="AF20" s="163">
        <v>11</v>
      </c>
      <c r="AH20" s="1037">
        <v>0.152</v>
      </c>
      <c r="AI20" s="1037">
        <v>0.1507</v>
      </c>
      <c r="AJ20" s="157">
        <f t="shared" si="1"/>
        <v>0.1507</v>
      </c>
    </row>
    <row r="21" spans="2:36" ht="18" customHeight="1">
      <c r="B21" s="1030"/>
      <c r="C21" s="997"/>
      <c r="D21" s="1002"/>
      <c r="E21" s="997"/>
      <c r="F21" s="1002"/>
      <c r="G21" s="150"/>
      <c r="H21" s="150"/>
      <c r="I21" s="150"/>
      <c r="J21" s="150"/>
      <c r="K21" s="1036"/>
      <c r="V21" s="163">
        <v>12</v>
      </c>
      <c r="X21" s="1037">
        <v>0.154</v>
      </c>
      <c r="Y21" s="1037">
        <v>0.15129999999999999</v>
      </c>
      <c r="Z21" s="157">
        <f t="shared" si="0"/>
        <v>0.15129999999999999</v>
      </c>
      <c r="AF21" s="163">
        <v>12</v>
      </c>
      <c r="AH21" s="1037">
        <v>0.154</v>
      </c>
      <c r="AI21" s="1037">
        <v>0.15129999999999999</v>
      </c>
      <c r="AJ21" s="157">
        <f t="shared" si="1"/>
        <v>0.15129999999999999</v>
      </c>
    </row>
    <row r="22" spans="2:36" ht="18" customHeight="1">
      <c r="B22" s="1030"/>
      <c r="C22" s="1003" t="s">
        <v>163</v>
      </c>
      <c r="D22" s="996" t="s">
        <v>170</v>
      </c>
      <c r="E22" s="1004" t="s">
        <v>405</v>
      </c>
      <c r="F22" s="996" t="s">
        <v>281</v>
      </c>
      <c r="G22" s="150"/>
      <c r="H22" s="1356" t="s">
        <v>318</v>
      </c>
      <c r="I22" s="1356"/>
      <c r="J22" s="1356"/>
      <c r="K22" s="1357"/>
      <c r="V22" s="163">
        <v>13</v>
      </c>
      <c r="X22" s="1037">
        <v>0.156</v>
      </c>
      <c r="Y22" s="1037">
        <v>0.152</v>
      </c>
      <c r="Z22" s="157">
        <f t="shared" si="0"/>
        <v>0.152</v>
      </c>
      <c r="AF22" s="163">
        <v>13</v>
      </c>
      <c r="AH22" s="1037">
        <v>0.156</v>
      </c>
      <c r="AI22" s="1037">
        <v>0.152</v>
      </c>
      <c r="AJ22" s="157">
        <f t="shared" si="1"/>
        <v>0.152</v>
      </c>
    </row>
    <row r="23" spans="2:36" ht="18" customHeight="1">
      <c r="B23" s="1039">
        <v>1</v>
      </c>
      <c r="C23" s="1040" t="str">
        <f>IF($O$7=1,P23,O23)</f>
        <v/>
      </c>
      <c r="D23" s="1006">
        <v>0.02</v>
      </c>
      <c r="E23" s="1006">
        <v>0.14000000000000001</v>
      </c>
      <c r="F23" s="1007">
        <f>D23/E23</f>
        <v>0.14285714285714285</v>
      </c>
      <c r="G23" s="150"/>
      <c r="H23" s="150"/>
      <c r="I23" s="151"/>
      <c r="J23" s="150"/>
      <c r="K23" s="1031"/>
      <c r="O23" s="149" t="str">
        <f>IF($O$7=3,"","Untersicht Holz")</f>
        <v/>
      </c>
      <c r="P23" s="149" t="str">
        <f>IF($O$7=3,"","Innenverkleidung Holz")</f>
        <v/>
      </c>
      <c r="V23" s="163">
        <v>14</v>
      </c>
      <c r="X23" s="1037">
        <v>0.158</v>
      </c>
      <c r="Y23" s="1037">
        <v>0.1527</v>
      </c>
      <c r="Z23" s="157">
        <f t="shared" si="0"/>
        <v>0.1527</v>
      </c>
      <c r="AF23" s="163">
        <v>14</v>
      </c>
      <c r="AH23" s="1037">
        <v>0.158</v>
      </c>
      <c r="AI23" s="1037">
        <v>0.1527</v>
      </c>
      <c r="AJ23" s="157">
        <f t="shared" si="1"/>
        <v>0.1527</v>
      </c>
    </row>
    <row r="24" spans="2:36" ht="18" customHeight="1">
      <c r="B24" s="1039">
        <v>2</v>
      </c>
      <c r="C24" s="1005" t="str">
        <f>IF(O7=3,"","Lattung Holz")</f>
        <v/>
      </c>
      <c r="D24" s="1006">
        <v>2.5000000000000001E-2</v>
      </c>
      <c r="E24" s="1006">
        <v>0.14000000000000001</v>
      </c>
      <c r="F24" s="1007">
        <f t="shared" ref="F24:F29" si="2">D24/E24</f>
        <v>0.17857142857142858</v>
      </c>
      <c r="G24" s="150"/>
      <c r="H24" s="150"/>
      <c r="I24" s="150"/>
      <c r="J24" s="150"/>
      <c r="K24" s="1031"/>
      <c r="V24" s="163">
        <v>15</v>
      </c>
      <c r="X24" s="1037">
        <v>0.16</v>
      </c>
      <c r="Y24" s="1037">
        <v>0.15329999999999999</v>
      </c>
      <c r="Z24" s="157">
        <f t="shared" si="0"/>
        <v>0.15329999999999999</v>
      </c>
      <c r="AF24" s="163">
        <v>15</v>
      </c>
      <c r="AH24" s="1037">
        <v>0.16</v>
      </c>
      <c r="AI24" s="1037">
        <v>0.15329999999999999</v>
      </c>
      <c r="AJ24" s="157">
        <f t="shared" si="1"/>
        <v>0.15329999999999999</v>
      </c>
    </row>
    <row r="25" spans="2:36" ht="18" customHeight="1">
      <c r="B25" s="1039">
        <v>3</v>
      </c>
      <c r="C25" s="1005" t="str">
        <f>IF(O7=3,"","Luftschicht")</f>
        <v/>
      </c>
      <c r="D25" s="1007">
        <f>D24</f>
        <v>2.5000000000000001E-2</v>
      </c>
      <c r="E25" s="1006">
        <f>D25/F25</f>
        <v>0.15625</v>
      </c>
      <c r="F25" s="1007">
        <f>AD15</f>
        <v>0.16</v>
      </c>
      <c r="G25" s="150"/>
      <c r="H25" s="150"/>
      <c r="I25" s="150"/>
      <c r="J25" s="150"/>
      <c r="K25" s="1031"/>
      <c r="V25" s="163">
        <v>16</v>
      </c>
      <c r="X25" s="1037">
        <v>0.16200000000000001</v>
      </c>
      <c r="Y25" s="1037">
        <v>0.154</v>
      </c>
      <c r="Z25" s="157">
        <f t="shared" si="0"/>
        <v>0.154</v>
      </c>
      <c r="AF25" s="163">
        <v>16</v>
      </c>
      <c r="AH25" s="1037">
        <v>0.16200000000000001</v>
      </c>
      <c r="AI25" s="1037">
        <v>0.154</v>
      </c>
      <c r="AJ25" s="157">
        <f t="shared" si="1"/>
        <v>0.154</v>
      </c>
    </row>
    <row r="26" spans="2:36" ht="18" customHeight="1">
      <c r="B26" s="1039">
        <v>4</v>
      </c>
      <c r="C26" s="997" t="str">
        <f>IF($O$7=1,P26,O26)</f>
        <v/>
      </c>
      <c r="D26" s="1007">
        <f>D17</f>
        <v>0.2</v>
      </c>
      <c r="E26" s="1006">
        <v>0.14000000000000001</v>
      </c>
      <c r="F26" s="1007">
        <f t="shared" si="2"/>
        <v>1.4285714285714286</v>
      </c>
      <c r="G26" s="150"/>
      <c r="H26" s="153"/>
      <c r="I26" s="150"/>
      <c r="J26" s="150"/>
      <c r="K26" s="1031"/>
      <c r="O26" s="149" t="str">
        <f>IF($O$7=3,"","Sparren Holz")</f>
        <v/>
      </c>
      <c r="P26" s="149" t="str">
        <f>IF($O$7=3,"","Riegel Holz")</f>
        <v/>
      </c>
      <c r="V26" s="163">
        <v>17</v>
      </c>
      <c r="X26" s="1037">
        <v>0.16400000000000001</v>
      </c>
      <c r="Y26" s="1037">
        <v>0.1547</v>
      </c>
      <c r="Z26" s="157">
        <f t="shared" si="0"/>
        <v>0.1547</v>
      </c>
      <c r="AF26" s="163">
        <v>17</v>
      </c>
      <c r="AH26" s="1037">
        <v>0.16400000000000001</v>
      </c>
      <c r="AI26" s="1037">
        <v>0.1547</v>
      </c>
      <c r="AJ26" s="157">
        <f t="shared" si="1"/>
        <v>0.1547</v>
      </c>
    </row>
    <row r="27" spans="2:36" ht="18" customHeight="1">
      <c r="B27" s="1041">
        <v>5</v>
      </c>
      <c r="C27" s="1008" t="str">
        <f>IF(O7=3,"","Wärmedämmung Glaswolle")</f>
        <v/>
      </c>
      <c r="D27" s="1009">
        <v>0.2</v>
      </c>
      <c r="E27" s="1009">
        <v>4.1000000000000002E-2</v>
      </c>
      <c r="F27" s="1010">
        <f t="shared" si="2"/>
        <v>4.8780487804878048</v>
      </c>
      <c r="G27" s="150"/>
      <c r="H27" s="153"/>
      <c r="I27" s="150"/>
      <c r="J27" s="150"/>
      <c r="K27" s="1031"/>
      <c r="V27" s="163">
        <v>18</v>
      </c>
      <c r="X27" s="1037">
        <v>0.16600000000000001</v>
      </c>
      <c r="Y27" s="1037">
        <v>0.15529999999999999</v>
      </c>
      <c r="Z27" s="157">
        <f t="shared" si="0"/>
        <v>0.15529999999999999</v>
      </c>
      <c r="AF27" s="163">
        <v>18</v>
      </c>
      <c r="AH27" s="1037">
        <v>0.16600000000000001</v>
      </c>
      <c r="AI27" s="1037">
        <v>0.15529999999999999</v>
      </c>
      <c r="AJ27" s="157">
        <f t="shared" si="1"/>
        <v>0.15529999999999999</v>
      </c>
    </row>
    <row r="28" spans="2:36" ht="18" customHeight="1">
      <c r="B28" s="1039">
        <v>6</v>
      </c>
      <c r="C28" s="1005" t="str">
        <f>IF(O7=3,"","Luftschicht")</f>
        <v/>
      </c>
      <c r="D28" s="1007">
        <f>D26-D27</f>
        <v>0</v>
      </c>
      <c r="E28" s="1006">
        <v>999</v>
      </c>
      <c r="F28" s="1007">
        <f t="shared" si="2"/>
        <v>0</v>
      </c>
      <c r="G28" s="150"/>
      <c r="H28" s="153"/>
      <c r="I28" s="150"/>
      <c r="J28" s="150"/>
      <c r="K28" s="1031"/>
      <c r="V28" s="163">
        <v>19</v>
      </c>
      <c r="X28" s="1037">
        <v>0.16800000000000001</v>
      </c>
      <c r="Y28" s="1037">
        <v>0.156</v>
      </c>
      <c r="Z28" s="157">
        <f t="shared" si="0"/>
        <v>0.156</v>
      </c>
      <c r="AF28" s="163">
        <v>19</v>
      </c>
      <c r="AH28" s="1037">
        <v>0.16800000000000001</v>
      </c>
      <c r="AI28" s="1037">
        <v>0.156</v>
      </c>
      <c r="AJ28" s="157">
        <f t="shared" si="1"/>
        <v>0.156</v>
      </c>
    </row>
    <row r="29" spans="2:36" ht="18" customHeight="1">
      <c r="B29" s="1039">
        <v>7</v>
      </c>
      <c r="C29" s="1040" t="str">
        <f>IF($O$7=1,P29,O29)</f>
        <v/>
      </c>
      <c r="D29" s="1006">
        <v>0</v>
      </c>
      <c r="E29" s="1006">
        <v>999</v>
      </c>
      <c r="F29" s="1007">
        <f t="shared" si="2"/>
        <v>0</v>
      </c>
      <c r="G29" s="150"/>
      <c r="H29" s="150"/>
      <c r="I29" s="150"/>
      <c r="J29" s="150"/>
      <c r="K29" s="1031"/>
      <c r="O29" s="149" t="str">
        <f>IF($O$7=3,"","Unterdach")</f>
        <v/>
      </c>
      <c r="P29" s="149" t="str">
        <f>IF($O$7=3,"","Holzfaserplatte")</f>
        <v/>
      </c>
      <c r="V29" s="163">
        <v>20</v>
      </c>
      <c r="X29" s="1037">
        <v>0.17</v>
      </c>
      <c r="Y29" s="1037">
        <v>0.15670000000000001</v>
      </c>
      <c r="Z29" s="157">
        <f t="shared" si="0"/>
        <v>0.15670000000000001</v>
      </c>
      <c r="AF29" s="163">
        <v>20</v>
      </c>
      <c r="AH29" s="1037">
        <v>0.17</v>
      </c>
      <c r="AI29" s="1037">
        <v>0.15670000000000001</v>
      </c>
      <c r="AJ29" s="157">
        <f t="shared" si="1"/>
        <v>0.15670000000000001</v>
      </c>
    </row>
    <row r="30" spans="2:36" ht="18" customHeight="1">
      <c r="B30" s="1030"/>
      <c r="C30" s="997"/>
      <c r="D30" s="1007"/>
      <c r="E30" s="1007"/>
      <c r="F30" s="1007"/>
      <c r="G30" s="150"/>
      <c r="H30" s="150"/>
      <c r="I30" s="150"/>
      <c r="J30" s="150"/>
      <c r="K30" s="1031"/>
      <c r="V30" s="163">
        <v>21</v>
      </c>
      <c r="X30" s="1037">
        <v>0.17199999999999999</v>
      </c>
      <c r="Y30" s="1037">
        <v>0.1573</v>
      </c>
      <c r="Z30" s="157">
        <f t="shared" si="0"/>
        <v>0.1573</v>
      </c>
      <c r="AF30" s="163">
        <v>21</v>
      </c>
      <c r="AH30" s="1037">
        <v>0.17199999999999999</v>
      </c>
      <c r="AI30" s="1037">
        <v>0.1573</v>
      </c>
      <c r="AJ30" s="157">
        <f t="shared" si="1"/>
        <v>0.1573</v>
      </c>
    </row>
    <row r="31" spans="2:36" ht="18" customHeight="1">
      <c r="B31" s="1030"/>
      <c r="C31" s="1042" t="s">
        <v>26</v>
      </c>
      <c r="D31" s="1043">
        <f>1/D41</f>
        <v>0.23815526613498186</v>
      </c>
      <c r="E31" s="1044" t="s">
        <v>528</v>
      </c>
      <c r="F31" s="1045" t="str">
        <f>IF(D42&lt;1.5,"","falsch!")</f>
        <v/>
      </c>
      <c r="G31" s="150"/>
      <c r="H31" s="150"/>
      <c r="I31" s="150"/>
      <c r="J31" s="150"/>
      <c r="K31" s="1031"/>
      <c r="V31" s="163">
        <v>22</v>
      </c>
      <c r="X31" s="1037">
        <v>0.17399999999999999</v>
      </c>
      <c r="Y31" s="1037">
        <v>0.158</v>
      </c>
      <c r="Z31" s="157">
        <f t="shared" si="0"/>
        <v>0.158</v>
      </c>
      <c r="AF31" s="163">
        <v>22</v>
      </c>
      <c r="AH31" s="1037">
        <v>0.17399999999999999</v>
      </c>
      <c r="AI31" s="1037">
        <v>0.158</v>
      </c>
      <c r="AJ31" s="157">
        <f t="shared" si="1"/>
        <v>0.158</v>
      </c>
    </row>
    <row r="32" spans="2:36" ht="6" hidden="1" customHeight="1">
      <c r="B32" s="1030"/>
      <c r="C32" s="150"/>
      <c r="D32" s="152"/>
      <c r="E32" s="152"/>
      <c r="F32" s="152"/>
      <c r="G32" s="150"/>
      <c r="H32" s="150"/>
      <c r="I32" s="150"/>
      <c r="J32" s="150"/>
      <c r="K32" s="1031"/>
      <c r="V32" s="163">
        <v>23</v>
      </c>
      <c r="X32" s="1037">
        <v>0.17599999999999999</v>
      </c>
      <c r="Y32" s="1037">
        <v>0.15870000000000001</v>
      </c>
      <c r="Z32" s="157">
        <f t="shared" si="0"/>
        <v>0.15870000000000001</v>
      </c>
      <c r="AF32" s="163">
        <v>23</v>
      </c>
      <c r="AH32" s="1037">
        <v>0.17599999999999999</v>
      </c>
      <c r="AI32" s="1037">
        <v>0.15870000000000001</v>
      </c>
      <c r="AJ32" s="157">
        <f t="shared" ref="AJ32:AJ43" si="3">IF($O$7=1,AH32,AI32)</f>
        <v>0.15870000000000001</v>
      </c>
    </row>
    <row r="33" spans="2:36" ht="7.95" hidden="1" customHeight="1">
      <c r="B33" s="1046"/>
      <c r="C33" s="150" t="s">
        <v>90</v>
      </c>
      <c r="D33" s="153">
        <f>0.1+F23+F24+F26+F29+0.13</f>
        <v>1.98</v>
      </c>
      <c r="E33" s="152"/>
      <c r="F33" s="150" t="s">
        <v>380</v>
      </c>
      <c r="G33" s="150"/>
      <c r="H33" s="153">
        <f>E23</f>
        <v>0.14000000000000001</v>
      </c>
      <c r="I33" s="150"/>
      <c r="J33" s="150"/>
      <c r="K33" s="1031"/>
      <c r="X33" s="1037"/>
      <c r="Y33" s="1037">
        <v>0.16</v>
      </c>
      <c r="Z33" s="157">
        <f t="shared" si="0"/>
        <v>0.16</v>
      </c>
      <c r="AF33" s="163"/>
      <c r="AH33" s="1037"/>
      <c r="AI33" s="1037">
        <v>0.16</v>
      </c>
      <c r="AJ33" s="157">
        <f t="shared" si="3"/>
        <v>0.16</v>
      </c>
    </row>
    <row r="34" spans="2:36" ht="7.95" hidden="1" customHeight="1">
      <c r="B34" s="1030"/>
      <c r="C34" s="150" t="s">
        <v>378</v>
      </c>
      <c r="D34" s="153">
        <f>0.1+F23+F25+F26+F29+0.13</f>
        <v>1.9614285714285713</v>
      </c>
      <c r="E34" s="152"/>
      <c r="F34" s="150" t="s">
        <v>368</v>
      </c>
      <c r="G34" s="150"/>
      <c r="H34" s="153">
        <f>((E24*(D16+D18-0.045))+(E24*0.045))/(D16+D18)</f>
        <v>0.14000000000000001</v>
      </c>
      <c r="I34" s="150"/>
      <c r="J34" s="150"/>
      <c r="K34" s="1031"/>
      <c r="X34" s="1037"/>
      <c r="Y34" s="1037">
        <v>0.16</v>
      </c>
      <c r="Z34" s="157">
        <f t="shared" si="0"/>
        <v>0.16</v>
      </c>
      <c r="AF34" s="163"/>
      <c r="AH34" s="1037"/>
      <c r="AI34" s="1037">
        <v>0.16</v>
      </c>
      <c r="AJ34" s="157">
        <f t="shared" si="3"/>
        <v>0.16</v>
      </c>
    </row>
    <row r="35" spans="2:36" ht="7.95" hidden="1" customHeight="1">
      <c r="B35" s="1030"/>
      <c r="C35" s="150" t="s">
        <v>379</v>
      </c>
      <c r="D35" s="153">
        <f>0.1+F23+F25+F27+F28+F29+0.13</f>
        <v>5.4109059233449477</v>
      </c>
      <c r="E35" s="152"/>
      <c r="F35" s="150" t="s">
        <v>76</v>
      </c>
      <c r="G35" s="150"/>
      <c r="H35" s="153">
        <f>((E27*D18)+(E26*D16))/(D16+D18)</f>
        <v>5.6230769230769237E-2</v>
      </c>
      <c r="I35" s="150"/>
      <c r="J35" s="150"/>
      <c r="K35" s="1031"/>
      <c r="X35" s="1037"/>
      <c r="Y35" s="1037">
        <v>0.16</v>
      </c>
      <c r="Z35" s="157">
        <f t="shared" si="0"/>
        <v>0.16</v>
      </c>
      <c r="AF35" s="163"/>
      <c r="AH35" s="1037"/>
      <c r="AI35" s="1037">
        <v>0.16</v>
      </c>
      <c r="AJ35" s="157">
        <f t="shared" si="3"/>
        <v>0.16</v>
      </c>
    </row>
    <row r="36" spans="2:36" ht="7.95" hidden="1" customHeight="1">
      <c r="B36" s="1030"/>
      <c r="C36" s="150"/>
      <c r="D36" s="152"/>
      <c r="E36" s="152"/>
      <c r="F36" s="150" t="s">
        <v>433</v>
      </c>
      <c r="G36" s="150"/>
      <c r="H36" s="153">
        <f>(((D28/(F28+0.00000000000000001))*D18)+(E26*D16))/(D16+D18)</f>
        <v>2.1538461538461541E-2</v>
      </c>
      <c r="I36" s="150"/>
      <c r="J36" s="150"/>
      <c r="K36" s="1031"/>
      <c r="X36" s="1037"/>
      <c r="Y36" s="1037">
        <v>0.16</v>
      </c>
      <c r="Z36" s="157">
        <f t="shared" si="0"/>
        <v>0.16</v>
      </c>
      <c r="AF36" s="163"/>
      <c r="AH36" s="1037"/>
      <c r="AI36" s="1037">
        <v>0.16</v>
      </c>
      <c r="AJ36" s="157">
        <f t="shared" si="3"/>
        <v>0.16</v>
      </c>
    </row>
    <row r="37" spans="2:36" ht="7.95" hidden="1" customHeight="1">
      <c r="B37" s="1030"/>
      <c r="C37" s="150"/>
      <c r="D37" s="152"/>
      <c r="E37" s="152"/>
      <c r="F37" s="150" t="s">
        <v>434</v>
      </c>
      <c r="G37" s="150"/>
      <c r="H37" s="153">
        <f>E29</f>
        <v>999</v>
      </c>
      <c r="I37" s="150"/>
      <c r="J37" s="150"/>
      <c r="K37" s="1031"/>
      <c r="X37" s="1037"/>
      <c r="Y37" s="1037">
        <v>0.16</v>
      </c>
      <c r="Z37" s="157">
        <f t="shared" si="0"/>
        <v>0.16</v>
      </c>
      <c r="AF37" s="163"/>
      <c r="AH37" s="1037"/>
      <c r="AI37" s="1037">
        <v>0.16</v>
      </c>
      <c r="AJ37" s="157">
        <f t="shared" si="3"/>
        <v>0.16</v>
      </c>
    </row>
    <row r="38" spans="2:36" ht="7.95" hidden="1" customHeight="1">
      <c r="B38" s="1030"/>
      <c r="C38" s="150"/>
      <c r="D38" s="150"/>
      <c r="E38" s="150"/>
      <c r="F38" s="150"/>
      <c r="G38" s="150"/>
      <c r="H38" s="150"/>
      <c r="I38" s="150"/>
      <c r="J38" s="150"/>
      <c r="K38" s="1031"/>
      <c r="X38" s="1037"/>
      <c r="Y38" s="1037">
        <v>0.16</v>
      </c>
      <c r="Z38" s="157">
        <f t="shared" si="0"/>
        <v>0.16</v>
      </c>
      <c r="AF38" s="163"/>
      <c r="AH38" s="1037"/>
      <c r="AI38" s="1037">
        <v>0.16</v>
      </c>
      <c r="AJ38" s="157">
        <f t="shared" si="3"/>
        <v>0.16</v>
      </c>
    </row>
    <row r="39" spans="2:36" ht="7.95" hidden="1" customHeight="1">
      <c r="B39" s="1030"/>
      <c r="C39" s="150" t="s">
        <v>120</v>
      </c>
      <c r="D39" s="154">
        <f>((0.045+(D16-0.045)+D18))/((0.045/D33)+((D16-0.045)/D34)+(D18/D35))</f>
        <v>4.2646826272993499</v>
      </c>
      <c r="E39" s="150" t="s">
        <v>283</v>
      </c>
      <c r="F39" s="150"/>
      <c r="G39" s="150"/>
      <c r="H39" s="150"/>
      <c r="I39" s="150"/>
      <c r="J39" s="150"/>
      <c r="K39" s="1031"/>
      <c r="X39" s="1037"/>
      <c r="Y39" s="1037">
        <v>0.16</v>
      </c>
      <c r="Z39" s="157">
        <f t="shared" si="0"/>
        <v>0.16</v>
      </c>
      <c r="AF39" s="163"/>
      <c r="AH39" s="1037"/>
      <c r="AI39" s="1037">
        <v>0.16</v>
      </c>
      <c r="AJ39" s="157">
        <f t="shared" si="3"/>
        <v>0.16</v>
      </c>
    </row>
    <row r="40" spans="2:36" ht="7.95" hidden="1" customHeight="1">
      <c r="B40" s="1030"/>
      <c r="C40" s="150" t="s">
        <v>52</v>
      </c>
      <c r="D40" s="154">
        <f>(0.125)+(D23/H33)+(D24/H34)+(D27/H35)+(D28/H36)+(D29/H37)+(0.13)</f>
        <v>4.1332001172562043</v>
      </c>
      <c r="E40" s="150" t="s">
        <v>283</v>
      </c>
      <c r="F40" s="150"/>
      <c r="G40" s="150"/>
      <c r="H40" s="150"/>
      <c r="I40" s="150"/>
      <c r="J40" s="150"/>
      <c r="K40" s="1031"/>
      <c r="X40" s="1037"/>
      <c r="Y40" s="1037">
        <v>0.16</v>
      </c>
      <c r="Z40" s="157">
        <f t="shared" si="0"/>
        <v>0.16</v>
      </c>
      <c r="AF40" s="163"/>
      <c r="AH40" s="1037"/>
      <c r="AI40" s="1037">
        <v>0.16</v>
      </c>
      <c r="AJ40" s="157">
        <f t="shared" si="3"/>
        <v>0.16</v>
      </c>
    </row>
    <row r="41" spans="2:36" ht="7.95" hidden="1" customHeight="1">
      <c r="B41" s="1030"/>
      <c r="C41" s="150" t="s">
        <v>435</v>
      </c>
      <c r="D41" s="154">
        <f>(D39+D40)/2</f>
        <v>4.1989413722777771</v>
      </c>
      <c r="E41" s="150" t="s">
        <v>283</v>
      </c>
      <c r="F41" s="150"/>
      <c r="G41" s="150"/>
      <c r="H41" s="150"/>
      <c r="I41" s="150"/>
      <c r="J41" s="150"/>
      <c r="K41" s="1031"/>
      <c r="X41" s="1037"/>
      <c r="Y41" s="1037">
        <v>0.16</v>
      </c>
      <c r="Z41" s="157">
        <f t="shared" si="0"/>
        <v>0.16</v>
      </c>
      <c r="AF41" s="163"/>
      <c r="AH41" s="1037"/>
      <c r="AI41" s="1037">
        <v>0.16</v>
      </c>
      <c r="AJ41" s="157">
        <f t="shared" si="3"/>
        <v>0.16</v>
      </c>
    </row>
    <row r="42" spans="2:36" ht="7.95" hidden="1" customHeight="1">
      <c r="B42" s="1030"/>
      <c r="C42" s="150" t="s">
        <v>84</v>
      </c>
      <c r="D42" s="151">
        <f>D39/D40</f>
        <v>1.0318113099567097</v>
      </c>
      <c r="E42" s="150"/>
      <c r="F42" s="150"/>
      <c r="G42" s="150"/>
      <c r="H42" s="150"/>
      <c r="I42" s="150"/>
      <c r="J42" s="150"/>
      <c r="K42" s="1031"/>
      <c r="X42" s="1037"/>
      <c r="Y42" s="1037">
        <v>0.16</v>
      </c>
      <c r="Z42" s="157">
        <f t="shared" si="0"/>
        <v>0.16</v>
      </c>
      <c r="AF42" s="163"/>
      <c r="AH42" s="1037"/>
      <c r="AI42" s="1037">
        <v>0.16</v>
      </c>
      <c r="AJ42" s="157">
        <f t="shared" si="3"/>
        <v>0.16</v>
      </c>
    </row>
    <row r="43" spans="2:36" ht="6" hidden="1" customHeight="1">
      <c r="B43" s="1030"/>
      <c r="G43" s="150"/>
      <c r="H43" s="150"/>
      <c r="I43" s="150"/>
      <c r="J43" s="150"/>
      <c r="K43" s="1031"/>
      <c r="X43" s="1037"/>
      <c r="Y43" s="1037">
        <v>0.16</v>
      </c>
      <c r="Z43" s="157">
        <f t="shared" si="0"/>
        <v>0.16</v>
      </c>
      <c r="AF43" s="163"/>
      <c r="AH43" s="1037"/>
      <c r="AI43" s="1037">
        <v>0.16</v>
      </c>
      <c r="AJ43" s="157">
        <f t="shared" si="3"/>
        <v>0.16</v>
      </c>
    </row>
    <row r="44" spans="2:36" ht="10.050000000000001" customHeight="1">
      <c r="B44" s="1030"/>
      <c r="G44" s="150"/>
      <c r="H44" s="150"/>
      <c r="I44" s="150"/>
      <c r="J44" s="150"/>
      <c r="K44" s="1031"/>
      <c r="X44" s="1037"/>
      <c r="Y44" s="1037"/>
      <c r="Z44" s="157"/>
      <c r="AF44" s="163"/>
      <c r="AH44" s="1037"/>
      <c r="AI44" s="1037"/>
      <c r="AJ44" s="157"/>
    </row>
    <row r="45" spans="2:36" ht="10.050000000000001" customHeight="1">
      <c r="B45" s="1030"/>
      <c r="G45" s="150"/>
      <c r="H45" s="150"/>
      <c r="I45" s="150"/>
      <c r="J45" s="150"/>
      <c r="K45" s="1031"/>
      <c r="X45" s="1037"/>
      <c r="Y45" s="1037"/>
      <c r="Z45" s="157"/>
      <c r="AF45" s="163"/>
      <c r="AH45" s="1037"/>
      <c r="AI45" s="1037"/>
      <c r="AJ45" s="157"/>
    </row>
    <row r="46" spans="2:36" ht="10.050000000000001" customHeight="1">
      <c r="B46" s="1047"/>
      <c r="C46" s="1048"/>
      <c r="D46" s="1048"/>
      <c r="E46" s="1048"/>
      <c r="F46" s="1048"/>
      <c r="G46" s="1048"/>
      <c r="H46" s="1048"/>
      <c r="I46" s="1048"/>
      <c r="J46" s="1048"/>
      <c r="K46" s="1049"/>
      <c r="V46" s="163">
        <v>23</v>
      </c>
      <c r="X46" s="1037">
        <v>0.17599999999999999</v>
      </c>
      <c r="Y46" s="1037">
        <v>0.15870000000000001</v>
      </c>
      <c r="Z46" s="157">
        <f t="shared" si="0"/>
        <v>0.15870000000000001</v>
      </c>
      <c r="AF46" s="163">
        <v>23</v>
      </c>
      <c r="AH46" s="1037">
        <v>0.17599999999999999</v>
      </c>
      <c r="AI46" s="1037">
        <v>0.15870000000000001</v>
      </c>
      <c r="AJ46" s="157">
        <f t="shared" ref="AJ46:AJ85" si="4">IF($P$7=1,AH46,AI46)</f>
        <v>0.15870000000000001</v>
      </c>
    </row>
    <row r="47" spans="2:36">
      <c r="V47" s="163">
        <v>24</v>
      </c>
      <c r="X47" s="1037">
        <v>0.17799999999999999</v>
      </c>
      <c r="Y47" s="1037">
        <v>0.1593</v>
      </c>
      <c r="Z47" s="157">
        <f t="shared" si="0"/>
        <v>0.1593</v>
      </c>
      <c r="AF47" s="163">
        <v>24</v>
      </c>
      <c r="AH47" s="1037">
        <v>0.17799999999999999</v>
      </c>
      <c r="AI47" s="1037">
        <v>0.1593</v>
      </c>
      <c r="AJ47" s="157">
        <f t="shared" si="4"/>
        <v>0.1593</v>
      </c>
    </row>
    <row r="48" spans="2:36">
      <c r="V48" s="1032">
        <v>25</v>
      </c>
      <c r="W48" s="167"/>
      <c r="X48" s="1033">
        <v>0.18</v>
      </c>
      <c r="Y48" s="1033">
        <v>0.16</v>
      </c>
      <c r="Z48" s="1034">
        <f t="shared" si="0"/>
        <v>0.16</v>
      </c>
      <c r="AF48" s="1032">
        <v>25</v>
      </c>
      <c r="AG48" s="167"/>
      <c r="AH48" s="1033">
        <v>0.18</v>
      </c>
      <c r="AI48" s="1033">
        <v>0.16</v>
      </c>
      <c r="AJ48" s="1034">
        <f t="shared" si="4"/>
        <v>0.16</v>
      </c>
    </row>
    <row r="49" spans="2:36">
      <c r="V49" s="163">
        <v>26</v>
      </c>
      <c r="X49" s="1037">
        <v>0.18</v>
      </c>
      <c r="Y49" s="1037">
        <v>0.16</v>
      </c>
      <c r="Z49" s="157">
        <f t="shared" si="0"/>
        <v>0.16</v>
      </c>
      <c r="AF49" s="163">
        <v>26</v>
      </c>
      <c r="AH49" s="1037">
        <v>0.18</v>
      </c>
      <c r="AI49" s="1037">
        <v>0.16</v>
      </c>
      <c r="AJ49" s="157">
        <f t="shared" si="4"/>
        <v>0.16</v>
      </c>
    </row>
    <row r="50" spans="2:36">
      <c r="V50" s="163">
        <v>27</v>
      </c>
      <c r="X50" s="1037">
        <v>0.18</v>
      </c>
      <c r="Y50" s="1037">
        <v>0.16</v>
      </c>
      <c r="Z50" s="157">
        <f t="shared" si="0"/>
        <v>0.16</v>
      </c>
      <c r="AF50" s="163">
        <v>27</v>
      </c>
      <c r="AH50" s="1037">
        <v>0.18</v>
      </c>
      <c r="AI50" s="1037">
        <v>0.16</v>
      </c>
      <c r="AJ50" s="157">
        <f t="shared" si="4"/>
        <v>0.16</v>
      </c>
    </row>
    <row r="51" spans="2:36">
      <c r="V51" s="163">
        <v>28</v>
      </c>
      <c r="X51" s="1037">
        <v>0.18</v>
      </c>
      <c r="Y51" s="1037">
        <v>0.16</v>
      </c>
      <c r="Z51" s="157">
        <f t="shared" si="0"/>
        <v>0.16</v>
      </c>
      <c r="AF51" s="163">
        <v>28</v>
      </c>
      <c r="AH51" s="1037">
        <v>0.18</v>
      </c>
      <c r="AI51" s="1037">
        <v>0.16</v>
      </c>
      <c r="AJ51" s="157">
        <f t="shared" si="4"/>
        <v>0.16</v>
      </c>
    </row>
    <row r="52" spans="2:36">
      <c r="V52" s="163">
        <v>29</v>
      </c>
      <c r="X52" s="1037">
        <v>0.18</v>
      </c>
      <c r="Y52" s="1037">
        <v>0.16</v>
      </c>
      <c r="Z52" s="157">
        <f t="shared" si="0"/>
        <v>0.16</v>
      </c>
      <c r="AF52" s="163">
        <v>29</v>
      </c>
      <c r="AH52" s="1037">
        <v>0.18</v>
      </c>
      <c r="AI52" s="1037">
        <v>0.16</v>
      </c>
      <c r="AJ52" s="157">
        <f t="shared" si="4"/>
        <v>0.16</v>
      </c>
    </row>
    <row r="53" spans="2:36" ht="11.4">
      <c r="B53" s="1361">
        <f>Nutzung!G10</f>
        <v>0</v>
      </c>
      <c r="C53" s="1361"/>
      <c r="D53" s="1361"/>
      <c r="E53" s="1361"/>
      <c r="F53" s="1360">
        <f>F2</f>
        <v>0</v>
      </c>
      <c r="G53" s="1360"/>
      <c r="I53" s="644"/>
      <c r="J53" s="644"/>
      <c r="K53" s="1025" t="s">
        <v>272</v>
      </c>
      <c r="V53" s="163">
        <v>30</v>
      </c>
      <c r="X53" s="1037">
        <v>0.18</v>
      </c>
      <c r="Y53" s="1037">
        <v>0.16</v>
      </c>
      <c r="Z53" s="157">
        <f t="shared" si="0"/>
        <v>0.16</v>
      </c>
      <c r="AF53" s="163">
        <v>30</v>
      </c>
      <c r="AH53" s="1037">
        <v>0.18</v>
      </c>
      <c r="AI53" s="1037">
        <v>0.16</v>
      </c>
      <c r="AJ53" s="157">
        <f t="shared" si="4"/>
        <v>0.16</v>
      </c>
    </row>
    <row r="54" spans="2:36">
      <c r="V54" s="163">
        <v>31</v>
      </c>
      <c r="X54" s="1037">
        <v>0.18</v>
      </c>
      <c r="Y54" s="1037">
        <v>0.16</v>
      </c>
      <c r="Z54" s="157">
        <f t="shared" si="0"/>
        <v>0.16</v>
      </c>
      <c r="AF54" s="163">
        <v>31</v>
      </c>
      <c r="AH54" s="1037">
        <v>0.18</v>
      </c>
      <c r="AI54" s="1037">
        <v>0.16</v>
      </c>
      <c r="AJ54" s="157">
        <f t="shared" si="4"/>
        <v>0.16</v>
      </c>
    </row>
    <row r="55" spans="2:36">
      <c r="V55" s="163">
        <v>32</v>
      </c>
      <c r="X55" s="1037">
        <v>0.18</v>
      </c>
      <c r="Y55" s="1037">
        <v>0.16</v>
      </c>
      <c r="Z55" s="157">
        <f t="shared" si="0"/>
        <v>0.16</v>
      </c>
      <c r="AF55" s="163">
        <v>32</v>
      </c>
      <c r="AH55" s="1037">
        <v>0.18</v>
      </c>
      <c r="AI55" s="1037">
        <v>0.16</v>
      </c>
      <c r="AJ55" s="157">
        <f t="shared" si="4"/>
        <v>0.16</v>
      </c>
    </row>
    <row r="56" spans="2:36">
      <c r="V56" s="163">
        <v>33</v>
      </c>
      <c r="X56" s="1037">
        <v>0.18</v>
      </c>
      <c r="Y56" s="1037">
        <v>0.16</v>
      </c>
      <c r="Z56" s="157">
        <f t="shared" si="0"/>
        <v>0.16</v>
      </c>
      <c r="AF56" s="163">
        <v>33</v>
      </c>
      <c r="AH56" s="1037">
        <v>0.18</v>
      </c>
      <c r="AI56" s="1037">
        <v>0.16</v>
      </c>
      <c r="AJ56" s="157">
        <f t="shared" si="4"/>
        <v>0.16</v>
      </c>
    </row>
    <row r="57" spans="2:36">
      <c r="V57" s="163">
        <v>34</v>
      </c>
      <c r="X57" s="1037">
        <v>0.18</v>
      </c>
      <c r="Y57" s="1037">
        <v>0.16</v>
      </c>
      <c r="Z57" s="157">
        <f t="shared" si="0"/>
        <v>0.16</v>
      </c>
      <c r="AF57" s="163">
        <v>34</v>
      </c>
      <c r="AH57" s="1037">
        <v>0.18</v>
      </c>
      <c r="AI57" s="1037">
        <v>0.16</v>
      </c>
      <c r="AJ57" s="157">
        <f t="shared" si="4"/>
        <v>0.16</v>
      </c>
    </row>
    <row r="58" spans="2:36">
      <c r="V58" s="163">
        <v>35</v>
      </c>
      <c r="X58" s="1037">
        <v>0.18</v>
      </c>
      <c r="Y58" s="1037">
        <v>0.16</v>
      </c>
      <c r="Z58" s="157">
        <f t="shared" si="0"/>
        <v>0.16</v>
      </c>
      <c r="AF58" s="163">
        <v>35</v>
      </c>
      <c r="AH58" s="1037">
        <v>0.18</v>
      </c>
      <c r="AI58" s="1037">
        <v>0.16</v>
      </c>
      <c r="AJ58" s="157">
        <f t="shared" si="4"/>
        <v>0.16</v>
      </c>
    </row>
    <row r="59" spans="2:36">
      <c r="V59" s="163">
        <v>36</v>
      </c>
      <c r="X59" s="1037">
        <v>0.18</v>
      </c>
      <c r="Y59" s="1037">
        <v>0.16</v>
      </c>
      <c r="Z59" s="157">
        <f t="shared" si="0"/>
        <v>0.16</v>
      </c>
      <c r="AF59" s="163">
        <v>36</v>
      </c>
      <c r="AH59" s="1037">
        <v>0.18</v>
      </c>
      <c r="AI59" s="1037">
        <v>0.16</v>
      </c>
      <c r="AJ59" s="157">
        <f t="shared" si="4"/>
        <v>0.16</v>
      </c>
    </row>
    <row r="60" spans="2:36" ht="19.2">
      <c r="B60" s="1354" t="str">
        <f>IF(P7=1,P60,O60)</f>
        <v>U-Wert Berechnung inhomogene Dachkonstruktion mit Zusatzwärmedämmung</v>
      </c>
      <c r="C60" s="1354"/>
      <c r="D60" s="1354"/>
      <c r="E60" s="1354"/>
      <c r="F60" s="1354"/>
      <c r="G60" s="1354"/>
      <c r="H60" s="1354"/>
      <c r="I60" s="1354"/>
      <c r="J60" s="1354"/>
      <c r="K60" s="1354"/>
      <c r="O60" s="149" t="s">
        <v>619</v>
      </c>
      <c r="P60" s="149" t="s">
        <v>620</v>
      </c>
      <c r="V60" s="163">
        <v>37</v>
      </c>
      <c r="X60" s="1037">
        <v>0.18</v>
      </c>
      <c r="Y60" s="1037">
        <v>0.16</v>
      </c>
      <c r="Z60" s="157">
        <f t="shared" si="0"/>
        <v>0.16</v>
      </c>
      <c r="AF60" s="163">
        <v>37</v>
      </c>
      <c r="AH60" s="1037">
        <v>0.18</v>
      </c>
      <c r="AI60" s="1037">
        <v>0.16</v>
      </c>
      <c r="AJ60" s="157">
        <f t="shared" si="4"/>
        <v>0.16</v>
      </c>
    </row>
    <row r="61" spans="2:36" ht="19.2">
      <c r="B61" s="148"/>
      <c r="C61" s="148"/>
      <c r="D61" s="148"/>
      <c r="E61" s="148"/>
      <c r="F61" s="148"/>
      <c r="G61" s="148"/>
      <c r="H61" s="148"/>
      <c r="I61" s="148"/>
      <c r="J61" s="148"/>
      <c r="K61" s="148"/>
      <c r="V61" s="163">
        <v>38</v>
      </c>
      <c r="X61" s="1037">
        <v>0.18</v>
      </c>
      <c r="Y61" s="1037">
        <v>0.16</v>
      </c>
      <c r="Z61" s="157">
        <f t="shared" si="0"/>
        <v>0.16</v>
      </c>
      <c r="AF61" s="163">
        <v>38</v>
      </c>
      <c r="AH61" s="1037">
        <v>0.18</v>
      </c>
      <c r="AI61" s="1037">
        <v>0.16</v>
      </c>
      <c r="AJ61" s="157">
        <f t="shared" si="4"/>
        <v>0.16</v>
      </c>
    </row>
    <row r="62" spans="2:36" ht="9.75" customHeight="1">
      <c r="B62" s="1027"/>
      <c r="C62" s="1028"/>
      <c r="D62" s="1028"/>
      <c r="E62" s="1028"/>
      <c r="F62" s="1028"/>
      <c r="G62" s="1028"/>
      <c r="H62" s="1028"/>
      <c r="I62" s="1028"/>
      <c r="J62" s="1028"/>
      <c r="K62" s="1029"/>
      <c r="V62" s="163">
        <v>39</v>
      </c>
      <c r="X62" s="1037">
        <v>0.18</v>
      </c>
      <c r="Y62" s="1037">
        <v>0.16</v>
      </c>
      <c r="Z62" s="157">
        <f t="shared" si="0"/>
        <v>0.16</v>
      </c>
      <c r="AF62" s="163">
        <v>39</v>
      </c>
      <c r="AH62" s="1037">
        <v>0.18</v>
      </c>
      <c r="AI62" s="1037">
        <v>0.16</v>
      </c>
      <c r="AJ62" s="157">
        <f t="shared" si="4"/>
        <v>0.16</v>
      </c>
    </row>
    <row r="63" spans="2:36" ht="18" customHeight="1">
      <c r="B63" s="1046"/>
      <c r="C63" s="997" t="s">
        <v>4</v>
      </c>
      <c r="D63" s="1355" t="s">
        <v>451</v>
      </c>
      <c r="E63" s="1355"/>
      <c r="F63" s="1355"/>
      <c r="G63" s="150"/>
      <c r="H63" s="1356" t="s">
        <v>463</v>
      </c>
      <c r="I63" s="1356"/>
      <c r="J63" s="1356"/>
      <c r="K63" s="1357"/>
      <c r="V63" s="163">
        <v>40</v>
      </c>
      <c r="X63" s="1037">
        <v>0.18</v>
      </c>
      <c r="Y63" s="1037">
        <v>0.16</v>
      </c>
      <c r="Z63" s="157">
        <f t="shared" si="0"/>
        <v>0.16</v>
      </c>
      <c r="AF63" s="163">
        <v>40</v>
      </c>
      <c r="AH63" s="1037">
        <v>0.18</v>
      </c>
      <c r="AI63" s="1037">
        <v>0.16</v>
      </c>
      <c r="AJ63" s="157">
        <f t="shared" si="4"/>
        <v>0.16</v>
      </c>
    </row>
    <row r="64" spans="2:36" ht="18" customHeight="1">
      <c r="B64" s="1046"/>
      <c r="C64" s="998" t="s">
        <v>510</v>
      </c>
      <c r="D64" s="1355" t="s">
        <v>431</v>
      </c>
      <c r="E64" s="1355"/>
      <c r="F64" s="1355"/>
      <c r="G64" s="150"/>
      <c r="H64" s="150"/>
      <c r="I64" s="150"/>
      <c r="J64" s="150"/>
      <c r="K64" s="1031"/>
      <c r="V64" s="163">
        <v>41</v>
      </c>
      <c r="X64" s="1037">
        <v>0.18</v>
      </c>
      <c r="Y64" s="1037">
        <v>0.16</v>
      </c>
      <c r="Z64" s="157">
        <f t="shared" si="0"/>
        <v>0.16</v>
      </c>
      <c r="AF64" s="163">
        <v>41</v>
      </c>
      <c r="AH64" s="1037">
        <v>0.18</v>
      </c>
      <c r="AI64" s="1037">
        <v>0.16</v>
      </c>
      <c r="AJ64" s="157">
        <f t="shared" si="4"/>
        <v>0.16</v>
      </c>
    </row>
    <row r="65" spans="2:36" ht="18" customHeight="1">
      <c r="B65" s="1046"/>
      <c r="C65" s="997"/>
      <c r="D65" s="997"/>
      <c r="E65" s="997"/>
      <c r="F65" s="997"/>
      <c r="G65" s="150"/>
      <c r="H65" s="151"/>
      <c r="I65" s="150"/>
      <c r="J65" s="150"/>
      <c r="K65" s="1031"/>
      <c r="V65" s="163">
        <v>42</v>
      </c>
      <c r="X65" s="1037">
        <v>0.18</v>
      </c>
      <c r="Y65" s="1037">
        <v>0.16</v>
      </c>
      <c r="Z65" s="157">
        <f t="shared" si="0"/>
        <v>0.16</v>
      </c>
      <c r="AF65" s="163">
        <v>42</v>
      </c>
      <c r="AH65" s="1037">
        <v>0.18</v>
      </c>
      <c r="AI65" s="1037">
        <v>0.16</v>
      </c>
      <c r="AJ65" s="157">
        <f t="shared" si="4"/>
        <v>0.16</v>
      </c>
    </row>
    <row r="66" spans="2:36" ht="18" customHeight="1">
      <c r="B66" s="1046"/>
      <c r="C66" s="1003" t="s">
        <v>524</v>
      </c>
      <c r="D66" s="997"/>
      <c r="E66" s="997"/>
      <c r="F66" s="997"/>
      <c r="G66" s="150"/>
      <c r="H66" s="151"/>
      <c r="I66" s="151"/>
      <c r="J66" s="150"/>
      <c r="K66" s="1031"/>
      <c r="V66" s="163">
        <v>43</v>
      </c>
      <c r="X66" s="1037">
        <v>0.18</v>
      </c>
      <c r="Y66" s="1037">
        <v>0.16</v>
      </c>
      <c r="Z66" s="157">
        <f t="shared" si="0"/>
        <v>0.16</v>
      </c>
      <c r="AF66" s="163">
        <v>43</v>
      </c>
      <c r="AH66" s="1037">
        <v>0.18</v>
      </c>
      <c r="AI66" s="1037">
        <v>0.16</v>
      </c>
      <c r="AJ66" s="157">
        <f t="shared" si="4"/>
        <v>0.16</v>
      </c>
    </row>
    <row r="67" spans="2:36" ht="18" customHeight="1">
      <c r="B67" s="1046"/>
      <c r="C67" s="997" t="str">
        <f>IF($P$7=1,P67,O67)</f>
        <v/>
      </c>
      <c r="D67" s="1001">
        <v>0.1</v>
      </c>
      <c r="E67" s="997"/>
      <c r="F67" s="997"/>
      <c r="G67" s="150"/>
      <c r="H67" s="150"/>
      <c r="I67" s="150"/>
      <c r="J67" s="150"/>
      <c r="K67" s="1031"/>
      <c r="O67" s="149" t="str">
        <f>IF($P$7=3,"","Sparrenbreite [m]:")</f>
        <v/>
      </c>
      <c r="P67" s="149" t="str">
        <f>IF($P$7=3,"","Riegelbreite [m]:")</f>
        <v/>
      </c>
      <c r="V67" s="163">
        <v>44</v>
      </c>
      <c r="X67" s="1037">
        <v>0.18</v>
      </c>
      <c r="Y67" s="1037">
        <v>0.16</v>
      </c>
      <c r="Z67" s="157">
        <f t="shared" si="0"/>
        <v>0.16</v>
      </c>
      <c r="AF67" s="163">
        <v>44</v>
      </c>
      <c r="AH67" s="1037">
        <v>0.18</v>
      </c>
      <c r="AI67" s="1037">
        <v>0.16</v>
      </c>
      <c r="AJ67" s="157">
        <f t="shared" si="4"/>
        <v>0.16</v>
      </c>
    </row>
    <row r="68" spans="2:36" ht="18" customHeight="1">
      <c r="B68" s="1046"/>
      <c r="C68" s="997" t="str">
        <f>IF($P$7=1,P68,O68)</f>
        <v/>
      </c>
      <c r="D68" s="1001">
        <v>0.2</v>
      </c>
      <c r="E68" s="997"/>
      <c r="F68" s="1002"/>
      <c r="G68" s="150"/>
      <c r="H68" s="150"/>
      <c r="I68" s="150"/>
      <c r="J68" s="150"/>
      <c r="K68" s="1050"/>
      <c r="O68" s="149" t="str">
        <f>IF($P$7=3,"","Sparrenhöhe [m]:")</f>
        <v/>
      </c>
      <c r="P68" s="149" t="str">
        <f>IF($P$7=3,"","Riegeltiefe [m]:")</f>
        <v/>
      </c>
      <c r="V68" s="163">
        <v>45</v>
      </c>
      <c r="X68" s="1037">
        <v>0.18</v>
      </c>
      <c r="Y68" s="1037">
        <v>0.16</v>
      </c>
      <c r="Z68" s="157">
        <f t="shared" si="0"/>
        <v>0.16</v>
      </c>
      <c r="AF68" s="163">
        <v>45</v>
      </c>
      <c r="AH68" s="1037">
        <v>0.18</v>
      </c>
      <c r="AI68" s="1037">
        <v>0.16</v>
      </c>
      <c r="AJ68" s="157">
        <f t="shared" si="4"/>
        <v>0.16</v>
      </c>
    </row>
    <row r="69" spans="2:36" ht="18" customHeight="1">
      <c r="B69" s="1046"/>
      <c r="C69" s="997" t="str">
        <f>IF($P$7=1,P69,O69)</f>
        <v/>
      </c>
      <c r="D69" s="1001">
        <v>0.55000000000000004</v>
      </c>
      <c r="E69" s="997"/>
      <c r="F69" s="1002"/>
      <c r="G69" s="150"/>
      <c r="H69" s="150"/>
      <c r="I69" s="150"/>
      <c r="J69" s="150"/>
      <c r="K69" s="1050"/>
      <c r="O69" s="149" t="str">
        <f>IF($P$7=3,"","Sparrenabstand [m]:")</f>
        <v/>
      </c>
      <c r="P69" s="149" t="str">
        <f>IF($P$7=3,"","Riegelabstand [m]:")</f>
        <v/>
      </c>
      <c r="V69" s="163">
        <v>46</v>
      </c>
      <c r="X69" s="1037">
        <v>0.18</v>
      </c>
      <c r="Y69" s="1037">
        <v>0.16</v>
      </c>
      <c r="Z69" s="157">
        <f t="shared" si="0"/>
        <v>0.16</v>
      </c>
      <c r="AF69" s="163">
        <v>46</v>
      </c>
      <c r="AH69" s="1037">
        <v>0.18</v>
      </c>
      <c r="AI69" s="1037">
        <v>0.16</v>
      </c>
      <c r="AJ69" s="157">
        <f t="shared" si="4"/>
        <v>0.16</v>
      </c>
    </row>
    <row r="70" spans="2:36" ht="18" customHeight="1">
      <c r="B70" s="1046"/>
      <c r="C70" s="997"/>
      <c r="D70" s="1038"/>
      <c r="E70" s="997"/>
      <c r="F70" s="1002"/>
      <c r="G70" s="150"/>
      <c r="H70" s="150"/>
      <c r="I70" s="150"/>
      <c r="J70" s="150"/>
      <c r="K70" s="1050"/>
      <c r="V70" s="163">
        <v>47</v>
      </c>
      <c r="X70" s="1037">
        <v>0.18</v>
      </c>
      <c r="Y70" s="1037">
        <v>0.16</v>
      </c>
      <c r="Z70" s="157">
        <f t="shared" si="0"/>
        <v>0.16</v>
      </c>
      <c r="AF70" s="163">
        <v>47</v>
      </c>
      <c r="AH70" s="1037">
        <v>0.18</v>
      </c>
      <c r="AI70" s="1037">
        <v>0.16</v>
      </c>
      <c r="AJ70" s="157">
        <f t="shared" si="4"/>
        <v>0.16</v>
      </c>
    </row>
    <row r="71" spans="2:36" ht="18" customHeight="1">
      <c r="B71" s="1046"/>
      <c r="C71" s="997" t="s">
        <v>617</v>
      </c>
      <c r="D71" s="1001" t="s">
        <v>618</v>
      </c>
      <c r="E71" s="997"/>
      <c r="F71" s="1002"/>
      <c r="G71" s="150"/>
      <c r="H71" s="150"/>
      <c r="I71" s="150"/>
      <c r="J71" s="150"/>
      <c r="K71" s="1050"/>
      <c r="V71" s="163">
        <v>48</v>
      </c>
      <c r="X71" s="1037">
        <v>0.18</v>
      </c>
      <c r="Y71" s="1037">
        <v>0.16</v>
      </c>
      <c r="Z71" s="157">
        <f t="shared" si="0"/>
        <v>0.16</v>
      </c>
      <c r="AF71" s="163">
        <v>48</v>
      </c>
      <c r="AH71" s="1037">
        <v>0.18</v>
      </c>
      <c r="AI71" s="1037">
        <v>0.16</v>
      </c>
      <c r="AJ71" s="157">
        <f t="shared" si="4"/>
        <v>0.16</v>
      </c>
    </row>
    <row r="72" spans="2:36" ht="18" customHeight="1">
      <c r="B72" s="1030"/>
      <c r="C72" s="997"/>
      <c r="D72" s="1002"/>
      <c r="E72" s="997"/>
      <c r="F72" s="1002"/>
      <c r="G72" s="150"/>
      <c r="H72" s="150"/>
      <c r="I72" s="150"/>
      <c r="J72" s="150"/>
      <c r="K72" s="1050"/>
      <c r="V72" s="163">
        <v>49</v>
      </c>
      <c r="X72" s="1037">
        <v>0.18</v>
      </c>
      <c r="Y72" s="1037">
        <v>0.16</v>
      </c>
      <c r="Z72" s="157">
        <f t="shared" si="0"/>
        <v>0.16</v>
      </c>
      <c r="AF72" s="163">
        <v>49</v>
      </c>
      <c r="AH72" s="1037">
        <v>0.18</v>
      </c>
      <c r="AI72" s="1037">
        <v>0.16</v>
      </c>
      <c r="AJ72" s="157">
        <f t="shared" si="4"/>
        <v>0.16</v>
      </c>
    </row>
    <row r="73" spans="2:36" ht="18" customHeight="1">
      <c r="B73" s="1030"/>
      <c r="C73" s="1003" t="s">
        <v>163</v>
      </c>
      <c r="D73" s="1011" t="s">
        <v>170</v>
      </c>
      <c r="E73" s="1012" t="s">
        <v>405</v>
      </c>
      <c r="F73" s="1011" t="s">
        <v>281</v>
      </c>
      <c r="G73" s="150"/>
      <c r="H73" s="150"/>
      <c r="I73" s="150"/>
      <c r="J73" s="150"/>
      <c r="K73" s="1050"/>
      <c r="V73" s="1032">
        <v>50</v>
      </c>
      <c r="W73" s="167"/>
      <c r="X73" s="1033">
        <v>0.18</v>
      </c>
      <c r="Y73" s="1033">
        <v>0.16</v>
      </c>
      <c r="Z73" s="1034">
        <f t="shared" si="0"/>
        <v>0.16</v>
      </c>
      <c r="AF73" s="1032">
        <v>50</v>
      </c>
      <c r="AG73" s="167"/>
      <c r="AH73" s="1033">
        <v>0.18</v>
      </c>
      <c r="AI73" s="1033">
        <v>0.16</v>
      </c>
      <c r="AJ73" s="1034">
        <f t="shared" si="4"/>
        <v>0.16</v>
      </c>
    </row>
    <row r="74" spans="2:36" ht="18" customHeight="1">
      <c r="B74" s="1051">
        <v>1</v>
      </c>
      <c r="C74" s="1005" t="str">
        <f>IF($P$7=1,P74,O74)</f>
        <v/>
      </c>
      <c r="D74" s="1006">
        <v>0.02</v>
      </c>
      <c r="E74" s="1006">
        <v>0.14000000000000001</v>
      </c>
      <c r="F74" s="1007">
        <f>D74/E74</f>
        <v>0.14285714285714285</v>
      </c>
      <c r="G74" s="150"/>
      <c r="H74" s="150"/>
      <c r="I74" s="150"/>
      <c r="J74" s="150"/>
      <c r="K74" s="1050"/>
      <c r="O74" s="149" t="str">
        <f>IF($P$7=3,"","Untersicht Holz")</f>
        <v/>
      </c>
      <c r="P74" s="149" t="str">
        <f>IF($P$7=3,"","Innenverkleidung")</f>
        <v/>
      </c>
      <c r="V74" s="163">
        <v>51</v>
      </c>
      <c r="X74" s="1037">
        <v>0.18</v>
      </c>
      <c r="Y74" s="1037">
        <v>0.16</v>
      </c>
      <c r="Z74" s="157">
        <f t="shared" si="0"/>
        <v>0.16</v>
      </c>
      <c r="AF74" s="163">
        <v>51</v>
      </c>
      <c r="AH74" s="1037">
        <v>0.18</v>
      </c>
      <c r="AI74" s="1037">
        <v>0.16</v>
      </c>
      <c r="AJ74" s="157">
        <f t="shared" si="4"/>
        <v>0.16</v>
      </c>
    </row>
    <row r="75" spans="2:36" ht="18" customHeight="1">
      <c r="B75" s="1051">
        <v>2</v>
      </c>
      <c r="C75" s="1005" t="str">
        <f>IF(P7=3,"","Lattung Holz")</f>
        <v/>
      </c>
      <c r="D75" s="1006">
        <v>2.5000000000000001E-2</v>
      </c>
      <c r="E75" s="1006">
        <v>0.14000000000000001</v>
      </c>
      <c r="F75" s="1007">
        <f t="shared" ref="F75:F82" si="5">D75/E75</f>
        <v>0.17857142857142858</v>
      </c>
      <c r="G75" s="150"/>
      <c r="H75" s="1356" t="s">
        <v>318</v>
      </c>
      <c r="I75" s="1356"/>
      <c r="J75" s="1356"/>
      <c r="K75" s="1357"/>
      <c r="V75" s="163">
        <v>52</v>
      </c>
      <c r="X75" s="1037">
        <v>0.18</v>
      </c>
      <c r="Y75" s="1037">
        <v>0.16</v>
      </c>
      <c r="Z75" s="157">
        <f t="shared" si="0"/>
        <v>0.16</v>
      </c>
      <c r="AF75" s="163">
        <v>52</v>
      </c>
      <c r="AH75" s="1037">
        <v>0.18</v>
      </c>
      <c r="AI75" s="1037">
        <v>0.16</v>
      </c>
      <c r="AJ75" s="157">
        <f t="shared" si="4"/>
        <v>0.16</v>
      </c>
    </row>
    <row r="76" spans="2:36" ht="18" customHeight="1">
      <c r="B76" s="1051">
        <v>3</v>
      </c>
      <c r="C76" s="997" t="str">
        <f>IF(P7=3,"","Luftschicht")</f>
        <v/>
      </c>
      <c r="D76" s="1007">
        <f>D75</f>
        <v>2.5000000000000001E-2</v>
      </c>
      <c r="E76" s="1006">
        <f>D76/F76</f>
        <v>0.15625</v>
      </c>
      <c r="F76" s="1007">
        <f>AN15</f>
        <v>0.16</v>
      </c>
      <c r="G76" s="150"/>
      <c r="H76" s="153"/>
      <c r="I76" s="151"/>
      <c r="J76" s="150"/>
      <c r="K76" s="1031"/>
      <c r="V76" s="163">
        <v>53</v>
      </c>
      <c r="X76" s="1037">
        <v>0.18</v>
      </c>
      <c r="Y76" s="1037">
        <v>0.16</v>
      </c>
      <c r="Z76" s="157">
        <f t="shared" si="0"/>
        <v>0.16</v>
      </c>
      <c r="AF76" s="163">
        <v>53</v>
      </c>
      <c r="AH76" s="1037">
        <v>0.18</v>
      </c>
      <c r="AI76" s="1037">
        <v>0.16</v>
      </c>
      <c r="AJ76" s="157">
        <f t="shared" si="4"/>
        <v>0.16</v>
      </c>
    </row>
    <row r="77" spans="2:36" ht="18" customHeight="1">
      <c r="B77" s="1051">
        <v>4</v>
      </c>
      <c r="C77" s="1005" t="str">
        <f>IF(P7=3,"","Lattung Holz")</f>
        <v/>
      </c>
      <c r="D77" s="1006">
        <v>0.05</v>
      </c>
      <c r="E77" s="1006">
        <v>0.14000000000000001</v>
      </c>
      <c r="F77" s="1007">
        <f t="shared" si="5"/>
        <v>0.35714285714285715</v>
      </c>
      <c r="G77" s="150"/>
      <c r="H77" s="153"/>
      <c r="I77" s="151"/>
      <c r="J77" s="150"/>
      <c r="K77" s="1031"/>
      <c r="V77" s="163">
        <v>54</v>
      </c>
      <c r="X77" s="1037">
        <v>0.18</v>
      </c>
      <c r="Y77" s="1037">
        <v>0.16</v>
      </c>
      <c r="Z77" s="157">
        <f t="shared" si="0"/>
        <v>0.16</v>
      </c>
      <c r="AF77" s="163">
        <v>54</v>
      </c>
      <c r="AH77" s="1037">
        <v>0.18</v>
      </c>
      <c r="AI77" s="1037">
        <v>0.16</v>
      </c>
      <c r="AJ77" s="157">
        <f t="shared" si="4"/>
        <v>0.16</v>
      </c>
    </row>
    <row r="78" spans="2:36" ht="18" customHeight="1">
      <c r="B78" s="1052">
        <v>5</v>
      </c>
      <c r="C78" s="1008" t="str">
        <f>IF(P7=3,"","Wärmedämmung Steinwolle")</f>
        <v/>
      </c>
      <c r="D78" s="1010">
        <f>D77</f>
        <v>0.05</v>
      </c>
      <c r="E78" s="1009">
        <v>4.4999999999999998E-2</v>
      </c>
      <c r="F78" s="1010">
        <f t="shared" si="5"/>
        <v>1.1111111111111112</v>
      </c>
      <c r="G78" s="150"/>
      <c r="H78" s="153"/>
      <c r="I78" s="150"/>
      <c r="J78" s="150"/>
      <c r="K78" s="1031"/>
      <c r="V78" s="163">
        <v>55</v>
      </c>
      <c r="X78" s="1037">
        <v>0.18</v>
      </c>
      <c r="Y78" s="1037">
        <v>0.16</v>
      </c>
      <c r="Z78" s="157">
        <f t="shared" ref="Z78:Z85" si="6">IF($O$7=1,X78,Y78)</f>
        <v>0.16</v>
      </c>
      <c r="AF78" s="163">
        <v>55</v>
      </c>
      <c r="AH78" s="1037">
        <v>0.18</v>
      </c>
      <c r="AI78" s="1037">
        <v>0.16</v>
      </c>
      <c r="AJ78" s="157">
        <f t="shared" si="4"/>
        <v>0.16</v>
      </c>
    </row>
    <row r="79" spans="2:36" ht="18" customHeight="1">
      <c r="B79" s="1051">
        <v>6</v>
      </c>
      <c r="C79" s="997" t="str">
        <f>IF($P$7=1,P79,O79)</f>
        <v/>
      </c>
      <c r="D79" s="1007">
        <f>D68</f>
        <v>0.2</v>
      </c>
      <c r="E79" s="1006">
        <v>0.14000000000000001</v>
      </c>
      <c r="F79" s="1007">
        <f t="shared" si="5"/>
        <v>1.4285714285714286</v>
      </c>
      <c r="G79" s="150"/>
      <c r="H79" s="153"/>
      <c r="I79" s="150"/>
      <c r="J79" s="150"/>
      <c r="K79" s="1031"/>
      <c r="O79" s="149" t="str">
        <f>IF($P$7=3,"","Sparren Holz")</f>
        <v/>
      </c>
      <c r="P79" s="149" t="str">
        <f>IF($P$7=3,"","Riegel Holz")</f>
        <v/>
      </c>
      <c r="V79" s="163">
        <v>56</v>
      </c>
      <c r="X79" s="1037">
        <v>0.18</v>
      </c>
      <c r="Y79" s="1037">
        <v>0.16</v>
      </c>
      <c r="Z79" s="157">
        <f t="shared" si="6"/>
        <v>0.16</v>
      </c>
      <c r="AF79" s="163">
        <v>56</v>
      </c>
      <c r="AH79" s="1037">
        <v>0.18</v>
      </c>
      <c r="AI79" s="1037">
        <v>0.16</v>
      </c>
      <c r="AJ79" s="157">
        <f t="shared" si="4"/>
        <v>0.16</v>
      </c>
    </row>
    <row r="80" spans="2:36" ht="18" customHeight="1">
      <c r="B80" s="1052">
        <v>7</v>
      </c>
      <c r="C80" s="1008" t="str">
        <f>IF(P7=3,"","Wärmedämmung Steinwolle")</f>
        <v/>
      </c>
      <c r="D80" s="1009">
        <v>0.2</v>
      </c>
      <c r="E80" s="1009">
        <v>4.4999999999999998E-2</v>
      </c>
      <c r="F80" s="1010">
        <f t="shared" si="5"/>
        <v>4.4444444444444446</v>
      </c>
      <c r="G80" s="150"/>
      <c r="H80" s="153"/>
      <c r="I80" s="150"/>
      <c r="J80" s="150"/>
      <c r="K80" s="1031"/>
      <c r="V80" s="163">
        <v>57</v>
      </c>
      <c r="X80" s="1037">
        <v>0.18</v>
      </c>
      <c r="Y80" s="1037">
        <v>0.16</v>
      </c>
      <c r="Z80" s="157">
        <f t="shared" si="6"/>
        <v>0.16</v>
      </c>
      <c r="AF80" s="163">
        <v>57</v>
      </c>
      <c r="AH80" s="1037">
        <v>0.18</v>
      </c>
      <c r="AI80" s="1037">
        <v>0.16</v>
      </c>
      <c r="AJ80" s="157">
        <f t="shared" si="4"/>
        <v>0.16</v>
      </c>
    </row>
    <row r="81" spans="2:36" ht="18" customHeight="1">
      <c r="B81" s="1051">
        <v>8</v>
      </c>
      <c r="C81" s="997" t="str">
        <f>IF(P7=3,"","Luftschicht")</f>
        <v/>
      </c>
      <c r="D81" s="1007">
        <f>D79-D80</f>
        <v>0</v>
      </c>
      <c r="E81" s="1006">
        <v>999</v>
      </c>
      <c r="F81" s="1007">
        <f t="shared" si="5"/>
        <v>0</v>
      </c>
      <c r="G81" s="150"/>
      <c r="H81" s="153"/>
      <c r="I81" s="150"/>
      <c r="J81" s="150"/>
      <c r="K81" s="1031"/>
      <c r="V81" s="163">
        <v>58</v>
      </c>
      <c r="X81" s="1037">
        <v>0.18</v>
      </c>
      <c r="Y81" s="1037">
        <v>0.16</v>
      </c>
      <c r="Z81" s="157">
        <f t="shared" si="6"/>
        <v>0.16</v>
      </c>
      <c r="AF81" s="163">
        <v>58</v>
      </c>
      <c r="AH81" s="1037">
        <v>0.18</v>
      </c>
      <c r="AI81" s="1037">
        <v>0.16</v>
      </c>
      <c r="AJ81" s="157">
        <f t="shared" si="4"/>
        <v>0.16</v>
      </c>
    </row>
    <row r="82" spans="2:36" ht="18" customHeight="1">
      <c r="B82" s="1051">
        <v>9</v>
      </c>
      <c r="C82" s="1005" t="str">
        <f>IF($P$7=1,P82,O82)</f>
        <v/>
      </c>
      <c r="D82" s="1006">
        <v>0</v>
      </c>
      <c r="E82" s="1006">
        <v>999</v>
      </c>
      <c r="F82" s="1007">
        <f t="shared" si="5"/>
        <v>0</v>
      </c>
      <c r="G82" s="150"/>
      <c r="H82" s="150"/>
      <c r="I82" s="150"/>
      <c r="J82" s="150"/>
      <c r="K82" s="1031"/>
      <c r="M82" s="157"/>
      <c r="O82" s="149" t="str">
        <f>IF($P$7=3,"","Unterdach")</f>
        <v/>
      </c>
      <c r="P82" s="149" t="str">
        <f>IF($P$7=3,"","Holzfaserplatte")</f>
        <v/>
      </c>
      <c r="V82" s="163">
        <v>59</v>
      </c>
      <c r="X82" s="1037">
        <v>0.18</v>
      </c>
      <c r="Y82" s="1037">
        <v>0.16</v>
      </c>
      <c r="Z82" s="157">
        <f t="shared" si="6"/>
        <v>0.16</v>
      </c>
      <c r="AF82" s="163">
        <v>59</v>
      </c>
      <c r="AH82" s="1037">
        <v>0.18</v>
      </c>
      <c r="AI82" s="1037">
        <v>0.16</v>
      </c>
      <c r="AJ82" s="157">
        <f t="shared" si="4"/>
        <v>0.16</v>
      </c>
    </row>
    <row r="83" spans="2:36" ht="18" customHeight="1">
      <c r="B83" s="1046"/>
      <c r="C83" s="997"/>
      <c r="D83" s="1007"/>
      <c r="E83" s="1007"/>
      <c r="F83" s="1007"/>
      <c r="G83" s="150"/>
      <c r="H83" s="150"/>
      <c r="I83" s="150"/>
      <c r="J83" s="150"/>
      <c r="K83" s="1031"/>
      <c r="V83" s="163">
        <v>60</v>
      </c>
      <c r="X83" s="1037">
        <v>0.18</v>
      </c>
      <c r="Y83" s="1037">
        <v>0.16</v>
      </c>
      <c r="Z83" s="157">
        <f t="shared" si="6"/>
        <v>0.16</v>
      </c>
      <c r="AF83" s="163">
        <v>60</v>
      </c>
      <c r="AH83" s="1037">
        <v>0.18</v>
      </c>
      <c r="AI83" s="1037">
        <v>0.16</v>
      </c>
      <c r="AJ83" s="157">
        <f t="shared" si="4"/>
        <v>0.16</v>
      </c>
    </row>
    <row r="84" spans="2:36" ht="18" customHeight="1">
      <c r="B84" s="1046"/>
      <c r="C84" s="1042" t="s">
        <v>26</v>
      </c>
      <c r="D84" s="1043">
        <f>1/H105</f>
        <v>0.20165329093824771</v>
      </c>
      <c r="E84" s="1044" t="s">
        <v>528</v>
      </c>
      <c r="F84" s="1045" t="str">
        <f>IF((H94/H103)&lt;1.5,"","falsch!")</f>
        <v/>
      </c>
      <c r="G84" s="150"/>
      <c r="H84" s="150"/>
      <c r="I84" s="150"/>
      <c r="J84" s="150"/>
      <c r="K84" s="1031"/>
      <c r="V84" s="163">
        <v>61</v>
      </c>
      <c r="X84" s="1037">
        <v>0.18</v>
      </c>
      <c r="Y84" s="1037">
        <v>0.16</v>
      </c>
      <c r="Z84" s="157">
        <f t="shared" si="6"/>
        <v>0.16</v>
      </c>
      <c r="AF84" s="163">
        <v>61</v>
      </c>
      <c r="AH84" s="1037">
        <v>0.18</v>
      </c>
      <c r="AI84" s="1037">
        <v>0.16</v>
      </c>
      <c r="AJ84" s="157">
        <f t="shared" si="4"/>
        <v>0.16</v>
      </c>
    </row>
    <row r="85" spans="2:36" ht="10.050000000000001" customHeight="1">
      <c r="B85" s="1046"/>
      <c r="C85" s="150"/>
      <c r="D85" s="150"/>
      <c r="E85" s="150"/>
      <c r="F85" s="150"/>
      <c r="G85" s="150"/>
      <c r="H85" s="150"/>
      <c r="I85" s="150"/>
      <c r="J85" s="150"/>
      <c r="K85" s="1031"/>
      <c r="V85" s="163">
        <v>62</v>
      </c>
      <c r="X85" s="1037">
        <v>0.18</v>
      </c>
      <c r="Y85" s="1037">
        <v>0.16</v>
      </c>
      <c r="Z85" s="157">
        <f t="shared" si="6"/>
        <v>0.16</v>
      </c>
      <c r="AF85" s="163">
        <v>62</v>
      </c>
      <c r="AH85" s="1037">
        <v>0.18</v>
      </c>
      <c r="AI85" s="1037">
        <v>0.16</v>
      </c>
      <c r="AJ85" s="157">
        <f t="shared" si="4"/>
        <v>0.16</v>
      </c>
    </row>
    <row r="86" spans="2:36" ht="18" hidden="1" customHeight="1">
      <c r="B86" s="1030"/>
      <c r="C86" s="150" t="s">
        <v>90</v>
      </c>
      <c r="D86" s="153">
        <f>0.1+F74+F75+F77+F79+F82+0.13</f>
        <v>2.3371428571428572</v>
      </c>
      <c r="E86" s="150" t="s">
        <v>283</v>
      </c>
      <c r="F86" s="150"/>
      <c r="G86" s="156" t="s">
        <v>154</v>
      </c>
      <c r="H86" s="151">
        <v>2.5000000000000001E-3</v>
      </c>
      <c r="I86" s="150"/>
      <c r="J86" s="150"/>
      <c r="K86" s="1031"/>
      <c r="X86" s="1037"/>
      <c r="Y86" s="1037"/>
      <c r="Z86" s="157"/>
      <c r="AF86" s="163"/>
      <c r="AH86" s="1037"/>
      <c r="AI86" s="1037"/>
      <c r="AJ86" s="157"/>
    </row>
    <row r="87" spans="2:36" ht="18" hidden="1" customHeight="1">
      <c r="B87" s="1030"/>
      <c r="C87" s="150" t="s">
        <v>378</v>
      </c>
      <c r="D87" s="153">
        <f>0.1+F74+F75+F78+F79+F82+0.13</f>
        <v>3.0911111111111111</v>
      </c>
      <c r="E87" s="150" t="s">
        <v>283</v>
      </c>
      <c r="F87" s="150"/>
      <c r="G87" s="156" t="s">
        <v>494</v>
      </c>
      <c r="H87" s="151">
        <f>(0.05*(D67-0.05))</f>
        <v>2.5000000000000005E-3</v>
      </c>
      <c r="I87" s="150"/>
      <c r="J87" s="150"/>
      <c r="K87" s="1031"/>
      <c r="X87" s="1037"/>
      <c r="Y87" s="1037"/>
      <c r="Z87" s="157"/>
      <c r="AF87" s="163"/>
      <c r="AH87" s="1037"/>
      <c r="AI87" s="1037"/>
      <c r="AJ87" s="157"/>
    </row>
    <row r="88" spans="2:36" ht="18" hidden="1" customHeight="1">
      <c r="B88" s="1030"/>
      <c r="C88" s="150" t="s">
        <v>379</v>
      </c>
      <c r="D88" s="153">
        <f>0.1+F74+F75+F78+F80+F81+F82+0.13</f>
        <v>6.106984126984127</v>
      </c>
      <c r="E88" s="150" t="s">
        <v>283</v>
      </c>
      <c r="F88" s="150"/>
      <c r="G88" s="156" t="s">
        <v>527</v>
      </c>
      <c r="H88" s="158">
        <f>0.05*(D69)</f>
        <v>2.7500000000000004E-2</v>
      </c>
      <c r="I88" s="150"/>
      <c r="J88" s="150"/>
      <c r="K88" s="1031"/>
      <c r="X88" s="1037"/>
      <c r="Y88" s="1037"/>
      <c r="Z88" s="157"/>
      <c r="AF88" s="163"/>
      <c r="AH88" s="1037"/>
      <c r="AI88" s="1037"/>
      <c r="AJ88" s="157"/>
    </row>
    <row r="89" spans="2:36" ht="18" hidden="1" customHeight="1">
      <c r="B89" s="1030"/>
      <c r="C89" s="150" t="s">
        <v>27</v>
      </c>
      <c r="D89" s="153">
        <f>0.1+F74+F76+F77+F79+F82+0.13</f>
        <v>2.3185714285714285</v>
      </c>
      <c r="E89" s="150" t="s">
        <v>283</v>
      </c>
      <c r="F89" s="150"/>
      <c r="G89" s="156" t="s">
        <v>470</v>
      </c>
      <c r="H89" s="151">
        <v>2.75E-2</v>
      </c>
      <c r="I89" s="150"/>
      <c r="J89" s="150"/>
      <c r="K89" s="1031"/>
      <c r="X89" s="1037"/>
      <c r="Y89" s="1037"/>
      <c r="Z89" s="157"/>
      <c r="AF89" s="163"/>
      <c r="AH89" s="1037"/>
      <c r="AI89" s="1037"/>
      <c r="AJ89" s="157"/>
    </row>
    <row r="90" spans="2:36" ht="18" hidden="1" customHeight="1">
      <c r="B90" s="1030"/>
      <c r="C90" s="150" t="s">
        <v>317</v>
      </c>
      <c r="D90" s="153">
        <f>0.1+F74+F76+F78+F79+F82+0.13</f>
        <v>3.0725396825396825</v>
      </c>
      <c r="E90" s="150" t="s">
        <v>283</v>
      </c>
      <c r="F90" s="150"/>
      <c r="G90" s="156" t="s">
        <v>319</v>
      </c>
      <c r="H90" s="158">
        <f>0.55*(D67-0.05)</f>
        <v>2.7500000000000004E-2</v>
      </c>
      <c r="I90" s="150"/>
      <c r="J90" s="150"/>
      <c r="K90" s="1031"/>
      <c r="X90" s="1037"/>
      <c r="Y90" s="1037"/>
      <c r="Z90" s="157"/>
      <c r="AF90" s="163"/>
      <c r="AH90" s="1037"/>
      <c r="AI90" s="1037"/>
      <c r="AJ90" s="157"/>
    </row>
    <row r="91" spans="2:36" ht="18" hidden="1" customHeight="1">
      <c r="B91" s="1030"/>
      <c r="C91" s="150" t="s">
        <v>59</v>
      </c>
      <c r="D91" s="153">
        <f>0.1+F74+F76+F78+F80+F81+F82+0.13</f>
        <v>6.0884126984126983</v>
      </c>
      <c r="E91" s="150" t="s">
        <v>283</v>
      </c>
      <c r="F91" s="150"/>
      <c r="G91" s="156" t="s">
        <v>5</v>
      </c>
      <c r="H91" s="158">
        <f>0.55*(D69)</f>
        <v>0.30250000000000005</v>
      </c>
      <c r="I91" s="150"/>
      <c r="J91" s="150"/>
      <c r="K91" s="1031"/>
      <c r="X91" s="1037"/>
      <c r="Y91" s="1037"/>
      <c r="Z91" s="157"/>
      <c r="AF91" s="163"/>
      <c r="AH91" s="1037"/>
      <c r="AI91" s="1037"/>
      <c r="AJ91" s="157"/>
    </row>
    <row r="92" spans="2:36" ht="18" hidden="1" customHeight="1">
      <c r="B92" s="1030"/>
      <c r="C92" s="150"/>
      <c r="D92" s="150"/>
      <c r="E92" s="150"/>
      <c r="F92" s="150"/>
      <c r="G92" s="150"/>
      <c r="H92" s="159">
        <f>SUM(H86:H87,H88:H89,H90:H91)</f>
        <v>0.39</v>
      </c>
      <c r="I92" s="150"/>
      <c r="J92" s="150"/>
      <c r="K92" s="1031"/>
      <c r="X92" s="1037"/>
      <c r="Y92" s="1037"/>
      <c r="Z92" s="157"/>
      <c r="AF92" s="163"/>
      <c r="AH92" s="1037"/>
      <c r="AI92" s="1037"/>
      <c r="AJ92" s="157"/>
    </row>
    <row r="93" spans="2:36" ht="18" hidden="1" customHeight="1">
      <c r="B93" s="1030"/>
      <c r="C93" s="150"/>
      <c r="D93" s="150"/>
      <c r="E93" s="150"/>
      <c r="F93" s="150"/>
      <c r="G93" s="150"/>
      <c r="H93" s="159"/>
      <c r="I93" s="150"/>
      <c r="J93" s="150"/>
      <c r="K93" s="1031"/>
      <c r="X93" s="1037"/>
      <c r="Y93" s="1037"/>
      <c r="Z93" s="157"/>
      <c r="AF93" s="163"/>
      <c r="AH93" s="1037"/>
      <c r="AI93" s="1037"/>
      <c r="AJ93" s="157"/>
    </row>
    <row r="94" spans="2:36" ht="18" hidden="1" customHeight="1">
      <c r="B94" s="1030"/>
      <c r="C94" s="150" t="s">
        <v>302</v>
      </c>
      <c r="D94" s="150"/>
      <c r="E94" s="150"/>
      <c r="F94" s="150"/>
      <c r="G94" s="150"/>
      <c r="H94" s="169">
        <f>((SUM(H86:H87,H88:H89,H90:H91)))/(((H86/D86)+(H87/D87)+(H88/D88)+(H89/D89)+(H90/D90)+(H91/D91)))</f>
        <v>5.0730361983255765</v>
      </c>
      <c r="I94" s="150"/>
      <c r="J94" s="150"/>
      <c r="K94" s="1031"/>
      <c r="X94" s="1037"/>
      <c r="Y94" s="1037"/>
      <c r="Z94" s="157"/>
      <c r="AF94" s="163"/>
      <c r="AH94" s="1037"/>
      <c r="AI94" s="1037"/>
      <c r="AJ94" s="157"/>
    </row>
    <row r="95" spans="2:36" ht="18" hidden="1" customHeight="1">
      <c r="B95" s="1030"/>
      <c r="C95" s="150"/>
      <c r="D95" s="150"/>
      <c r="E95" s="150"/>
      <c r="F95" s="150"/>
      <c r="G95" s="150"/>
      <c r="H95" s="150"/>
      <c r="I95" s="150"/>
      <c r="J95" s="150"/>
      <c r="K95" s="1031"/>
      <c r="X95" s="1037"/>
      <c r="Y95" s="1037"/>
      <c r="Z95" s="157"/>
      <c r="AF95" s="163"/>
      <c r="AH95" s="1037"/>
      <c r="AI95" s="1037"/>
      <c r="AJ95" s="157"/>
    </row>
    <row r="96" spans="2:36" ht="18" hidden="1" customHeight="1">
      <c r="B96" s="1030"/>
      <c r="C96" s="150" t="s">
        <v>183</v>
      </c>
      <c r="D96" s="160">
        <f>E74</f>
        <v>0.14000000000000001</v>
      </c>
      <c r="E96" s="161" t="s">
        <v>150</v>
      </c>
      <c r="F96" s="156"/>
      <c r="G96" s="158"/>
      <c r="H96" s="153"/>
      <c r="I96" s="150"/>
      <c r="J96" s="150"/>
      <c r="K96" s="1031"/>
      <c r="X96" s="1037"/>
      <c r="Y96" s="1037"/>
      <c r="Z96" s="157"/>
      <c r="AF96" s="163"/>
      <c r="AH96" s="1037"/>
      <c r="AI96" s="1037"/>
      <c r="AJ96" s="157"/>
    </row>
    <row r="97" spans="2:36" ht="18" hidden="1" customHeight="1">
      <c r="B97" s="1030"/>
      <c r="C97" s="150" t="s">
        <v>467</v>
      </c>
      <c r="D97" s="156">
        <f>(((0.05*(D67+D69))*E75)+(0.55*(D67+D69)*E76))/((0.05*(D67+D69))+(0.55*(D67+D69)))</f>
        <v>0.15489583333333334</v>
      </c>
      <c r="E97" s="161" t="s">
        <v>150</v>
      </c>
      <c r="F97" s="150"/>
      <c r="G97" s="158"/>
      <c r="H97" s="153"/>
      <c r="I97" s="150"/>
      <c r="J97" s="150"/>
      <c r="K97" s="1031"/>
      <c r="X97" s="1037"/>
      <c r="Y97" s="1037"/>
      <c r="Z97" s="157"/>
      <c r="AF97" s="163"/>
      <c r="AH97" s="1037"/>
      <c r="AI97" s="1037"/>
      <c r="AJ97" s="157"/>
    </row>
    <row r="98" spans="2:36" ht="18" hidden="1" customHeight="1">
      <c r="B98" s="1030"/>
      <c r="C98" s="150" t="s">
        <v>388</v>
      </c>
      <c r="D98" s="160">
        <f>(((0.05*0.6)*E77)+((D67+D69-0.05)*0.6)*E78)/((0.05*0.6)+((D67+D69-0.05)*0.6))</f>
        <v>5.2307692307692312E-2</v>
      </c>
      <c r="E98" s="161" t="s">
        <v>150</v>
      </c>
      <c r="F98" s="156"/>
      <c r="G98" s="158"/>
      <c r="H98" s="153"/>
      <c r="I98" s="150"/>
      <c r="J98" s="150"/>
      <c r="K98" s="1031"/>
      <c r="X98" s="1037"/>
      <c r="Y98" s="1037"/>
      <c r="Z98" s="157"/>
      <c r="AF98" s="163"/>
      <c r="AH98" s="1037"/>
      <c r="AI98" s="1037"/>
      <c r="AJ98" s="157"/>
    </row>
    <row r="99" spans="2:36" ht="18" hidden="1" customHeight="1">
      <c r="B99" s="1030"/>
      <c r="C99" s="150" t="s">
        <v>381</v>
      </c>
      <c r="D99" s="160">
        <f>(((D67*0.6)*E79)+((D69*0.6)*E80))/((D67*0.6)+(D69*0.6))</f>
        <v>5.9615384615384612E-2</v>
      </c>
      <c r="E99" s="161" t="s">
        <v>150</v>
      </c>
      <c r="F99" s="156"/>
      <c r="G99" s="158"/>
      <c r="H99" s="153"/>
      <c r="I99" s="150"/>
      <c r="J99" s="150"/>
      <c r="K99" s="1031"/>
      <c r="X99" s="1037"/>
      <c r="Y99" s="1037"/>
      <c r="Z99" s="157"/>
      <c r="AF99" s="163"/>
      <c r="AH99" s="1037"/>
      <c r="AI99" s="1037"/>
      <c r="AJ99" s="157"/>
    </row>
    <row r="100" spans="2:36" ht="18" hidden="1" customHeight="1">
      <c r="B100" s="1030"/>
      <c r="C100" s="150" t="s">
        <v>382</v>
      </c>
      <c r="D100" s="160">
        <f>(((D67*0.6)*E79)+((D69*0.6)*E81))/((D67*0.6)+(D69*0.6))</f>
        <v>845.32923076923078</v>
      </c>
      <c r="E100" s="161" t="s">
        <v>150</v>
      </c>
      <c r="F100" s="156"/>
      <c r="G100" s="158"/>
      <c r="H100" s="153"/>
      <c r="I100" s="150"/>
      <c r="J100" s="150"/>
      <c r="K100" s="1031"/>
      <c r="X100" s="1037"/>
      <c r="Y100" s="1037"/>
      <c r="Z100" s="157"/>
      <c r="AF100" s="163"/>
      <c r="AH100" s="1037"/>
      <c r="AI100" s="1037"/>
      <c r="AJ100" s="157"/>
    </row>
    <row r="101" spans="2:36" ht="18" hidden="1" customHeight="1">
      <c r="B101" s="1030"/>
      <c r="C101" s="150" t="s">
        <v>189</v>
      </c>
      <c r="D101" s="160">
        <f>E82</f>
        <v>999</v>
      </c>
      <c r="E101" s="161" t="s">
        <v>150</v>
      </c>
      <c r="F101" s="156"/>
      <c r="G101" s="158"/>
      <c r="H101" s="153"/>
      <c r="I101" s="150"/>
      <c r="J101" s="150"/>
      <c r="K101" s="1031"/>
      <c r="X101" s="1037"/>
      <c r="Y101" s="1037"/>
      <c r="Z101" s="157"/>
      <c r="AF101" s="163"/>
      <c r="AH101" s="1037"/>
      <c r="AI101" s="1037"/>
      <c r="AJ101" s="157"/>
    </row>
    <row r="102" spans="2:36" ht="18" hidden="1" customHeight="1">
      <c r="B102" s="1030"/>
      <c r="C102" s="150"/>
      <c r="D102" s="150"/>
      <c r="E102" s="151"/>
      <c r="F102" s="156"/>
      <c r="G102" s="158"/>
      <c r="H102" s="153"/>
      <c r="I102" s="150"/>
      <c r="J102" s="150"/>
      <c r="K102" s="1031"/>
      <c r="X102" s="1037"/>
      <c r="Y102" s="1037"/>
      <c r="Z102" s="157"/>
      <c r="AF102" s="163"/>
      <c r="AH102" s="1037"/>
      <c r="AI102" s="1037"/>
      <c r="AJ102" s="157"/>
    </row>
    <row r="103" spans="2:36" ht="18" hidden="1" customHeight="1">
      <c r="B103" s="1030"/>
      <c r="C103" s="150" t="s">
        <v>188</v>
      </c>
      <c r="D103" s="150"/>
      <c r="E103" s="151"/>
      <c r="F103" s="150"/>
      <c r="G103" s="158"/>
      <c r="H103" s="169">
        <f>0.1+D74/D96+D75/D97+D77/D98+D80/D99+D81/D100+D82/D101+0.13</f>
        <v>4.844976994984818</v>
      </c>
      <c r="I103" s="150"/>
      <c r="J103" s="150"/>
      <c r="K103" s="1031"/>
      <c r="X103" s="1037"/>
      <c r="Y103" s="1037"/>
      <c r="Z103" s="157"/>
      <c r="AF103" s="163"/>
      <c r="AH103" s="1037"/>
      <c r="AI103" s="1037"/>
      <c r="AJ103" s="157"/>
    </row>
    <row r="104" spans="2:36" ht="18" hidden="1" customHeight="1">
      <c r="B104" s="1030"/>
      <c r="C104" s="150"/>
      <c r="D104" s="150"/>
      <c r="E104" s="151"/>
      <c r="F104" s="156"/>
      <c r="G104" s="158"/>
      <c r="H104" s="153"/>
      <c r="I104" s="150"/>
      <c r="J104" s="150"/>
      <c r="K104" s="1031"/>
      <c r="X104" s="1037"/>
      <c r="Y104" s="1037"/>
      <c r="Z104" s="157"/>
      <c r="AF104" s="163"/>
      <c r="AH104" s="1037"/>
      <c r="AI104" s="1037"/>
      <c r="AJ104" s="157"/>
    </row>
    <row r="105" spans="2:36" ht="18" hidden="1" customHeight="1">
      <c r="B105" s="1030"/>
      <c r="C105" s="150" t="s">
        <v>513</v>
      </c>
      <c r="D105" s="150"/>
      <c r="E105" s="151"/>
      <c r="F105" s="156"/>
      <c r="G105" s="158"/>
      <c r="H105" s="169">
        <f>(H94+H103)/2</f>
        <v>4.9590065966551968</v>
      </c>
      <c r="I105" s="150"/>
      <c r="J105" s="150"/>
      <c r="K105" s="1031"/>
      <c r="X105" s="1037"/>
      <c r="Y105" s="1037"/>
      <c r="Z105" s="157"/>
      <c r="AF105" s="163"/>
      <c r="AH105" s="1037"/>
      <c r="AI105" s="1037"/>
      <c r="AJ105" s="157"/>
    </row>
    <row r="106" spans="2:36" ht="18" hidden="1" customHeight="1">
      <c r="B106" s="1030"/>
      <c r="C106" s="160"/>
      <c r="D106" s="161"/>
      <c r="E106" s="151"/>
      <c r="F106" s="156"/>
      <c r="G106" s="158"/>
      <c r="H106" s="153"/>
      <c r="I106" s="150"/>
      <c r="J106" s="150"/>
      <c r="K106" s="1031"/>
      <c r="X106" s="1037"/>
      <c r="Y106" s="1037"/>
      <c r="Z106" s="157"/>
      <c r="AF106" s="163"/>
      <c r="AH106" s="1037"/>
      <c r="AI106" s="1037"/>
      <c r="AJ106" s="157"/>
    </row>
    <row r="107" spans="2:36" ht="18" hidden="1" customHeight="1">
      <c r="B107" s="1030"/>
      <c r="C107" s="150" t="s">
        <v>32</v>
      </c>
      <c r="D107" s="161"/>
      <c r="E107" s="151"/>
      <c r="F107" s="156"/>
      <c r="G107" s="158"/>
      <c r="H107" s="153"/>
      <c r="I107" s="150"/>
      <c r="J107" s="150"/>
      <c r="K107" s="1031"/>
      <c r="X107" s="1037"/>
      <c r="Y107" s="1037"/>
      <c r="Z107" s="157"/>
      <c r="AF107" s="163"/>
      <c r="AH107" s="1037"/>
      <c r="AI107" s="1037"/>
      <c r="AJ107" s="157"/>
    </row>
    <row r="108" spans="2:36" ht="10.050000000000001" customHeight="1">
      <c r="B108" s="1030"/>
      <c r="C108" s="150"/>
      <c r="D108" s="150"/>
      <c r="E108" s="150"/>
      <c r="F108" s="150"/>
      <c r="G108" s="158"/>
      <c r="H108" s="153"/>
      <c r="I108" s="150"/>
      <c r="J108" s="150"/>
      <c r="K108" s="1031"/>
      <c r="V108" s="163">
        <v>63</v>
      </c>
      <c r="X108" s="1037">
        <v>0.18</v>
      </c>
      <c r="Y108" s="1037">
        <v>0.16</v>
      </c>
      <c r="Z108" s="157">
        <f t="shared" ref="Z108:Z145" si="7">IF($O$7=1,X108,Y108)</f>
        <v>0.16</v>
      </c>
      <c r="AF108" s="163">
        <v>63</v>
      </c>
      <c r="AH108" s="1037">
        <v>0.18</v>
      </c>
      <c r="AI108" s="1037">
        <v>0.16</v>
      </c>
      <c r="AJ108" s="157">
        <f t="shared" ref="AJ108:AJ145" si="8">IF($P$7=1,AH108,AI108)</f>
        <v>0.16</v>
      </c>
    </row>
    <row r="109" spans="2:36" ht="10.050000000000001" customHeight="1">
      <c r="B109" s="1047"/>
      <c r="C109" s="1053"/>
      <c r="D109" s="1054"/>
      <c r="E109" s="1055"/>
      <c r="F109" s="1056"/>
      <c r="G109" s="1057"/>
      <c r="H109" s="1058"/>
      <c r="I109" s="1048"/>
      <c r="J109" s="1048"/>
      <c r="K109" s="1049"/>
      <c r="V109" s="163">
        <v>64</v>
      </c>
      <c r="X109" s="1037">
        <v>0.18</v>
      </c>
      <c r="Y109" s="1037">
        <v>0.16</v>
      </c>
      <c r="Z109" s="157">
        <f t="shared" si="7"/>
        <v>0.16</v>
      </c>
      <c r="AF109" s="163">
        <v>64</v>
      </c>
      <c r="AH109" s="1037">
        <v>0.18</v>
      </c>
      <c r="AI109" s="1037">
        <v>0.16</v>
      </c>
      <c r="AJ109" s="157">
        <f t="shared" si="8"/>
        <v>0.16</v>
      </c>
    </row>
    <row r="110" spans="2:36">
      <c r="C110" s="162"/>
      <c r="D110" s="163"/>
      <c r="E110" s="155"/>
      <c r="G110" s="164"/>
      <c r="H110" s="157"/>
      <c r="V110" s="163">
        <v>65</v>
      </c>
      <c r="X110" s="1037">
        <v>0.18</v>
      </c>
      <c r="Y110" s="1037">
        <v>0.16</v>
      </c>
      <c r="Z110" s="157">
        <f t="shared" si="7"/>
        <v>0.16</v>
      </c>
      <c r="AF110" s="163">
        <v>65</v>
      </c>
      <c r="AH110" s="1037">
        <v>0.18</v>
      </c>
      <c r="AI110" s="1037">
        <v>0.16</v>
      </c>
      <c r="AJ110" s="157">
        <f t="shared" si="8"/>
        <v>0.16</v>
      </c>
    </row>
    <row r="111" spans="2:36">
      <c r="C111" s="162"/>
      <c r="D111" s="163"/>
      <c r="E111" s="155"/>
      <c r="F111" s="165"/>
      <c r="G111" s="164"/>
      <c r="H111" s="157"/>
      <c r="V111" s="163">
        <v>66</v>
      </c>
      <c r="X111" s="1037">
        <v>0.18</v>
      </c>
      <c r="Y111" s="1037">
        <v>0.16</v>
      </c>
      <c r="Z111" s="157">
        <f t="shared" si="7"/>
        <v>0.16</v>
      </c>
      <c r="AF111" s="163">
        <v>66</v>
      </c>
      <c r="AH111" s="1037">
        <v>0.18</v>
      </c>
      <c r="AI111" s="1037">
        <v>0.16</v>
      </c>
      <c r="AJ111" s="157">
        <f t="shared" si="8"/>
        <v>0.16</v>
      </c>
    </row>
    <row r="112" spans="2:36">
      <c r="F112" s="165"/>
      <c r="G112" s="164"/>
      <c r="H112" s="157"/>
      <c r="V112" s="163">
        <v>67</v>
      </c>
      <c r="X112" s="1037">
        <v>0.18</v>
      </c>
      <c r="Y112" s="1037">
        <v>0.16</v>
      </c>
      <c r="Z112" s="157">
        <f t="shared" si="7"/>
        <v>0.16</v>
      </c>
      <c r="AF112" s="163">
        <v>67</v>
      </c>
      <c r="AH112" s="1037">
        <v>0.18</v>
      </c>
      <c r="AI112" s="1037">
        <v>0.16</v>
      </c>
      <c r="AJ112" s="157">
        <f t="shared" si="8"/>
        <v>0.16</v>
      </c>
    </row>
    <row r="113" spans="3:36">
      <c r="F113" s="165"/>
      <c r="G113" s="164"/>
      <c r="H113" s="157"/>
      <c r="V113" s="163">
        <v>68</v>
      </c>
      <c r="X113" s="1037">
        <v>0.18</v>
      </c>
      <c r="Y113" s="1037">
        <v>0.16</v>
      </c>
      <c r="Z113" s="157">
        <f t="shared" si="7"/>
        <v>0.16</v>
      </c>
      <c r="AF113" s="163">
        <v>68</v>
      </c>
      <c r="AH113" s="1037">
        <v>0.18</v>
      </c>
      <c r="AI113" s="1037">
        <v>0.16</v>
      </c>
      <c r="AJ113" s="157">
        <f t="shared" si="8"/>
        <v>0.16</v>
      </c>
    </row>
    <row r="114" spans="3:36">
      <c r="H114" s="157"/>
      <c r="V114" s="163">
        <v>69</v>
      </c>
      <c r="X114" s="1037">
        <v>0.18</v>
      </c>
      <c r="Y114" s="1037">
        <v>0.16</v>
      </c>
      <c r="Z114" s="157">
        <f t="shared" si="7"/>
        <v>0.16</v>
      </c>
      <c r="AF114" s="163">
        <v>69</v>
      </c>
      <c r="AH114" s="1037">
        <v>0.18</v>
      </c>
      <c r="AI114" s="1037">
        <v>0.16</v>
      </c>
      <c r="AJ114" s="157">
        <f t="shared" si="8"/>
        <v>0.16</v>
      </c>
    </row>
    <row r="115" spans="3:36">
      <c r="D115" s="166"/>
      <c r="V115" s="163">
        <v>70</v>
      </c>
      <c r="X115" s="1037">
        <v>0.18</v>
      </c>
      <c r="Y115" s="1037">
        <v>0.16</v>
      </c>
      <c r="Z115" s="157">
        <f t="shared" si="7"/>
        <v>0.16</v>
      </c>
      <c r="AF115" s="163">
        <v>70</v>
      </c>
      <c r="AH115" s="1037">
        <v>0.18</v>
      </c>
      <c r="AI115" s="1037">
        <v>0.16</v>
      </c>
      <c r="AJ115" s="157">
        <f t="shared" si="8"/>
        <v>0.16</v>
      </c>
    </row>
    <row r="116" spans="3:36">
      <c r="D116" s="166"/>
      <c r="V116" s="163">
        <v>71</v>
      </c>
      <c r="X116" s="1037">
        <v>0.18</v>
      </c>
      <c r="Y116" s="1037">
        <v>0.16</v>
      </c>
      <c r="Z116" s="157">
        <f t="shared" si="7"/>
        <v>0.16</v>
      </c>
      <c r="AF116" s="163">
        <v>71</v>
      </c>
      <c r="AH116" s="1037">
        <v>0.18</v>
      </c>
      <c r="AI116" s="1037">
        <v>0.16</v>
      </c>
      <c r="AJ116" s="157">
        <f t="shared" si="8"/>
        <v>0.16</v>
      </c>
    </row>
    <row r="117" spans="3:36">
      <c r="D117" s="166"/>
      <c r="G117" s="155"/>
      <c r="V117" s="163">
        <v>72</v>
      </c>
      <c r="X117" s="1037">
        <v>0.18</v>
      </c>
      <c r="Y117" s="1037">
        <v>0.16</v>
      </c>
      <c r="Z117" s="157">
        <f t="shared" si="7"/>
        <v>0.16</v>
      </c>
      <c r="AF117" s="163">
        <v>72</v>
      </c>
      <c r="AH117" s="1037">
        <v>0.18</v>
      </c>
      <c r="AI117" s="1037">
        <v>0.16</v>
      </c>
      <c r="AJ117" s="157">
        <f t="shared" si="8"/>
        <v>0.16</v>
      </c>
    </row>
    <row r="118" spans="3:36">
      <c r="V118" s="163">
        <v>73</v>
      </c>
      <c r="X118" s="1037">
        <v>0.18</v>
      </c>
      <c r="Y118" s="1037">
        <v>0.16</v>
      </c>
      <c r="Z118" s="157">
        <f t="shared" si="7"/>
        <v>0.16</v>
      </c>
      <c r="AF118" s="163">
        <v>73</v>
      </c>
      <c r="AH118" s="1037">
        <v>0.18</v>
      </c>
      <c r="AI118" s="1037">
        <v>0.16</v>
      </c>
      <c r="AJ118" s="157">
        <f t="shared" si="8"/>
        <v>0.16</v>
      </c>
    </row>
    <row r="119" spans="3:36">
      <c r="C119" s="167"/>
      <c r="D119" s="168"/>
      <c r="E119" s="167"/>
      <c r="V119" s="163">
        <v>74</v>
      </c>
      <c r="X119" s="1037">
        <v>0.18</v>
      </c>
      <c r="Y119" s="1037">
        <v>0.16</v>
      </c>
      <c r="Z119" s="157">
        <f t="shared" si="7"/>
        <v>0.16</v>
      </c>
      <c r="AF119" s="163">
        <v>74</v>
      </c>
      <c r="AH119" s="1037">
        <v>0.18</v>
      </c>
      <c r="AI119" s="1037">
        <v>0.16</v>
      </c>
      <c r="AJ119" s="157">
        <f t="shared" si="8"/>
        <v>0.16</v>
      </c>
    </row>
    <row r="120" spans="3:36">
      <c r="V120" s="163">
        <v>75</v>
      </c>
      <c r="X120" s="1037">
        <v>0.18</v>
      </c>
      <c r="Y120" s="1037">
        <v>0.16</v>
      </c>
      <c r="Z120" s="157">
        <f t="shared" si="7"/>
        <v>0.16</v>
      </c>
      <c r="AF120" s="163">
        <v>75</v>
      </c>
      <c r="AH120" s="1037">
        <v>0.18</v>
      </c>
      <c r="AI120" s="1037">
        <v>0.16</v>
      </c>
      <c r="AJ120" s="157">
        <f t="shared" si="8"/>
        <v>0.16</v>
      </c>
    </row>
    <row r="121" spans="3:36">
      <c r="V121" s="163">
        <v>76</v>
      </c>
      <c r="X121" s="1037">
        <v>0.18</v>
      </c>
      <c r="Y121" s="1037">
        <v>0.16</v>
      </c>
      <c r="Z121" s="157">
        <f t="shared" si="7"/>
        <v>0.16</v>
      </c>
      <c r="AF121" s="163">
        <v>76</v>
      </c>
      <c r="AH121" s="1037">
        <v>0.18</v>
      </c>
      <c r="AI121" s="1037">
        <v>0.16</v>
      </c>
      <c r="AJ121" s="157">
        <f t="shared" si="8"/>
        <v>0.16</v>
      </c>
    </row>
    <row r="122" spans="3:36">
      <c r="V122" s="163">
        <v>77</v>
      </c>
      <c r="X122" s="1037">
        <v>0.18</v>
      </c>
      <c r="Y122" s="1037">
        <v>0.16</v>
      </c>
      <c r="Z122" s="157">
        <f t="shared" si="7"/>
        <v>0.16</v>
      </c>
      <c r="AF122" s="163">
        <v>77</v>
      </c>
      <c r="AH122" s="1037">
        <v>0.18</v>
      </c>
      <c r="AI122" s="1037">
        <v>0.16</v>
      </c>
      <c r="AJ122" s="157">
        <f t="shared" si="8"/>
        <v>0.16</v>
      </c>
    </row>
    <row r="123" spans="3:36">
      <c r="V123" s="163">
        <v>78</v>
      </c>
      <c r="X123" s="1037">
        <v>0.18</v>
      </c>
      <c r="Y123" s="1037">
        <v>0.16</v>
      </c>
      <c r="Z123" s="157">
        <f t="shared" si="7"/>
        <v>0.16</v>
      </c>
      <c r="AF123" s="163">
        <v>78</v>
      </c>
      <c r="AH123" s="1037">
        <v>0.18</v>
      </c>
      <c r="AI123" s="1037">
        <v>0.16</v>
      </c>
      <c r="AJ123" s="157">
        <f t="shared" si="8"/>
        <v>0.16</v>
      </c>
    </row>
    <row r="124" spans="3:36">
      <c r="V124" s="163">
        <v>79</v>
      </c>
      <c r="X124" s="1037">
        <v>0.18</v>
      </c>
      <c r="Y124" s="1037">
        <v>0.16</v>
      </c>
      <c r="Z124" s="157">
        <f t="shared" si="7"/>
        <v>0.16</v>
      </c>
      <c r="AF124" s="163">
        <v>79</v>
      </c>
      <c r="AH124" s="1037">
        <v>0.18</v>
      </c>
      <c r="AI124" s="1037">
        <v>0.16</v>
      </c>
      <c r="AJ124" s="157">
        <f t="shared" si="8"/>
        <v>0.16</v>
      </c>
    </row>
    <row r="125" spans="3:36">
      <c r="V125" s="163">
        <v>80</v>
      </c>
      <c r="X125" s="1037">
        <v>0.18</v>
      </c>
      <c r="Y125" s="1037">
        <v>0.16</v>
      </c>
      <c r="Z125" s="157">
        <f t="shared" si="7"/>
        <v>0.16</v>
      </c>
      <c r="AF125" s="163">
        <v>80</v>
      </c>
      <c r="AH125" s="1037">
        <v>0.18</v>
      </c>
      <c r="AI125" s="1037">
        <v>0.16</v>
      </c>
      <c r="AJ125" s="157">
        <f t="shared" si="8"/>
        <v>0.16</v>
      </c>
    </row>
    <row r="126" spans="3:36">
      <c r="V126" s="163">
        <v>81</v>
      </c>
      <c r="X126" s="1037">
        <v>0.18</v>
      </c>
      <c r="Y126" s="1037">
        <v>0.16</v>
      </c>
      <c r="Z126" s="157">
        <f t="shared" si="7"/>
        <v>0.16</v>
      </c>
      <c r="AF126" s="163">
        <v>81</v>
      </c>
      <c r="AH126" s="1037">
        <v>0.18</v>
      </c>
      <c r="AI126" s="1037">
        <v>0.16</v>
      </c>
      <c r="AJ126" s="157">
        <f t="shared" si="8"/>
        <v>0.16</v>
      </c>
    </row>
    <row r="127" spans="3:36">
      <c r="V127" s="163">
        <v>82</v>
      </c>
      <c r="X127" s="1037">
        <v>0.18</v>
      </c>
      <c r="Y127" s="1037">
        <v>0.16</v>
      </c>
      <c r="Z127" s="157">
        <f t="shared" si="7"/>
        <v>0.16</v>
      </c>
      <c r="AF127" s="163">
        <v>82</v>
      </c>
      <c r="AH127" s="1037">
        <v>0.18</v>
      </c>
      <c r="AI127" s="1037">
        <v>0.16</v>
      </c>
      <c r="AJ127" s="157">
        <f t="shared" si="8"/>
        <v>0.16</v>
      </c>
    </row>
    <row r="128" spans="3:36">
      <c r="V128" s="163">
        <v>83</v>
      </c>
      <c r="X128" s="1037">
        <v>0.18</v>
      </c>
      <c r="Y128" s="1037">
        <v>0.16</v>
      </c>
      <c r="Z128" s="157">
        <f t="shared" si="7"/>
        <v>0.16</v>
      </c>
      <c r="AF128" s="163">
        <v>83</v>
      </c>
      <c r="AH128" s="1037">
        <v>0.18</v>
      </c>
      <c r="AI128" s="1037">
        <v>0.16</v>
      </c>
      <c r="AJ128" s="157">
        <f t="shared" si="8"/>
        <v>0.16</v>
      </c>
    </row>
    <row r="129" spans="22:36">
      <c r="V129" s="163">
        <v>84</v>
      </c>
      <c r="X129" s="1037">
        <v>0.18</v>
      </c>
      <c r="Y129" s="1037">
        <v>0.16</v>
      </c>
      <c r="Z129" s="157">
        <f t="shared" si="7"/>
        <v>0.16</v>
      </c>
      <c r="AF129" s="163">
        <v>84</v>
      </c>
      <c r="AH129" s="1037">
        <v>0.18</v>
      </c>
      <c r="AI129" s="1037">
        <v>0.16</v>
      </c>
      <c r="AJ129" s="157">
        <f t="shared" si="8"/>
        <v>0.16</v>
      </c>
    </row>
    <row r="130" spans="22:36">
      <c r="V130" s="163">
        <v>85</v>
      </c>
      <c r="X130" s="1037">
        <v>0.18</v>
      </c>
      <c r="Y130" s="1037">
        <v>0.16</v>
      </c>
      <c r="Z130" s="157">
        <f t="shared" si="7"/>
        <v>0.16</v>
      </c>
      <c r="AF130" s="163">
        <v>85</v>
      </c>
      <c r="AH130" s="1037">
        <v>0.18</v>
      </c>
      <c r="AI130" s="1037">
        <v>0.16</v>
      </c>
      <c r="AJ130" s="157">
        <f t="shared" si="8"/>
        <v>0.16</v>
      </c>
    </row>
    <row r="131" spans="22:36">
      <c r="V131" s="163">
        <v>86</v>
      </c>
      <c r="X131" s="1037">
        <v>0.18</v>
      </c>
      <c r="Y131" s="1037">
        <v>0.16</v>
      </c>
      <c r="Z131" s="157">
        <f t="shared" si="7"/>
        <v>0.16</v>
      </c>
      <c r="AF131" s="163">
        <v>86</v>
      </c>
      <c r="AH131" s="1037">
        <v>0.18</v>
      </c>
      <c r="AI131" s="1037">
        <v>0.16</v>
      </c>
      <c r="AJ131" s="157">
        <f t="shared" si="8"/>
        <v>0.16</v>
      </c>
    </row>
    <row r="132" spans="22:36">
      <c r="V132" s="163">
        <v>87</v>
      </c>
      <c r="X132" s="1037">
        <v>0.18</v>
      </c>
      <c r="Y132" s="1037">
        <v>0.16</v>
      </c>
      <c r="Z132" s="157">
        <f t="shared" si="7"/>
        <v>0.16</v>
      </c>
      <c r="AF132" s="163">
        <v>87</v>
      </c>
      <c r="AH132" s="1037">
        <v>0.18</v>
      </c>
      <c r="AI132" s="1037">
        <v>0.16</v>
      </c>
      <c r="AJ132" s="157">
        <f t="shared" si="8"/>
        <v>0.16</v>
      </c>
    </row>
    <row r="133" spans="22:36">
      <c r="V133" s="163">
        <v>88</v>
      </c>
      <c r="X133" s="1037">
        <v>0.18</v>
      </c>
      <c r="Y133" s="1037">
        <v>0.16</v>
      </c>
      <c r="Z133" s="157">
        <f t="shared" si="7"/>
        <v>0.16</v>
      </c>
      <c r="AF133" s="163">
        <v>88</v>
      </c>
      <c r="AH133" s="1037">
        <v>0.18</v>
      </c>
      <c r="AI133" s="1037">
        <v>0.16</v>
      </c>
      <c r="AJ133" s="157">
        <f t="shared" si="8"/>
        <v>0.16</v>
      </c>
    </row>
    <row r="134" spans="22:36">
      <c r="V134" s="163">
        <v>89</v>
      </c>
      <c r="X134" s="1037">
        <v>0.18</v>
      </c>
      <c r="Y134" s="1037">
        <v>0.16</v>
      </c>
      <c r="Z134" s="157">
        <f t="shared" si="7"/>
        <v>0.16</v>
      </c>
      <c r="AF134" s="163">
        <v>89</v>
      </c>
      <c r="AH134" s="1037">
        <v>0.18</v>
      </c>
      <c r="AI134" s="1037">
        <v>0.16</v>
      </c>
      <c r="AJ134" s="157">
        <f t="shared" si="8"/>
        <v>0.16</v>
      </c>
    </row>
    <row r="135" spans="22:36">
      <c r="V135" s="163">
        <v>90</v>
      </c>
      <c r="X135" s="1037">
        <v>0.18</v>
      </c>
      <c r="Y135" s="1037">
        <v>0.16</v>
      </c>
      <c r="Z135" s="157">
        <f t="shared" si="7"/>
        <v>0.16</v>
      </c>
      <c r="AF135" s="163">
        <v>90</v>
      </c>
      <c r="AH135" s="1037">
        <v>0.18</v>
      </c>
      <c r="AI135" s="1037">
        <v>0.16</v>
      </c>
      <c r="AJ135" s="157">
        <f t="shared" si="8"/>
        <v>0.16</v>
      </c>
    </row>
    <row r="136" spans="22:36">
      <c r="V136" s="163">
        <v>91</v>
      </c>
      <c r="X136" s="1037">
        <v>0.18</v>
      </c>
      <c r="Y136" s="1037">
        <v>0.16</v>
      </c>
      <c r="Z136" s="157">
        <f t="shared" si="7"/>
        <v>0.16</v>
      </c>
      <c r="AF136" s="163">
        <v>91</v>
      </c>
      <c r="AH136" s="1037">
        <v>0.18</v>
      </c>
      <c r="AI136" s="1037">
        <v>0.16</v>
      </c>
      <c r="AJ136" s="157">
        <f t="shared" si="8"/>
        <v>0.16</v>
      </c>
    </row>
    <row r="137" spans="22:36">
      <c r="V137" s="163">
        <v>92</v>
      </c>
      <c r="X137" s="1037">
        <v>0.18</v>
      </c>
      <c r="Y137" s="1037">
        <v>0.16</v>
      </c>
      <c r="Z137" s="157">
        <f t="shared" si="7"/>
        <v>0.16</v>
      </c>
      <c r="AF137" s="163">
        <v>92</v>
      </c>
      <c r="AH137" s="1037">
        <v>0.18</v>
      </c>
      <c r="AI137" s="1037">
        <v>0.16</v>
      </c>
      <c r="AJ137" s="157">
        <f t="shared" si="8"/>
        <v>0.16</v>
      </c>
    </row>
    <row r="138" spans="22:36">
      <c r="V138" s="163">
        <v>93</v>
      </c>
      <c r="X138" s="1037">
        <v>0.18</v>
      </c>
      <c r="Y138" s="1037">
        <v>0.16</v>
      </c>
      <c r="Z138" s="157">
        <f t="shared" si="7"/>
        <v>0.16</v>
      </c>
      <c r="AF138" s="163">
        <v>93</v>
      </c>
      <c r="AH138" s="1037">
        <v>0.18</v>
      </c>
      <c r="AI138" s="1037">
        <v>0.16</v>
      </c>
      <c r="AJ138" s="157">
        <f t="shared" si="8"/>
        <v>0.16</v>
      </c>
    </row>
    <row r="139" spans="22:36">
      <c r="V139" s="163">
        <v>94</v>
      </c>
      <c r="X139" s="1037">
        <v>0.18</v>
      </c>
      <c r="Y139" s="1037">
        <v>0.16</v>
      </c>
      <c r="Z139" s="157">
        <f t="shared" si="7"/>
        <v>0.16</v>
      </c>
      <c r="AF139" s="163">
        <v>94</v>
      </c>
      <c r="AH139" s="1037">
        <v>0.18</v>
      </c>
      <c r="AI139" s="1037">
        <v>0.16</v>
      </c>
      <c r="AJ139" s="157">
        <f t="shared" si="8"/>
        <v>0.16</v>
      </c>
    </row>
    <row r="140" spans="22:36">
      <c r="V140" s="163">
        <v>95</v>
      </c>
      <c r="X140" s="1037">
        <v>0.18</v>
      </c>
      <c r="Y140" s="1037">
        <v>0.16</v>
      </c>
      <c r="Z140" s="157">
        <f t="shared" si="7"/>
        <v>0.16</v>
      </c>
      <c r="AF140" s="163">
        <v>95</v>
      </c>
      <c r="AH140" s="1037">
        <v>0.18</v>
      </c>
      <c r="AI140" s="1037">
        <v>0.16</v>
      </c>
      <c r="AJ140" s="157">
        <f t="shared" si="8"/>
        <v>0.16</v>
      </c>
    </row>
    <row r="141" spans="22:36">
      <c r="V141" s="163">
        <v>96</v>
      </c>
      <c r="X141" s="1037">
        <v>0.18</v>
      </c>
      <c r="Y141" s="1037">
        <v>0.16</v>
      </c>
      <c r="Z141" s="157">
        <f t="shared" si="7"/>
        <v>0.16</v>
      </c>
      <c r="AF141" s="163">
        <v>96</v>
      </c>
      <c r="AH141" s="1037">
        <v>0.18</v>
      </c>
      <c r="AI141" s="1037">
        <v>0.16</v>
      </c>
      <c r="AJ141" s="157">
        <f t="shared" si="8"/>
        <v>0.16</v>
      </c>
    </row>
    <row r="142" spans="22:36">
      <c r="V142" s="163">
        <v>97</v>
      </c>
      <c r="X142" s="1037">
        <v>0.18</v>
      </c>
      <c r="Y142" s="1037">
        <v>0.16</v>
      </c>
      <c r="Z142" s="157">
        <f t="shared" si="7"/>
        <v>0.16</v>
      </c>
      <c r="AF142" s="163">
        <v>97</v>
      </c>
      <c r="AH142" s="1037">
        <v>0.18</v>
      </c>
      <c r="AI142" s="1037">
        <v>0.16</v>
      </c>
      <c r="AJ142" s="157">
        <f t="shared" si="8"/>
        <v>0.16</v>
      </c>
    </row>
    <row r="143" spans="22:36">
      <c r="V143" s="163">
        <v>98</v>
      </c>
      <c r="X143" s="1037">
        <v>0.18</v>
      </c>
      <c r="Y143" s="1037">
        <v>0.16</v>
      </c>
      <c r="Z143" s="157">
        <f t="shared" si="7"/>
        <v>0.16</v>
      </c>
      <c r="AF143" s="163">
        <v>98</v>
      </c>
      <c r="AH143" s="1037">
        <v>0.18</v>
      </c>
      <c r="AI143" s="1037">
        <v>0.16</v>
      </c>
      <c r="AJ143" s="157">
        <f t="shared" si="8"/>
        <v>0.16</v>
      </c>
    </row>
    <row r="144" spans="22:36">
      <c r="V144" s="163">
        <v>99</v>
      </c>
      <c r="X144" s="1037">
        <v>0.18</v>
      </c>
      <c r="Y144" s="1037">
        <v>0.16</v>
      </c>
      <c r="Z144" s="157">
        <f t="shared" si="7"/>
        <v>0.16</v>
      </c>
      <c r="AF144" s="163">
        <v>99</v>
      </c>
      <c r="AH144" s="1037">
        <v>0.18</v>
      </c>
      <c r="AI144" s="1037">
        <v>0.16</v>
      </c>
      <c r="AJ144" s="157">
        <f t="shared" si="8"/>
        <v>0.16</v>
      </c>
    </row>
    <row r="145" spans="22:36">
      <c r="V145" s="1032">
        <v>100</v>
      </c>
      <c r="W145" s="167"/>
      <c r="X145" s="1033">
        <v>0.18</v>
      </c>
      <c r="Y145" s="1033">
        <v>0.16</v>
      </c>
      <c r="Z145" s="1034">
        <f t="shared" si="7"/>
        <v>0.16</v>
      </c>
      <c r="AF145" s="163">
        <v>100</v>
      </c>
      <c r="AH145" s="1037">
        <v>0.18</v>
      </c>
      <c r="AI145" s="1037">
        <v>0.16</v>
      </c>
      <c r="AJ145" s="1034">
        <f t="shared" si="8"/>
        <v>0.16</v>
      </c>
    </row>
    <row r="146" spans="22:36">
      <c r="X146" s="157"/>
      <c r="Y146" s="1037"/>
      <c r="Z146" s="157"/>
    </row>
    <row r="147" spans="22:36">
      <c r="X147" s="157"/>
      <c r="Y147" s="1037"/>
      <c r="Z147" s="157"/>
    </row>
    <row r="148" spans="22:36">
      <c r="X148" s="157"/>
      <c r="Y148" s="1037"/>
      <c r="Z148" s="157"/>
    </row>
    <row r="149" spans="22:36">
      <c r="X149" s="157"/>
      <c r="Y149" s="1037"/>
      <c r="Z149" s="157"/>
    </row>
    <row r="162" spans="2:11" ht="12.75" customHeight="1">
      <c r="B162" s="1059"/>
      <c r="C162" s="1060"/>
      <c r="H162" s="1358"/>
      <c r="I162" s="1358"/>
      <c r="J162" s="1358"/>
      <c r="K162" s="1358"/>
    </row>
  </sheetData>
  <sheetProtection password="D950" sheet="1" objects="1" scenarios="1" selectLockedCells="1"/>
  <mergeCells count="19">
    <mergeCell ref="B2:E2"/>
    <mergeCell ref="F2:G2"/>
    <mergeCell ref="F53:G53"/>
    <mergeCell ref="B53:E53"/>
    <mergeCell ref="H75:K75"/>
    <mergeCell ref="H162:I162"/>
    <mergeCell ref="J162:K162"/>
    <mergeCell ref="D13:F13"/>
    <mergeCell ref="H22:K22"/>
    <mergeCell ref="B60:K60"/>
    <mergeCell ref="D63:F63"/>
    <mergeCell ref="H63:K63"/>
    <mergeCell ref="D64:F64"/>
    <mergeCell ref="AH12:AJ12"/>
    <mergeCell ref="O4:P4"/>
    <mergeCell ref="B9:K9"/>
    <mergeCell ref="D12:F12"/>
    <mergeCell ref="H12:K12"/>
    <mergeCell ref="X12:Z12"/>
  </mergeCells>
  <phoneticPr fontId="18" type="noConversion"/>
  <conditionalFormatting sqref="M69:M72">
    <cfRule type="colorScale" priority="2">
      <colorScale>
        <cfvo type="num" val="$P$7"/>
        <cfvo type="num" val="$P$7"/>
        <color theme="0"/>
        <color theme="1"/>
      </colorScale>
    </cfRule>
  </conditionalFormatting>
  <conditionalFormatting sqref="G63">
    <cfRule type="expression" dxfId="0" priority="1">
      <formula>"wenn($D$65≥1)"</formula>
    </cfRule>
  </conditionalFormatting>
  <printOptions horizontalCentered="1"/>
  <pageMargins left="0.79000000000000015" right="0.59" top="0.55000000000000004" bottom="0.55000000000000004" header="0.51" footer="0.51"/>
  <pageSetup paperSize="9" scale="68" orientation="portrait" horizontalDpi="4294967292" verticalDpi="4294967292"/>
  <rowBreaks count="1" manualBreakCount="1">
    <brk id="52" min="1" max="10" man="1"/>
  </rowBreaks>
  <ignoredErrors>
    <ignoredError sqref="F25" formula="1"/>
  </ignoredErrors>
  <drawing r:id="rId1"/>
  <legacyDrawing r:id="rId2"/>
  <mc:AlternateContent xmlns:mc="http://schemas.openxmlformats.org/markup-compatibility/2006">
    <mc:Choice Requires="x14">
      <controls>
        <mc:AlternateContent xmlns:mc="http://schemas.openxmlformats.org/markup-compatibility/2006">
          <mc:Choice Requires="x14">
            <control shapeId="220161" r:id="rId3" name="Drop Down 1">
              <controlPr defaultSize="0" print="0" autoLine="0" autoPict="0">
                <anchor moveWithCells="1">
                  <from>
                    <xdr:col>1</xdr:col>
                    <xdr:colOff>15240</xdr:colOff>
                    <xdr:row>56</xdr:row>
                    <xdr:rowOff>91440</xdr:rowOff>
                  </from>
                  <to>
                    <xdr:col>2</xdr:col>
                    <xdr:colOff>1905000</xdr:colOff>
                    <xdr:row>58</xdr:row>
                    <xdr:rowOff>76200</xdr:rowOff>
                  </to>
                </anchor>
              </controlPr>
            </control>
          </mc:Choice>
        </mc:AlternateContent>
        <mc:AlternateContent xmlns:mc="http://schemas.openxmlformats.org/markup-compatibility/2006">
          <mc:Choice Requires="x14">
            <control shapeId="220162" r:id="rId4" name="Drop Down 2">
              <controlPr locked="0" defaultSize="0" print="0" autoLine="0" autoPict="0">
                <anchor moveWithCells="1">
                  <from>
                    <xdr:col>1</xdr:col>
                    <xdr:colOff>0</xdr:colOff>
                    <xdr:row>5</xdr:row>
                    <xdr:rowOff>99060</xdr:rowOff>
                  </from>
                  <to>
                    <xdr:col>2</xdr:col>
                    <xdr:colOff>1889760</xdr:colOff>
                    <xdr:row>7</xdr:row>
                    <xdr:rowOff>91440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5">
    <tabColor rgb="FF00B050"/>
    <pageSetUpPr autoPageBreaks="0"/>
  </sheetPr>
  <dimension ref="C1:AD464"/>
  <sheetViews>
    <sheetView showGridLines="0" showRowColHeaders="0" zoomScale="130" zoomScaleNormal="130" zoomScaleSheetLayoutView="120" zoomScalePageLayoutView="130" workbookViewId="0">
      <selection activeCell="H10" sqref="H10:M10"/>
    </sheetView>
  </sheetViews>
  <sheetFormatPr baseColWidth="10" defaultColWidth="10.875" defaultRowHeight="11.4"/>
  <cols>
    <col min="1" max="2" width="1.875" style="1" customWidth="1"/>
    <col min="3" max="3" width="1.375" style="1" customWidth="1"/>
    <col min="4" max="4" width="5.875" style="1" customWidth="1"/>
    <col min="5" max="6" width="0.5" style="1" customWidth="1"/>
    <col min="7" max="7" width="8.5" style="1" customWidth="1"/>
    <col min="8" max="9" width="0.5" style="1" customWidth="1"/>
    <col min="10" max="10" width="8.5" style="1" customWidth="1"/>
    <col min="11" max="12" width="0.5" style="1" customWidth="1"/>
    <col min="13" max="13" width="4.875" style="1" customWidth="1"/>
    <col min="14" max="15" width="1.5" style="1" customWidth="1"/>
    <col min="16" max="16" width="17" style="1" customWidth="1"/>
    <col min="17" max="17" width="11" style="1" customWidth="1"/>
    <col min="18" max="18" width="4.875" style="1" customWidth="1"/>
    <col min="19" max="19" width="11" style="1" customWidth="1"/>
    <col min="20" max="20" width="1.875" style="1" customWidth="1"/>
    <col min="21" max="21" width="4.125" style="1" customWidth="1"/>
    <col min="22" max="22" width="1.5" style="1" customWidth="1"/>
    <col min="23" max="23" width="14" style="1" customWidth="1"/>
    <col min="24" max="24" width="6" style="1" customWidth="1"/>
    <col min="25" max="25" width="7.625" style="1" customWidth="1"/>
    <col min="26" max="26" width="8.125" style="1" customWidth="1"/>
    <col min="27" max="27" width="5.375" style="1" customWidth="1"/>
    <col min="28" max="28" width="7.375" style="1" bestFit="1" customWidth="1"/>
    <col min="29" max="29" width="1.5" style="1" customWidth="1"/>
    <col min="30" max="30" width="10.875" style="113"/>
    <col min="31" max="16384" width="10.875" style="1"/>
  </cols>
  <sheetData>
    <row r="1" spans="3:30">
      <c r="C1" s="835">
        <f>Nutzung!G10</f>
        <v>0</v>
      </c>
      <c r="S1" s="141" t="str">
        <f>IF(Nutzung!$E$8="","",Nutzung!$E$8)</f>
        <v/>
      </c>
      <c r="AC1" s="140" t="s">
        <v>167</v>
      </c>
      <c r="AD1" s="103"/>
    </row>
    <row r="2" spans="3:30">
      <c r="AD2" s="103"/>
    </row>
    <row r="3" spans="3:30">
      <c r="AD3" s="103"/>
    </row>
    <row r="4" spans="3:30" ht="18" customHeight="1">
      <c r="C4" s="1370" t="s">
        <v>583</v>
      </c>
      <c r="D4" s="1370"/>
      <c r="E4" s="1370"/>
      <c r="F4" s="1370"/>
      <c r="G4" s="1370"/>
      <c r="H4" s="1370"/>
      <c r="I4" s="1370"/>
      <c r="J4" s="1370"/>
      <c r="K4" s="1370"/>
      <c r="L4" s="1370"/>
      <c r="M4" s="1370"/>
      <c r="N4" s="1370"/>
      <c r="O4" s="1370"/>
      <c r="P4" s="1370"/>
      <c r="Q4" s="1370"/>
      <c r="R4" s="1370"/>
      <c r="S4" s="1370"/>
      <c r="T4" s="1370"/>
      <c r="U4" s="1370"/>
      <c r="V4" s="1370"/>
      <c r="W4" s="1370"/>
      <c r="X4" s="1370"/>
      <c r="Y4" s="1370"/>
      <c r="Z4" s="1370"/>
      <c r="AA4" s="1370"/>
      <c r="AB4" s="1370"/>
      <c r="AC4" s="1370"/>
      <c r="AD4" s="103"/>
    </row>
    <row r="5" spans="3:30" ht="10.95" customHeight="1">
      <c r="C5" s="1364"/>
      <c r="D5" s="1364"/>
      <c r="E5" s="1364"/>
      <c r="F5" s="1364"/>
      <c r="G5" s="1364"/>
      <c r="H5" s="1364"/>
      <c r="I5" s="1364"/>
      <c r="J5" s="1364"/>
      <c r="K5" s="1364"/>
      <c r="L5" s="1364"/>
      <c r="M5" s="1364"/>
      <c r="N5" s="1364"/>
      <c r="O5" s="1364"/>
      <c r="P5" s="1364"/>
      <c r="Q5" s="1364"/>
      <c r="R5" s="1364"/>
      <c r="S5" s="1364"/>
      <c r="T5" s="1364"/>
      <c r="U5" s="1364"/>
      <c r="V5" s="1364"/>
      <c r="W5" s="1364"/>
      <c r="X5" s="1364"/>
      <c r="Y5" s="1364"/>
      <c r="Z5" s="1364"/>
      <c r="AA5" s="1364"/>
      <c r="AB5" s="1364"/>
      <c r="AC5" s="1364"/>
      <c r="AD5" s="103"/>
    </row>
    <row r="6" spans="3:30" ht="10.95" customHeight="1">
      <c r="C6" s="1363" t="s">
        <v>584</v>
      </c>
      <c r="D6" s="1363"/>
      <c r="E6" s="1363"/>
      <c r="F6" s="1363"/>
      <c r="G6" s="1363"/>
      <c r="H6" s="1363"/>
      <c r="I6" s="1363"/>
      <c r="J6" s="1363"/>
      <c r="K6" s="1363"/>
      <c r="L6" s="1363"/>
      <c r="M6" s="1363"/>
      <c r="N6" s="1363"/>
      <c r="O6" s="1363"/>
      <c r="P6" s="1363"/>
      <c r="Q6" s="1363"/>
      <c r="R6" s="1363"/>
      <c r="S6" s="1363"/>
      <c r="T6" s="1363"/>
      <c r="U6" s="1363"/>
      <c r="V6" s="1363"/>
      <c r="W6" s="1363"/>
      <c r="X6" s="1363"/>
      <c r="Y6" s="1363"/>
      <c r="Z6" s="1363"/>
      <c r="AA6" s="1363"/>
      <c r="AB6" s="1363"/>
      <c r="AC6" s="1363"/>
      <c r="AD6" s="103"/>
    </row>
    <row r="7" spans="3:30" ht="10.95" customHeight="1">
      <c r="C7" s="1364"/>
      <c r="D7" s="1364"/>
      <c r="E7" s="1364"/>
      <c r="F7" s="1364"/>
      <c r="G7" s="1364"/>
      <c r="H7" s="1364"/>
      <c r="I7" s="1364"/>
      <c r="J7" s="1364"/>
      <c r="K7" s="1364"/>
      <c r="L7" s="1364"/>
      <c r="M7" s="1364"/>
      <c r="N7" s="1364"/>
      <c r="O7" s="1364"/>
      <c r="P7" s="1364"/>
      <c r="Q7" s="1364"/>
      <c r="R7" s="1364"/>
      <c r="S7" s="1364"/>
      <c r="T7" s="1364"/>
      <c r="U7" s="1364"/>
      <c r="V7" s="1364"/>
      <c r="W7" s="1364"/>
      <c r="X7" s="1364"/>
      <c r="Y7" s="1364"/>
      <c r="Z7" s="1364"/>
      <c r="AA7" s="1364"/>
      <c r="AB7" s="1364"/>
      <c r="AC7" s="1364"/>
      <c r="AD7" s="103"/>
    </row>
    <row r="8" spans="3:30" ht="10.95" customHeight="1">
      <c r="C8" s="1364"/>
      <c r="D8" s="1364"/>
      <c r="E8" s="1364"/>
      <c r="F8" s="1364"/>
      <c r="G8" s="1364"/>
      <c r="H8" s="1364"/>
      <c r="I8" s="1364"/>
      <c r="J8" s="1364"/>
      <c r="K8" s="1364"/>
      <c r="L8" s="1364"/>
      <c r="M8" s="1364"/>
      <c r="N8" s="1364"/>
      <c r="O8" s="1364"/>
      <c r="P8" s="1364"/>
      <c r="Q8" s="1364"/>
      <c r="R8" s="1364"/>
      <c r="S8" s="1364"/>
      <c r="T8" s="1364"/>
      <c r="U8" s="1364"/>
      <c r="V8" s="1364"/>
      <c r="W8" s="1364"/>
      <c r="X8" s="1364"/>
      <c r="Y8" s="1364"/>
      <c r="Z8" s="1364"/>
      <c r="AA8" s="1364"/>
      <c r="AB8" s="1364"/>
      <c r="AC8" s="1364"/>
      <c r="AD8" s="103"/>
    </row>
    <row r="9" spans="3:30" ht="10.95" customHeight="1">
      <c r="C9" s="1364"/>
      <c r="D9" s="1364"/>
      <c r="E9" s="1364"/>
      <c r="F9" s="1364"/>
      <c r="G9" s="1364"/>
      <c r="H9" s="1364"/>
      <c r="I9" s="1364"/>
      <c r="J9" s="1364"/>
      <c r="K9" s="1364"/>
      <c r="L9" s="1364"/>
      <c r="M9" s="1364"/>
      <c r="N9" s="1372"/>
      <c r="O9" s="309"/>
      <c r="P9" s="310"/>
      <c r="Q9" s="310"/>
      <c r="R9" s="310"/>
      <c r="S9" s="310"/>
      <c r="T9" s="932"/>
      <c r="U9" s="1372"/>
      <c r="V9" s="309"/>
      <c r="W9" s="310"/>
      <c r="X9" s="310"/>
      <c r="Y9" s="310"/>
      <c r="Z9" s="310"/>
      <c r="AA9" s="310"/>
      <c r="AB9" s="310"/>
      <c r="AC9" s="932"/>
      <c r="AD9" s="103"/>
    </row>
    <row r="10" spans="3:30" ht="10.95" customHeight="1">
      <c r="C10" s="1364"/>
      <c r="D10" s="1364"/>
      <c r="E10" s="3" t="s">
        <v>346</v>
      </c>
      <c r="F10" s="103"/>
      <c r="G10" s="103"/>
      <c r="H10" s="1373" t="s">
        <v>307</v>
      </c>
      <c r="I10" s="1373"/>
      <c r="J10" s="1373"/>
      <c r="K10" s="1373"/>
      <c r="L10" s="1373"/>
      <c r="M10" s="1373"/>
      <c r="N10" s="1372"/>
      <c r="O10" s="311"/>
      <c r="P10" s="910" t="s">
        <v>78</v>
      </c>
      <c r="Q10" s="911" t="s">
        <v>455</v>
      </c>
      <c r="R10" s="75"/>
      <c r="S10" s="911" t="s">
        <v>425</v>
      </c>
      <c r="T10" s="933"/>
      <c r="U10" s="1372"/>
      <c r="V10" s="311"/>
      <c r="W10" s="966" t="s">
        <v>156</v>
      </c>
      <c r="X10" s="1365" t="s">
        <v>50</v>
      </c>
      <c r="Y10" s="1366"/>
      <c r="Z10" s="967" t="s">
        <v>91</v>
      </c>
      <c r="AA10" s="968">
        <v>1.8</v>
      </c>
      <c r="AB10" s="122" t="s">
        <v>528</v>
      </c>
      <c r="AC10" s="945"/>
      <c r="AD10" s="103"/>
    </row>
    <row r="11" spans="3:30" ht="13.05" customHeight="1">
      <c r="C11" s="1364"/>
      <c r="D11" s="1364"/>
      <c r="E11" s="112" t="s">
        <v>347</v>
      </c>
      <c r="F11" s="103"/>
      <c r="G11" s="103"/>
      <c r="H11" s="1373">
        <v>1</v>
      </c>
      <c r="I11" s="1373"/>
      <c r="J11" s="1373"/>
      <c r="K11" s="1373"/>
      <c r="L11" s="1373"/>
      <c r="M11" s="1373"/>
      <c r="N11" s="1372"/>
      <c r="O11" s="311"/>
      <c r="P11" s="122" t="s">
        <v>456</v>
      </c>
      <c r="Q11" s="962">
        <f>IF(S22=0,1.7825,"")</f>
        <v>1.7825</v>
      </c>
      <c r="R11" s="115"/>
      <c r="S11" s="912" t="str">
        <f>IF(S22=0,"",S21*S22)</f>
        <v/>
      </c>
      <c r="T11" s="934"/>
      <c r="U11" s="1372"/>
      <c r="V11" s="311"/>
      <c r="W11" s="122"/>
      <c r="X11" s="122"/>
      <c r="Y11" s="122"/>
      <c r="Z11" s="125"/>
      <c r="AA11" s="969"/>
      <c r="AB11" s="122"/>
      <c r="AC11" s="945"/>
      <c r="AD11" s="103"/>
    </row>
    <row r="12" spans="3:30" ht="13.95" customHeight="1">
      <c r="C12" s="1364"/>
      <c r="D12" s="1364"/>
      <c r="E12" s="103"/>
      <c r="F12" s="103"/>
      <c r="G12" s="1371" t="s">
        <v>496</v>
      </c>
      <c r="H12" s="1371"/>
      <c r="I12" s="1371"/>
      <c r="J12" s="1371"/>
      <c r="K12" s="103"/>
      <c r="L12" s="103"/>
      <c r="M12" s="103"/>
      <c r="N12" s="1372"/>
      <c r="O12" s="311"/>
      <c r="P12" s="122" t="s">
        <v>457</v>
      </c>
      <c r="Q12" s="962">
        <f>IF(S22=0,1.3369,"")</f>
        <v>1.3369</v>
      </c>
      <c r="R12" s="115"/>
      <c r="S12" s="912" t="str">
        <f>IF(S22=0,"",(2*(S13*S14)))</f>
        <v/>
      </c>
      <c r="T12" s="934"/>
      <c r="U12" s="1372"/>
      <c r="V12" s="311"/>
      <c r="W12" s="966" t="s">
        <v>142</v>
      </c>
      <c r="X12" s="1365" t="s">
        <v>85</v>
      </c>
      <c r="Y12" s="1366"/>
      <c r="Z12" s="967" t="s">
        <v>213</v>
      </c>
      <c r="AA12" s="968">
        <v>0.7</v>
      </c>
      <c r="AB12" s="122" t="s">
        <v>528</v>
      </c>
      <c r="AC12" s="945"/>
      <c r="AD12" s="103"/>
    </row>
    <row r="13" spans="3:30" ht="13.05" customHeight="1">
      <c r="C13" s="103"/>
      <c r="D13" s="103"/>
      <c r="E13" s="103"/>
      <c r="F13" s="103"/>
      <c r="G13" s="103"/>
      <c r="H13" s="103"/>
      <c r="I13" s="103"/>
      <c r="J13" s="103"/>
      <c r="K13" s="103"/>
      <c r="L13" s="103"/>
      <c r="M13" s="103"/>
      <c r="N13" s="1372"/>
      <c r="O13" s="311"/>
      <c r="P13" s="125" t="s">
        <v>458</v>
      </c>
      <c r="Q13" s="963">
        <f>IF(S22=0,0.67,"")</f>
        <v>0.67</v>
      </c>
      <c r="R13" s="115"/>
      <c r="S13" s="920"/>
      <c r="T13" s="935"/>
      <c r="U13" s="1372"/>
      <c r="V13" s="311"/>
      <c r="W13" s="122"/>
      <c r="X13" s="122"/>
      <c r="Y13" s="122"/>
      <c r="Z13" s="125"/>
      <c r="AA13" s="969"/>
      <c r="AB13" s="122"/>
      <c r="AC13" s="945"/>
      <c r="AD13" s="103"/>
    </row>
    <row r="14" spans="3:30" ht="13.05" customHeight="1">
      <c r="C14" s="103"/>
      <c r="D14" s="103"/>
      <c r="E14" s="104"/>
      <c r="F14" s="104"/>
      <c r="G14" s="104" t="s">
        <v>519</v>
      </c>
      <c r="H14" s="104"/>
      <c r="I14" s="104"/>
      <c r="J14" s="103"/>
      <c r="K14" s="103"/>
      <c r="L14" s="103"/>
      <c r="M14" s="103"/>
      <c r="N14" s="1372"/>
      <c r="O14" s="311"/>
      <c r="P14" s="125" t="s">
        <v>459</v>
      </c>
      <c r="Q14" s="963">
        <f>IF(S22=0,1,"")</f>
        <v>1</v>
      </c>
      <c r="R14" s="115"/>
      <c r="S14" s="921"/>
      <c r="T14" s="935"/>
      <c r="U14" s="1372"/>
      <c r="V14" s="311"/>
      <c r="W14" s="966" t="s">
        <v>141</v>
      </c>
      <c r="X14" s="1367"/>
      <c r="Y14" s="1368"/>
      <c r="Z14" s="1368"/>
      <c r="AA14" s="1369"/>
      <c r="AB14" s="122"/>
      <c r="AC14" s="945"/>
      <c r="AD14" s="103"/>
    </row>
    <row r="15" spans="3:30" ht="10.95" customHeight="1">
      <c r="C15" s="103"/>
      <c r="D15" s="103"/>
      <c r="E15" s="103"/>
      <c r="F15" s="103"/>
      <c r="G15" s="103"/>
      <c r="H15" s="103"/>
      <c r="I15" s="103"/>
      <c r="J15" s="103"/>
      <c r="K15" s="103"/>
      <c r="L15" s="103"/>
      <c r="M15" s="103"/>
      <c r="N15" s="1372"/>
      <c r="O15" s="311"/>
      <c r="P15" s="122"/>
      <c r="Q15" s="964"/>
      <c r="R15" s="115"/>
      <c r="S15" s="116"/>
      <c r="T15" s="936"/>
      <c r="U15" s="1372"/>
      <c r="V15" s="311"/>
      <c r="W15" s="122"/>
      <c r="X15" s="970"/>
      <c r="Y15" s="122"/>
      <c r="Z15" s="122"/>
      <c r="AA15" s="122"/>
      <c r="AB15" s="122"/>
      <c r="AC15" s="945"/>
      <c r="AD15" s="103"/>
    </row>
    <row r="16" spans="3:30" ht="13.05" customHeight="1">
      <c r="C16" s="103"/>
      <c r="D16" s="103"/>
      <c r="E16" s="103"/>
      <c r="F16" s="103"/>
      <c r="G16" s="103"/>
      <c r="H16" s="103"/>
      <c r="I16" s="103"/>
      <c r="J16" s="103"/>
      <c r="K16" s="103"/>
      <c r="L16" s="103"/>
      <c r="M16" s="103"/>
      <c r="N16" s="1372"/>
      <c r="O16" s="311"/>
      <c r="P16" s="122" t="s">
        <v>475</v>
      </c>
      <c r="Q16" s="962">
        <f>IF(S22=0,0.4456,"")</f>
        <v>0.4456</v>
      </c>
      <c r="R16" s="115"/>
      <c r="S16" s="912" t="str">
        <f>IF(S22=0,"",S11-S12)</f>
        <v/>
      </c>
      <c r="T16" s="934"/>
      <c r="U16" s="1372"/>
      <c r="V16" s="311"/>
      <c r="W16" s="122"/>
      <c r="X16" s="122"/>
      <c r="Y16" s="122"/>
      <c r="Z16" s="967" t="s">
        <v>476</v>
      </c>
      <c r="AA16" s="968">
        <v>0.5</v>
      </c>
      <c r="AB16" s="122"/>
      <c r="AC16" s="945"/>
      <c r="AD16" s="103"/>
    </row>
    <row r="17" spans="3:30" ht="3" customHeight="1">
      <c r="C17" s="103"/>
      <c r="D17" s="103"/>
      <c r="E17" s="922"/>
      <c r="F17" s="923"/>
      <c r="G17" s="923"/>
      <c r="H17" s="923"/>
      <c r="I17" s="923"/>
      <c r="J17" s="923"/>
      <c r="K17" s="923"/>
      <c r="L17" s="919"/>
      <c r="M17" s="103"/>
      <c r="N17" s="1372"/>
      <c r="O17" s="311"/>
      <c r="P17" s="122"/>
      <c r="Q17" s="964"/>
      <c r="R17" s="115"/>
      <c r="S17" s="116"/>
      <c r="T17" s="936"/>
      <c r="U17" s="1372"/>
      <c r="V17" s="311"/>
      <c r="W17" s="122"/>
      <c r="X17" s="122"/>
      <c r="Y17" s="122"/>
      <c r="Z17" s="122"/>
      <c r="AA17" s="122"/>
      <c r="AB17" s="122"/>
      <c r="AC17" s="945"/>
      <c r="AD17" s="103"/>
    </row>
    <row r="18" spans="3:30" ht="3" customHeight="1">
      <c r="C18" s="103"/>
      <c r="D18" s="103"/>
      <c r="E18" s="527"/>
      <c r="F18" s="922"/>
      <c r="G18" s="923"/>
      <c r="H18" s="923"/>
      <c r="I18" s="922"/>
      <c r="J18" s="923"/>
      <c r="K18" s="919"/>
      <c r="L18" s="312"/>
      <c r="M18" s="103"/>
      <c r="N18" s="1372"/>
      <c r="O18" s="311"/>
      <c r="P18" s="122"/>
      <c r="Q18" s="964"/>
      <c r="R18" s="115"/>
      <c r="S18" s="116"/>
      <c r="T18" s="936"/>
      <c r="U18" s="1372"/>
      <c r="V18" s="311"/>
      <c r="W18" s="122"/>
      <c r="X18" s="122"/>
      <c r="Y18" s="122"/>
      <c r="Z18" s="122"/>
      <c r="AA18" s="122"/>
      <c r="AB18" s="122"/>
      <c r="AC18" s="945"/>
      <c r="AD18" s="103"/>
    </row>
    <row r="19" spans="3:30" ht="13.05" customHeight="1">
      <c r="C19" s="103"/>
      <c r="D19" s="103"/>
      <c r="E19" s="527"/>
      <c r="F19" s="527"/>
      <c r="G19" s="947"/>
      <c r="H19" s="918"/>
      <c r="I19" s="312"/>
      <c r="J19" s="950"/>
      <c r="K19" s="312"/>
      <c r="L19" s="312"/>
      <c r="M19" s="103"/>
      <c r="N19" s="1372"/>
      <c r="O19" s="311"/>
      <c r="P19" s="122" t="s">
        <v>460</v>
      </c>
      <c r="Q19" s="963">
        <f>IF(S22=0,6.68,"")</f>
        <v>6.68</v>
      </c>
      <c r="R19" s="115"/>
      <c r="S19" s="913" t="str">
        <f>IF(S22=0,"",4*S13+4*S14)</f>
        <v/>
      </c>
      <c r="T19" s="934"/>
      <c r="U19" s="1372"/>
      <c r="V19" s="311"/>
      <c r="W19" s="122"/>
      <c r="X19" s="122"/>
      <c r="Y19" s="122"/>
      <c r="Z19" s="122"/>
      <c r="AA19" s="122"/>
      <c r="AB19" s="122"/>
      <c r="AC19" s="945"/>
      <c r="AD19" s="103"/>
    </row>
    <row r="20" spans="3:30" ht="10.95" customHeight="1">
      <c r="C20" s="103"/>
      <c r="D20" s="103"/>
      <c r="E20" s="527"/>
      <c r="F20" s="527"/>
      <c r="G20" s="948"/>
      <c r="H20" s="312"/>
      <c r="I20" s="312"/>
      <c r="J20" s="951"/>
      <c r="K20" s="312"/>
      <c r="L20" s="312"/>
      <c r="M20" s="103"/>
      <c r="N20" s="1372"/>
      <c r="O20" s="311"/>
      <c r="P20" s="122"/>
      <c r="Q20" s="964"/>
      <c r="R20" s="115"/>
      <c r="S20" s="116"/>
      <c r="T20" s="936"/>
      <c r="U20" s="1372"/>
      <c r="V20" s="311"/>
      <c r="W20" s="966" t="s">
        <v>478</v>
      </c>
      <c r="X20" s="1365" t="s">
        <v>86</v>
      </c>
      <c r="Y20" s="1366"/>
      <c r="Z20" s="966" t="s">
        <v>477</v>
      </c>
      <c r="AA20" s="971">
        <v>0.06</v>
      </c>
      <c r="AB20" s="122" t="s">
        <v>150</v>
      </c>
      <c r="AC20" s="945"/>
      <c r="AD20" s="103"/>
    </row>
    <row r="21" spans="3:30" ht="13.05" customHeight="1">
      <c r="C21" s="103"/>
      <c r="D21" s="103" t="s">
        <v>199</v>
      </c>
      <c r="E21" s="527"/>
      <c r="F21" s="527"/>
      <c r="G21" s="948"/>
      <c r="H21" s="312"/>
      <c r="I21" s="312"/>
      <c r="J21" s="952"/>
      <c r="K21" s="312"/>
      <c r="L21" s="312"/>
      <c r="M21" s="109" t="s">
        <v>204</v>
      </c>
      <c r="N21" s="1372"/>
      <c r="O21" s="311"/>
      <c r="P21" s="122" t="s">
        <v>461</v>
      </c>
      <c r="Q21" s="963">
        <f>IF(S22=0,1.55,"")</f>
        <v>1.55</v>
      </c>
      <c r="R21" s="914"/>
      <c r="S21" s="920"/>
      <c r="T21" s="937"/>
      <c r="U21" s="1372"/>
      <c r="V21" s="311"/>
      <c r="W21" s="122"/>
      <c r="X21" s="122"/>
      <c r="Y21" s="122"/>
      <c r="Z21" s="122"/>
      <c r="AA21" s="122"/>
      <c r="AB21" s="122"/>
      <c r="AC21" s="945"/>
      <c r="AD21" s="103"/>
    </row>
    <row r="22" spans="3:30" ht="13.05" customHeight="1">
      <c r="C22" s="103"/>
      <c r="D22" s="103"/>
      <c r="E22" s="527"/>
      <c r="F22" s="527"/>
      <c r="G22" s="948"/>
      <c r="H22" s="312"/>
      <c r="I22" s="312"/>
      <c r="J22" s="951"/>
      <c r="K22" s="312"/>
      <c r="L22" s="312"/>
      <c r="M22" s="103"/>
      <c r="N22" s="1372"/>
      <c r="O22" s="311"/>
      <c r="P22" s="122" t="s">
        <v>462</v>
      </c>
      <c r="Q22" s="963">
        <f>IF(S22=0,1.15,"")</f>
        <v>1.1499999999999999</v>
      </c>
      <c r="R22" s="914"/>
      <c r="S22" s="921"/>
      <c r="T22" s="937"/>
      <c r="U22" s="1372"/>
      <c r="V22" s="311"/>
      <c r="W22" s="122"/>
      <c r="X22" s="122"/>
      <c r="Y22" s="122"/>
      <c r="Z22" s="122"/>
      <c r="AA22" s="122"/>
      <c r="AB22" s="122"/>
      <c r="AC22" s="945"/>
      <c r="AD22" s="103"/>
    </row>
    <row r="23" spans="3:30" ht="10.95" customHeight="1">
      <c r="C23" s="103"/>
      <c r="D23" s="103"/>
      <c r="E23" s="527"/>
      <c r="F23" s="527"/>
      <c r="G23" s="948"/>
      <c r="H23" s="312"/>
      <c r="I23" s="312"/>
      <c r="J23" s="951"/>
      <c r="K23" s="312"/>
      <c r="L23" s="312"/>
      <c r="M23" s="103"/>
      <c r="N23" s="1372"/>
      <c r="O23" s="311"/>
      <c r="P23" s="122"/>
      <c r="Q23" s="964"/>
      <c r="R23" s="115"/>
      <c r="S23" s="116"/>
      <c r="T23" s="936"/>
      <c r="U23" s="1372"/>
      <c r="V23" s="311"/>
      <c r="W23" s="122"/>
      <c r="X23" s="122"/>
      <c r="Y23" s="122"/>
      <c r="Z23" s="122"/>
      <c r="AA23" s="122"/>
      <c r="AB23" s="122"/>
      <c r="AC23" s="945"/>
      <c r="AD23" s="103"/>
    </row>
    <row r="24" spans="3:30" ht="13.05" customHeight="1">
      <c r="C24" s="103"/>
      <c r="D24" s="103"/>
      <c r="E24" s="527"/>
      <c r="F24" s="527"/>
      <c r="G24" s="949"/>
      <c r="H24" s="312"/>
      <c r="I24" s="312"/>
      <c r="J24" s="953"/>
      <c r="K24" s="312"/>
      <c r="L24" s="312"/>
      <c r="M24" s="103"/>
      <c r="N24" s="1372"/>
      <c r="O24" s="311"/>
      <c r="P24" s="122" t="s">
        <v>286</v>
      </c>
      <c r="Q24" s="965" t="str">
        <f>IF(S22=0,"25%","")</f>
        <v>25%</v>
      </c>
      <c r="R24" s="115"/>
      <c r="S24" s="915" t="str">
        <f>IF(S22=0,"",S16/S11)</f>
        <v/>
      </c>
      <c r="T24" s="938"/>
      <c r="U24" s="1372"/>
      <c r="V24" s="311"/>
      <c r="W24" s="972" t="s">
        <v>214</v>
      </c>
      <c r="X24" s="972"/>
      <c r="Y24" s="972"/>
      <c r="Z24" s="972"/>
      <c r="AA24" s="973">
        <f>ROUND(IF(S22=0,(AA10*Q16+AA12*Q12+AA20*Q19)/Q11,(AA10*S16+AA12*S12+AA20*S19)/S11),2)</f>
        <v>1.2</v>
      </c>
      <c r="AB24" s="972" t="s">
        <v>528</v>
      </c>
      <c r="AC24" s="945"/>
      <c r="AD24" s="103"/>
    </row>
    <row r="25" spans="3:30" ht="3" customHeight="1">
      <c r="C25" s="103"/>
      <c r="D25" s="103"/>
      <c r="E25" s="527"/>
      <c r="F25" s="924"/>
      <c r="G25" s="916"/>
      <c r="H25" s="917"/>
      <c r="I25" s="924"/>
      <c r="J25" s="916"/>
      <c r="K25" s="917"/>
      <c r="L25" s="312"/>
      <c r="M25" s="103"/>
      <c r="N25" s="1372"/>
      <c r="O25" s="311"/>
      <c r="P25" s="115"/>
      <c r="Q25" s="116"/>
      <c r="R25" s="115"/>
      <c r="S25" s="116"/>
      <c r="T25" s="936"/>
      <c r="U25" s="1372"/>
      <c r="V25" s="311"/>
      <c r="W25" s="115"/>
      <c r="X25" s="115"/>
      <c r="Y25" s="115"/>
      <c r="Z25" s="115"/>
      <c r="AA25" s="115"/>
      <c r="AB25" s="115"/>
      <c r="AC25" s="945"/>
      <c r="AD25" s="103"/>
    </row>
    <row r="26" spans="3:30" ht="3" customHeight="1">
      <c r="C26" s="103"/>
      <c r="D26" s="103"/>
      <c r="E26" s="924"/>
      <c r="F26" s="916"/>
      <c r="G26" s="916"/>
      <c r="H26" s="916"/>
      <c r="I26" s="916"/>
      <c r="J26" s="916"/>
      <c r="K26" s="916"/>
      <c r="L26" s="917"/>
      <c r="M26" s="103"/>
      <c r="N26" s="1372"/>
      <c r="O26" s="939"/>
      <c r="P26" s="940"/>
      <c r="Q26" s="941"/>
      <c r="R26" s="940"/>
      <c r="S26" s="941"/>
      <c r="T26" s="942"/>
      <c r="U26" s="1372"/>
      <c r="V26" s="939"/>
      <c r="W26" s="940"/>
      <c r="X26" s="940"/>
      <c r="Y26" s="940"/>
      <c r="Z26" s="940"/>
      <c r="AA26" s="940"/>
      <c r="AB26" s="940"/>
      <c r="AC26" s="946"/>
      <c r="AD26" s="103"/>
    </row>
    <row r="27" spans="3:30" ht="10.95" customHeight="1">
      <c r="C27" s="1364"/>
      <c r="D27" s="1364"/>
      <c r="F27" s="103"/>
      <c r="G27" s="103"/>
      <c r="H27" s="103"/>
      <c r="I27" s="103"/>
      <c r="J27" s="103"/>
      <c r="K27" s="1364"/>
      <c r="L27" s="1364"/>
      <c r="M27" s="1364"/>
      <c r="N27" s="1364"/>
      <c r="O27" s="1364"/>
      <c r="P27" s="1364"/>
      <c r="Q27" s="1364"/>
      <c r="R27" s="1364"/>
      <c r="S27" s="1364"/>
      <c r="T27" s="1364"/>
      <c r="U27" s="1364"/>
      <c r="V27" s="1364"/>
      <c r="W27" s="1362" t="s">
        <v>43</v>
      </c>
      <c r="X27" s="1362"/>
      <c r="Y27" s="1362"/>
      <c r="Z27" s="1362"/>
      <c r="AA27" s="1362"/>
      <c r="AB27" s="1362"/>
      <c r="AC27" s="1362"/>
      <c r="AD27" s="103"/>
    </row>
    <row r="28" spans="3:30" ht="10.050000000000001" customHeight="1">
      <c r="C28" s="103"/>
      <c r="D28" s="103"/>
      <c r="E28" s="103" t="str">
        <f>IF(S22=0,"Rahmenanteil 25%","")</f>
        <v>Rahmenanteil 25%</v>
      </c>
      <c r="F28" s="103"/>
      <c r="G28" s="103"/>
      <c r="H28" s="103"/>
      <c r="I28" s="103"/>
      <c r="J28" s="103"/>
      <c r="K28" s="103"/>
      <c r="L28" s="103"/>
      <c r="M28" s="103"/>
      <c r="N28" s="103"/>
      <c r="O28" s="1364"/>
      <c r="P28" s="1364"/>
      <c r="Q28" s="1364"/>
      <c r="R28" s="1364"/>
      <c r="S28" s="1364"/>
      <c r="T28" s="1364"/>
      <c r="U28" s="1364"/>
      <c r="V28" s="1364"/>
      <c r="W28" s="103"/>
      <c r="X28" s="103"/>
      <c r="Y28" s="103"/>
      <c r="Z28" s="103"/>
      <c r="AA28" s="103"/>
      <c r="AB28" s="103"/>
      <c r="AC28" s="103"/>
      <c r="AD28" s="103"/>
    </row>
    <row r="29" spans="3:30" ht="10.050000000000001" customHeight="1">
      <c r="C29" s="103"/>
      <c r="D29" s="103"/>
      <c r="E29" s="103"/>
      <c r="F29" s="103"/>
      <c r="G29" s="103"/>
      <c r="H29" s="103"/>
      <c r="I29" s="103"/>
      <c r="J29" s="103"/>
      <c r="K29" s="103"/>
      <c r="L29" s="103"/>
      <c r="M29" s="103"/>
      <c r="N29" s="103"/>
      <c r="O29" s="1364"/>
      <c r="P29" s="1364"/>
      <c r="Q29" s="1364"/>
      <c r="R29" s="1364"/>
      <c r="S29" s="1364"/>
      <c r="T29" s="1364"/>
      <c r="U29" s="1364"/>
      <c r="V29" s="1364"/>
      <c r="W29" s="103"/>
      <c r="X29" s="103"/>
      <c r="Y29" s="103"/>
      <c r="Z29" s="103"/>
      <c r="AA29" s="103"/>
      <c r="AB29" s="103"/>
      <c r="AC29" s="103"/>
      <c r="AD29" s="103"/>
    </row>
    <row r="30" spans="3:30" ht="10.050000000000001" customHeight="1">
      <c r="C30" s="103"/>
      <c r="D30" s="103"/>
      <c r="E30" s="103"/>
      <c r="F30" s="103"/>
      <c r="G30" s="103"/>
      <c r="H30" s="103"/>
      <c r="I30" s="103"/>
      <c r="J30" s="103"/>
      <c r="K30" s="103"/>
      <c r="L30" s="103"/>
      <c r="M30" s="103"/>
      <c r="N30" s="103"/>
      <c r="O30" s="1364"/>
      <c r="P30" s="1364"/>
      <c r="Q30" s="1364"/>
      <c r="R30" s="1364"/>
      <c r="S30" s="1364"/>
      <c r="T30" s="1364"/>
      <c r="U30" s="1364"/>
      <c r="V30" s="1364"/>
      <c r="W30" s="103"/>
      <c r="X30" s="103"/>
      <c r="Y30" s="103"/>
      <c r="Z30" s="103"/>
      <c r="AA30" s="103"/>
      <c r="AB30" s="103"/>
      <c r="AC30" s="103"/>
      <c r="AD30" s="103"/>
    </row>
    <row r="31" spans="3:30" ht="10.050000000000001" customHeight="1">
      <c r="C31" s="103"/>
      <c r="D31" s="103"/>
      <c r="E31" s="103"/>
      <c r="F31" s="103"/>
      <c r="G31" s="103"/>
      <c r="H31" s="103"/>
      <c r="I31" s="103"/>
      <c r="J31" s="103"/>
      <c r="K31" s="103"/>
      <c r="L31" s="103"/>
      <c r="M31" s="103"/>
      <c r="N31" s="103"/>
      <c r="O31" s="1364"/>
      <c r="P31" s="1364"/>
      <c r="Q31" s="1364"/>
      <c r="R31" s="1364"/>
      <c r="S31" s="1364"/>
      <c r="T31" s="1364"/>
      <c r="U31" s="1364"/>
      <c r="V31" s="1364"/>
      <c r="W31" s="103"/>
      <c r="X31" s="103"/>
      <c r="Y31" s="103"/>
      <c r="Z31" s="103"/>
      <c r="AA31" s="103"/>
      <c r="AB31" s="103"/>
      <c r="AC31" s="103"/>
      <c r="AD31" s="103"/>
    </row>
    <row r="32" spans="3:30" ht="10.95" customHeight="1">
      <c r="C32" s="1364"/>
      <c r="D32" s="1364"/>
      <c r="E32" s="1364"/>
      <c r="F32" s="1364"/>
      <c r="G32" s="1364"/>
      <c r="H32" s="1364"/>
      <c r="I32" s="1364"/>
      <c r="J32" s="1364"/>
      <c r="K32" s="1364"/>
      <c r="L32" s="1364"/>
      <c r="M32" s="1364"/>
      <c r="N32" s="1364"/>
      <c r="O32" s="974"/>
      <c r="P32" s="975"/>
      <c r="Q32" s="976"/>
      <c r="R32" s="975"/>
      <c r="S32" s="976"/>
      <c r="T32" s="977"/>
      <c r="U32" s="1374"/>
      <c r="V32" s="974"/>
      <c r="W32" s="975"/>
      <c r="X32" s="975"/>
      <c r="Y32" s="975"/>
      <c r="Z32" s="975"/>
      <c r="AA32" s="975"/>
      <c r="AB32" s="975"/>
      <c r="AC32" s="991"/>
      <c r="AD32" s="103"/>
    </row>
    <row r="33" spans="3:30" ht="10.95" customHeight="1">
      <c r="C33" s="1364"/>
      <c r="D33" s="1364"/>
      <c r="E33" s="3" t="s">
        <v>346</v>
      </c>
      <c r="F33" s="103"/>
      <c r="G33" s="103"/>
      <c r="H33" s="1373" t="s">
        <v>307</v>
      </c>
      <c r="I33" s="1373"/>
      <c r="J33" s="1373"/>
      <c r="K33" s="1373"/>
      <c r="L33" s="1373"/>
      <c r="M33" s="1373"/>
      <c r="N33" s="1374"/>
      <c r="O33" s="978"/>
      <c r="P33" s="967" t="s">
        <v>78</v>
      </c>
      <c r="Q33" s="434" t="s">
        <v>455</v>
      </c>
      <c r="R33" s="966"/>
      <c r="S33" s="434" t="s">
        <v>425</v>
      </c>
      <c r="T33" s="979"/>
      <c r="U33" s="1374"/>
      <c r="V33" s="978"/>
      <c r="W33" s="966" t="s">
        <v>156</v>
      </c>
      <c r="X33" s="1365" t="s">
        <v>50</v>
      </c>
      <c r="Y33" s="1366"/>
      <c r="Z33" s="967" t="s">
        <v>91</v>
      </c>
      <c r="AA33" s="968">
        <v>1.8</v>
      </c>
      <c r="AB33" s="122" t="s">
        <v>528</v>
      </c>
      <c r="AC33" s="992"/>
      <c r="AD33" s="103"/>
    </row>
    <row r="34" spans="3:30" ht="13.05" customHeight="1">
      <c r="C34" s="1364"/>
      <c r="D34" s="1364"/>
      <c r="E34" s="112" t="s">
        <v>347</v>
      </c>
      <c r="F34" s="103"/>
      <c r="G34" s="103"/>
      <c r="H34" s="1373">
        <v>2</v>
      </c>
      <c r="I34" s="1373"/>
      <c r="J34" s="1373"/>
      <c r="K34" s="1373"/>
      <c r="L34" s="1373"/>
      <c r="M34" s="1373"/>
      <c r="N34" s="1374"/>
      <c r="O34" s="978"/>
      <c r="P34" s="122" t="s">
        <v>456</v>
      </c>
      <c r="Q34" s="962">
        <f>IF(S45=0,1.7825,"")</f>
        <v>1.7825</v>
      </c>
      <c r="R34" s="122"/>
      <c r="S34" s="962" t="str">
        <f>IF(S45=0,"",S44*S45)</f>
        <v/>
      </c>
      <c r="T34" s="980"/>
      <c r="U34" s="1374"/>
      <c r="V34" s="978"/>
      <c r="W34" s="122"/>
      <c r="X34" s="122"/>
      <c r="Y34" s="122"/>
      <c r="Z34" s="125"/>
      <c r="AA34" s="969"/>
      <c r="AB34" s="122"/>
      <c r="AC34" s="992"/>
      <c r="AD34" s="103"/>
    </row>
    <row r="35" spans="3:30" ht="13.05" customHeight="1">
      <c r="C35" s="103"/>
      <c r="D35" s="103"/>
      <c r="E35" s="103"/>
      <c r="F35" s="103"/>
      <c r="G35" s="1371" t="s">
        <v>496</v>
      </c>
      <c r="H35" s="1371"/>
      <c r="I35" s="1371"/>
      <c r="J35" s="1371"/>
      <c r="K35" s="103"/>
      <c r="L35" s="103"/>
      <c r="M35" s="103"/>
      <c r="N35" s="1374"/>
      <c r="O35" s="978"/>
      <c r="P35" s="122" t="s">
        <v>457</v>
      </c>
      <c r="Q35" s="962">
        <f>IF(S45=0,1.3369,"")</f>
        <v>1.3369</v>
      </c>
      <c r="R35" s="122"/>
      <c r="S35" s="962" t="str">
        <f>IF(S45=0,"",(2*(S36*S37)))</f>
        <v/>
      </c>
      <c r="T35" s="980"/>
      <c r="U35" s="1374"/>
      <c r="V35" s="978"/>
      <c r="W35" s="966" t="s">
        <v>142</v>
      </c>
      <c r="X35" s="1365" t="s">
        <v>85</v>
      </c>
      <c r="Y35" s="1366"/>
      <c r="Z35" s="967" t="s">
        <v>213</v>
      </c>
      <c r="AA35" s="968">
        <v>0.7</v>
      </c>
      <c r="AB35" s="122" t="s">
        <v>528</v>
      </c>
      <c r="AC35" s="992"/>
      <c r="AD35" s="103"/>
    </row>
    <row r="36" spans="3:30" ht="13.05" customHeight="1">
      <c r="C36" s="103"/>
      <c r="D36" s="103"/>
      <c r="E36" s="103"/>
      <c r="F36" s="103"/>
      <c r="G36" s="103"/>
      <c r="H36" s="103"/>
      <c r="I36" s="103"/>
      <c r="J36" s="103"/>
      <c r="K36" s="103"/>
      <c r="L36" s="103"/>
      <c r="M36" s="103"/>
      <c r="N36" s="1374"/>
      <c r="O36" s="978"/>
      <c r="P36" s="125" t="s">
        <v>458</v>
      </c>
      <c r="Q36" s="963">
        <f>IF(S45=0,0.67,"")</f>
        <v>0.67</v>
      </c>
      <c r="R36" s="122"/>
      <c r="S36" s="981"/>
      <c r="T36" s="982"/>
      <c r="U36" s="1374"/>
      <c r="V36" s="978"/>
      <c r="W36" s="122"/>
      <c r="X36" s="122"/>
      <c r="Y36" s="122"/>
      <c r="Z36" s="125"/>
      <c r="AA36" s="969"/>
      <c r="AB36" s="122"/>
      <c r="AC36" s="992"/>
      <c r="AD36" s="103"/>
    </row>
    <row r="37" spans="3:30" ht="13.05" customHeight="1">
      <c r="C37" s="103"/>
      <c r="D37" s="103"/>
      <c r="E37" s="104"/>
      <c r="F37" s="104"/>
      <c r="G37" s="104" t="s">
        <v>519</v>
      </c>
      <c r="H37" s="104"/>
      <c r="I37" s="104"/>
      <c r="J37" s="103"/>
      <c r="K37" s="103"/>
      <c r="L37" s="103"/>
      <c r="M37" s="103"/>
      <c r="N37" s="1374"/>
      <c r="O37" s="978"/>
      <c r="P37" s="125" t="s">
        <v>459</v>
      </c>
      <c r="Q37" s="963">
        <f>IF(S45=0,1,"")</f>
        <v>1</v>
      </c>
      <c r="R37" s="122"/>
      <c r="S37" s="983"/>
      <c r="T37" s="982"/>
      <c r="U37" s="1374"/>
      <c r="V37" s="978"/>
      <c r="W37" s="966" t="s">
        <v>141</v>
      </c>
      <c r="X37" s="1367"/>
      <c r="Y37" s="1368"/>
      <c r="Z37" s="1368"/>
      <c r="AA37" s="1369"/>
      <c r="AB37" s="122"/>
      <c r="AC37" s="992"/>
      <c r="AD37" s="103"/>
    </row>
    <row r="38" spans="3:30" ht="10.95" customHeight="1">
      <c r="C38" s="103"/>
      <c r="D38" s="103"/>
      <c r="E38" s="103"/>
      <c r="F38" s="103"/>
      <c r="G38" s="103"/>
      <c r="H38" s="103"/>
      <c r="I38" s="103"/>
      <c r="J38" s="103"/>
      <c r="K38" s="103"/>
      <c r="L38" s="103"/>
      <c r="M38" s="103"/>
      <c r="N38" s="1374"/>
      <c r="O38" s="978"/>
      <c r="P38" s="122"/>
      <c r="Q38" s="964"/>
      <c r="R38" s="122"/>
      <c r="S38" s="964"/>
      <c r="T38" s="984"/>
      <c r="U38" s="1374"/>
      <c r="V38" s="978"/>
      <c r="W38" s="122"/>
      <c r="X38" s="970"/>
      <c r="Y38" s="122"/>
      <c r="Z38" s="122"/>
      <c r="AA38" s="122"/>
      <c r="AB38" s="122"/>
      <c r="AC38" s="992"/>
      <c r="AD38" s="103"/>
    </row>
    <row r="39" spans="3:30" ht="13.05" customHeight="1">
      <c r="C39" s="103"/>
      <c r="D39" s="103"/>
      <c r="E39" s="103"/>
      <c r="F39" s="103"/>
      <c r="G39" s="103"/>
      <c r="H39" s="103"/>
      <c r="I39" s="103"/>
      <c r="J39" s="103"/>
      <c r="K39" s="103"/>
      <c r="L39" s="103"/>
      <c r="M39" s="103"/>
      <c r="N39" s="1374"/>
      <c r="O39" s="978"/>
      <c r="P39" s="122" t="s">
        <v>475</v>
      </c>
      <c r="Q39" s="962">
        <f>IF(S45=0,0.4456,"")</f>
        <v>0.4456</v>
      </c>
      <c r="R39" s="122"/>
      <c r="S39" s="962" t="str">
        <f>IF(S45=0,"",S34-S35)</f>
        <v/>
      </c>
      <c r="T39" s="980"/>
      <c r="U39" s="1374"/>
      <c r="V39" s="978"/>
      <c r="W39" s="122"/>
      <c r="X39" s="122"/>
      <c r="Y39" s="122"/>
      <c r="Z39" s="967" t="s">
        <v>476</v>
      </c>
      <c r="AA39" s="968">
        <v>0.5</v>
      </c>
      <c r="AB39" s="122"/>
      <c r="AC39" s="992"/>
      <c r="AD39" s="103"/>
    </row>
    <row r="40" spans="3:30" ht="3" customHeight="1">
      <c r="C40" s="103"/>
      <c r="D40" s="103"/>
      <c r="E40" s="922"/>
      <c r="F40" s="923"/>
      <c r="G40" s="923"/>
      <c r="H40" s="923"/>
      <c r="I40" s="923"/>
      <c r="J40" s="923"/>
      <c r="K40" s="923"/>
      <c r="L40" s="919"/>
      <c r="M40" s="103"/>
      <c r="N40" s="1374"/>
      <c r="O40" s="978"/>
      <c r="P40" s="122"/>
      <c r="Q40" s="964"/>
      <c r="R40" s="122"/>
      <c r="S40" s="964"/>
      <c r="T40" s="984"/>
      <c r="U40" s="1374"/>
      <c r="V40" s="978"/>
      <c r="W40" s="122"/>
      <c r="X40" s="122"/>
      <c r="Y40" s="122"/>
      <c r="Z40" s="122"/>
      <c r="AA40" s="122"/>
      <c r="AB40" s="122"/>
      <c r="AC40" s="992"/>
      <c r="AD40" s="103"/>
    </row>
    <row r="41" spans="3:30" ht="3" customHeight="1">
      <c r="C41" s="103"/>
      <c r="D41" s="103"/>
      <c r="E41" s="527"/>
      <c r="F41" s="922"/>
      <c r="G41" s="923"/>
      <c r="H41" s="919"/>
      <c r="I41" s="922"/>
      <c r="J41" s="923"/>
      <c r="K41" s="919"/>
      <c r="L41" s="312"/>
      <c r="M41" s="103"/>
      <c r="N41" s="1374"/>
      <c r="O41" s="978"/>
      <c r="P41" s="122"/>
      <c r="Q41" s="964"/>
      <c r="R41" s="122"/>
      <c r="S41" s="964"/>
      <c r="T41" s="984"/>
      <c r="U41" s="1374"/>
      <c r="V41" s="978"/>
      <c r="W41" s="122"/>
      <c r="X41" s="122"/>
      <c r="Y41" s="122"/>
      <c r="Z41" s="122"/>
      <c r="AA41" s="122"/>
      <c r="AB41" s="122"/>
      <c r="AC41" s="992"/>
      <c r="AD41" s="103"/>
    </row>
    <row r="42" spans="3:30" ht="13.05" customHeight="1">
      <c r="C42" s="103"/>
      <c r="D42" s="103"/>
      <c r="E42" s="527"/>
      <c r="F42" s="527"/>
      <c r="G42" s="925"/>
      <c r="H42" s="312"/>
      <c r="I42" s="312"/>
      <c r="J42" s="928"/>
      <c r="K42" s="312"/>
      <c r="L42" s="312"/>
      <c r="M42" s="103"/>
      <c r="N42" s="1374"/>
      <c r="O42" s="978"/>
      <c r="P42" s="122" t="s">
        <v>460</v>
      </c>
      <c r="Q42" s="963">
        <f>IF(S45=0,6.68,"")</f>
        <v>6.68</v>
      </c>
      <c r="R42" s="122"/>
      <c r="S42" s="963" t="str">
        <f>IF(S45=0,"",4*S36+4*S37)</f>
        <v/>
      </c>
      <c r="T42" s="980"/>
      <c r="U42" s="1374"/>
      <c r="V42" s="978"/>
      <c r="W42" s="122"/>
      <c r="X42" s="122"/>
      <c r="Y42" s="122"/>
      <c r="Z42" s="122"/>
      <c r="AA42" s="122"/>
      <c r="AB42" s="122"/>
      <c r="AC42" s="992"/>
      <c r="AD42" s="103"/>
    </row>
    <row r="43" spans="3:30" ht="10.95" customHeight="1">
      <c r="C43" s="103"/>
      <c r="D43" s="103"/>
      <c r="E43" s="527"/>
      <c r="F43" s="527"/>
      <c r="G43" s="926"/>
      <c r="H43" s="312"/>
      <c r="I43" s="312"/>
      <c r="J43" s="929"/>
      <c r="K43" s="312"/>
      <c r="L43" s="312"/>
      <c r="M43" s="103"/>
      <c r="N43" s="1374"/>
      <c r="O43" s="978"/>
      <c r="P43" s="122"/>
      <c r="Q43" s="964"/>
      <c r="R43" s="122"/>
      <c r="S43" s="964"/>
      <c r="T43" s="984"/>
      <c r="U43" s="1374"/>
      <c r="V43" s="978"/>
      <c r="W43" s="966" t="s">
        <v>478</v>
      </c>
      <c r="X43" s="1365" t="s">
        <v>86</v>
      </c>
      <c r="Y43" s="1366"/>
      <c r="Z43" s="966" t="s">
        <v>477</v>
      </c>
      <c r="AA43" s="971">
        <v>0.06</v>
      </c>
      <c r="AB43" s="122" t="s">
        <v>150</v>
      </c>
      <c r="AC43" s="992"/>
      <c r="AD43" s="103"/>
    </row>
    <row r="44" spans="3:30" ht="13.05" customHeight="1">
      <c r="C44" s="103"/>
      <c r="D44" s="103" t="s">
        <v>199</v>
      </c>
      <c r="E44" s="527"/>
      <c r="F44" s="527"/>
      <c r="G44" s="926"/>
      <c r="H44" s="312"/>
      <c r="I44" s="312"/>
      <c r="J44" s="930"/>
      <c r="K44" s="312"/>
      <c r="L44" s="312"/>
      <c r="M44" s="109" t="s">
        <v>204</v>
      </c>
      <c r="N44" s="1374"/>
      <c r="O44" s="978"/>
      <c r="P44" s="122" t="s">
        <v>461</v>
      </c>
      <c r="Q44" s="963">
        <f>IF(S45=0,1.55,"")</f>
        <v>1.55</v>
      </c>
      <c r="R44" s="914"/>
      <c r="S44" s="981"/>
      <c r="T44" s="985"/>
      <c r="U44" s="1374"/>
      <c r="V44" s="978"/>
      <c r="W44" s="122"/>
      <c r="X44" s="122"/>
      <c r="Y44" s="122"/>
      <c r="Z44" s="122"/>
      <c r="AA44" s="122"/>
      <c r="AB44" s="122"/>
      <c r="AC44" s="992"/>
      <c r="AD44" s="103"/>
    </row>
    <row r="45" spans="3:30" ht="13.05" customHeight="1">
      <c r="C45" s="103"/>
      <c r="D45" s="103"/>
      <c r="E45" s="527"/>
      <c r="F45" s="527"/>
      <c r="G45" s="926"/>
      <c r="H45" s="312"/>
      <c r="I45" s="312"/>
      <c r="J45" s="929"/>
      <c r="K45" s="312"/>
      <c r="L45" s="312"/>
      <c r="M45" s="103"/>
      <c r="N45" s="1374"/>
      <c r="O45" s="978"/>
      <c r="P45" s="122" t="s">
        <v>462</v>
      </c>
      <c r="Q45" s="963">
        <f>IF(S45=0,1.15,"")</f>
        <v>1.1499999999999999</v>
      </c>
      <c r="R45" s="914"/>
      <c r="S45" s="983"/>
      <c r="T45" s="985"/>
      <c r="U45" s="1374"/>
      <c r="V45" s="978"/>
      <c r="W45" s="122"/>
      <c r="X45" s="122"/>
      <c r="Y45" s="122"/>
      <c r="Z45" s="122"/>
      <c r="AA45" s="122"/>
      <c r="AB45" s="122"/>
      <c r="AC45" s="992"/>
      <c r="AD45" s="103"/>
    </row>
    <row r="46" spans="3:30" ht="10.95" customHeight="1">
      <c r="C46" s="103"/>
      <c r="D46" s="103"/>
      <c r="E46" s="527"/>
      <c r="F46" s="527"/>
      <c r="G46" s="926"/>
      <c r="H46" s="312"/>
      <c r="I46" s="312"/>
      <c r="J46" s="929"/>
      <c r="K46" s="312"/>
      <c r="L46" s="312"/>
      <c r="M46" s="103"/>
      <c r="N46" s="1374"/>
      <c r="O46" s="978"/>
      <c r="P46" s="122"/>
      <c r="Q46" s="964"/>
      <c r="R46" s="122"/>
      <c r="S46" s="964"/>
      <c r="T46" s="984"/>
      <c r="U46" s="1374"/>
      <c r="V46" s="978"/>
      <c r="W46" s="122"/>
      <c r="X46" s="122"/>
      <c r="Y46" s="122"/>
      <c r="Z46" s="122"/>
      <c r="AA46" s="122"/>
      <c r="AB46" s="122"/>
      <c r="AC46" s="992"/>
      <c r="AD46" s="103"/>
    </row>
    <row r="47" spans="3:30" ht="13.05" customHeight="1">
      <c r="C47" s="103"/>
      <c r="D47" s="103"/>
      <c r="E47" s="527"/>
      <c r="F47" s="527"/>
      <c r="G47" s="927"/>
      <c r="H47" s="312"/>
      <c r="I47" s="312"/>
      <c r="J47" s="931"/>
      <c r="K47" s="312"/>
      <c r="L47" s="312"/>
      <c r="M47" s="103"/>
      <c r="N47" s="1374"/>
      <c r="O47" s="978"/>
      <c r="P47" s="122" t="s">
        <v>286</v>
      </c>
      <c r="Q47" s="965" t="str">
        <f>IF(S45=0,"25%","")</f>
        <v>25%</v>
      </c>
      <c r="R47" s="122"/>
      <c r="S47" s="965" t="str">
        <f>IF(S45=0,"",S39/S34)</f>
        <v/>
      </c>
      <c r="T47" s="986"/>
      <c r="U47" s="1374"/>
      <c r="V47" s="978"/>
      <c r="W47" s="972" t="s">
        <v>214</v>
      </c>
      <c r="X47" s="972"/>
      <c r="Y47" s="972"/>
      <c r="Z47" s="972"/>
      <c r="AA47" s="973">
        <f>ROUND(IF(S45=0,(AA33*Q39+AA35*Q35+AA43*Q42)/Q34,(AA33*S39+AA35*S35+AA43*S42)/S34),2)</f>
        <v>1.2</v>
      </c>
      <c r="AB47" s="972" t="s">
        <v>528</v>
      </c>
      <c r="AC47" s="992"/>
      <c r="AD47" s="103"/>
    </row>
    <row r="48" spans="3:30" ht="3" customHeight="1">
      <c r="C48" s="103"/>
      <c r="D48" s="103"/>
      <c r="E48" s="527"/>
      <c r="F48" s="924"/>
      <c r="G48" s="916"/>
      <c r="H48" s="917"/>
      <c r="I48" s="924"/>
      <c r="J48" s="916"/>
      <c r="K48" s="917"/>
      <c r="L48" s="312"/>
      <c r="M48" s="103"/>
      <c r="N48" s="1374"/>
      <c r="O48" s="978"/>
      <c r="P48" s="122"/>
      <c r="Q48" s="964"/>
      <c r="R48" s="122"/>
      <c r="S48" s="964"/>
      <c r="T48" s="984"/>
      <c r="U48" s="1374"/>
      <c r="V48" s="978"/>
      <c r="W48" s="122"/>
      <c r="X48" s="122"/>
      <c r="Y48" s="122"/>
      <c r="Z48" s="122"/>
      <c r="AA48" s="122"/>
      <c r="AB48" s="122"/>
      <c r="AC48" s="992"/>
      <c r="AD48" s="103"/>
    </row>
    <row r="49" spans="3:30" ht="3" customHeight="1">
      <c r="C49" s="103"/>
      <c r="D49" s="103"/>
      <c r="E49" s="924"/>
      <c r="F49" s="916"/>
      <c r="G49" s="916"/>
      <c r="H49" s="916"/>
      <c r="I49" s="916"/>
      <c r="J49" s="916"/>
      <c r="K49" s="916"/>
      <c r="L49" s="917"/>
      <c r="M49" s="103"/>
      <c r="N49" s="1374"/>
      <c r="O49" s="987"/>
      <c r="P49" s="988"/>
      <c r="Q49" s="989"/>
      <c r="R49" s="988"/>
      <c r="S49" s="989"/>
      <c r="T49" s="990"/>
      <c r="U49" s="1374"/>
      <c r="V49" s="987"/>
      <c r="W49" s="988"/>
      <c r="X49" s="988"/>
      <c r="Y49" s="988"/>
      <c r="Z49" s="988"/>
      <c r="AA49" s="988"/>
      <c r="AB49" s="988"/>
      <c r="AC49" s="993"/>
      <c r="AD49" s="103"/>
    </row>
    <row r="50" spans="3:30" ht="10.95" customHeight="1">
      <c r="C50" s="1364"/>
      <c r="D50" s="1364"/>
      <c r="F50" s="103"/>
      <c r="G50" s="103"/>
      <c r="H50" s="103"/>
      <c r="I50" s="103"/>
      <c r="J50" s="103"/>
      <c r="K50" s="103"/>
      <c r="L50" s="103"/>
      <c r="M50" s="103"/>
      <c r="N50" s="103"/>
      <c r="O50" s="327"/>
      <c r="P50" s="327"/>
      <c r="Q50" s="327"/>
      <c r="R50" s="327"/>
      <c r="S50" s="327"/>
      <c r="T50" s="327"/>
      <c r="U50" s="327"/>
      <c r="V50" s="327"/>
      <c r="W50" s="1362" t="s">
        <v>43</v>
      </c>
      <c r="X50" s="1362"/>
      <c r="Y50" s="1362"/>
      <c r="Z50" s="1362"/>
      <c r="AA50" s="1362"/>
      <c r="AB50" s="1362"/>
      <c r="AC50" s="1362"/>
      <c r="AD50" s="103"/>
    </row>
    <row r="51" spans="3:30" ht="10.050000000000001" customHeight="1">
      <c r="C51" s="103"/>
      <c r="D51" s="103"/>
      <c r="E51" s="103" t="str">
        <f>IF(S45=0,"Rahmenanteil 25%","")</f>
        <v>Rahmenanteil 25%</v>
      </c>
      <c r="F51" s="103"/>
      <c r="G51" s="103"/>
      <c r="H51" s="103"/>
      <c r="I51" s="103"/>
      <c r="J51" s="103"/>
      <c r="K51" s="103"/>
      <c r="L51" s="103"/>
      <c r="M51" s="103"/>
      <c r="N51" s="103"/>
      <c r="O51" s="327"/>
      <c r="P51" s="327"/>
      <c r="Q51" s="327"/>
      <c r="R51" s="327"/>
      <c r="S51" s="327"/>
      <c r="T51" s="327"/>
      <c r="U51" s="327"/>
      <c r="V51" s="327"/>
      <c r="W51" s="327"/>
      <c r="X51" s="327"/>
      <c r="Y51" s="327"/>
      <c r="Z51" s="327"/>
      <c r="AA51" s="327"/>
      <c r="AB51" s="327"/>
      <c r="AC51" s="327"/>
      <c r="AD51" s="103"/>
    </row>
    <row r="52" spans="3:30" ht="10.050000000000001" customHeight="1">
      <c r="C52" s="103"/>
      <c r="D52" s="103"/>
      <c r="E52" s="103"/>
      <c r="F52" s="103"/>
      <c r="G52" s="103"/>
      <c r="H52" s="103"/>
      <c r="I52" s="103"/>
      <c r="J52" s="103"/>
      <c r="K52" s="103"/>
      <c r="L52" s="103"/>
      <c r="M52" s="103"/>
      <c r="N52" s="103"/>
      <c r="O52" s="327"/>
      <c r="P52" s="327"/>
      <c r="Q52" s="327"/>
      <c r="R52" s="327"/>
      <c r="S52" s="327"/>
      <c r="T52" s="327"/>
      <c r="U52" s="327"/>
      <c r="V52" s="327"/>
      <c r="W52" s="327"/>
      <c r="X52" s="327"/>
      <c r="Y52" s="327"/>
      <c r="Z52" s="327"/>
      <c r="AA52" s="327"/>
      <c r="AB52" s="327"/>
      <c r="AC52" s="327"/>
      <c r="AD52" s="103"/>
    </row>
    <row r="53" spans="3:30" ht="10.050000000000001" customHeight="1">
      <c r="C53" s="103"/>
      <c r="D53" s="103"/>
      <c r="E53" s="103"/>
      <c r="F53" s="103"/>
      <c r="G53" s="103"/>
      <c r="H53" s="103"/>
      <c r="I53" s="103"/>
      <c r="J53" s="103"/>
      <c r="K53" s="103"/>
      <c r="L53" s="103"/>
      <c r="M53" s="103"/>
      <c r="N53" s="103"/>
      <c r="O53" s="327"/>
      <c r="P53" s="327"/>
      <c r="Q53" s="327"/>
      <c r="R53" s="327"/>
      <c r="S53" s="327"/>
      <c r="T53" s="327"/>
      <c r="U53" s="327"/>
      <c r="V53" s="327"/>
      <c r="W53" s="327"/>
      <c r="X53" s="327"/>
      <c r="Y53" s="327"/>
      <c r="Z53" s="327"/>
      <c r="AA53" s="327"/>
      <c r="AB53" s="327"/>
      <c r="AC53" s="327"/>
      <c r="AD53" s="103"/>
    </row>
    <row r="54" spans="3:30" ht="10.95" customHeight="1">
      <c r="C54" s="315" t="str">
        <f>IF(Nutzung!$G$8="","","Variante:")</f>
        <v/>
      </c>
      <c r="D54" s="315"/>
      <c r="E54" s="103"/>
      <c r="F54" s="103"/>
      <c r="G54" s="141" t="str">
        <f>IF(Nutzung!$G$8="","",Nutzung!$G$8)</f>
        <v/>
      </c>
      <c r="H54" s="103"/>
      <c r="I54" s="103"/>
      <c r="J54" s="103"/>
      <c r="K54" s="103"/>
      <c r="L54" s="103"/>
      <c r="M54" s="103"/>
      <c r="N54" s="103"/>
      <c r="O54" s="327"/>
      <c r="P54" s="327"/>
      <c r="Q54" s="327"/>
      <c r="R54" s="327"/>
      <c r="S54" s="327"/>
      <c r="T54" s="327"/>
      <c r="U54" s="327"/>
      <c r="V54" s="327"/>
      <c r="W54" s="327"/>
      <c r="X54" s="327"/>
      <c r="Y54" s="327"/>
      <c r="Z54" s="327"/>
      <c r="AA54" s="1376">
        <f ca="1">NOW()</f>
        <v>42122.346852083334</v>
      </c>
      <c r="AB54" s="1376"/>
      <c r="AC54" s="1376"/>
      <c r="AD54" s="103"/>
    </row>
    <row r="55" spans="3:30" ht="10.95" customHeight="1">
      <c r="C55" s="141">
        <f>C1</f>
        <v>0</v>
      </c>
      <c r="D55" s="103"/>
      <c r="E55" s="103"/>
      <c r="F55" s="103"/>
      <c r="G55" s="103"/>
      <c r="H55" s="103"/>
      <c r="I55" s="103"/>
      <c r="J55" s="103"/>
      <c r="K55" s="103"/>
      <c r="L55" s="103"/>
      <c r="M55" s="103"/>
      <c r="N55" s="103"/>
      <c r="O55" s="103"/>
      <c r="P55" s="103"/>
      <c r="Q55" s="103"/>
      <c r="R55" s="103"/>
      <c r="S55" s="141" t="str">
        <f>IF(Nutzung!$E$8="","",Nutzung!$E$8)</f>
        <v/>
      </c>
      <c r="T55" s="103"/>
      <c r="U55" s="103"/>
      <c r="V55" s="103"/>
      <c r="W55" s="103"/>
      <c r="X55" s="103"/>
      <c r="Y55" s="103"/>
      <c r="Z55" s="103"/>
      <c r="AA55" s="103"/>
      <c r="AB55" s="103"/>
      <c r="AC55" s="140" t="s">
        <v>272</v>
      </c>
      <c r="AD55" s="103"/>
    </row>
    <row r="56" spans="3:30" ht="10.95" customHeight="1">
      <c r="C56" s="103"/>
      <c r="D56" s="103"/>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row>
    <row r="57" spans="3:30" ht="10.95" customHeight="1">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row>
    <row r="58" spans="3:30" ht="18" customHeight="1">
      <c r="C58" s="1370" t="s">
        <v>583</v>
      </c>
      <c r="D58" s="1370"/>
      <c r="E58" s="1370"/>
      <c r="F58" s="1370"/>
      <c r="G58" s="1370"/>
      <c r="H58" s="1370"/>
      <c r="I58" s="1370"/>
      <c r="J58" s="1370"/>
      <c r="K58" s="1370"/>
      <c r="L58" s="1370"/>
      <c r="M58" s="1370"/>
      <c r="N58" s="1370"/>
      <c r="O58" s="1370"/>
      <c r="P58" s="1370"/>
      <c r="Q58" s="1370"/>
      <c r="R58" s="1370"/>
      <c r="S58" s="1370"/>
      <c r="T58" s="1370"/>
      <c r="U58" s="1370"/>
      <c r="V58" s="1370"/>
      <c r="W58" s="1370"/>
      <c r="X58" s="1370"/>
      <c r="Y58" s="1370"/>
      <c r="Z58" s="1370"/>
      <c r="AA58" s="1370"/>
      <c r="AB58" s="1370"/>
      <c r="AC58" s="1370"/>
      <c r="AD58" s="103"/>
    </row>
    <row r="59" spans="3:30" ht="10.95" customHeight="1">
      <c r="C59" s="1364"/>
      <c r="D59" s="1364"/>
      <c r="E59" s="1364"/>
      <c r="F59" s="1364"/>
      <c r="G59" s="1364"/>
      <c r="H59" s="1364"/>
      <c r="I59" s="1364"/>
      <c r="J59" s="1364"/>
      <c r="K59" s="1364"/>
      <c r="L59" s="1364"/>
      <c r="M59" s="1364"/>
      <c r="N59" s="1364"/>
      <c r="O59" s="1364"/>
      <c r="P59" s="1364"/>
      <c r="Q59" s="1364"/>
      <c r="R59" s="1364"/>
      <c r="S59" s="1364"/>
      <c r="T59" s="1364"/>
      <c r="U59" s="1364"/>
      <c r="V59" s="1364"/>
      <c r="W59" s="1364"/>
      <c r="X59" s="1364"/>
      <c r="Y59" s="1364"/>
      <c r="Z59" s="1364"/>
      <c r="AA59" s="1364"/>
      <c r="AB59" s="1364"/>
      <c r="AC59" s="1364"/>
      <c r="AD59" s="103"/>
    </row>
    <row r="60" spans="3:30" ht="10.95" customHeight="1">
      <c r="C60" s="1363" t="s">
        <v>584</v>
      </c>
      <c r="D60" s="1363"/>
      <c r="E60" s="1363"/>
      <c r="F60" s="1363"/>
      <c r="G60" s="1363"/>
      <c r="H60" s="1363"/>
      <c r="I60" s="1363"/>
      <c r="J60" s="1363"/>
      <c r="K60" s="1363"/>
      <c r="L60" s="1363"/>
      <c r="M60" s="1363"/>
      <c r="N60" s="1363"/>
      <c r="O60" s="1363"/>
      <c r="P60" s="1363"/>
      <c r="Q60" s="1363"/>
      <c r="R60" s="1363"/>
      <c r="S60" s="1363"/>
      <c r="T60" s="1363"/>
      <c r="U60" s="1363"/>
      <c r="V60" s="1363"/>
      <c r="W60" s="1363"/>
      <c r="X60" s="1363"/>
      <c r="Y60" s="1363"/>
      <c r="Z60" s="1363"/>
      <c r="AA60" s="1363"/>
      <c r="AB60" s="1363"/>
      <c r="AC60" s="1363"/>
      <c r="AD60" s="103"/>
    </row>
    <row r="61" spans="3:30" ht="10.95" customHeight="1">
      <c r="C61" s="1364"/>
      <c r="D61" s="1364"/>
      <c r="E61" s="1364"/>
      <c r="F61" s="1364"/>
      <c r="G61" s="1364"/>
      <c r="H61" s="1364"/>
      <c r="I61" s="1364"/>
      <c r="J61" s="1364"/>
      <c r="K61" s="1364"/>
      <c r="L61" s="1364"/>
      <c r="M61" s="1364"/>
      <c r="N61" s="1364"/>
      <c r="O61" s="1364"/>
      <c r="P61" s="1364"/>
      <c r="Q61" s="1364"/>
      <c r="R61" s="1364"/>
      <c r="S61" s="1364"/>
      <c r="T61" s="1364"/>
      <c r="U61" s="1364"/>
      <c r="V61" s="1364"/>
      <c r="W61" s="1364"/>
      <c r="X61" s="1364"/>
      <c r="Y61" s="1364"/>
      <c r="Z61" s="1364"/>
      <c r="AA61" s="1364"/>
      <c r="AB61" s="1364"/>
      <c r="AC61" s="1364"/>
      <c r="AD61" s="103"/>
    </row>
    <row r="62" spans="3:30" ht="10.95" customHeight="1">
      <c r="C62" s="1364"/>
      <c r="D62" s="1364"/>
      <c r="E62" s="1364"/>
      <c r="F62" s="1364"/>
      <c r="G62" s="1364"/>
      <c r="H62" s="1364"/>
      <c r="I62" s="1364"/>
      <c r="J62" s="1364"/>
      <c r="K62" s="1364"/>
      <c r="L62" s="1364"/>
      <c r="M62" s="1364"/>
      <c r="N62" s="1364"/>
      <c r="O62" s="1364"/>
      <c r="P62" s="1364"/>
      <c r="Q62" s="1364"/>
      <c r="R62" s="1364"/>
      <c r="S62" s="1364"/>
      <c r="T62" s="1364"/>
      <c r="U62" s="1364"/>
      <c r="V62" s="1364"/>
      <c r="W62" s="1364"/>
      <c r="X62" s="1364"/>
      <c r="Y62" s="1364"/>
      <c r="Z62" s="1364"/>
      <c r="AA62" s="1364"/>
      <c r="AB62" s="1364"/>
      <c r="AC62" s="1364"/>
      <c r="AD62" s="103"/>
    </row>
    <row r="63" spans="3:30" ht="10.95" customHeight="1">
      <c r="C63" s="103"/>
      <c r="D63" s="103"/>
      <c r="E63" s="103"/>
      <c r="F63" s="103"/>
      <c r="G63" s="103"/>
      <c r="H63" s="103"/>
      <c r="I63" s="103"/>
      <c r="J63" s="103"/>
      <c r="K63" s="103"/>
      <c r="L63" s="103"/>
      <c r="M63" s="103"/>
      <c r="N63" s="103"/>
      <c r="O63" s="974"/>
      <c r="P63" s="975"/>
      <c r="Q63" s="975"/>
      <c r="R63" s="975"/>
      <c r="S63" s="975"/>
      <c r="T63" s="991"/>
      <c r="U63" s="1372"/>
      <c r="V63" s="974"/>
      <c r="W63" s="975"/>
      <c r="X63" s="975"/>
      <c r="Y63" s="975"/>
      <c r="Z63" s="975"/>
      <c r="AA63" s="975"/>
      <c r="AB63" s="975"/>
      <c r="AC63" s="991"/>
      <c r="AD63" s="103"/>
    </row>
    <row r="64" spans="3:30" ht="13.05" customHeight="1">
      <c r="C64" s="103"/>
      <c r="D64" s="103"/>
      <c r="E64" s="3" t="s">
        <v>346</v>
      </c>
      <c r="F64" s="103"/>
      <c r="G64" s="103"/>
      <c r="H64" s="1373" t="s">
        <v>307</v>
      </c>
      <c r="I64" s="1373"/>
      <c r="J64" s="1373"/>
      <c r="K64" s="1373"/>
      <c r="L64" s="1373"/>
      <c r="M64" s="1373"/>
      <c r="N64" s="103"/>
      <c r="O64" s="978"/>
      <c r="P64" s="967" t="s">
        <v>78</v>
      </c>
      <c r="Q64" s="434" t="s">
        <v>455</v>
      </c>
      <c r="R64" s="966"/>
      <c r="S64" s="434" t="s">
        <v>425</v>
      </c>
      <c r="T64" s="979"/>
      <c r="U64" s="1372"/>
      <c r="V64" s="978"/>
      <c r="W64" s="966" t="s">
        <v>156</v>
      </c>
      <c r="X64" s="1365" t="s">
        <v>50</v>
      </c>
      <c r="Y64" s="1366"/>
      <c r="Z64" s="967" t="s">
        <v>91</v>
      </c>
      <c r="AA64" s="968">
        <v>1.8</v>
      </c>
      <c r="AB64" s="122" t="s">
        <v>528</v>
      </c>
      <c r="AC64" s="992"/>
      <c r="AD64" s="103"/>
    </row>
    <row r="65" spans="3:30" ht="13.05" customHeight="1">
      <c r="C65" s="103"/>
      <c r="D65" s="103"/>
      <c r="E65" s="112" t="s">
        <v>347</v>
      </c>
      <c r="F65" s="103"/>
      <c r="G65" s="103"/>
      <c r="H65" s="1373">
        <v>3</v>
      </c>
      <c r="I65" s="1373"/>
      <c r="J65" s="1373"/>
      <c r="K65" s="1373"/>
      <c r="L65" s="1373"/>
      <c r="M65" s="1373"/>
      <c r="N65" s="103"/>
      <c r="O65" s="978"/>
      <c r="P65" s="122" t="s">
        <v>456</v>
      </c>
      <c r="Q65" s="962">
        <f>IF(S76=0,1.7825,"")</f>
        <v>1.7825</v>
      </c>
      <c r="R65" s="122"/>
      <c r="S65" s="962" t="str">
        <f>IF(S76=0,"",S75*S76)</f>
        <v/>
      </c>
      <c r="T65" s="980"/>
      <c r="U65" s="1372"/>
      <c r="V65" s="978"/>
      <c r="W65" s="122"/>
      <c r="X65" s="122"/>
      <c r="Y65" s="122"/>
      <c r="Z65" s="125"/>
      <c r="AA65" s="969"/>
      <c r="AB65" s="122"/>
      <c r="AC65" s="992"/>
      <c r="AD65" s="103"/>
    </row>
    <row r="66" spans="3:30" ht="13.05" customHeight="1">
      <c r="C66" s="103"/>
      <c r="D66" s="103"/>
      <c r="E66" s="103"/>
      <c r="F66" s="103"/>
      <c r="G66" s="1371" t="s">
        <v>496</v>
      </c>
      <c r="H66" s="1371"/>
      <c r="I66" s="1371"/>
      <c r="J66" s="1371"/>
      <c r="K66" s="103"/>
      <c r="L66" s="103"/>
      <c r="M66" s="103"/>
      <c r="N66" s="103"/>
      <c r="O66" s="978"/>
      <c r="P66" s="122" t="s">
        <v>457</v>
      </c>
      <c r="Q66" s="962">
        <f>IF(S76=0,1.3369,"")</f>
        <v>1.3369</v>
      </c>
      <c r="R66" s="122"/>
      <c r="S66" s="962" t="str">
        <f>IF(S76=0,"",(2*(S67*S68)))</f>
        <v/>
      </c>
      <c r="T66" s="980"/>
      <c r="U66" s="1372"/>
      <c r="V66" s="978"/>
      <c r="W66" s="966" t="s">
        <v>142</v>
      </c>
      <c r="X66" s="1365" t="s">
        <v>85</v>
      </c>
      <c r="Y66" s="1366"/>
      <c r="Z66" s="967" t="s">
        <v>213</v>
      </c>
      <c r="AA66" s="968">
        <v>0.7</v>
      </c>
      <c r="AB66" s="122" t="s">
        <v>528</v>
      </c>
      <c r="AC66" s="992"/>
      <c r="AD66" s="103"/>
    </row>
    <row r="67" spans="3:30" ht="13.05" customHeight="1">
      <c r="C67" s="103"/>
      <c r="D67" s="103"/>
      <c r="E67" s="103"/>
      <c r="F67" s="103"/>
      <c r="G67" s="103"/>
      <c r="H67" s="103"/>
      <c r="I67" s="103"/>
      <c r="J67" s="103"/>
      <c r="K67" s="103"/>
      <c r="L67" s="103"/>
      <c r="M67" s="103"/>
      <c r="N67" s="103"/>
      <c r="O67" s="978"/>
      <c r="P67" s="125" t="s">
        <v>458</v>
      </c>
      <c r="Q67" s="963">
        <f>IF(S76=0,0.67,"")</f>
        <v>0.67</v>
      </c>
      <c r="R67" s="122"/>
      <c r="S67" s="981"/>
      <c r="T67" s="982"/>
      <c r="U67" s="1372"/>
      <c r="V67" s="978"/>
      <c r="W67" s="122"/>
      <c r="X67" s="122"/>
      <c r="Y67" s="122"/>
      <c r="Z67" s="125"/>
      <c r="AA67" s="969"/>
      <c r="AB67" s="122"/>
      <c r="AC67" s="992"/>
      <c r="AD67" s="103"/>
    </row>
    <row r="68" spans="3:30" ht="13.05" customHeight="1">
      <c r="C68" s="103"/>
      <c r="D68" s="103"/>
      <c r="E68" s="104"/>
      <c r="F68" s="104"/>
      <c r="G68" s="104" t="s">
        <v>519</v>
      </c>
      <c r="H68" s="104"/>
      <c r="I68" s="104"/>
      <c r="J68" s="103"/>
      <c r="K68" s="103"/>
      <c r="L68" s="103"/>
      <c r="M68" s="103"/>
      <c r="N68" s="103"/>
      <c r="O68" s="978"/>
      <c r="P68" s="125" t="s">
        <v>459</v>
      </c>
      <c r="Q68" s="963">
        <f>IF(S76=0,1,"")</f>
        <v>1</v>
      </c>
      <c r="R68" s="122"/>
      <c r="S68" s="983"/>
      <c r="T68" s="982"/>
      <c r="U68" s="1372"/>
      <c r="V68" s="978"/>
      <c r="W68" s="966" t="s">
        <v>141</v>
      </c>
      <c r="X68" s="1367"/>
      <c r="Y68" s="1368"/>
      <c r="Z68" s="1368"/>
      <c r="AA68" s="1369"/>
      <c r="AB68" s="122"/>
      <c r="AC68" s="992"/>
      <c r="AD68" s="103"/>
    </row>
    <row r="69" spans="3:30" ht="10.95" customHeight="1">
      <c r="C69" s="103"/>
      <c r="D69" s="103"/>
      <c r="E69" s="103"/>
      <c r="F69" s="103"/>
      <c r="G69" s="103"/>
      <c r="H69" s="103"/>
      <c r="I69" s="103"/>
      <c r="J69" s="103"/>
      <c r="K69" s="103"/>
      <c r="L69" s="103"/>
      <c r="M69" s="103"/>
      <c r="N69" s="103"/>
      <c r="O69" s="978"/>
      <c r="P69" s="122"/>
      <c r="Q69" s="964"/>
      <c r="R69" s="122"/>
      <c r="S69" s="964"/>
      <c r="T69" s="984"/>
      <c r="U69" s="1372"/>
      <c r="V69" s="978"/>
      <c r="W69" s="122"/>
      <c r="X69" s="970"/>
      <c r="Y69" s="122"/>
      <c r="Z69" s="122"/>
      <c r="AA69" s="122"/>
      <c r="AB69" s="122"/>
      <c r="AC69" s="992"/>
      <c r="AD69" s="103"/>
    </row>
    <row r="70" spans="3:30" ht="13.05" customHeight="1">
      <c r="C70" s="103"/>
      <c r="D70" s="103"/>
      <c r="E70" s="103"/>
      <c r="F70" s="103"/>
      <c r="G70" s="103"/>
      <c r="H70" s="103"/>
      <c r="I70" s="103"/>
      <c r="J70" s="103"/>
      <c r="K70" s="103"/>
      <c r="L70" s="103"/>
      <c r="M70" s="103"/>
      <c r="N70" s="103"/>
      <c r="O70" s="978"/>
      <c r="P70" s="122" t="s">
        <v>475</v>
      </c>
      <c r="Q70" s="962">
        <f>IF(S76=0,0.4456,"")</f>
        <v>0.4456</v>
      </c>
      <c r="R70" s="122"/>
      <c r="S70" s="962" t="str">
        <f>IF(S76=0,"",S65-S66)</f>
        <v/>
      </c>
      <c r="T70" s="980"/>
      <c r="U70" s="1372"/>
      <c r="V70" s="978"/>
      <c r="W70" s="122"/>
      <c r="X70" s="122"/>
      <c r="Y70" s="122"/>
      <c r="Z70" s="967" t="s">
        <v>476</v>
      </c>
      <c r="AA70" s="968">
        <v>0.5</v>
      </c>
      <c r="AB70" s="122"/>
      <c r="AC70" s="992"/>
      <c r="AD70" s="103"/>
    </row>
    <row r="71" spans="3:30" ht="3" customHeight="1">
      <c r="C71" s="103"/>
      <c r="D71" s="103"/>
      <c r="E71" s="922"/>
      <c r="F71" s="923"/>
      <c r="G71" s="923"/>
      <c r="H71" s="923"/>
      <c r="I71" s="923"/>
      <c r="J71" s="923"/>
      <c r="K71" s="923"/>
      <c r="L71" s="919"/>
      <c r="M71" s="103"/>
      <c r="N71" s="103"/>
      <c r="O71" s="978"/>
      <c r="P71" s="122"/>
      <c r="Q71" s="964"/>
      <c r="R71" s="122"/>
      <c r="S71" s="964"/>
      <c r="T71" s="984"/>
      <c r="U71" s="1372"/>
      <c r="V71" s="978"/>
      <c r="W71" s="122"/>
      <c r="X71" s="122"/>
      <c r="Y71" s="122"/>
      <c r="Z71" s="122"/>
      <c r="AA71" s="122"/>
      <c r="AB71" s="122"/>
      <c r="AC71" s="992"/>
      <c r="AD71" s="103"/>
    </row>
    <row r="72" spans="3:30" ht="3" customHeight="1">
      <c r="C72" s="103"/>
      <c r="D72" s="103"/>
      <c r="E72" s="527"/>
      <c r="F72" s="922"/>
      <c r="G72" s="923"/>
      <c r="H72" s="919"/>
      <c r="I72" s="922"/>
      <c r="J72" s="923"/>
      <c r="K72" s="919"/>
      <c r="L72" s="312"/>
      <c r="M72" s="103"/>
      <c r="N72" s="103"/>
      <c r="O72" s="978"/>
      <c r="P72" s="122"/>
      <c r="Q72" s="964"/>
      <c r="R72" s="122"/>
      <c r="S72" s="964"/>
      <c r="T72" s="984"/>
      <c r="U72" s="1372"/>
      <c r="V72" s="978"/>
      <c r="W72" s="122"/>
      <c r="X72" s="122"/>
      <c r="Y72" s="122"/>
      <c r="Z72" s="122"/>
      <c r="AA72" s="122"/>
      <c r="AB72" s="122"/>
      <c r="AC72" s="992"/>
      <c r="AD72" s="103"/>
    </row>
    <row r="73" spans="3:30" ht="13.05" customHeight="1">
      <c r="C73" s="103"/>
      <c r="D73" s="103"/>
      <c r="E73" s="527"/>
      <c r="F73" s="527"/>
      <c r="G73" s="925"/>
      <c r="H73" s="312"/>
      <c r="I73" s="312"/>
      <c r="J73" s="928"/>
      <c r="K73" s="312"/>
      <c r="L73" s="312"/>
      <c r="M73" s="103"/>
      <c r="N73" s="103"/>
      <c r="O73" s="978"/>
      <c r="P73" s="122" t="s">
        <v>460</v>
      </c>
      <c r="Q73" s="963">
        <f>IF(S76=0,6.68,"")</f>
        <v>6.68</v>
      </c>
      <c r="R73" s="122"/>
      <c r="S73" s="963" t="str">
        <f>IF(S76=0,"",4*S67+4*S68)</f>
        <v/>
      </c>
      <c r="T73" s="980"/>
      <c r="U73" s="1372"/>
      <c r="V73" s="978"/>
      <c r="W73" s="122"/>
      <c r="X73" s="122"/>
      <c r="Y73" s="122"/>
      <c r="Z73" s="122"/>
      <c r="AA73" s="122"/>
      <c r="AB73" s="122"/>
      <c r="AC73" s="992"/>
      <c r="AD73" s="103"/>
    </row>
    <row r="74" spans="3:30" ht="13.05" customHeight="1">
      <c r="C74" s="103"/>
      <c r="D74" s="103"/>
      <c r="E74" s="527"/>
      <c r="F74" s="527"/>
      <c r="G74" s="926"/>
      <c r="H74" s="312"/>
      <c r="I74" s="312"/>
      <c r="J74" s="929"/>
      <c r="K74" s="312"/>
      <c r="L74" s="312"/>
      <c r="M74" s="103"/>
      <c r="N74" s="103"/>
      <c r="O74" s="978"/>
      <c r="P74" s="122"/>
      <c r="Q74" s="964"/>
      <c r="R74" s="122"/>
      <c r="S74" s="964"/>
      <c r="T74" s="984"/>
      <c r="U74" s="1372"/>
      <c r="V74" s="978"/>
      <c r="W74" s="966" t="s">
        <v>478</v>
      </c>
      <c r="X74" s="1365" t="s">
        <v>86</v>
      </c>
      <c r="Y74" s="1366"/>
      <c r="Z74" s="966" t="s">
        <v>477</v>
      </c>
      <c r="AA74" s="971">
        <v>0.06</v>
      </c>
      <c r="AB74" s="122" t="s">
        <v>150</v>
      </c>
      <c r="AC74" s="992"/>
      <c r="AD74" s="103"/>
    </row>
    <row r="75" spans="3:30" ht="13.05" customHeight="1">
      <c r="C75" s="103"/>
      <c r="D75" s="103" t="s">
        <v>199</v>
      </c>
      <c r="E75" s="527"/>
      <c r="F75" s="527"/>
      <c r="G75" s="926"/>
      <c r="H75" s="312"/>
      <c r="I75" s="312"/>
      <c r="J75" s="930"/>
      <c r="K75" s="312"/>
      <c r="L75" s="312"/>
      <c r="M75" s="109" t="s">
        <v>204</v>
      </c>
      <c r="N75" s="109"/>
      <c r="O75" s="978"/>
      <c r="P75" s="122" t="s">
        <v>461</v>
      </c>
      <c r="Q75" s="963">
        <f>IF(S76=0,1.55,"")</f>
        <v>1.55</v>
      </c>
      <c r="R75" s="914"/>
      <c r="S75" s="981"/>
      <c r="T75" s="985"/>
      <c r="U75" s="1372"/>
      <c r="V75" s="978"/>
      <c r="W75" s="122"/>
      <c r="X75" s="122"/>
      <c r="Y75" s="122"/>
      <c r="Z75" s="122"/>
      <c r="AA75" s="122"/>
      <c r="AB75" s="122"/>
      <c r="AC75" s="992"/>
      <c r="AD75" s="103"/>
    </row>
    <row r="76" spans="3:30" ht="13.05" customHeight="1">
      <c r="C76" s="103"/>
      <c r="D76" s="103"/>
      <c r="E76" s="527"/>
      <c r="F76" s="527"/>
      <c r="G76" s="926"/>
      <c r="H76" s="312"/>
      <c r="I76" s="312"/>
      <c r="J76" s="929"/>
      <c r="K76" s="312"/>
      <c r="L76" s="312"/>
      <c r="M76" s="103"/>
      <c r="N76" s="103"/>
      <c r="O76" s="978"/>
      <c r="P76" s="122" t="s">
        <v>462</v>
      </c>
      <c r="Q76" s="963">
        <f>IF(S76=0,1.15,"")</f>
        <v>1.1499999999999999</v>
      </c>
      <c r="R76" s="914"/>
      <c r="S76" s="983"/>
      <c r="T76" s="985"/>
      <c r="U76" s="1372"/>
      <c r="V76" s="978"/>
      <c r="W76" s="122"/>
      <c r="X76" s="122"/>
      <c r="Y76" s="122"/>
      <c r="Z76" s="122"/>
      <c r="AA76" s="122"/>
      <c r="AB76" s="122"/>
      <c r="AC76" s="992"/>
      <c r="AD76" s="103"/>
    </row>
    <row r="77" spans="3:30" ht="10.95" customHeight="1">
      <c r="C77" s="103"/>
      <c r="D77" s="103"/>
      <c r="E77" s="527"/>
      <c r="F77" s="527"/>
      <c r="G77" s="926"/>
      <c r="H77" s="312"/>
      <c r="I77" s="312"/>
      <c r="J77" s="929"/>
      <c r="K77" s="312"/>
      <c r="L77" s="312"/>
      <c r="M77" s="103"/>
      <c r="N77" s="103"/>
      <c r="O77" s="978"/>
      <c r="P77" s="122"/>
      <c r="Q77" s="964"/>
      <c r="R77" s="122"/>
      <c r="S77" s="964"/>
      <c r="T77" s="984"/>
      <c r="U77" s="1372"/>
      <c r="V77" s="978"/>
      <c r="W77" s="122"/>
      <c r="X77" s="122"/>
      <c r="Y77" s="122"/>
      <c r="Z77" s="122"/>
      <c r="AA77" s="122"/>
      <c r="AB77" s="122"/>
      <c r="AC77" s="992"/>
      <c r="AD77" s="103"/>
    </row>
    <row r="78" spans="3:30" ht="13.05" customHeight="1">
      <c r="C78" s="103"/>
      <c r="D78" s="103"/>
      <c r="E78" s="527"/>
      <c r="F78" s="527"/>
      <c r="G78" s="927"/>
      <c r="H78" s="312"/>
      <c r="I78" s="312"/>
      <c r="J78" s="931"/>
      <c r="K78" s="312"/>
      <c r="L78" s="312"/>
      <c r="M78" s="103"/>
      <c r="N78" s="103"/>
      <c r="O78" s="978"/>
      <c r="P78" s="122" t="s">
        <v>286</v>
      </c>
      <c r="Q78" s="965" t="str">
        <f>IF(S76=0,"25%","")</f>
        <v>25%</v>
      </c>
      <c r="R78" s="122"/>
      <c r="S78" s="965" t="str">
        <f>IF(S76=0,"",S70/S65)</f>
        <v/>
      </c>
      <c r="T78" s="986"/>
      <c r="U78" s="1372"/>
      <c r="V78" s="978"/>
      <c r="W78" s="972" t="s">
        <v>214</v>
      </c>
      <c r="X78" s="972"/>
      <c r="Y78" s="972"/>
      <c r="Z78" s="972"/>
      <c r="AA78" s="973">
        <f>ROUND(IF(S76=0,(AA64*Q70+AA66*Q66+AA74*Q73)/Q65,(AA64*S70+AA66*S66+AA74*S73)/S65),2)</f>
        <v>1.2</v>
      </c>
      <c r="AB78" s="972" t="s">
        <v>528</v>
      </c>
      <c r="AC78" s="992"/>
      <c r="AD78" s="103"/>
    </row>
    <row r="79" spans="3:30" ht="3" customHeight="1">
      <c r="C79" s="103"/>
      <c r="D79" s="103"/>
      <c r="E79" s="527"/>
      <c r="F79" s="924"/>
      <c r="G79" s="916"/>
      <c r="H79" s="917"/>
      <c r="I79" s="924"/>
      <c r="J79" s="916"/>
      <c r="K79" s="917"/>
      <c r="L79" s="312"/>
      <c r="M79" s="103"/>
      <c r="N79" s="103"/>
      <c r="O79" s="978"/>
      <c r="P79" s="122"/>
      <c r="Q79" s="964"/>
      <c r="R79" s="122"/>
      <c r="S79" s="964"/>
      <c r="T79" s="984"/>
      <c r="U79" s="1372"/>
      <c r="V79" s="978"/>
      <c r="W79" s="122"/>
      <c r="X79" s="122"/>
      <c r="Y79" s="122"/>
      <c r="Z79" s="122"/>
      <c r="AA79" s="122"/>
      <c r="AB79" s="122"/>
      <c r="AC79" s="992"/>
      <c r="AD79" s="103"/>
    </row>
    <row r="80" spans="3:30" ht="3" customHeight="1">
      <c r="C80" s="103"/>
      <c r="D80" s="103"/>
      <c r="E80" s="924"/>
      <c r="F80" s="916"/>
      <c r="G80" s="916"/>
      <c r="H80" s="916"/>
      <c r="I80" s="916"/>
      <c r="J80" s="916"/>
      <c r="K80" s="916"/>
      <c r="L80" s="917"/>
      <c r="M80" s="103"/>
      <c r="N80" s="103"/>
      <c r="O80" s="987"/>
      <c r="P80" s="988"/>
      <c r="Q80" s="989"/>
      <c r="R80" s="988"/>
      <c r="S80" s="989"/>
      <c r="T80" s="990"/>
      <c r="U80" s="1372"/>
      <c r="V80" s="987"/>
      <c r="W80" s="988"/>
      <c r="X80" s="988"/>
      <c r="Y80" s="988"/>
      <c r="Z80" s="988"/>
      <c r="AA80" s="988"/>
      <c r="AB80" s="988"/>
      <c r="AC80" s="993"/>
      <c r="AD80" s="103"/>
    </row>
    <row r="81" spans="3:30" ht="10.95" customHeight="1">
      <c r="C81" s="103"/>
      <c r="D81" s="103"/>
      <c r="F81" s="103"/>
      <c r="G81" s="103"/>
      <c r="H81" s="103"/>
      <c r="I81" s="103"/>
      <c r="J81" s="103"/>
      <c r="K81" s="103"/>
      <c r="L81" s="103"/>
      <c r="M81" s="103"/>
      <c r="N81" s="103"/>
      <c r="O81" s="1375"/>
      <c r="P81" s="1375"/>
      <c r="Q81" s="1375"/>
      <c r="R81" s="1375"/>
      <c r="S81" s="1375"/>
      <c r="T81" s="1375"/>
      <c r="U81" s="1375"/>
      <c r="V81" s="1375"/>
      <c r="W81" s="1362" t="s">
        <v>43</v>
      </c>
      <c r="X81" s="1362"/>
      <c r="Y81" s="1362"/>
      <c r="Z81" s="1362"/>
      <c r="AA81" s="1362"/>
      <c r="AB81" s="1362"/>
      <c r="AC81" s="1362"/>
      <c r="AD81" s="103"/>
    </row>
    <row r="82" spans="3:30" ht="10.95" customHeight="1">
      <c r="C82" s="103"/>
      <c r="D82" s="103"/>
      <c r="E82" s="103" t="str">
        <f>IF(S76=0,"Rahmenanteil 25%","")</f>
        <v>Rahmenanteil 25%</v>
      </c>
      <c r="F82" s="103"/>
      <c r="G82" s="103"/>
      <c r="H82" s="103"/>
      <c r="I82" s="103"/>
      <c r="J82" s="103"/>
      <c r="K82" s="103"/>
      <c r="L82" s="103"/>
      <c r="M82" s="103"/>
      <c r="N82" s="103"/>
      <c r="O82" s="1375"/>
      <c r="P82" s="1375"/>
      <c r="Q82" s="1375"/>
      <c r="R82" s="1375"/>
      <c r="S82" s="1375"/>
      <c r="T82" s="1375"/>
      <c r="U82" s="1375"/>
      <c r="V82" s="1375"/>
      <c r="W82" s="327"/>
      <c r="X82" s="327"/>
      <c r="Y82" s="327"/>
      <c r="Z82" s="327"/>
      <c r="AA82" s="327"/>
      <c r="AB82" s="327"/>
      <c r="AC82" s="327"/>
      <c r="AD82" s="103"/>
    </row>
    <row r="83" spans="3:30" ht="10.95" customHeight="1">
      <c r="C83" s="103"/>
      <c r="D83" s="103"/>
      <c r="E83" s="103"/>
      <c r="F83" s="103"/>
      <c r="G83" s="103"/>
      <c r="H83" s="103"/>
      <c r="I83" s="103"/>
      <c r="J83" s="103"/>
      <c r="K83" s="103"/>
      <c r="L83" s="103"/>
      <c r="M83" s="103"/>
      <c r="N83" s="103"/>
      <c r="O83" s="1375"/>
      <c r="P83" s="1375"/>
      <c r="Q83" s="1375"/>
      <c r="R83" s="1375"/>
      <c r="S83" s="1375"/>
      <c r="T83" s="1375"/>
      <c r="U83" s="1375"/>
      <c r="V83" s="1375"/>
      <c r="W83" s="327"/>
      <c r="X83" s="327"/>
      <c r="Y83" s="327"/>
      <c r="Z83" s="327"/>
      <c r="AA83" s="327"/>
      <c r="AB83" s="327"/>
      <c r="AC83" s="327"/>
      <c r="AD83" s="103"/>
    </row>
    <row r="84" spans="3:30" ht="10.95" customHeight="1">
      <c r="C84" s="103"/>
      <c r="D84" s="103"/>
      <c r="E84" s="103"/>
      <c r="F84" s="103"/>
      <c r="G84" s="103"/>
      <c r="H84" s="103"/>
      <c r="I84" s="103"/>
      <c r="J84" s="103"/>
      <c r="K84" s="103"/>
      <c r="L84" s="103"/>
      <c r="M84" s="103"/>
      <c r="N84" s="103"/>
      <c r="O84" s="1375"/>
      <c r="P84" s="1375"/>
      <c r="Q84" s="1375"/>
      <c r="R84" s="1375"/>
      <c r="S84" s="1375"/>
      <c r="T84" s="1375"/>
      <c r="U84" s="1375"/>
      <c r="V84" s="1375"/>
      <c r="W84" s="327"/>
      <c r="X84" s="327"/>
      <c r="Y84" s="327"/>
      <c r="Z84" s="327"/>
      <c r="AA84" s="327"/>
      <c r="AB84" s="327"/>
      <c r="AC84" s="327"/>
      <c r="AD84" s="103"/>
    </row>
    <row r="85" spans="3:30" ht="10.95" customHeight="1">
      <c r="C85" s="103"/>
      <c r="D85" s="103"/>
      <c r="E85" s="103"/>
      <c r="F85" s="103"/>
      <c r="G85" s="103"/>
      <c r="H85" s="103"/>
      <c r="I85" s="103"/>
      <c r="J85" s="103"/>
      <c r="K85" s="103"/>
      <c r="L85" s="103"/>
      <c r="M85" s="103"/>
      <c r="N85" s="103"/>
      <c r="O85" s="1375"/>
      <c r="P85" s="1375"/>
      <c r="Q85" s="1375"/>
      <c r="R85" s="1375"/>
      <c r="S85" s="1375"/>
      <c r="T85" s="1375"/>
      <c r="U85" s="1375"/>
      <c r="V85" s="1375"/>
      <c r="W85" s="327"/>
      <c r="X85" s="327"/>
      <c r="Y85" s="327"/>
      <c r="Z85" s="327"/>
      <c r="AA85" s="327"/>
      <c r="AB85" s="327"/>
      <c r="AC85" s="327"/>
      <c r="AD85" s="103"/>
    </row>
    <row r="86" spans="3:30" ht="10.95" customHeight="1">
      <c r="C86" s="103"/>
      <c r="D86" s="103"/>
      <c r="E86" s="103"/>
      <c r="F86" s="103"/>
      <c r="G86" s="103"/>
      <c r="H86" s="103"/>
      <c r="I86" s="103"/>
      <c r="J86" s="103"/>
      <c r="K86" s="103"/>
      <c r="L86" s="103"/>
      <c r="M86" s="103"/>
      <c r="N86" s="103"/>
      <c r="O86" s="974"/>
      <c r="P86" s="975"/>
      <c r="Q86" s="976"/>
      <c r="R86" s="975"/>
      <c r="S86" s="976"/>
      <c r="T86" s="977"/>
      <c r="U86" s="1374"/>
      <c r="V86" s="974"/>
      <c r="W86" s="975"/>
      <c r="X86" s="975"/>
      <c r="Y86" s="975"/>
      <c r="Z86" s="975"/>
      <c r="AA86" s="975"/>
      <c r="AB86" s="975"/>
      <c r="AC86" s="991"/>
      <c r="AD86" s="103"/>
    </row>
    <row r="87" spans="3:30" ht="13.05" customHeight="1">
      <c r="C87" s="103"/>
      <c r="D87" s="103"/>
      <c r="E87" s="3" t="s">
        <v>346</v>
      </c>
      <c r="F87" s="103"/>
      <c r="G87" s="103"/>
      <c r="H87" s="1373" t="s">
        <v>307</v>
      </c>
      <c r="I87" s="1373"/>
      <c r="J87" s="1373"/>
      <c r="K87" s="1373"/>
      <c r="L87" s="1373"/>
      <c r="M87" s="1373"/>
      <c r="N87" s="103"/>
      <c r="O87" s="978"/>
      <c r="P87" s="967" t="s">
        <v>78</v>
      </c>
      <c r="Q87" s="434" t="s">
        <v>455</v>
      </c>
      <c r="R87" s="966"/>
      <c r="S87" s="434" t="s">
        <v>425</v>
      </c>
      <c r="T87" s="979"/>
      <c r="U87" s="1374"/>
      <c r="V87" s="978"/>
      <c r="W87" s="966" t="s">
        <v>156</v>
      </c>
      <c r="X87" s="1365" t="s">
        <v>50</v>
      </c>
      <c r="Y87" s="1366"/>
      <c r="Z87" s="967" t="s">
        <v>91</v>
      </c>
      <c r="AA87" s="968">
        <v>1.8</v>
      </c>
      <c r="AB87" s="122" t="s">
        <v>528</v>
      </c>
      <c r="AC87" s="992"/>
      <c r="AD87" s="103"/>
    </row>
    <row r="88" spans="3:30" ht="13.05" customHeight="1">
      <c r="C88" s="103"/>
      <c r="D88" s="103"/>
      <c r="E88" s="112" t="s">
        <v>347</v>
      </c>
      <c r="F88" s="103"/>
      <c r="G88" s="103"/>
      <c r="H88" s="109"/>
      <c r="I88" s="1373">
        <v>4</v>
      </c>
      <c r="J88" s="1373"/>
      <c r="K88" s="1373"/>
      <c r="L88" s="1373"/>
      <c r="M88" s="1373"/>
      <c r="N88" s="103"/>
      <c r="O88" s="978"/>
      <c r="P88" s="122" t="s">
        <v>456</v>
      </c>
      <c r="Q88" s="962">
        <f>IF(S99=0,1.7825,"")</f>
        <v>1.7825</v>
      </c>
      <c r="R88" s="122"/>
      <c r="S88" s="962" t="str">
        <f>IF(S99=0,"",S98*S99)</f>
        <v/>
      </c>
      <c r="T88" s="980"/>
      <c r="U88" s="1374"/>
      <c r="V88" s="978"/>
      <c r="W88" s="122"/>
      <c r="X88" s="122"/>
      <c r="Y88" s="122"/>
      <c r="Z88" s="125"/>
      <c r="AA88" s="969"/>
      <c r="AB88" s="122"/>
      <c r="AC88" s="992"/>
      <c r="AD88" s="103"/>
    </row>
    <row r="89" spans="3:30" ht="13.05" customHeight="1">
      <c r="C89" s="103"/>
      <c r="D89" s="103"/>
      <c r="E89" s="103"/>
      <c r="F89" s="103"/>
      <c r="G89" s="1371" t="s">
        <v>496</v>
      </c>
      <c r="H89" s="1371"/>
      <c r="I89" s="1371"/>
      <c r="J89" s="1371"/>
      <c r="K89" s="103"/>
      <c r="L89" s="103"/>
      <c r="M89" s="103"/>
      <c r="N89" s="103"/>
      <c r="O89" s="978"/>
      <c r="P89" s="122" t="s">
        <v>457</v>
      </c>
      <c r="Q89" s="962">
        <f>IF(S99=0,1.3369,"")</f>
        <v>1.3369</v>
      </c>
      <c r="R89" s="122"/>
      <c r="S89" s="962" t="str">
        <f>IF(S99=0,"",(2*(S90*S91)))</f>
        <v/>
      </c>
      <c r="T89" s="980"/>
      <c r="U89" s="1374"/>
      <c r="V89" s="978"/>
      <c r="W89" s="966" t="s">
        <v>142</v>
      </c>
      <c r="X89" s="1365" t="s">
        <v>85</v>
      </c>
      <c r="Y89" s="1366"/>
      <c r="Z89" s="967" t="s">
        <v>213</v>
      </c>
      <c r="AA89" s="968">
        <v>0.7</v>
      </c>
      <c r="AB89" s="122" t="s">
        <v>528</v>
      </c>
      <c r="AC89" s="992"/>
      <c r="AD89" s="103"/>
    </row>
    <row r="90" spans="3:30" ht="13.05" customHeight="1">
      <c r="C90" s="103"/>
      <c r="D90" s="103"/>
      <c r="E90" s="103"/>
      <c r="F90" s="103"/>
      <c r="G90" s="103"/>
      <c r="H90" s="103"/>
      <c r="I90" s="103"/>
      <c r="J90" s="103"/>
      <c r="K90" s="103"/>
      <c r="L90" s="103"/>
      <c r="M90" s="103"/>
      <c r="N90" s="103"/>
      <c r="O90" s="978"/>
      <c r="P90" s="125" t="s">
        <v>458</v>
      </c>
      <c r="Q90" s="963">
        <f>IF(S99=0,0.67,"")</f>
        <v>0.67</v>
      </c>
      <c r="R90" s="122"/>
      <c r="S90" s="981"/>
      <c r="T90" s="982"/>
      <c r="U90" s="1374"/>
      <c r="V90" s="978"/>
      <c r="W90" s="122"/>
      <c r="X90" s="122"/>
      <c r="Y90" s="122"/>
      <c r="Z90" s="125"/>
      <c r="AA90" s="969"/>
      <c r="AB90" s="122"/>
      <c r="AC90" s="992"/>
      <c r="AD90" s="103"/>
    </row>
    <row r="91" spans="3:30" ht="13.05" customHeight="1">
      <c r="C91" s="103"/>
      <c r="D91" s="103"/>
      <c r="E91" s="104"/>
      <c r="F91" s="104"/>
      <c r="G91" s="104" t="s">
        <v>519</v>
      </c>
      <c r="H91" s="104"/>
      <c r="I91" s="104"/>
      <c r="J91" s="103"/>
      <c r="K91" s="103"/>
      <c r="L91" s="103"/>
      <c r="M91" s="103"/>
      <c r="N91" s="103"/>
      <c r="O91" s="978"/>
      <c r="P91" s="125" t="s">
        <v>459</v>
      </c>
      <c r="Q91" s="963">
        <f>IF(S99=0,1,"")</f>
        <v>1</v>
      </c>
      <c r="R91" s="122"/>
      <c r="S91" s="983"/>
      <c r="T91" s="982"/>
      <c r="U91" s="1374"/>
      <c r="V91" s="978"/>
      <c r="W91" s="966" t="s">
        <v>141</v>
      </c>
      <c r="X91" s="1367"/>
      <c r="Y91" s="1368"/>
      <c r="Z91" s="1368"/>
      <c r="AA91" s="1369"/>
      <c r="AB91" s="122"/>
      <c r="AC91" s="992"/>
      <c r="AD91" s="103"/>
    </row>
    <row r="92" spans="3:30" ht="10.95" customHeight="1">
      <c r="C92" s="103"/>
      <c r="D92" s="103"/>
      <c r="E92" s="103"/>
      <c r="F92" s="103"/>
      <c r="G92" s="103"/>
      <c r="H92" s="103"/>
      <c r="I92" s="103"/>
      <c r="J92" s="103"/>
      <c r="K92" s="103"/>
      <c r="L92" s="103"/>
      <c r="M92" s="103"/>
      <c r="N92" s="103"/>
      <c r="O92" s="978"/>
      <c r="P92" s="122"/>
      <c r="Q92" s="964"/>
      <c r="R92" s="122"/>
      <c r="S92" s="964"/>
      <c r="T92" s="984"/>
      <c r="U92" s="1374"/>
      <c r="V92" s="978"/>
      <c r="W92" s="122"/>
      <c r="X92" s="970"/>
      <c r="Y92" s="122"/>
      <c r="Z92" s="122"/>
      <c r="AA92" s="122"/>
      <c r="AB92" s="122"/>
      <c r="AC92" s="992"/>
      <c r="AD92" s="103"/>
    </row>
    <row r="93" spans="3:30" ht="13.05" customHeight="1">
      <c r="C93" s="103"/>
      <c r="D93" s="103"/>
      <c r="E93" s="103"/>
      <c r="F93" s="103"/>
      <c r="G93" s="103"/>
      <c r="H93" s="103"/>
      <c r="I93" s="103"/>
      <c r="J93" s="103"/>
      <c r="K93" s="103"/>
      <c r="L93" s="103"/>
      <c r="M93" s="103"/>
      <c r="N93" s="103"/>
      <c r="O93" s="978"/>
      <c r="P93" s="122" t="s">
        <v>475</v>
      </c>
      <c r="Q93" s="962">
        <f>IF(S99=0,0.4456,"")</f>
        <v>0.4456</v>
      </c>
      <c r="R93" s="122"/>
      <c r="S93" s="962" t="str">
        <f>IF(S99=0,"",S88-S89)</f>
        <v/>
      </c>
      <c r="T93" s="980"/>
      <c r="U93" s="1374"/>
      <c r="V93" s="978"/>
      <c r="W93" s="122"/>
      <c r="X93" s="122"/>
      <c r="Y93" s="122"/>
      <c r="Z93" s="967" t="s">
        <v>476</v>
      </c>
      <c r="AA93" s="968">
        <v>0.5</v>
      </c>
      <c r="AB93" s="122"/>
      <c r="AC93" s="992"/>
      <c r="AD93" s="103"/>
    </row>
    <row r="94" spans="3:30" ht="3" customHeight="1">
      <c r="C94" s="103"/>
      <c r="D94" s="103"/>
      <c r="E94" s="922"/>
      <c r="F94" s="923"/>
      <c r="G94" s="923"/>
      <c r="H94" s="923"/>
      <c r="I94" s="923"/>
      <c r="J94" s="923"/>
      <c r="K94" s="923"/>
      <c r="L94" s="919"/>
      <c r="M94" s="103"/>
      <c r="N94" s="103"/>
      <c r="O94" s="978"/>
      <c r="P94" s="122"/>
      <c r="Q94" s="964"/>
      <c r="R94" s="122"/>
      <c r="S94" s="964"/>
      <c r="T94" s="984"/>
      <c r="U94" s="1374"/>
      <c r="V94" s="978"/>
      <c r="W94" s="122"/>
      <c r="X94" s="122"/>
      <c r="Y94" s="122"/>
      <c r="Z94" s="122"/>
      <c r="AA94" s="122"/>
      <c r="AB94" s="122"/>
      <c r="AC94" s="992"/>
      <c r="AD94" s="103"/>
    </row>
    <row r="95" spans="3:30" ht="3" customHeight="1">
      <c r="C95" s="103"/>
      <c r="D95" s="103"/>
      <c r="E95" s="527"/>
      <c r="F95" s="922"/>
      <c r="G95" s="923"/>
      <c r="H95" s="919"/>
      <c r="I95" s="922"/>
      <c r="J95" s="923"/>
      <c r="K95" s="919"/>
      <c r="L95" s="312"/>
      <c r="M95" s="103"/>
      <c r="N95" s="103"/>
      <c r="O95" s="978"/>
      <c r="P95" s="122"/>
      <c r="Q95" s="964"/>
      <c r="R95" s="122"/>
      <c r="S95" s="964"/>
      <c r="T95" s="984"/>
      <c r="U95" s="1374"/>
      <c r="V95" s="978"/>
      <c r="W95" s="122"/>
      <c r="X95" s="122"/>
      <c r="Y95" s="122"/>
      <c r="Z95" s="122"/>
      <c r="AA95" s="122"/>
      <c r="AB95" s="122"/>
      <c r="AC95" s="992"/>
      <c r="AD95" s="103"/>
    </row>
    <row r="96" spans="3:30" ht="13.05" customHeight="1">
      <c r="C96" s="103"/>
      <c r="D96" s="103"/>
      <c r="E96" s="527"/>
      <c r="F96" s="527"/>
      <c r="G96" s="925"/>
      <c r="H96" s="312"/>
      <c r="I96" s="312"/>
      <c r="J96" s="928"/>
      <c r="K96" s="312"/>
      <c r="L96" s="312"/>
      <c r="M96" s="103"/>
      <c r="N96" s="103"/>
      <c r="O96" s="978"/>
      <c r="P96" s="122" t="s">
        <v>460</v>
      </c>
      <c r="Q96" s="963">
        <f>IF(S99=0,6.68,"")</f>
        <v>6.68</v>
      </c>
      <c r="R96" s="122"/>
      <c r="S96" s="963" t="str">
        <f>IF(S99=0,"",4*S90+4*S91)</f>
        <v/>
      </c>
      <c r="T96" s="980"/>
      <c r="U96" s="1374"/>
      <c r="V96" s="978"/>
      <c r="W96" s="122"/>
      <c r="X96" s="122"/>
      <c r="Y96" s="122"/>
      <c r="Z96" s="122"/>
      <c r="AA96" s="122"/>
      <c r="AB96" s="122"/>
      <c r="AC96" s="992"/>
      <c r="AD96" s="103"/>
    </row>
    <row r="97" spans="3:30" ht="13.05" customHeight="1">
      <c r="C97" s="103"/>
      <c r="D97" s="103"/>
      <c r="E97" s="527"/>
      <c r="F97" s="527"/>
      <c r="G97" s="926"/>
      <c r="H97" s="312"/>
      <c r="I97" s="312"/>
      <c r="J97" s="929"/>
      <c r="K97" s="312"/>
      <c r="L97" s="312"/>
      <c r="M97" s="103"/>
      <c r="N97" s="103"/>
      <c r="O97" s="978"/>
      <c r="P97" s="122"/>
      <c r="Q97" s="964"/>
      <c r="R97" s="122"/>
      <c r="S97" s="964"/>
      <c r="T97" s="984"/>
      <c r="U97" s="1374"/>
      <c r="V97" s="978"/>
      <c r="W97" s="966" t="s">
        <v>478</v>
      </c>
      <c r="X97" s="1365" t="s">
        <v>86</v>
      </c>
      <c r="Y97" s="1366"/>
      <c r="Z97" s="966" t="s">
        <v>477</v>
      </c>
      <c r="AA97" s="971">
        <v>0.06</v>
      </c>
      <c r="AB97" s="122" t="s">
        <v>150</v>
      </c>
      <c r="AC97" s="992"/>
      <c r="AD97" s="103"/>
    </row>
    <row r="98" spans="3:30" ht="13.05" customHeight="1">
      <c r="C98" s="103"/>
      <c r="D98" s="103" t="s">
        <v>199</v>
      </c>
      <c r="E98" s="527"/>
      <c r="F98" s="527"/>
      <c r="G98" s="926"/>
      <c r="H98" s="312"/>
      <c r="I98" s="312"/>
      <c r="J98" s="930"/>
      <c r="K98" s="312"/>
      <c r="L98" s="312"/>
      <c r="M98" s="109" t="s">
        <v>204</v>
      </c>
      <c r="N98" s="109"/>
      <c r="O98" s="978"/>
      <c r="P98" s="122" t="s">
        <v>461</v>
      </c>
      <c r="Q98" s="963">
        <f>IF(S99=0,1.55,"")</f>
        <v>1.55</v>
      </c>
      <c r="R98" s="914"/>
      <c r="S98" s="981"/>
      <c r="T98" s="985"/>
      <c r="U98" s="1374"/>
      <c r="V98" s="978"/>
      <c r="W98" s="122"/>
      <c r="X98" s="122"/>
      <c r="Y98" s="122"/>
      <c r="Z98" s="122"/>
      <c r="AA98" s="122"/>
      <c r="AB98" s="122"/>
      <c r="AC98" s="992"/>
      <c r="AD98" s="103"/>
    </row>
    <row r="99" spans="3:30" ht="13.05" customHeight="1">
      <c r="C99" s="103"/>
      <c r="D99" s="103"/>
      <c r="E99" s="527"/>
      <c r="F99" s="527"/>
      <c r="G99" s="926"/>
      <c r="H99" s="312"/>
      <c r="I99" s="312"/>
      <c r="J99" s="929"/>
      <c r="K99" s="312"/>
      <c r="L99" s="312"/>
      <c r="M99" s="103"/>
      <c r="N99" s="103"/>
      <c r="O99" s="978"/>
      <c r="P99" s="122" t="s">
        <v>462</v>
      </c>
      <c r="Q99" s="963">
        <f>IF(S99=0,1.15,"")</f>
        <v>1.1499999999999999</v>
      </c>
      <c r="R99" s="914"/>
      <c r="S99" s="983"/>
      <c r="T99" s="985"/>
      <c r="U99" s="1374"/>
      <c r="V99" s="978"/>
      <c r="W99" s="122"/>
      <c r="X99" s="122"/>
      <c r="Y99" s="122"/>
      <c r="Z99" s="122"/>
      <c r="AA99" s="122"/>
      <c r="AB99" s="122"/>
      <c r="AC99" s="992"/>
      <c r="AD99" s="103"/>
    </row>
    <row r="100" spans="3:30" ht="10.95" customHeight="1">
      <c r="C100" s="103"/>
      <c r="D100" s="103"/>
      <c r="E100" s="527"/>
      <c r="F100" s="527"/>
      <c r="G100" s="926"/>
      <c r="H100" s="312"/>
      <c r="I100" s="312"/>
      <c r="J100" s="929"/>
      <c r="K100" s="312"/>
      <c r="L100" s="312"/>
      <c r="M100" s="103"/>
      <c r="N100" s="103"/>
      <c r="O100" s="978"/>
      <c r="P100" s="122"/>
      <c r="Q100" s="964"/>
      <c r="R100" s="122"/>
      <c r="S100" s="964"/>
      <c r="T100" s="984"/>
      <c r="U100" s="1374"/>
      <c r="V100" s="978"/>
      <c r="W100" s="122"/>
      <c r="X100" s="122"/>
      <c r="Y100" s="122"/>
      <c r="Z100" s="122"/>
      <c r="AA100" s="122"/>
      <c r="AB100" s="122"/>
      <c r="AC100" s="992"/>
      <c r="AD100" s="103"/>
    </row>
    <row r="101" spans="3:30" ht="13.05" customHeight="1">
      <c r="C101" s="103"/>
      <c r="D101" s="103"/>
      <c r="E101" s="527"/>
      <c r="F101" s="527"/>
      <c r="G101" s="927"/>
      <c r="H101" s="312"/>
      <c r="I101" s="312"/>
      <c r="J101" s="931"/>
      <c r="K101" s="312"/>
      <c r="L101" s="312"/>
      <c r="M101" s="103"/>
      <c r="N101" s="103"/>
      <c r="O101" s="978"/>
      <c r="P101" s="122" t="s">
        <v>286</v>
      </c>
      <c r="Q101" s="965" t="str">
        <f>IF(S99=0,"25%","")</f>
        <v>25%</v>
      </c>
      <c r="R101" s="122"/>
      <c r="S101" s="965" t="str">
        <f>IF(S99=0,"",S93/S88)</f>
        <v/>
      </c>
      <c r="T101" s="986"/>
      <c r="U101" s="1374"/>
      <c r="V101" s="978"/>
      <c r="W101" s="972" t="s">
        <v>214</v>
      </c>
      <c r="X101" s="972"/>
      <c r="Y101" s="972"/>
      <c r="Z101" s="972"/>
      <c r="AA101" s="973">
        <f>ROUND(IF(S99=0,(AA87*Q93+AA89*Q89+AA97*Q96)/Q88,(AA87*S93+AA89*S89+AA97*S96)/S88),2)</f>
        <v>1.2</v>
      </c>
      <c r="AB101" s="972" t="s">
        <v>528</v>
      </c>
      <c r="AC101" s="992"/>
      <c r="AD101" s="103"/>
    </row>
    <row r="102" spans="3:30" ht="3" customHeight="1">
      <c r="C102" s="103"/>
      <c r="D102" s="103"/>
      <c r="E102" s="527"/>
      <c r="F102" s="924"/>
      <c r="G102" s="916"/>
      <c r="H102" s="917"/>
      <c r="I102" s="924"/>
      <c r="J102" s="916"/>
      <c r="K102" s="917"/>
      <c r="L102" s="312"/>
      <c r="M102" s="103"/>
      <c r="N102" s="103"/>
      <c r="O102" s="978"/>
      <c r="P102" s="122"/>
      <c r="Q102" s="964"/>
      <c r="R102" s="122"/>
      <c r="S102" s="964"/>
      <c r="T102" s="984"/>
      <c r="U102" s="1374"/>
      <c r="V102" s="978"/>
      <c r="W102" s="122"/>
      <c r="X102" s="122"/>
      <c r="Y102" s="122"/>
      <c r="Z102" s="122"/>
      <c r="AA102" s="122"/>
      <c r="AB102" s="122"/>
      <c r="AC102" s="992"/>
      <c r="AD102" s="103"/>
    </row>
    <row r="103" spans="3:30" ht="3" customHeight="1">
      <c r="C103" s="103"/>
      <c r="D103" s="103"/>
      <c r="E103" s="924"/>
      <c r="F103" s="916"/>
      <c r="G103" s="916"/>
      <c r="H103" s="916"/>
      <c r="I103" s="916"/>
      <c r="J103" s="916"/>
      <c r="K103" s="916"/>
      <c r="L103" s="917"/>
      <c r="M103" s="103"/>
      <c r="N103" s="103"/>
      <c r="O103" s="987"/>
      <c r="P103" s="988"/>
      <c r="Q103" s="989"/>
      <c r="R103" s="988"/>
      <c r="S103" s="989"/>
      <c r="T103" s="990"/>
      <c r="U103" s="1374"/>
      <c r="V103" s="987"/>
      <c r="W103" s="988"/>
      <c r="X103" s="988"/>
      <c r="Y103" s="988"/>
      <c r="Z103" s="988"/>
      <c r="AA103" s="988"/>
      <c r="AB103" s="988"/>
      <c r="AC103" s="993"/>
      <c r="AD103" s="103"/>
    </row>
    <row r="104" spans="3:30" ht="10.95" customHeight="1">
      <c r="C104" s="103"/>
      <c r="D104" s="103"/>
      <c r="F104" s="103"/>
      <c r="G104" s="103"/>
      <c r="H104" s="103"/>
      <c r="I104" s="103"/>
      <c r="J104" s="103"/>
      <c r="K104" s="103"/>
      <c r="L104" s="103"/>
      <c r="M104" s="103"/>
      <c r="N104" s="103"/>
      <c r="O104" s="327"/>
      <c r="P104" s="327"/>
      <c r="Q104" s="327"/>
      <c r="R104" s="327"/>
      <c r="S104" s="327"/>
      <c r="T104" s="327"/>
      <c r="U104" s="327"/>
      <c r="V104" s="327"/>
      <c r="W104" s="1362" t="s">
        <v>43</v>
      </c>
      <c r="X104" s="1362"/>
      <c r="Y104" s="1362"/>
      <c r="Z104" s="1362"/>
      <c r="AA104" s="1362"/>
      <c r="AB104" s="1362"/>
      <c r="AC104" s="1362"/>
      <c r="AD104" s="103"/>
    </row>
    <row r="105" spans="3:30" ht="10.95" customHeight="1">
      <c r="C105" s="103"/>
      <c r="D105" s="103"/>
      <c r="E105" s="103" t="str">
        <f>IF(S99=0,"Rahmenanteil 25%","")</f>
        <v>Rahmenanteil 25%</v>
      </c>
      <c r="F105" s="103"/>
      <c r="G105" s="103"/>
      <c r="H105" s="103"/>
      <c r="I105" s="103"/>
      <c r="J105" s="103"/>
      <c r="K105" s="103"/>
      <c r="L105" s="103"/>
      <c r="M105" s="103"/>
      <c r="N105" s="103"/>
      <c r="O105" s="327"/>
      <c r="P105" s="327"/>
      <c r="Q105" s="327"/>
      <c r="R105" s="327"/>
      <c r="S105" s="327"/>
      <c r="T105" s="327"/>
      <c r="U105" s="327"/>
      <c r="V105" s="327"/>
      <c r="W105" s="327"/>
      <c r="X105" s="327"/>
      <c r="Y105" s="327"/>
      <c r="Z105" s="327"/>
      <c r="AA105" s="327"/>
      <c r="AB105" s="327"/>
      <c r="AC105" s="327"/>
      <c r="AD105" s="103"/>
    </row>
    <row r="106" spans="3:30" ht="10.95" customHeight="1">
      <c r="C106" s="103"/>
      <c r="D106" s="103"/>
      <c r="E106" s="103"/>
      <c r="F106" s="103"/>
      <c r="G106" s="103"/>
      <c r="H106" s="103"/>
      <c r="I106" s="103"/>
      <c r="J106" s="103"/>
      <c r="K106" s="103"/>
      <c r="L106" s="103"/>
      <c r="M106" s="103"/>
      <c r="N106" s="103"/>
      <c r="O106" s="327"/>
      <c r="P106" s="327"/>
      <c r="Q106" s="327"/>
      <c r="R106" s="327"/>
      <c r="S106" s="327"/>
      <c r="T106" s="327"/>
      <c r="U106" s="327"/>
      <c r="V106" s="327"/>
      <c r="W106" s="327"/>
      <c r="X106" s="327"/>
      <c r="Y106" s="327"/>
      <c r="Z106" s="327"/>
      <c r="AA106" s="327"/>
      <c r="AB106" s="327"/>
      <c r="AC106" s="327"/>
      <c r="AD106" s="103"/>
    </row>
    <row r="107" spans="3:30" ht="10.95" customHeight="1">
      <c r="C107" s="103"/>
      <c r="D107" s="103"/>
      <c r="E107" s="103"/>
      <c r="F107" s="103"/>
      <c r="G107" s="103"/>
      <c r="H107" s="103"/>
      <c r="I107" s="103"/>
      <c r="J107" s="103"/>
      <c r="K107" s="103"/>
      <c r="L107" s="103"/>
      <c r="M107" s="103"/>
      <c r="N107" s="103"/>
      <c r="O107" s="327"/>
      <c r="P107" s="327"/>
      <c r="Q107" s="327"/>
      <c r="R107" s="327"/>
      <c r="S107" s="327"/>
      <c r="T107" s="327"/>
      <c r="U107" s="327"/>
      <c r="V107" s="327"/>
      <c r="W107" s="327"/>
      <c r="X107" s="327"/>
      <c r="Y107" s="327"/>
      <c r="Z107" s="327"/>
      <c r="AA107" s="327"/>
      <c r="AB107" s="327"/>
      <c r="AC107" s="327"/>
      <c r="AD107" s="103"/>
    </row>
    <row r="108" spans="3:30" ht="10.95" customHeight="1">
      <c r="C108" s="315" t="str">
        <f>IF(Nutzung!$G$8="","","Variante:")</f>
        <v/>
      </c>
      <c r="D108" s="103"/>
      <c r="E108" s="103"/>
      <c r="F108" s="103"/>
      <c r="G108" s="141" t="str">
        <f>IF(Nutzung!$G$8="","",Nutzung!$G$8)</f>
        <v/>
      </c>
      <c r="H108" s="103"/>
      <c r="I108" s="103"/>
      <c r="J108" s="103"/>
      <c r="K108" s="103"/>
      <c r="L108" s="103"/>
      <c r="M108" s="103"/>
      <c r="N108" s="103"/>
      <c r="O108" s="327"/>
      <c r="P108" s="327"/>
      <c r="Q108" s="327"/>
      <c r="R108" s="327"/>
      <c r="S108" s="327"/>
      <c r="T108" s="327"/>
      <c r="U108" s="327"/>
      <c r="V108" s="327"/>
      <c r="W108" s="327"/>
      <c r="X108" s="327"/>
      <c r="Y108" s="327"/>
      <c r="Z108" s="327"/>
      <c r="AA108" s="1376">
        <f ca="1">NOW()</f>
        <v>42122.346852083334</v>
      </c>
      <c r="AB108" s="1376"/>
      <c r="AC108" s="1376"/>
      <c r="AD108" s="103"/>
    </row>
    <row r="109" spans="3:30" ht="10.95" customHeight="1">
      <c r="C109" s="141">
        <f>C1</f>
        <v>0</v>
      </c>
      <c r="D109" s="103"/>
      <c r="E109" s="103"/>
      <c r="F109" s="103"/>
      <c r="G109" s="103"/>
      <c r="H109" s="103"/>
      <c r="I109" s="103"/>
      <c r="J109" s="103"/>
      <c r="K109" s="103"/>
      <c r="L109" s="103"/>
      <c r="M109" s="103"/>
      <c r="N109" s="103"/>
      <c r="O109" s="103"/>
      <c r="P109" s="103"/>
      <c r="Q109" s="104"/>
      <c r="R109" s="103"/>
      <c r="S109" s="141" t="str">
        <f>IF(Nutzung!$E$8="","",Nutzung!$E$8)</f>
        <v/>
      </c>
      <c r="T109" s="104"/>
      <c r="U109" s="103"/>
      <c r="V109" s="103"/>
      <c r="W109" s="103"/>
      <c r="X109" s="103"/>
      <c r="Y109" s="103"/>
      <c r="Z109" s="103"/>
      <c r="AA109" s="103"/>
      <c r="AB109" s="103"/>
      <c r="AC109" s="140" t="s">
        <v>178</v>
      </c>
      <c r="AD109" s="103"/>
    </row>
    <row r="110" spans="3:30" ht="10.95" customHeight="1">
      <c r="C110" s="103"/>
      <c r="D110" s="103"/>
      <c r="E110" s="103"/>
      <c r="F110" s="103"/>
      <c r="G110" s="103"/>
      <c r="H110" s="103"/>
      <c r="I110" s="103"/>
      <c r="J110" s="103"/>
      <c r="K110" s="103"/>
      <c r="L110" s="103"/>
      <c r="M110" s="103"/>
      <c r="N110" s="103"/>
      <c r="O110" s="103"/>
      <c r="P110" s="103"/>
      <c r="Q110" s="104"/>
      <c r="R110" s="103"/>
      <c r="S110" s="104"/>
      <c r="T110" s="104"/>
      <c r="U110" s="103"/>
      <c r="V110" s="103"/>
      <c r="W110" s="103"/>
      <c r="X110" s="103"/>
      <c r="Y110" s="103"/>
      <c r="Z110" s="103"/>
      <c r="AA110" s="103"/>
      <c r="AB110" s="103"/>
      <c r="AC110" s="103"/>
      <c r="AD110" s="103"/>
    </row>
    <row r="111" spans="3:30" ht="10.95" customHeight="1">
      <c r="C111" s="103"/>
      <c r="D111" s="103"/>
      <c r="E111" s="103"/>
      <c r="F111" s="103"/>
      <c r="G111" s="103"/>
      <c r="H111" s="103"/>
      <c r="I111" s="103"/>
      <c r="J111" s="103"/>
      <c r="K111" s="103"/>
      <c r="L111" s="103"/>
      <c r="M111" s="103"/>
      <c r="N111" s="103"/>
      <c r="O111" s="103"/>
      <c r="P111" s="103"/>
      <c r="Q111" s="104"/>
      <c r="R111" s="103"/>
      <c r="S111" s="104"/>
      <c r="T111" s="104"/>
      <c r="U111" s="103"/>
      <c r="V111" s="103"/>
      <c r="W111" s="103"/>
      <c r="X111" s="103"/>
      <c r="Y111" s="103"/>
      <c r="Z111" s="103"/>
      <c r="AA111" s="103"/>
      <c r="AB111" s="103"/>
      <c r="AC111" s="103"/>
      <c r="AD111" s="103"/>
    </row>
    <row r="112" spans="3:30" ht="18" customHeight="1">
      <c r="C112" s="103"/>
      <c r="D112" s="1370" t="s">
        <v>583</v>
      </c>
      <c r="E112" s="1370"/>
      <c r="F112" s="1370"/>
      <c r="G112" s="1370"/>
      <c r="H112" s="1370"/>
      <c r="I112" s="1370"/>
      <c r="J112" s="1370"/>
      <c r="K112" s="1370"/>
      <c r="L112" s="1370"/>
      <c r="M112" s="1370"/>
      <c r="N112" s="1370"/>
      <c r="O112" s="1370"/>
      <c r="P112" s="1370"/>
      <c r="Q112" s="1370"/>
      <c r="R112" s="1370"/>
      <c r="S112" s="1370"/>
      <c r="T112" s="1370"/>
      <c r="U112" s="1370"/>
      <c r="V112" s="1370"/>
      <c r="W112" s="1370"/>
      <c r="X112" s="1370"/>
      <c r="Y112" s="1370"/>
      <c r="Z112" s="1370"/>
      <c r="AA112" s="1370"/>
      <c r="AB112" s="1370"/>
      <c r="AC112" s="1370"/>
      <c r="AD112" s="103"/>
    </row>
    <row r="113" spans="3:30" ht="10.95" customHeight="1">
      <c r="C113" s="103"/>
      <c r="D113" s="105"/>
      <c r="E113" s="103"/>
      <c r="F113" s="103"/>
      <c r="G113" s="103"/>
      <c r="H113" s="103"/>
      <c r="I113" s="103"/>
      <c r="J113" s="103"/>
      <c r="K113" s="103"/>
      <c r="L113" s="103"/>
      <c r="M113" s="103"/>
      <c r="N113" s="103"/>
      <c r="O113" s="103"/>
      <c r="P113" s="103"/>
      <c r="Q113" s="103"/>
      <c r="R113" s="103"/>
      <c r="S113" s="103"/>
      <c r="T113" s="103"/>
      <c r="U113" s="103"/>
      <c r="V113" s="103"/>
      <c r="W113" s="103"/>
      <c r="X113" s="103"/>
      <c r="Y113" s="103"/>
      <c r="Z113" s="103"/>
      <c r="AA113" s="103"/>
      <c r="AB113" s="103"/>
      <c r="AC113" s="103"/>
      <c r="AD113" s="103"/>
    </row>
    <row r="114" spans="3:30" ht="10.95" customHeight="1">
      <c r="C114" s="103"/>
      <c r="D114" s="1363" t="s">
        <v>584</v>
      </c>
      <c r="E114" s="1363"/>
      <c r="F114" s="1363"/>
      <c r="G114" s="1363"/>
      <c r="H114" s="1363"/>
      <c r="I114" s="1363"/>
      <c r="J114" s="1363"/>
      <c r="K114" s="1363"/>
      <c r="L114" s="1363"/>
      <c r="M114" s="1363"/>
      <c r="N114" s="1363"/>
      <c r="O114" s="1363"/>
      <c r="P114" s="1363"/>
      <c r="Q114" s="1363"/>
      <c r="R114" s="1363"/>
      <c r="S114" s="1363"/>
      <c r="T114" s="1363"/>
      <c r="U114" s="1363"/>
      <c r="V114" s="1363"/>
      <c r="W114" s="1363"/>
      <c r="X114" s="1363"/>
      <c r="Y114" s="1363"/>
      <c r="Z114" s="1363"/>
      <c r="AA114" s="1363"/>
      <c r="AB114" s="1363"/>
      <c r="AC114" s="1363"/>
      <c r="AD114" s="103"/>
    </row>
    <row r="115" spans="3:30" ht="10.95" customHeight="1">
      <c r="C115" s="103"/>
      <c r="D115" s="99"/>
      <c r="E115" s="99"/>
      <c r="F115" s="99"/>
      <c r="G115" s="99"/>
      <c r="H115" s="99"/>
      <c r="I115" s="99"/>
      <c r="J115" s="99"/>
      <c r="K115" s="99"/>
      <c r="L115" s="99"/>
      <c r="M115" s="99"/>
      <c r="N115" s="99"/>
      <c r="O115" s="99"/>
      <c r="P115" s="99"/>
      <c r="Q115" s="99"/>
      <c r="R115" s="99"/>
      <c r="S115" s="99"/>
      <c r="T115" s="99"/>
      <c r="U115" s="99"/>
      <c r="V115" s="99"/>
      <c r="W115" s="99"/>
      <c r="X115" s="99"/>
      <c r="Y115" s="99"/>
      <c r="Z115" s="99"/>
      <c r="AA115" s="99"/>
      <c r="AB115" s="99"/>
      <c r="AC115" s="99"/>
      <c r="AD115" s="103"/>
    </row>
    <row r="116" spans="3:30" ht="10.95" customHeight="1">
      <c r="C116" s="103"/>
      <c r="D116" s="101"/>
      <c r="E116" s="103"/>
      <c r="F116" s="103"/>
      <c r="G116" s="103"/>
      <c r="H116" s="103"/>
      <c r="I116" s="103"/>
      <c r="J116" s="103"/>
      <c r="K116" s="103"/>
      <c r="L116" s="103"/>
      <c r="M116" s="103"/>
      <c r="N116" s="103"/>
      <c r="O116" s="103"/>
      <c r="P116" s="103"/>
      <c r="Q116" s="103"/>
      <c r="R116" s="103"/>
      <c r="S116" s="103"/>
      <c r="T116" s="103"/>
      <c r="U116" s="103"/>
      <c r="V116" s="103"/>
      <c r="W116" s="103"/>
      <c r="X116" s="103"/>
      <c r="Y116" s="103"/>
      <c r="Z116" s="103"/>
      <c r="AA116" s="103"/>
      <c r="AB116" s="103"/>
      <c r="AC116" s="103"/>
      <c r="AD116" s="103"/>
    </row>
    <row r="117" spans="3:30" ht="10.95" customHeight="1">
      <c r="C117" s="103"/>
      <c r="D117" s="103"/>
      <c r="E117" s="103"/>
      <c r="F117" s="103"/>
      <c r="G117" s="103"/>
      <c r="H117" s="103"/>
      <c r="I117" s="103"/>
      <c r="J117" s="103"/>
      <c r="K117" s="103"/>
      <c r="L117" s="103"/>
      <c r="M117" s="103"/>
      <c r="N117" s="103"/>
      <c r="O117" s="974"/>
      <c r="P117" s="975"/>
      <c r="Q117" s="975"/>
      <c r="R117" s="975"/>
      <c r="S117" s="975"/>
      <c r="T117" s="991"/>
      <c r="U117" s="1372"/>
      <c r="V117" s="974"/>
      <c r="W117" s="975"/>
      <c r="X117" s="975"/>
      <c r="Y117" s="975"/>
      <c r="Z117" s="975"/>
      <c r="AA117" s="975"/>
      <c r="AB117" s="975"/>
      <c r="AC117" s="991"/>
      <c r="AD117" s="103"/>
    </row>
    <row r="118" spans="3:30" ht="13.05" customHeight="1">
      <c r="C118" s="103"/>
      <c r="D118" s="103"/>
      <c r="E118" s="3" t="s">
        <v>346</v>
      </c>
      <c r="F118" s="103"/>
      <c r="G118" s="103"/>
      <c r="H118" s="1373" t="s">
        <v>307</v>
      </c>
      <c r="I118" s="1373"/>
      <c r="J118" s="1373"/>
      <c r="K118" s="1373"/>
      <c r="L118" s="1373"/>
      <c r="M118" s="1373"/>
      <c r="N118" s="103"/>
      <c r="O118" s="978"/>
      <c r="P118" s="967" t="s">
        <v>78</v>
      </c>
      <c r="Q118" s="434" t="s">
        <v>455</v>
      </c>
      <c r="R118" s="966"/>
      <c r="S118" s="434" t="s">
        <v>425</v>
      </c>
      <c r="T118" s="979"/>
      <c r="U118" s="1372"/>
      <c r="V118" s="978"/>
      <c r="W118" s="966" t="s">
        <v>156</v>
      </c>
      <c r="X118" s="1365" t="s">
        <v>50</v>
      </c>
      <c r="Y118" s="1366"/>
      <c r="Z118" s="967" t="s">
        <v>91</v>
      </c>
      <c r="AA118" s="968">
        <v>1.8</v>
      </c>
      <c r="AB118" s="122" t="s">
        <v>528</v>
      </c>
      <c r="AC118" s="992"/>
      <c r="AD118" s="103"/>
    </row>
    <row r="119" spans="3:30" ht="13.05" customHeight="1">
      <c r="C119" s="103"/>
      <c r="D119" s="103"/>
      <c r="E119" s="112" t="s">
        <v>347</v>
      </c>
      <c r="F119" s="103"/>
      <c r="G119" s="103"/>
      <c r="H119" s="109"/>
      <c r="I119" s="1373">
        <v>5</v>
      </c>
      <c r="J119" s="1373"/>
      <c r="K119" s="1373"/>
      <c r="L119" s="1373"/>
      <c r="M119" s="1373"/>
      <c r="N119" s="103"/>
      <c r="O119" s="978"/>
      <c r="P119" s="122" t="s">
        <v>456</v>
      </c>
      <c r="Q119" s="962">
        <f>IF(S130=0,1.7825,"")</f>
        <v>1.7825</v>
      </c>
      <c r="R119" s="122"/>
      <c r="S119" s="962" t="str">
        <f>IF(S130=0,"",S129*S130)</f>
        <v/>
      </c>
      <c r="T119" s="980"/>
      <c r="U119" s="1372"/>
      <c r="V119" s="978"/>
      <c r="W119" s="122"/>
      <c r="X119" s="122"/>
      <c r="Y119" s="122"/>
      <c r="Z119" s="125"/>
      <c r="AA119" s="969"/>
      <c r="AB119" s="122"/>
      <c r="AC119" s="992"/>
      <c r="AD119" s="103"/>
    </row>
    <row r="120" spans="3:30" ht="13.05" customHeight="1">
      <c r="C120" s="103"/>
      <c r="D120" s="103"/>
      <c r="E120" s="103"/>
      <c r="F120" s="103"/>
      <c r="G120" s="1371" t="s">
        <v>496</v>
      </c>
      <c r="H120" s="1371"/>
      <c r="I120" s="1371"/>
      <c r="J120" s="1371"/>
      <c r="K120" s="103"/>
      <c r="L120" s="103"/>
      <c r="M120" s="103"/>
      <c r="N120" s="103"/>
      <c r="O120" s="978"/>
      <c r="P120" s="122" t="s">
        <v>457</v>
      </c>
      <c r="Q120" s="962">
        <f>IF(S130=0,1.3369,"")</f>
        <v>1.3369</v>
      </c>
      <c r="R120" s="122"/>
      <c r="S120" s="962" t="str">
        <f>IF(S130=0,"",(2*(S121*S122)))</f>
        <v/>
      </c>
      <c r="T120" s="980"/>
      <c r="U120" s="1372"/>
      <c r="V120" s="978"/>
      <c r="W120" s="966" t="s">
        <v>142</v>
      </c>
      <c r="X120" s="1365" t="s">
        <v>85</v>
      </c>
      <c r="Y120" s="1366"/>
      <c r="Z120" s="967" t="s">
        <v>213</v>
      </c>
      <c r="AA120" s="968">
        <v>0.7</v>
      </c>
      <c r="AB120" s="122" t="s">
        <v>528</v>
      </c>
      <c r="AC120" s="992"/>
      <c r="AD120" s="103"/>
    </row>
    <row r="121" spans="3:30" ht="13.05" customHeight="1">
      <c r="C121" s="103"/>
      <c r="D121" s="103"/>
      <c r="E121" s="103"/>
      <c r="F121" s="103"/>
      <c r="G121" s="103"/>
      <c r="H121" s="103"/>
      <c r="I121" s="103"/>
      <c r="J121" s="103"/>
      <c r="K121" s="103"/>
      <c r="L121" s="103"/>
      <c r="M121" s="103"/>
      <c r="N121" s="103"/>
      <c r="O121" s="978"/>
      <c r="P121" s="125" t="s">
        <v>458</v>
      </c>
      <c r="Q121" s="963">
        <f>IF(S130=0,0.67,"")</f>
        <v>0.67</v>
      </c>
      <c r="R121" s="122"/>
      <c r="S121" s="981"/>
      <c r="T121" s="982"/>
      <c r="U121" s="1372"/>
      <c r="V121" s="978"/>
      <c r="W121" s="122"/>
      <c r="X121" s="122"/>
      <c r="Y121" s="122"/>
      <c r="Z121" s="125"/>
      <c r="AA121" s="969"/>
      <c r="AB121" s="122"/>
      <c r="AC121" s="992"/>
      <c r="AD121" s="103"/>
    </row>
    <row r="122" spans="3:30" ht="13.05" customHeight="1">
      <c r="C122" s="103"/>
      <c r="D122" s="103"/>
      <c r="E122" s="104"/>
      <c r="F122" s="104"/>
      <c r="G122" s="104" t="s">
        <v>519</v>
      </c>
      <c r="H122" s="104"/>
      <c r="I122" s="104"/>
      <c r="J122" s="103"/>
      <c r="K122" s="103"/>
      <c r="L122" s="103"/>
      <c r="M122" s="103"/>
      <c r="N122" s="103"/>
      <c r="O122" s="978"/>
      <c r="P122" s="125" t="s">
        <v>459</v>
      </c>
      <c r="Q122" s="963">
        <f>IF(S130=0,1,"")</f>
        <v>1</v>
      </c>
      <c r="R122" s="122"/>
      <c r="S122" s="983"/>
      <c r="T122" s="982"/>
      <c r="U122" s="1372"/>
      <c r="V122" s="978"/>
      <c r="W122" s="966" t="s">
        <v>141</v>
      </c>
      <c r="X122" s="1367"/>
      <c r="Y122" s="1368"/>
      <c r="Z122" s="1368"/>
      <c r="AA122" s="1369"/>
      <c r="AB122" s="122"/>
      <c r="AC122" s="992"/>
      <c r="AD122" s="103"/>
    </row>
    <row r="123" spans="3:30" ht="10.95" customHeight="1">
      <c r="C123" s="103"/>
      <c r="D123" s="103"/>
      <c r="E123" s="103"/>
      <c r="F123" s="103"/>
      <c r="G123" s="103"/>
      <c r="H123" s="103"/>
      <c r="I123" s="103"/>
      <c r="J123" s="103"/>
      <c r="K123" s="103"/>
      <c r="L123" s="103"/>
      <c r="M123" s="103"/>
      <c r="N123" s="103"/>
      <c r="O123" s="978"/>
      <c r="P123" s="122"/>
      <c r="Q123" s="964"/>
      <c r="R123" s="122"/>
      <c r="S123" s="964"/>
      <c r="T123" s="984"/>
      <c r="U123" s="1372"/>
      <c r="V123" s="978"/>
      <c r="W123" s="122"/>
      <c r="X123" s="970"/>
      <c r="Y123" s="122"/>
      <c r="Z123" s="122"/>
      <c r="AA123" s="122"/>
      <c r="AB123" s="122"/>
      <c r="AC123" s="992"/>
      <c r="AD123" s="103"/>
    </row>
    <row r="124" spans="3:30" ht="13.05" customHeight="1">
      <c r="C124" s="103"/>
      <c r="D124" s="103"/>
      <c r="E124" s="103"/>
      <c r="F124" s="103"/>
      <c r="G124" s="103"/>
      <c r="H124" s="103"/>
      <c r="I124" s="103"/>
      <c r="J124" s="103"/>
      <c r="K124" s="103"/>
      <c r="L124" s="103"/>
      <c r="M124" s="103"/>
      <c r="N124" s="103"/>
      <c r="O124" s="978"/>
      <c r="P124" s="122" t="s">
        <v>475</v>
      </c>
      <c r="Q124" s="962">
        <f>IF(S130=0,0.4456,"")</f>
        <v>0.4456</v>
      </c>
      <c r="R124" s="122"/>
      <c r="S124" s="962" t="str">
        <f>IF(S130=0,"",S119-S120)</f>
        <v/>
      </c>
      <c r="T124" s="980"/>
      <c r="U124" s="1372"/>
      <c r="V124" s="978"/>
      <c r="W124" s="122"/>
      <c r="X124" s="122"/>
      <c r="Y124" s="122"/>
      <c r="Z124" s="967" t="s">
        <v>476</v>
      </c>
      <c r="AA124" s="968">
        <v>0.5</v>
      </c>
      <c r="AB124" s="122"/>
      <c r="AC124" s="992"/>
      <c r="AD124" s="103"/>
    </row>
    <row r="125" spans="3:30" ht="3" customHeight="1">
      <c r="C125" s="103"/>
      <c r="D125" s="103"/>
      <c r="E125" s="922"/>
      <c r="F125" s="923"/>
      <c r="G125" s="923"/>
      <c r="H125" s="923"/>
      <c r="I125" s="923"/>
      <c r="J125" s="923"/>
      <c r="K125" s="923"/>
      <c r="L125" s="919"/>
      <c r="M125" s="103"/>
      <c r="N125" s="103"/>
      <c r="O125" s="978"/>
      <c r="P125" s="122"/>
      <c r="Q125" s="964"/>
      <c r="R125" s="122"/>
      <c r="S125" s="964"/>
      <c r="T125" s="984"/>
      <c r="U125" s="1372"/>
      <c r="V125" s="978"/>
      <c r="W125" s="122"/>
      <c r="X125" s="122"/>
      <c r="Y125" s="122"/>
      <c r="Z125" s="122"/>
      <c r="AA125" s="122"/>
      <c r="AB125" s="122"/>
      <c r="AC125" s="992"/>
      <c r="AD125" s="103"/>
    </row>
    <row r="126" spans="3:30" ht="3" customHeight="1">
      <c r="C126" s="103"/>
      <c r="D126" s="103"/>
      <c r="E126" s="527"/>
      <c r="F126" s="922"/>
      <c r="G126" s="923"/>
      <c r="H126" s="919"/>
      <c r="I126" s="922"/>
      <c r="J126" s="923"/>
      <c r="K126" s="919"/>
      <c r="L126" s="312"/>
      <c r="M126" s="103"/>
      <c r="N126" s="103"/>
      <c r="O126" s="978"/>
      <c r="P126" s="122"/>
      <c r="Q126" s="964"/>
      <c r="R126" s="122"/>
      <c r="S126" s="964"/>
      <c r="T126" s="984"/>
      <c r="U126" s="1372"/>
      <c r="V126" s="978"/>
      <c r="W126" s="122"/>
      <c r="X126" s="122"/>
      <c r="Y126" s="122"/>
      <c r="Z126" s="122"/>
      <c r="AA126" s="122"/>
      <c r="AB126" s="122"/>
      <c r="AC126" s="992"/>
      <c r="AD126" s="103"/>
    </row>
    <row r="127" spans="3:30" ht="13.05" customHeight="1">
      <c r="C127" s="103"/>
      <c r="D127" s="103"/>
      <c r="E127" s="527"/>
      <c r="F127" s="527"/>
      <c r="G127" s="925"/>
      <c r="H127" s="312"/>
      <c r="I127" s="312"/>
      <c r="J127" s="928"/>
      <c r="K127" s="312"/>
      <c r="L127" s="312"/>
      <c r="M127" s="103"/>
      <c r="N127" s="103"/>
      <c r="O127" s="978"/>
      <c r="P127" s="122" t="s">
        <v>460</v>
      </c>
      <c r="Q127" s="963">
        <f>IF(S130=0,6.68,"")</f>
        <v>6.68</v>
      </c>
      <c r="R127" s="122"/>
      <c r="S127" s="963" t="str">
        <f>IF(S130=0,"",4*S121+4*S122)</f>
        <v/>
      </c>
      <c r="T127" s="980"/>
      <c r="U127" s="1372"/>
      <c r="V127" s="978"/>
      <c r="W127" s="122"/>
      <c r="X127" s="122"/>
      <c r="Y127" s="122"/>
      <c r="Z127" s="122"/>
      <c r="AA127" s="122"/>
      <c r="AB127" s="122"/>
      <c r="AC127" s="992"/>
      <c r="AD127" s="103"/>
    </row>
    <row r="128" spans="3:30" ht="13.05" customHeight="1">
      <c r="C128" s="103"/>
      <c r="D128" s="103"/>
      <c r="E128" s="527"/>
      <c r="F128" s="527"/>
      <c r="G128" s="926"/>
      <c r="H128" s="312"/>
      <c r="I128" s="312"/>
      <c r="J128" s="929"/>
      <c r="K128" s="312"/>
      <c r="L128" s="312"/>
      <c r="M128" s="103"/>
      <c r="N128" s="103"/>
      <c r="O128" s="978"/>
      <c r="P128" s="122"/>
      <c r="Q128" s="964"/>
      <c r="R128" s="122"/>
      <c r="S128" s="964"/>
      <c r="T128" s="984"/>
      <c r="U128" s="1372"/>
      <c r="V128" s="978"/>
      <c r="W128" s="966" t="s">
        <v>478</v>
      </c>
      <c r="X128" s="1365" t="s">
        <v>86</v>
      </c>
      <c r="Y128" s="1366"/>
      <c r="Z128" s="966" t="s">
        <v>477</v>
      </c>
      <c r="AA128" s="971">
        <v>0.06</v>
      </c>
      <c r="AB128" s="122" t="s">
        <v>150</v>
      </c>
      <c r="AC128" s="992"/>
      <c r="AD128" s="103"/>
    </row>
    <row r="129" spans="3:30" ht="13.05" customHeight="1">
      <c r="C129" s="103"/>
      <c r="D129" s="103" t="s">
        <v>199</v>
      </c>
      <c r="E129" s="527"/>
      <c r="F129" s="527"/>
      <c r="G129" s="926"/>
      <c r="H129" s="312"/>
      <c r="I129" s="312"/>
      <c r="J129" s="930"/>
      <c r="K129" s="312"/>
      <c r="L129" s="312"/>
      <c r="M129" s="109" t="s">
        <v>204</v>
      </c>
      <c r="N129" s="109"/>
      <c r="O129" s="978"/>
      <c r="P129" s="122" t="s">
        <v>461</v>
      </c>
      <c r="Q129" s="963">
        <f>IF(S130=0,1.55,"")</f>
        <v>1.55</v>
      </c>
      <c r="R129" s="914"/>
      <c r="S129" s="981"/>
      <c r="T129" s="985"/>
      <c r="U129" s="1372"/>
      <c r="V129" s="978"/>
      <c r="W129" s="122"/>
      <c r="X129" s="122"/>
      <c r="Y129" s="122"/>
      <c r="Z129" s="122"/>
      <c r="AA129" s="122"/>
      <c r="AB129" s="122"/>
      <c r="AC129" s="992"/>
      <c r="AD129" s="103"/>
    </row>
    <row r="130" spans="3:30" ht="13.05" customHeight="1">
      <c r="C130" s="103"/>
      <c r="D130" s="103"/>
      <c r="E130" s="527"/>
      <c r="F130" s="527"/>
      <c r="G130" s="926"/>
      <c r="H130" s="312"/>
      <c r="I130" s="312"/>
      <c r="J130" s="929"/>
      <c r="K130" s="312"/>
      <c r="L130" s="312"/>
      <c r="M130" s="103"/>
      <c r="N130" s="103"/>
      <c r="O130" s="978"/>
      <c r="P130" s="122" t="s">
        <v>462</v>
      </c>
      <c r="Q130" s="963">
        <f>IF(S130=0,1.15,"")</f>
        <v>1.1499999999999999</v>
      </c>
      <c r="R130" s="914"/>
      <c r="S130" s="983"/>
      <c r="T130" s="985"/>
      <c r="U130" s="1372"/>
      <c r="V130" s="978"/>
      <c r="W130" s="122"/>
      <c r="X130" s="122"/>
      <c r="Y130" s="122"/>
      <c r="Z130" s="122"/>
      <c r="AA130" s="122"/>
      <c r="AB130" s="122"/>
      <c r="AC130" s="992"/>
      <c r="AD130" s="103"/>
    </row>
    <row r="131" spans="3:30" ht="10.95" customHeight="1">
      <c r="C131" s="103"/>
      <c r="D131" s="103"/>
      <c r="E131" s="527"/>
      <c r="F131" s="527"/>
      <c r="G131" s="926"/>
      <c r="H131" s="312"/>
      <c r="I131" s="312"/>
      <c r="J131" s="929"/>
      <c r="K131" s="312"/>
      <c r="L131" s="312"/>
      <c r="M131" s="103"/>
      <c r="N131" s="103"/>
      <c r="O131" s="978"/>
      <c r="P131" s="122"/>
      <c r="Q131" s="964"/>
      <c r="R131" s="122"/>
      <c r="S131" s="964"/>
      <c r="T131" s="984"/>
      <c r="U131" s="1372"/>
      <c r="V131" s="978"/>
      <c r="W131" s="122"/>
      <c r="X131" s="122"/>
      <c r="Y131" s="122"/>
      <c r="Z131" s="122"/>
      <c r="AA131" s="122"/>
      <c r="AB131" s="122"/>
      <c r="AC131" s="992"/>
      <c r="AD131" s="103"/>
    </row>
    <row r="132" spans="3:30" ht="13.05" customHeight="1">
      <c r="C132" s="103"/>
      <c r="D132" s="103"/>
      <c r="E132" s="527"/>
      <c r="F132" s="527"/>
      <c r="G132" s="927"/>
      <c r="H132" s="312"/>
      <c r="I132" s="312"/>
      <c r="J132" s="931"/>
      <c r="K132" s="312"/>
      <c r="L132" s="312"/>
      <c r="M132" s="103"/>
      <c r="N132" s="103"/>
      <c r="O132" s="978"/>
      <c r="P132" s="122" t="s">
        <v>286</v>
      </c>
      <c r="Q132" s="965" t="str">
        <f>IF(S130=0,"25%","")</f>
        <v>25%</v>
      </c>
      <c r="R132" s="122"/>
      <c r="S132" s="965" t="str">
        <f>IF(S130=0,"",S124/S119)</f>
        <v/>
      </c>
      <c r="T132" s="986"/>
      <c r="U132" s="1372"/>
      <c r="V132" s="978"/>
      <c r="W132" s="972" t="s">
        <v>214</v>
      </c>
      <c r="X132" s="972"/>
      <c r="Y132" s="972"/>
      <c r="Z132" s="972"/>
      <c r="AA132" s="973">
        <f>ROUND(IF(S130=0,(AA118*Q124+AA120*Q120+AA128*Q127)/Q119,(AA118*S124+AA120*S120+AA128*S127)/S119),2)</f>
        <v>1.2</v>
      </c>
      <c r="AB132" s="972" t="s">
        <v>528</v>
      </c>
      <c r="AC132" s="992"/>
      <c r="AD132" s="103"/>
    </row>
    <row r="133" spans="3:30" ht="3" customHeight="1">
      <c r="C133" s="103"/>
      <c r="D133" s="103"/>
      <c r="E133" s="527"/>
      <c r="F133" s="924"/>
      <c r="G133" s="916"/>
      <c r="H133" s="917"/>
      <c r="I133" s="924"/>
      <c r="J133" s="916"/>
      <c r="K133" s="917"/>
      <c r="L133" s="312"/>
      <c r="M133" s="103"/>
      <c r="N133" s="103"/>
      <c r="O133" s="978"/>
      <c r="P133" s="122"/>
      <c r="Q133" s="964"/>
      <c r="R133" s="122"/>
      <c r="S133" s="964"/>
      <c r="T133" s="984"/>
      <c r="U133" s="1372"/>
      <c r="V133" s="978"/>
      <c r="W133" s="122"/>
      <c r="X133" s="122"/>
      <c r="Y133" s="122"/>
      <c r="Z133" s="122"/>
      <c r="AA133" s="122"/>
      <c r="AB133" s="122"/>
      <c r="AC133" s="992"/>
      <c r="AD133" s="103"/>
    </row>
    <row r="134" spans="3:30" ht="3" customHeight="1">
      <c r="C134" s="103"/>
      <c r="D134" s="103"/>
      <c r="E134" s="924"/>
      <c r="F134" s="916"/>
      <c r="G134" s="916"/>
      <c r="H134" s="916"/>
      <c r="I134" s="916"/>
      <c r="J134" s="916"/>
      <c r="K134" s="916"/>
      <c r="L134" s="917"/>
      <c r="M134" s="103"/>
      <c r="N134" s="103"/>
      <c r="O134" s="987"/>
      <c r="P134" s="988"/>
      <c r="Q134" s="989"/>
      <c r="R134" s="988"/>
      <c r="S134" s="989"/>
      <c r="T134" s="990"/>
      <c r="U134" s="1372"/>
      <c r="V134" s="987"/>
      <c r="W134" s="988"/>
      <c r="X134" s="988"/>
      <c r="Y134" s="988"/>
      <c r="Z134" s="988"/>
      <c r="AA134" s="988"/>
      <c r="AB134" s="988"/>
      <c r="AC134" s="993"/>
      <c r="AD134" s="103"/>
    </row>
    <row r="135" spans="3:30" ht="10.95" customHeight="1">
      <c r="C135" s="103"/>
      <c r="D135" s="103"/>
      <c r="F135" s="103"/>
      <c r="G135" s="103"/>
      <c r="H135" s="103"/>
      <c r="I135" s="103"/>
      <c r="J135" s="103"/>
      <c r="K135" s="103"/>
      <c r="L135" s="103"/>
      <c r="M135" s="103"/>
      <c r="N135" s="103"/>
      <c r="O135" s="1375"/>
      <c r="P135" s="1375"/>
      <c r="Q135" s="1375"/>
      <c r="R135" s="1375"/>
      <c r="S135" s="1375"/>
      <c r="T135" s="1375"/>
      <c r="U135" s="1375"/>
      <c r="V135" s="1375"/>
      <c r="W135" s="1362" t="s">
        <v>43</v>
      </c>
      <c r="X135" s="1362"/>
      <c r="Y135" s="1362"/>
      <c r="Z135" s="1362"/>
      <c r="AA135" s="1362"/>
      <c r="AB135" s="1362"/>
      <c r="AC135" s="1362"/>
      <c r="AD135" s="103"/>
    </row>
    <row r="136" spans="3:30" ht="10.95" customHeight="1">
      <c r="C136" s="103"/>
      <c r="D136" s="103"/>
      <c r="E136" s="103" t="str">
        <f>IF(S130=0,"Rahmenanteil 25%","")</f>
        <v>Rahmenanteil 25%</v>
      </c>
      <c r="F136" s="103"/>
      <c r="G136" s="103"/>
      <c r="H136" s="103"/>
      <c r="I136" s="103"/>
      <c r="J136" s="103"/>
      <c r="K136" s="103"/>
      <c r="L136" s="103"/>
      <c r="M136" s="103"/>
      <c r="N136" s="103"/>
      <c r="O136" s="1375"/>
      <c r="P136" s="1375"/>
      <c r="Q136" s="1375"/>
      <c r="R136" s="1375"/>
      <c r="S136" s="1375"/>
      <c r="T136" s="1375"/>
      <c r="U136" s="1375"/>
      <c r="V136" s="1375"/>
      <c r="W136" s="327"/>
      <c r="X136" s="327"/>
      <c r="Y136" s="327"/>
      <c r="Z136" s="327"/>
      <c r="AA136" s="327"/>
      <c r="AB136" s="327"/>
      <c r="AC136" s="103"/>
      <c r="AD136" s="103"/>
    </row>
    <row r="137" spans="3:30" ht="10.95" customHeight="1">
      <c r="C137" s="103"/>
      <c r="D137" s="103"/>
      <c r="E137" s="103"/>
      <c r="F137" s="103"/>
      <c r="G137" s="103"/>
      <c r="H137" s="103"/>
      <c r="I137" s="103"/>
      <c r="J137" s="103"/>
      <c r="K137" s="103"/>
      <c r="L137" s="103"/>
      <c r="M137" s="103"/>
      <c r="N137" s="103"/>
      <c r="O137" s="1375"/>
      <c r="P137" s="1375"/>
      <c r="Q137" s="1375"/>
      <c r="R137" s="1375"/>
      <c r="S137" s="1375"/>
      <c r="T137" s="1375"/>
      <c r="U137" s="1375"/>
      <c r="V137" s="1375"/>
      <c r="W137" s="327"/>
      <c r="X137" s="327"/>
      <c r="Y137" s="327"/>
      <c r="Z137" s="327"/>
      <c r="AA137" s="327"/>
      <c r="AB137" s="327"/>
      <c r="AC137" s="103"/>
      <c r="AD137" s="103"/>
    </row>
    <row r="138" spans="3:30" ht="10.95" customHeight="1">
      <c r="C138" s="103"/>
      <c r="D138" s="103"/>
      <c r="E138" s="103"/>
      <c r="F138" s="103"/>
      <c r="G138" s="103"/>
      <c r="H138" s="103"/>
      <c r="I138" s="103"/>
      <c r="J138" s="103"/>
      <c r="K138" s="103"/>
      <c r="L138" s="103"/>
      <c r="M138" s="103"/>
      <c r="N138" s="103"/>
      <c r="O138" s="1375"/>
      <c r="P138" s="1375"/>
      <c r="Q138" s="1375"/>
      <c r="R138" s="1375"/>
      <c r="S138" s="1375"/>
      <c r="T138" s="1375"/>
      <c r="U138" s="1375"/>
      <c r="V138" s="1375"/>
      <c r="W138" s="327"/>
      <c r="X138" s="327"/>
      <c r="Y138" s="327"/>
      <c r="Z138" s="327"/>
      <c r="AA138" s="327"/>
      <c r="AB138" s="327"/>
      <c r="AC138" s="103"/>
      <c r="AD138" s="103"/>
    </row>
    <row r="139" spans="3:30" ht="10.95" customHeight="1">
      <c r="C139" s="103"/>
      <c r="D139" s="103"/>
      <c r="E139" s="103"/>
      <c r="F139" s="103"/>
      <c r="G139" s="103"/>
      <c r="H139" s="103"/>
      <c r="I139" s="103"/>
      <c r="J139" s="103"/>
      <c r="K139" s="103"/>
      <c r="L139" s="103"/>
      <c r="M139" s="103"/>
      <c r="N139" s="103"/>
      <c r="O139" s="1375"/>
      <c r="P139" s="1375"/>
      <c r="Q139" s="1375"/>
      <c r="R139" s="1375"/>
      <c r="S139" s="1375"/>
      <c r="T139" s="1375"/>
      <c r="U139" s="1375"/>
      <c r="V139" s="1375"/>
      <c r="W139" s="327"/>
      <c r="X139" s="327"/>
      <c r="Y139" s="327"/>
      <c r="Z139" s="327"/>
      <c r="AA139" s="327"/>
      <c r="AB139" s="327"/>
      <c r="AC139" s="103"/>
      <c r="AD139" s="103"/>
    </row>
    <row r="140" spans="3:30" ht="10.95" customHeight="1">
      <c r="C140" s="103"/>
      <c r="D140" s="103"/>
      <c r="E140" s="103"/>
      <c r="F140" s="103"/>
      <c r="G140" s="103"/>
      <c r="H140" s="103"/>
      <c r="I140" s="103"/>
      <c r="J140" s="103"/>
      <c r="K140" s="103"/>
      <c r="L140" s="103"/>
      <c r="M140" s="103"/>
      <c r="N140" s="103"/>
      <c r="O140" s="974"/>
      <c r="P140" s="975"/>
      <c r="Q140" s="976"/>
      <c r="R140" s="975"/>
      <c r="S140" s="976"/>
      <c r="T140" s="944"/>
      <c r="U140" s="1374"/>
      <c r="V140" s="974"/>
      <c r="W140" s="975"/>
      <c r="X140" s="975"/>
      <c r="Y140" s="975"/>
      <c r="Z140" s="975"/>
      <c r="AA140" s="975"/>
      <c r="AB140" s="975"/>
      <c r="AC140" s="991"/>
      <c r="AD140" s="103"/>
    </row>
    <row r="141" spans="3:30" ht="13.05" customHeight="1">
      <c r="C141" s="103"/>
      <c r="D141" s="103"/>
      <c r="E141" s="3" t="s">
        <v>346</v>
      </c>
      <c r="F141" s="103"/>
      <c r="G141" s="103"/>
      <c r="H141" s="1373" t="s">
        <v>307</v>
      </c>
      <c r="I141" s="1373"/>
      <c r="J141" s="1373"/>
      <c r="K141" s="1373"/>
      <c r="L141" s="1373"/>
      <c r="M141" s="1373"/>
      <c r="N141" s="103"/>
      <c r="O141" s="978"/>
      <c r="P141" s="967" t="s">
        <v>78</v>
      </c>
      <c r="Q141" s="434" t="s">
        <v>455</v>
      </c>
      <c r="R141" s="966"/>
      <c r="S141" s="434" t="s">
        <v>425</v>
      </c>
      <c r="T141" s="933"/>
      <c r="U141" s="1374"/>
      <c r="V141" s="978"/>
      <c r="W141" s="966" t="s">
        <v>156</v>
      </c>
      <c r="X141" s="1365" t="s">
        <v>50</v>
      </c>
      <c r="Y141" s="1366"/>
      <c r="Z141" s="967" t="s">
        <v>91</v>
      </c>
      <c r="AA141" s="968">
        <v>1.8</v>
      </c>
      <c r="AB141" s="122" t="s">
        <v>528</v>
      </c>
      <c r="AC141" s="992"/>
      <c r="AD141" s="103"/>
    </row>
    <row r="142" spans="3:30" ht="13.05" customHeight="1">
      <c r="C142" s="103"/>
      <c r="D142" s="103"/>
      <c r="E142" s="112" t="s">
        <v>347</v>
      </c>
      <c r="F142" s="103"/>
      <c r="G142" s="103"/>
      <c r="H142" s="1373">
        <v>6</v>
      </c>
      <c r="I142" s="1373"/>
      <c r="J142" s="1373"/>
      <c r="K142" s="1373"/>
      <c r="L142" s="1373"/>
      <c r="M142" s="1373"/>
      <c r="N142" s="103"/>
      <c r="O142" s="978"/>
      <c r="P142" s="122" t="s">
        <v>456</v>
      </c>
      <c r="Q142" s="962">
        <f>IF(S153=0,1.7825,"")</f>
        <v>1.7825</v>
      </c>
      <c r="R142" s="122"/>
      <c r="S142" s="962" t="str">
        <f>IF(S153=0,"",S152*S153)</f>
        <v/>
      </c>
      <c r="T142" s="934"/>
      <c r="U142" s="1374"/>
      <c r="V142" s="978"/>
      <c r="W142" s="122"/>
      <c r="X142" s="122"/>
      <c r="Y142" s="122"/>
      <c r="Z142" s="125"/>
      <c r="AA142" s="969"/>
      <c r="AB142" s="122"/>
      <c r="AC142" s="992"/>
      <c r="AD142" s="103"/>
    </row>
    <row r="143" spans="3:30" ht="13.05" customHeight="1">
      <c r="C143" s="103"/>
      <c r="D143" s="103"/>
      <c r="E143" s="103"/>
      <c r="F143" s="103"/>
      <c r="G143" s="1371" t="s">
        <v>496</v>
      </c>
      <c r="H143" s="1371"/>
      <c r="I143" s="1371"/>
      <c r="J143" s="1371"/>
      <c r="K143" s="103"/>
      <c r="L143" s="103"/>
      <c r="M143" s="103"/>
      <c r="N143" s="103"/>
      <c r="O143" s="978"/>
      <c r="P143" s="122" t="s">
        <v>457</v>
      </c>
      <c r="Q143" s="962">
        <f>IF(S153=0,1.3369,"")</f>
        <v>1.3369</v>
      </c>
      <c r="R143" s="122"/>
      <c r="S143" s="962" t="str">
        <f>IF(S153=0,"",(2*(S144*S145)))</f>
        <v/>
      </c>
      <c r="T143" s="934"/>
      <c r="U143" s="1374"/>
      <c r="V143" s="978"/>
      <c r="W143" s="966" t="s">
        <v>142</v>
      </c>
      <c r="X143" s="1365" t="s">
        <v>85</v>
      </c>
      <c r="Y143" s="1366"/>
      <c r="Z143" s="967" t="s">
        <v>213</v>
      </c>
      <c r="AA143" s="968">
        <v>0.7</v>
      </c>
      <c r="AB143" s="122" t="s">
        <v>528</v>
      </c>
      <c r="AC143" s="992"/>
      <c r="AD143" s="103"/>
    </row>
    <row r="144" spans="3:30" ht="13.05" customHeight="1">
      <c r="C144" s="103"/>
      <c r="D144" s="103"/>
      <c r="E144" s="103"/>
      <c r="F144" s="103"/>
      <c r="G144" s="103"/>
      <c r="H144" s="103"/>
      <c r="I144" s="103"/>
      <c r="J144" s="103"/>
      <c r="K144" s="103"/>
      <c r="L144" s="103"/>
      <c r="M144" s="103"/>
      <c r="N144" s="103"/>
      <c r="O144" s="978"/>
      <c r="P144" s="125" t="s">
        <v>458</v>
      </c>
      <c r="Q144" s="963">
        <f>IF(S153=0,0.67,"")</f>
        <v>0.67</v>
      </c>
      <c r="R144" s="122"/>
      <c r="S144" s="981"/>
      <c r="T144" s="935"/>
      <c r="U144" s="1374"/>
      <c r="V144" s="978"/>
      <c r="W144" s="122"/>
      <c r="X144" s="122"/>
      <c r="Y144" s="122"/>
      <c r="Z144" s="125"/>
      <c r="AA144" s="969"/>
      <c r="AB144" s="122"/>
      <c r="AC144" s="992"/>
      <c r="AD144" s="103"/>
    </row>
    <row r="145" spans="3:30" ht="13.05" customHeight="1">
      <c r="C145" s="103"/>
      <c r="D145" s="103"/>
      <c r="E145" s="104"/>
      <c r="F145" s="104"/>
      <c r="G145" s="104" t="s">
        <v>519</v>
      </c>
      <c r="H145" s="104"/>
      <c r="I145" s="104"/>
      <c r="J145" s="103"/>
      <c r="K145" s="103"/>
      <c r="L145" s="103"/>
      <c r="M145" s="103"/>
      <c r="N145" s="103"/>
      <c r="O145" s="978"/>
      <c r="P145" s="125" t="s">
        <v>459</v>
      </c>
      <c r="Q145" s="963">
        <f>IF(S153=0,1,"")</f>
        <v>1</v>
      </c>
      <c r="R145" s="122"/>
      <c r="S145" s="983"/>
      <c r="T145" s="935"/>
      <c r="U145" s="1374"/>
      <c r="V145" s="978"/>
      <c r="W145" s="966" t="s">
        <v>141</v>
      </c>
      <c r="X145" s="1367"/>
      <c r="Y145" s="1368"/>
      <c r="Z145" s="1368"/>
      <c r="AA145" s="1369"/>
      <c r="AB145" s="122"/>
      <c r="AC145" s="992"/>
      <c r="AD145" s="103"/>
    </row>
    <row r="146" spans="3:30" ht="10.95" customHeight="1">
      <c r="C146" s="103"/>
      <c r="D146" s="103"/>
      <c r="E146" s="103"/>
      <c r="F146" s="103"/>
      <c r="G146" s="103"/>
      <c r="H146" s="103"/>
      <c r="I146" s="103"/>
      <c r="J146" s="103"/>
      <c r="K146" s="103"/>
      <c r="L146" s="103"/>
      <c r="M146" s="103"/>
      <c r="N146" s="103"/>
      <c r="O146" s="978"/>
      <c r="P146" s="122"/>
      <c r="Q146" s="964"/>
      <c r="R146" s="122"/>
      <c r="S146" s="964"/>
      <c r="T146" s="936"/>
      <c r="U146" s="1374"/>
      <c r="V146" s="978"/>
      <c r="W146" s="122"/>
      <c r="X146" s="970"/>
      <c r="Y146" s="122"/>
      <c r="Z146" s="122"/>
      <c r="AA146" s="122"/>
      <c r="AB146" s="122"/>
      <c r="AC146" s="992"/>
      <c r="AD146" s="103"/>
    </row>
    <row r="147" spans="3:30" ht="13.05" customHeight="1">
      <c r="C147" s="103"/>
      <c r="D147" s="103"/>
      <c r="E147" s="103"/>
      <c r="F147" s="103"/>
      <c r="G147" s="103"/>
      <c r="H147" s="103"/>
      <c r="I147" s="103"/>
      <c r="J147" s="103"/>
      <c r="K147" s="103"/>
      <c r="L147" s="103"/>
      <c r="M147" s="103"/>
      <c r="N147" s="103"/>
      <c r="O147" s="978"/>
      <c r="P147" s="122" t="s">
        <v>475</v>
      </c>
      <c r="Q147" s="962">
        <f>IF(S153=0,0.4456,"")</f>
        <v>0.4456</v>
      </c>
      <c r="R147" s="122"/>
      <c r="S147" s="962" t="str">
        <f>IF(S153=0,"",S142-S143)</f>
        <v/>
      </c>
      <c r="T147" s="934"/>
      <c r="U147" s="1374"/>
      <c r="V147" s="978"/>
      <c r="W147" s="122"/>
      <c r="X147" s="122"/>
      <c r="Y147" s="122"/>
      <c r="Z147" s="967" t="s">
        <v>476</v>
      </c>
      <c r="AA147" s="968">
        <v>0.5</v>
      </c>
      <c r="AB147" s="122"/>
      <c r="AC147" s="992"/>
      <c r="AD147" s="103"/>
    </row>
    <row r="148" spans="3:30" ht="3" customHeight="1">
      <c r="C148" s="103"/>
      <c r="D148" s="103"/>
      <c r="E148" s="922"/>
      <c r="F148" s="923"/>
      <c r="G148" s="923"/>
      <c r="H148" s="923"/>
      <c r="I148" s="923"/>
      <c r="J148" s="923"/>
      <c r="K148" s="923"/>
      <c r="L148" s="919"/>
      <c r="M148" s="103"/>
      <c r="N148" s="103"/>
      <c r="O148" s="978"/>
      <c r="P148" s="122"/>
      <c r="Q148" s="964"/>
      <c r="R148" s="122"/>
      <c r="S148" s="964"/>
      <c r="T148" s="936"/>
      <c r="U148" s="1374"/>
      <c r="V148" s="978"/>
      <c r="W148" s="122"/>
      <c r="X148" s="122"/>
      <c r="Y148" s="122"/>
      <c r="Z148" s="122"/>
      <c r="AA148" s="122"/>
      <c r="AB148" s="122"/>
      <c r="AC148" s="992"/>
      <c r="AD148" s="103"/>
    </row>
    <row r="149" spans="3:30" ht="3" customHeight="1">
      <c r="C149" s="103"/>
      <c r="D149" s="103"/>
      <c r="E149" s="527"/>
      <c r="F149" s="922"/>
      <c r="G149" s="923"/>
      <c r="H149" s="919"/>
      <c r="I149" s="922"/>
      <c r="J149" s="923"/>
      <c r="K149" s="919"/>
      <c r="L149" s="312"/>
      <c r="M149" s="103"/>
      <c r="N149" s="103"/>
      <c r="O149" s="978"/>
      <c r="P149" s="122"/>
      <c r="Q149" s="964"/>
      <c r="R149" s="122"/>
      <c r="S149" s="964"/>
      <c r="T149" s="936"/>
      <c r="U149" s="1374"/>
      <c r="V149" s="978"/>
      <c r="W149" s="122"/>
      <c r="X149" s="122"/>
      <c r="Y149" s="122"/>
      <c r="Z149" s="122"/>
      <c r="AA149" s="122"/>
      <c r="AB149" s="122"/>
      <c r="AC149" s="992"/>
      <c r="AD149" s="103"/>
    </row>
    <row r="150" spans="3:30" ht="13.05" customHeight="1">
      <c r="C150" s="103"/>
      <c r="D150" s="103"/>
      <c r="E150" s="527"/>
      <c r="F150" s="527"/>
      <c r="G150" s="925"/>
      <c r="H150" s="312"/>
      <c r="I150" s="312"/>
      <c r="J150" s="928"/>
      <c r="K150" s="312"/>
      <c r="L150" s="312"/>
      <c r="M150" s="103"/>
      <c r="N150" s="103"/>
      <c r="O150" s="978"/>
      <c r="P150" s="122" t="s">
        <v>460</v>
      </c>
      <c r="Q150" s="963">
        <f>IF(S153=0,6.68,"")</f>
        <v>6.68</v>
      </c>
      <c r="R150" s="122"/>
      <c r="S150" s="963" t="str">
        <f>IF(S153=0,"",4*S144+4*S145)</f>
        <v/>
      </c>
      <c r="T150" s="934"/>
      <c r="U150" s="1374"/>
      <c r="V150" s="978"/>
      <c r="W150" s="122"/>
      <c r="X150" s="122"/>
      <c r="Y150" s="122"/>
      <c r="Z150" s="122"/>
      <c r="AA150" s="122"/>
      <c r="AB150" s="122"/>
      <c r="AC150" s="992"/>
      <c r="AD150" s="103"/>
    </row>
    <row r="151" spans="3:30" ht="13.05" customHeight="1">
      <c r="C151" s="103"/>
      <c r="D151" s="103"/>
      <c r="E151" s="527"/>
      <c r="F151" s="527"/>
      <c r="G151" s="926"/>
      <c r="H151" s="312"/>
      <c r="I151" s="312"/>
      <c r="J151" s="929"/>
      <c r="K151" s="312"/>
      <c r="L151" s="312"/>
      <c r="M151" s="103"/>
      <c r="N151" s="103"/>
      <c r="O151" s="978"/>
      <c r="P151" s="122"/>
      <c r="Q151" s="964"/>
      <c r="R151" s="122"/>
      <c r="S151" s="964"/>
      <c r="T151" s="936"/>
      <c r="U151" s="1374"/>
      <c r="V151" s="978"/>
      <c r="W151" s="966" t="s">
        <v>478</v>
      </c>
      <c r="X151" s="1365" t="s">
        <v>86</v>
      </c>
      <c r="Y151" s="1366"/>
      <c r="Z151" s="966" t="s">
        <v>477</v>
      </c>
      <c r="AA151" s="971">
        <v>0.06</v>
      </c>
      <c r="AB151" s="122" t="s">
        <v>150</v>
      </c>
      <c r="AC151" s="992"/>
      <c r="AD151" s="103"/>
    </row>
    <row r="152" spans="3:30" ht="13.05" customHeight="1">
      <c r="C152" s="103"/>
      <c r="D152" s="103" t="s">
        <v>199</v>
      </c>
      <c r="E152" s="527"/>
      <c r="F152" s="527"/>
      <c r="G152" s="926"/>
      <c r="H152" s="312"/>
      <c r="I152" s="312"/>
      <c r="J152" s="930"/>
      <c r="K152" s="312"/>
      <c r="L152" s="312"/>
      <c r="M152" s="109" t="s">
        <v>204</v>
      </c>
      <c r="N152" s="109"/>
      <c r="O152" s="978"/>
      <c r="P152" s="122" t="s">
        <v>461</v>
      </c>
      <c r="Q152" s="963">
        <f>IF(S153=0,1.55,"")</f>
        <v>1.55</v>
      </c>
      <c r="R152" s="914"/>
      <c r="S152" s="981"/>
      <c r="T152" s="937"/>
      <c r="U152" s="1374"/>
      <c r="V152" s="978"/>
      <c r="W152" s="122"/>
      <c r="X152" s="122"/>
      <c r="Y152" s="122"/>
      <c r="Z152" s="122"/>
      <c r="AA152" s="122"/>
      <c r="AB152" s="122"/>
      <c r="AC152" s="992"/>
      <c r="AD152" s="103"/>
    </row>
    <row r="153" spans="3:30" ht="13.05" customHeight="1">
      <c r="C153" s="103"/>
      <c r="D153" s="103"/>
      <c r="E153" s="527"/>
      <c r="F153" s="527"/>
      <c r="G153" s="926"/>
      <c r="H153" s="312"/>
      <c r="I153" s="312"/>
      <c r="J153" s="929"/>
      <c r="K153" s="312"/>
      <c r="L153" s="312"/>
      <c r="M153" s="103"/>
      <c r="N153" s="103"/>
      <c r="O153" s="978"/>
      <c r="P153" s="122" t="s">
        <v>462</v>
      </c>
      <c r="Q153" s="963">
        <f>IF(S153=0,1.15,"")</f>
        <v>1.1499999999999999</v>
      </c>
      <c r="R153" s="914"/>
      <c r="S153" s="983"/>
      <c r="T153" s="937"/>
      <c r="U153" s="1374"/>
      <c r="V153" s="978"/>
      <c r="W153" s="122"/>
      <c r="X153" s="122"/>
      <c r="Y153" s="122"/>
      <c r="Z153" s="122"/>
      <c r="AA153" s="122"/>
      <c r="AB153" s="122"/>
      <c r="AC153" s="992"/>
      <c r="AD153" s="103"/>
    </row>
    <row r="154" spans="3:30" ht="10.95" customHeight="1">
      <c r="C154" s="103"/>
      <c r="D154" s="103"/>
      <c r="E154" s="527"/>
      <c r="F154" s="527"/>
      <c r="G154" s="926"/>
      <c r="H154" s="312"/>
      <c r="I154" s="312"/>
      <c r="J154" s="929"/>
      <c r="K154" s="312"/>
      <c r="L154" s="312"/>
      <c r="M154" s="103"/>
      <c r="N154" s="103"/>
      <c r="O154" s="978"/>
      <c r="P154" s="122"/>
      <c r="Q154" s="964"/>
      <c r="R154" s="122"/>
      <c r="S154" s="964"/>
      <c r="T154" s="936"/>
      <c r="U154" s="1374"/>
      <c r="V154" s="978"/>
      <c r="W154" s="122"/>
      <c r="X154" s="122"/>
      <c r="Y154" s="122"/>
      <c r="Z154" s="122"/>
      <c r="AA154" s="122"/>
      <c r="AB154" s="122"/>
      <c r="AC154" s="992"/>
      <c r="AD154" s="103"/>
    </row>
    <row r="155" spans="3:30" ht="13.05" customHeight="1">
      <c r="C155" s="103"/>
      <c r="D155" s="103"/>
      <c r="E155" s="527"/>
      <c r="F155" s="527"/>
      <c r="G155" s="927"/>
      <c r="H155" s="312"/>
      <c r="I155" s="312"/>
      <c r="J155" s="931"/>
      <c r="K155" s="312"/>
      <c r="L155" s="312"/>
      <c r="M155" s="103"/>
      <c r="N155" s="103"/>
      <c r="O155" s="978"/>
      <c r="P155" s="122" t="s">
        <v>286</v>
      </c>
      <c r="Q155" s="965" t="str">
        <f>IF(S153=0,"25%","")</f>
        <v>25%</v>
      </c>
      <c r="R155" s="122"/>
      <c r="S155" s="965" t="str">
        <f>IF(S153=0,"",S147/S142)</f>
        <v/>
      </c>
      <c r="T155" s="938"/>
      <c r="U155" s="1374"/>
      <c r="V155" s="978"/>
      <c r="W155" s="972" t="s">
        <v>214</v>
      </c>
      <c r="X155" s="972"/>
      <c r="Y155" s="972"/>
      <c r="Z155" s="972"/>
      <c r="AA155" s="973">
        <f>ROUND(IF(S153=0,(AA141*Q147+AA143*Q143+AA151*Q150)/Q142,(AA141*S147+AA143*S143+AA151*S150)/S142),2)</f>
        <v>1.2</v>
      </c>
      <c r="AB155" s="972" t="s">
        <v>528</v>
      </c>
      <c r="AC155" s="992"/>
      <c r="AD155" s="103"/>
    </row>
    <row r="156" spans="3:30" ht="3" customHeight="1">
      <c r="C156" s="103"/>
      <c r="D156" s="103"/>
      <c r="E156" s="527"/>
      <c r="F156" s="924"/>
      <c r="G156" s="916"/>
      <c r="H156" s="917"/>
      <c r="I156" s="924"/>
      <c r="J156" s="916"/>
      <c r="K156" s="917"/>
      <c r="L156" s="312"/>
      <c r="M156" s="103"/>
      <c r="N156" s="103"/>
      <c r="O156" s="978"/>
      <c r="P156" s="122"/>
      <c r="Q156" s="964"/>
      <c r="R156" s="122"/>
      <c r="S156" s="964"/>
      <c r="T156" s="936"/>
      <c r="U156" s="1374"/>
      <c r="V156" s="978"/>
      <c r="W156" s="122"/>
      <c r="X156" s="122"/>
      <c r="Y156" s="122"/>
      <c r="Z156" s="122"/>
      <c r="AA156" s="122"/>
      <c r="AB156" s="122"/>
      <c r="AC156" s="992"/>
      <c r="AD156" s="103"/>
    </row>
    <row r="157" spans="3:30" ht="3" customHeight="1">
      <c r="C157" s="103"/>
      <c r="D157" s="103"/>
      <c r="E157" s="924"/>
      <c r="F157" s="916"/>
      <c r="G157" s="916"/>
      <c r="H157" s="916"/>
      <c r="I157" s="916"/>
      <c r="J157" s="916"/>
      <c r="K157" s="916"/>
      <c r="L157" s="917"/>
      <c r="M157" s="103"/>
      <c r="N157" s="103"/>
      <c r="O157" s="939"/>
      <c r="P157" s="940"/>
      <c r="Q157" s="941"/>
      <c r="R157" s="940"/>
      <c r="S157" s="941"/>
      <c r="T157" s="942"/>
      <c r="U157" s="1374"/>
      <c r="V157" s="987"/>
      <c r="W157" s="988"/>
      <c r="X157" s="988"/>
      <c r="Y157" s="988"/>
      <c r="Z157" s="988"/>
      <c r="AA157" s="988"/>
      <c r="AB157" s="988"/>
      <c r="AC157" s="993"/>
      <c r="AD157" s="103"/>
    </row>
    <row r="158" spans="3:30" ht="10.95" customHeight="1">
      <c r="C158" s="103"/>
      <c r="D158" s="103"/>
      <c r="F158" s="103"/>
      <c r="G158" s="103"/>
      <c r="H158" s="103"/>
      <c r="I158" s="103"/>
      <c r="J158" s="103"/>
      <c r="K158" s="103"/>
      <c r="L158" s="103"/>
      <c r="M158" s="103"/>
      <c r="N158" s="103"/>
      <c r="O158" s="327"/>
      <c r="P158" s="327"/>
      <c r="Q158" s="327"/>
      <c r="R158" s="327"/>
      <c r="S158" s="327"/>
      <c r="T158" s="327"/>
      <c r="U158" s="327"/>
      <c r="V158" s="327"/>
      <c r="W158" s="1362" t="s">
        <v>43</v>
      </c>
      <c r="X158" s="1362"/>
      <c r="Y158" s="1362"/>
      <c r="Z158" s="1362"/>
      <c r="AA158" s="1362"/>
      <c r="AB158" s="1362"/>
      <c r="AC158" s="1362"/>
      <c r="AD158" s="103"/>
    </row>
    <row r="159" spans="3:30" ht="10.95" customHeight="1">
      <c r="C159" s="103"/>
      <c r="D159" s="103"/>
      <c r="E159" s="103" t="str">
        <f>IF(S153=0,"Rahmenanteil 25%","")</f>
        <v>Rahmenanteil 25%</v>
      </c>
      <c r="F159" s="103"/>
      <c r="G159" s="103"/>
      <c r="H159" s="103"/>
      <c r="I159" s="103"/>
      <c r="J159" s="103"/>
      <c r="K159" s="103"/>
      <c r="L159" s="103"/>
      <c r="M159" s="103"/>
      <c r="N159" s="103"/>
      <c r="O159" s="327"/>
      <c r="P159" s="327"/>
      <c r="Q159" s="327"/>
      <c r="R159" s="327"/>
      <c r="S159" s="327"/>
      <c r="T159" s="327"/>
      <c r="U159" s="327"/>
      <c r="V159" s="327"/>
      <c r="W159" s="327"/>
      <c r="X159" s="327"/>
      <c r="Y159" s="327"/>
      <c r="Z159" s="327"/>
      <c r="AA159" s="327"/>
      <c r="AB159" s="327"/>
      <c r="AC159" s="327"/>
      <c r="AD159" s="103"/>
    </row>
    <row r="160" spans="3:30" ht="10.95" customHeight="1">
      <c r="C160" s="103"/>
      <c r="D160" s="103"/>
      <c r="E160" s="103"/>
      <c r="F160" s="103"/>
      <c r="G160" s="103"/>
      <c r="H160" s="103"/>
      <c r="I160" s="103"/>
      <c r="J160" s="103"/>
      <c r="K160" s="103"/>
      <c r="L160" s="103"/>
      <c r="M160" s="103"/>
      <c r="N160" s="103"/>
      <c r="O160" s="327"/>
      <c r="P160" s="327"/>
      <c r="Q160" s="327"/>
      <c r="R160" s="327"/>
      <c r="S160" s="327"/>
      <c r="T160" s="327"/>
      <c r="U160" s="327"/>
      <c r="V160" s="327"/>
      <c r="W160" s="327"/>
      <c r="X160" s="327"/>
      <c r="Y160" s="327"/>
      <c r="Z160" s="327"/>
      <c r="AA160" s="327"/>
      <c r="AB160" s="327"/>
      <c r="AC160" s="327"/>
      <c r="AD160" s="103"/>
    </row>
    <row r="161" spans="3:30" ht="10.95" customHeight="1">
      <c r="C161" s="103"/>
      <c r="D161" s="103"/>
      <c r="E161" s="103"/>
      <c r="F161" s="103"/>
      <c r="G161" s="103"/>
      <c r="H161" s="103"/>
      <c r="I161" s="103"/>
      <c r="J161" s="103"/>
      <c r="K161" s="103"/>
      <c r="L161" s="103"/>
      <c r="M161" s="103"/>
      <c r="N161" s="103"/>
      <c r="O161" s="327"/>
      <c r="P161" s="327"/>
      <c r="Q161" s="327"/>
      <c r="R161" s="327"/>
      <c r="S161" s="327"/>
      <c r="T161" s="327"/>
      <c r="U161" s="327"/>
      <c r="V161" s="327"/>
      <c r="W161" s="327"/>
      <c r="X161" s="327"/>
      <c r="Y161" s="327"/>
      <c r="Z161" s="327"/>
      <c r="AA161" s="327"/>
      <c r="AB161" s="327"/>
      <c r="AC161" s="327"/>
      <c r="AD161" s="103"/>
    </row>
    <row r="162" spans="3:30" ht="10.95" customHeight="1">
      <c r="C162" s="315" t="str">
        <f>IF(Nutzung!$G$8="","","Variante:")</f>
        <v/>
      </c>
      <c r="D162" s="103"/>
      <c r="E162" s="103"/>
      <c r="F162" s="103"/>
      <c r="G162" s="141" t="str">
        <f>IF(Nutzung!$G$8="","",Nutzung!$G$8)</f>
        <v/>
      </c>
      <c r="H162" s="103"/>
      <c r="I162" s="103"/>
      <c r="J162" s="103"/>
      <c r="K162" s="103"/>
      <c r="L162" s="103"/>
      <c r="M162" s="103"/>
      <c r="N162" s="103"/>
      <c r="O162" s="327"/>
      <c r="P162" s="327"/>
      <c r="Q162" s="327"/>
      <c r="R162" s="327"/>
      <c r="S162" s="327"/>
      <c r="T162" s="327"/>
      <c r="U162" s="327"/>
      <c r="V162" s="327"/>
      <c r="W162" s="327"/>
      <c r="X162" s="327"/>
      <c r="Y162" s="327"/>
      <c r="Z162" s="327"/>
      <c r="AA162" s="1376">
        <f ca="1">NOW()</f>
        <v>42122.346852083334</v>
      </c>
      <c r="AB162" s="1376"/>
      <c r="AC162" s="1376"/>
      <c r="AD162" s="103"/>
    </row>
    <row r="163" spans="3:30" ht="10.95" customHeight="1">
      <c r="C163" s="141">
        <f>C1</f>
        <v>0</v>
      </c>
      <c r="D163" s="103"/>
      <c r="E163" s="103"/>
      <c r="F163" s="103"/>
      <c r="G163" s="103"/>
      <c r="H163" s="103"/>
      <c r="I163" s="103"/>
      <c r="J163" s="103"/>
      <c r="K163" s="103"/>
      <c r="L163" s="103"/>
      <c r="M163" s="103"/>
      <c r="N163" s="103"/>
      <c r="O163" s="103"/>
      <c r="P163" s="103"/>
      <c r="Q163" s="104"/>
      <c r="R163" s="103"/>
      <c r="S163" s="141" t="str">
        <f>IF(Nutzung!$E$8="","",Nutzung!$E$8)</f>
        <v/>
      </c>
      <c r="T163" s="104"/>
      <c r="U163" s="103"/>
      <c r="V163" s="103"/>
      <c r="W163" s="103"/>
      <c r="X163" s="103"/>
      <c r="Y163" s="103"/>
      <c r="Z163" s="103"/>
      <c r="AA163" s="103"/>
      <c r="AB163" s="103"/>
      <c r="AC163" s="140" t="s">
        <v>179</v>
      </c>
      <c r="AD163" s="103"/>
    </row>
    <row r="164" spans="3:30" ht="10.95" customHeight="1">
      <c r="C164" s="103"/>
      <c r="D164" s="103"/>
      <c r="E164" s="103"/>
      <c r="F164" s="103"/>
      <c r="G164" s="103"/>
      <c r="H164" s="103"/>
      <c r="I164" s="103"/>
      <c r="J164" s="103"/>
      <c r="K164" s="103"/>
      <c r="L164" s="103"/>
      <c r="M164" s="103"/>
      <c r="N164" s="103"/>
      <c r="O164" s="103"/>
      <c r="P164" s="103"/>
      <c r="Q164" s="104"/>
      <c r="R164" s="103"/>
      <c r="S164" s="104"/>
      <c r="T164" s="104"/>
      <c r="U164" s="103"/>
      <c r="V164" s="103"/>
      <c r="W164" s="103"/>
      <c r="X164" s="103"/>
      <c r="Y164" s="103"/>
      <c r="Z164" s="103"/>
      <c r="AA164" s="103"/>
      <c r="AB164" s="103"/>
      <c r="AC164" s="103"/>
      <c r="AD164" s="103"/>
    </row>
    <row r="165" spans="3:30" ht="10.95" customHeight="1">
      <c r="C165" s="103"/>
      <c r="D165" s="103"/>
      <c r="E165" s="103"/>
      <c r="F165" s="103"/>
      <c r="G165" s="103"/>
      <c r="H165" s="103"/>
      <c r="I165" s="103"/>
      <c r="J165" s="103"/>
      <c r="K165" s="103"/>
      <c r="L165" s="103"/>
      <c r="M165" s="103"/>
      <c r="N165" s="103"/>
      <c r="O165" s="103"/>
      <c r="P165" s="103"/>
      <c r="Q165" s="104"/>
      <c r="R165" s="103"/>
      <c r="S165" s="104"/>
      <c r="T165" s="104"/>
      <c r="U165" s="103"/>
      <c r="V165" s="103"/>
      <c r="W165" s="103"/>
      <c r="X165" s="103"/>
      <c r="Y165" s="103"/>
      <c r="Z165" s="103"/>
      <c r="AA165" s="103"/>
      <c r="AB165" s="103"/>
      <c r="AC165" s="103"/>
      <c r="AD165" s="103"/>
    </row>
    <row r="166" spans="3:30" ht="18" customHeight="1">
      <c r="C166" s="103"/>
      <c r="D166" s="1370" t="s">
        <v>583</v>
      </c>
      <c r="E166" s="1370"/>
      <c r="F166" s="1370"/>
      <c r="G166" s="1370"/>
      <c r="H166" s="1370"/>
      <c r="I166" s="1370"/>
      <c r="J166" s="1370"/>
      <c r="K166" s="1370"/>
      <c r="L166" s="1370"/>
      <c r="M166" s="1370"/>
      <c r="N166" s="1370"/>
      <c r="O166" s="1370"/>
      <c r="P166" s="1370"/>
      <c r="Q166" s="1370"/>
      <c r="R166" s="1370"/>
      <c r="S166" s="1370"/>
      <c r="T166" s="1370"/>
      <c r="U166" s="1370"/>
      <c r="V166" s="1370"/>
      <c r="W166" s="1370"/>
      <c r="X166" s="1370"/>
      <c r="Y166" s="1370"/>
      <c r="Z166" s="1370"/>
      <c r="AA166" s="1370"/>
      <c r="AB166" s="1370"/>
      <c r="AC166" s="1370"/>
      <c r="AD166" s="103"/>
    </row>
    <row r="167" spans="3:30" ht="10.95" customHeight="1">
      <c r="C167" s="103"/>
      <c r="D167" s="105"/>
      <c r="E167" s="103"/>
      <c r="F167" s="103"/>
      <c r="G167" s="103"/>
      <c r="H167" s="103"/>
      <c r="I167" s="103"/>
      <c r="J167" s="103"/>
      <c r="K167" s="103"/>
      <c r="L167" s="103"/>
      <c r="M167" s="103"/>
      <c r="N167" s="103"/>
      <c r="O167" s="103"/>
      <c r="P167" s="103"/>
      <c r="Q167" s="103"/>
      <c r="R167" s="103"/>
      <c r="S167" s="103"/>
      <c r="T167" s="103"/>
      <c r="U167" s="103"/>
      <c r="V167" s="103"/>
      <c r="W167" s="103"/>
      <c r="X167" s="103"/>
      <c r="Y167" s="103"/>
      <c r="Z167" s="103"/>
      <c r="AA167" s="103"/>
      <c r="AB167" s="103"/>
      <c r="AC167" s="103"/>
      <c r="AD167" s="103"/>
    </row>
    <row r="168" spans="3:30" ht="10.95" customHeight="1">
      <c r="C168" s="103"/>
      <c r="D168" s="1363"/>
      <c r="E168" s="1363"/>
      <c r="F168" s="1363"/>
      <c r="G168" s="1363"/>
      <c r="H168" s="1363"/>
      <c r="I168" s="1363"/>
      <c r="J168" s="1363"/>
      <c r="K168" s="1363"/>
      <c r="L168" s="1363"/>
      <c r="M168" s="1363"/>
      <c r="N168" s="1363"/>
      <c r="O168" s="1363"/>
      <c r="P168" s="1363"/>
      <c r="Q168" s="1363"/>
      <c r="R168" s="1363"/>
      <c r="S168" s="1363"/>
      <c r="T168" s="1363"/>
      <c r="U168" s="1363"/>
      <c r="V168" s="1363"/>
      <c r="W168" s="1363"/>
      <c r="X168" s="1363"/>
      <c r="Y168" s="1363"/>
      <c r="Z168" s="1363"/>
      <c r="AA168" s="1363"/>
      <c r="AB168" s="1363"/>
      <c r="AC168" s="1363"/>
      <c r="AD168" s="103"/>
    </row>
    <row r="169" spans="3:30" ht="10.95" customHeight="1">
      <c r="C169" s="103"/>
      <c r="D169" s="99"/>
      <c r="E169" s="99"/>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c r="AD169" s="103"/>
    </row>
    <row r="170" spans="3:30" ht="10.95" customHeight="1">
      <c r="C170" s="103"/>
      <c r="D170" s="103"/>
      <c r="E170" s="103"/>
      <c r="F170" s="103"/>
      <c r="G170" s="103"/>
      <c r="H170" s="103"/>
      <c r="I170" s="103"/>
      <c r="J170" s="103"/>
      <c r="K170" s="103"/>
      <c r="L170" s="103"/>
      <c r="M170" s="103"/>
      <c r="N170" s="103"/>
      <c r="O170" s="103"/>
      <c r="P170" s="103"/>
      <c r="Q170" s="104"/>
      <c r="R170" s="103"/>
      <c r="S170" s="104"/>
      <c r="T170" s="104"/>
      <c r="U170" s="103"/>
      <c r="V170" s="103"/>
      <c r="W170" s="103"/>
      <c r="X170" s="103"/>
      <c r="Y170" s="103"/>
      <c r="Z170" s="103"/>
      <c r="AA170" s="103"/>
      <c r="AB170" s="103"/>
      <c r="AC170" s="103"/>
      <c r="AD170" s="103"/>
    </row>
    <row r="171" spans="3:30" ht="10.95" customHeight="1">
      <c r="C171" s="103"/>
      <c r="D171" s="103"/>
      <c r="E171" s="103"/>
      <c r="F171" s="103"/>
      <c r="G171" s="103"/>
      <c r="H171" s="103"/>
      <c r="I171" s="103"/>
      <c r="J171" s="103"/>
      <c r="K171" s="103"/>
      <c r="L171" s="103"/>
      <c r="M171" s="103"/>
      <c r="N171" s="103"/>
      <c r="O171" s="974"/>
      <c r="P171" s="975"/>
      <c r="Q171" s="976"/>
      <c r="R171" s="975"/>
      <c r="S171" s="976"/>
      <c r="T171" s="977"/>
      <c r="U171" s="1374"/>
      <c r="V171" s="309"/>
      <c r="W171" s="975"/>
      <c r="X171" s="975"/>
      <c r="Y171" s="975"/>
      <c r="Z171" s="975"/>
      <c r="AA171" s="975"/>
      <c r="AB171" s="975"/>
      <c r="AC171" s="932"/>
      <c r="AD171" s="103"/>
    </row>
    <row r="172" spans="3:30" ht="13.05" customHeight="1">
      <c r="C172" s="103"/>
      <c r="D172" s="103"/>
      <c r="E172" s="3" t="s">
        <v>346</v>
      </c>
      <c r="F172" s="103"/>
      <c r="G172" s="103"/>
      <c r="H172" s="1373" t="s">
        <v>307</v>
      </c>
      <c r="I172" s="1373"/>
      <c r="J172" s="1373"/>
      <c r="K172" s="1373"/>
      <c r="L172" s="1373"/>
      <c r="M172" s="1373"/>
      <c r="N172" s="103"/>
      <c r="O172" s="978"/>
      <c r="P172" s="967" t="s">
        <v>78</v>
      </c>
      <c r="Q172" s="434" t="s">
        <v>257</v>
      </c>
      <c r="R172" s="966"/>
      <c r="S172" s="434" t="s">
        <v>425</v>
      </c>
      <c r="T172" s="979"/>
      <c r="U172" s="1374"/>
      <c r="V172" s="311"/>
      <c r="W172" s="966" t="s">
        <v>156</v>
      </c>
      <c r="X172" s="1365" t="s">
        <v>50</v>
      </c>
      <c r="Y172" s="1366"/>
      <c r="Z172" s="967" t="s">
        <v>91</v>
      </c>
      <c r="AA172" s="968">
        <v>1.8</v>
      </c>
      <c r="AB172" s="122" t="s">
        <v>528</v>
      </c>
      <c r="AC172" s="945"/>
      <c r="AD172" s="103"/>
    </row>
    <row r="173" spans="3:30" ht="13.05" customHeight="1">
      <c r="C173" s="103"/>
      <c r="D173" s="103"/>
      <c r="E173" s="112" t="s">
        <v>347</v>
      </c>
      <c r="F173" s="103"/>
      <c r="G173" s="103"/>
      <c r="H173" s="1373">
        <v>7</v>
      </c>
      <c r="I173" s="1373"/>
      <c r="J173" s="1373"/>
      <c r="K173" s="1373"/>
      <c r="L173" s="1373"/>
      <c r="M173" s="1373"/>
      <c r="N173" s="103"/>
      <c r="O173" s="978"/>
      <c r="P173" s="122" t="s">
        <v>456</v>
      </c>
      <c r="Q173" s="962">
        <f>IF(S183=0,1.7825,"")</f>
        <v>1.7825</v>
      </c>
      <c r="R173" s="122"/>
      <c r="S173" s="962" t="str">
        <f>IF(S183=0,"",S183*S184)</f>
        <v/>
      </c>
      <c r="T173" s="980"/>
      <c r="U173" s="1374"/>
      <c r="V173" s="311"/>
      <c r="W173" s="122"/>
      <c r="X173" s="122"/>
      <c r="Y173" s="122"/>
      <c r="Z173" s="125"/>
      <c r="AA173" s="969"/>
      <c r="AB173" s="122"/>
      <c r="AC173" s="945"/>
      <c r="AD173" s="103"/>
    </row>
    <row r="174" spans="3:30" ht="13.05" customHeight="1">
      <c r="C174" s="103"/>
      <c r="D174" s="103"/>
      <c r="E174" s="103"/>
      <c r="F174" s="103"/>
      <c r="G174" s="1371" t="s">
        <v>496</v>
      </c>
      <c r="H174" s="1371"/>
      <c r="I174" s="1371"/>
      <c r="J174" s="1371"/>
      <c r="K174" s="103"/>
      <c r="L174" s="103"/>
      <c r="M174" s="103"/>
      <c r="N174" s="103"/>
      <c r="O174" s="978"/>
      <c r="P174" s="122" t="s">
        <v>457</v>
      </c>
      <c r="Q174" s="962">
        <f>IF(S183=0,1.5151,"")</f>
        <v>1.5150999999999999</v>
      </c>
      <c r="R174" s="122"/>
      <c r="S174" s="962" t="str">
        <f>IF(S183=0,"",(S175*S176))</f>
        <v/>
      </c>
      <c r="T174" s="980"/>
      <c r="U174" s="1374"/>
      <c r="V174" s="311"/>
      <c r="W174" s="966" t="s">
        <v>142</v>
      </c>
      <c r="X174" s="1365" t="s">
        <v>85</v>
      </c>
      <c r="Y174" s="1366"/>
      <c r="Z174" s="967" t="s">
        <v>213</v>
      </c>
      <c r="AA174" s="968">
        <v>0.7</v>
      </c>
      <c r="AB174" s="122" t="s">
        <v>528</v>
      </c>
      <c r="AC174" s="945"/>
      <c r="AD174" s="103"/>
    </row>
    <row r="175" spans="3:30" ht="13.05" customHeight="1">
      <c r="C175" s="103"/>
      <c r="D175" s="103"/>
      <c r="E175" s="103"/>
      <c r="F175" s="103"/>
      <c r="G175" s="103"/>
      <c r="H175" s="103"/>
      <c r="I175" s="103"/>
      <c r="J175" s="103"/>
      <c r="K175" s="103"/>
      <c r="L175" s="103"/>
      <c r="M175" s="103"/>
      <c r="N175" s="103"/>
      <c r="O175" s="978"/>
      <c r="P175" s="125" t="s">
        <v>458</v>
      </c>
      <c r="Q175" s="963">
        <f>IF(S183=0,1.5,"")</f>
        <v>1.5</v>
      </c>
      <c r="R175" s="122"/>
      <c r="S175" s="981"/>
      <c r="T175" s="982"/>
      <c r="U175" s="1374"/>
      <c r="V175" s="311"/>
      <c r="W175" s="122"/>
      <c r="X175" s="122"/>
      <c r="Y175" s="122"/>
      <c r="Z175" s="125"/>
      <c r="AA175" s="969"/>
      <c r="AB175" s="122"/>
      <c r="AC175" s="945"/>
      <c r="AD175" s="103"/>
    </row>
    <row r="176" spans="3:30" ht="13.05" customHeight="1">
      <c r="C176" s="103"/>
      <c r="D176" s="103"/>
      <c r="E176" s="103"/>
      <c r="F176" s="103"/>
      <c r="G176" s="1371" t="s">
        <v>519</v>
      </c>
      <c r="H176" s="1371"/>
      <c r="I176" s="1371"/>
      <c r="J176" s="1371"/>
      <c r="K176" s="103"/>
      <c r="L176" s="103"/>
      <c r="M176" s="103"/>
      <c r="N176" s="103"/>
      <c r="O176" s="978"/>
      <c r="P176" s="125" t="s">
        <v>459</v>
      </c>
      <c r="Q176" s="964">
        <f>IF(S183=0,1.01,"")</f>
        <v>1.01</v>
      </c>
      <c r="R176" s="122"/>
      <c r="S176" s="983"/>
      <c r="T176" s="982"/>
      <c r="U176" s="1374"/>
      <c r="V176" s="311"/>
      <c r="W176" s="966" t="s">
        <v>141</v>
      </c>
      <c r="X176" s="1367"/>
      <c r="Y176" s="1368"/>
      <c r="Z176" s="1368"/>
      <c r="AA176" s="1369"/>
      <c r="AB176" s="122"/>
      <c r="AC176" s="945"/>
      <c r="AD176" s="103"/>
    </row>
    <row r="177" spans="3:30" ht="10.95" customHeight="1">
      <c r="C177" s="103"/>
      <c r="D177" s="103"/>
      <c r="E177" s="103"/>
      <c r="F177" s="103"/>
      <c r="G177" s="103"/>
      <c r="H177" s="103"/>
      <c r="I177" s="103"/>
      <c r="J177" s="103"/>
      <c r="K177" s="103"/>
      <c r="L177" s="103"/>
      <c r="M177" s="103"/>
      <c r="N177" s="103"/>
      <c r="O177" s="978"/>
      <c r="P177" s="122"/>
      <c r="Q177" s="964"/>
      <c r="R177" s="122"/>
      <c r="S177" s="964"/>
      <c r="T177" s="984"/>
      <c r="U177" s="1374"/>
      <c r="V177" s="311"/>
      <c r="W177" s="122"/>
      <c r="X177" s="970"/>
      <c r="Y177" s="122"/>
      <c r="Z177" s="122"/>
      <c r="AA177" s="122"/>
      <c r="AB177" s="122"/>
      <c r="AC177" s="945"/>
      <c r="AD177" s="103"/>
    </row>
    <row r="178" spans="3:30" ht="13.05" customHeight="1">
      <c r="C178" s="103"/>
      <c r="D178" s="103"/>
      <c r="E178" s="103"/>
      <c r="F178" s="103"/>
      <c r="G178" s="103"/>
      <c r="H178" s="103"/>
      <c r="I178" s="103"/>
      <c r="J178" s="103"/>
      <c r="K178" s="103"/>
      <c r="L178" s="103"/>
      <c r="M178" s="103"/>
      <c r="N178" s="103"/>
      <c r="O178" s="978"/>
      <c r="P178" s="122" t="s">
        <v>475</v>
      </c>
      <c r="Q178" s="962">
        <f>IF(S183=0,0.2674,"")</f>
        <v>0.26740000000000003</v>
      </c>
      <c r="R178" s="122"/>
      <c r="S178" s="962" t="str">
        <f>IF(S183=0,"",S173-S174)</f>
        <v/>
      </c>
      <c r="T178" s="980"/>
      <c r="U178" s="1374"/>
      <c r="V178" s="311"/>
      <c r="W178" s="122"/>
      <c r="X178" s="122"/>
      <c r="Y178" s="122"/>
      <c r="Z178" s="967" t="s">
        <v>476</v>
      </c>
      <c r="AA178" s="968">
        <v>0.5</v>
      </c>
      <c r="AB178" s="122"/>
      <c r="AC178" s="945"/>
      <c r="AD178" s="103"/>
    </row>
    <row r="179" spans="3:30" ht="3" customHeight="1">
      <c r="C179" s="103"/>
      <c r="D179" s="103"/>
      <c r="E179" s="922"/>
      <c r="F179" s="923"/>
      <c r="G179" s="923"/>
      <c r="H179" s="923"/>
      <c r="I179" s="923"/>
      <c r="J179" s="923"/>
      <c r="K179" s="923"/>
      <c r="L179" s="919"/>
      <c r="M179" s="103"/>
      <c r="N179" s="103"/>
      <c r="O179" s="978"/>
      <c r="P179" s="122"/>
      <c r="Q179" s="964"/>
      <c r="R179" s="122"/>
      <c r="S179" s="964"/>
      <c r="T179" s="984"/>
      <c r="U179" s="1374"/>
      <c r="V179" s="311"/>
      <c r="W179" s="122"/>
      <c r="X179" s="122"/>
      <c r="Y179" s="122"/>
      <c r="Z179" s="122"/>
      <c r="AA179" s="122"/>
      <c r="AB179" s="122"/>
      <c r="AC179" s="945"/>
      <c r="AD179" s="103"/>
    </row>
    <row r="180" spans="3:30" ht="3" customHeight="1">
      <c r="C180" s="103"/>
      <c r="D180" s="103"/>
      <c r="E180" s="527"/>
      <c r="F180" s="954"/>
      <c r="G180" s="955"/>
      <c r="H180" s="955"/>
      <c r="I180" s="955"/>
      <c r="J180" s="955"/>
      <c r="K180" s="928"/>
      <c r="L180" s="312"/>
      <c r="M180" s="103"/>
      <c r="N180" s="103"/>
      <c r="O180" s="978"/>
      <c r="P180" s="122"/>
      <c r="Q180" s="964"/>
      <c r="R180" s="122"/>
      <c r="S180" s="964"/>
      <c r="T180" s="984"/>
      <c r="U180" s="1374"/>
      <c r="V180" s="311"/>
      <c r="W180" s="122"/>
      <c r="X180" s="122"/>
      <c r="Y180" s="122"/>
      <c r="Z180" s="122"/>
      <c r="AA180" s="122"/>
      <c r="AB180" s="122"/>
      <c r="AC180" s="945"/>
      <c r="AD180" s="103"/>
    </row>
    <row r="181" spans="3:30" ht="13.05" customHeight="1">
      <c r="C181" s="103"/>
      <c r="D181" s="103"/>
      <c r="E181" s="527"/>
      <c r="F181" s="872"/>
      <c r="G181" s="909"/>
      <c r="H181" s="909"/>
      <c r="I181" s="909"/>
      <c r="J181" s="909"/>
      <c r="K181" s="929"/>
      <c r="L181" s="312"/>
      <c r="M181" s="103"/>
      <c r="N181" s="103"/>
      <c r="O181" s="978"/>
      <c r="P181" s="122" t="s">
        <v>460</v>
      </c>
      <c r="Q181" s="964">
        <f>IF(S183=0,5.02,"")</f>
        <v>5.0199999999999996</v>
      </c>
      <c r="R181" s="122"/>
      <c r="S181" s="963" t="str">
        <f>IF(S183=0,"",2*S175+2*S176)</f>
        <v/>
      </c>
      <c r="T181" s="980"/>
      <c r="U181" s="1374"/>
      <c r="V181" s="311"/>
      <c r="W181" s="122"/>
      <c r="X181" s="122"/>
      <c r="Y181" s="122"/>
      <c r="Z181" s="122"/>
      <c r="AA181" s="122"/>
      <c r="AB181" s="122"/>
      <c r="AC181" s="945"/>
      <c r="AD181" s="103"/>
    </row>
    <row r="182" spans="3:30" ht="13.05" customHeight="1">
      <c r="C182" s="103"/>
      <c r="D182" s="103"/>
      <c r="E182" s="527"/>
      <c r="F182" s="872"/>
      <c r="G182" s="909"/>
      <c r="H182" s="909"/>
      <c r="I182" s="909"/>
      <c r="J182" s="909"/>
      <c r="K182" s="929"/>
      <c r="L182" s="312"/>
      <c r="M182" s="103"/>
      <c r="N182" s="103"/>
      <c r="O182" s="978"/>
      <c r="P182" s="122"/>
      <c r="Q182" s="964"/>
      <c r="R182" s="122"/>
      <c r="S182" s="964"/>
      <c r="T182" s="984"/>
      <c r="U182" s="1374"/>
      <c r="V182" s="311"/>
      <c r="W182" s="966" t="s">
        <v>478</v>
      </c>
      <c r="X182" s="1365" t="s">
        <v>86</v>
      </c>
      <c r="Y182" s="1366"/>
      <c r="Z182" s="966" t="s">
        <v>477</v>
      </c>
      <c r="AA182" s="971">
        <v>0.06</v>
      </c>
      <c r="AB182" s="122" t="s">
        <v>150</v>
      </c>
      <c r="AC182" s="945"/>
      <c r="AD182" s="103"/>
    </row>
    <row r="183" spans="3:30" ht="13.05" customHeight="1">
      <c r="C183" s="103"/>
      <c r="D183" s="103" t="s">
        <v>199</v>
      </c>
      <c r="E183" s="527"/>
      <c r="F183" s="872"/>
      <c r="G183" s="909"/>
      <c r="H183" s="909"/>
      <c r="I183" s="909"/>
      <c r="J183" s="909"/>
      <c r="K183" s="929"/>
      <c r="L183" s="312"/>
      <c r="M183" s="109" t="s">
        <v>204</v>
      </c>
      <c r="N183" s="109"/>
      <c r="O183" s="978"/>
      <c r="P183" s="122" t="s">
        <v>461</v>
      </c>
      <c r="Q183" s="964">
        <f>IF(S183=0,1.55,"")</f>
        <v>1.55</v>
      </c>
      <c r="R183" s="914" t="str">
        <f>IF(S175&gt;S183," ! ","")</f>
        <v/>
      </c>
      <c r="S183" s="981"/>
      <c r="T183" s="985"/>
      <c r="U183" s="1374"/>
      <c r="V183" s="311"/>
      <c r="W183" s="122"/>
      <c r="X183" s="122"/>
      <c r="Y183" s="122"/>
      <c r="Z183" s="122"/>
      <c r="AA183" s="122"/>
      <c r="AB183" s="122"/>
      <c r="AC183" s="945"/>
      <c r="AD183" s="103"/>
    </row>
    <row r="184" spans="3:30" ht="13.05" customHeight="1">
      <c r="C184" s="103"/>
      <c r="D184" s="103"/>
      <c r="E184" s="527"/>
      <c r="F184" s="872"/>
      <c r="G184" s="909"/>
      <c r="H184" s="909"/>
      <c r="I184" s="909"/>
      <c r="J184" s="909"/>
      <c r="K184" s="929"/>
      <c r="L184" s="312"/>
      <c r="M184" s="103"/>
      <c r="N184" s="103"/>
      <c r="O184" s="978"/>
      <c r="P184" s="122" t="s">
        <v>462</v>
      </c>
      <c r="Q184" s="964">
        <f>IF(S183=0,1.15,"")</f>
        <v>1.1499999999999999</v>
      </c>
      <c r="R184" s="914" t="str">
        <f>IF(S176&gt;S184," ! ","")</f>
        <v/>
      </c>
      <c r="S184" s="983"/>
      <c r="T184" s="985"/>
      <c r="U184" s="1374"/>
      <c r="V184" s="311"/>
      <c r="W184" s="122"/>
      <c r="X184" s="122"/>
      <c r="Y184" s="122"/>
      <c r="Z184" s="122"/>
      <c r="AA184" s="122"/>
      <c r="AB184" s="122"/>
      <c r="AC184" s="945"/>
      <c r="AD184" s="103"/>
    </row>
    <row r="185" spans="3:30" ht="10.95" customHeight="1">
      <c r="C185" s="103"/>
      <c r="D185" s="103"/>
      <c r="E185" s="527"/>
      <c r="F185" s="872"/>
      <c r="G185" s="909"/>
      <c r="H185" s="909"/>
      <c r="I185" s="909"/>
      <c r="J185" s="909"/>
      <c r="K185" s="929"/>
      <c r="L185" s="312"/>
      <c r="M185" s="103"/>
      <c r="N185" s="103"/>
      <c r="O185" s="978"/>
      <c r="P185" s="122"/>
      <c r="Q185" s="964"/>
      <c r="R185" s="122"/>
      <c r="S185" s="964"/>
      <c r="T185" s="984"/>
      <c r="U185" s="1374"/>
      <c r="V185" s="311"/>
      <c r="W185" s="122"/>
      <c r="X185" s="122"/>
      <c r="Y185" s="122"/>
      <c r="Z185" s="122"/>
      <c r="AA185" s="122"/>
      <c r="AB185" s="122"/>
      <c r="AC185" s="945"/>
      <c r="AD185" s="103"/>
    </row>
    <row r="186" spans="3:30" ht="13.05" customHeight="1">
      <c r="C186" s="103"/>
      <c r="D186" s="103"/>
      <c r="E186" s="527"/>
      <c r="F186" s="872"/>
      <c r="G186" s="909"/>
      <c r="H186" s="909"/>
      <c r="I186" s="909"/>
      <c r="J186" s="909"/>
      <c r="K186" s="929"/>
      <c r="L186" s="312"/>
      <c r="M186" s="103"/>
      <c r="N186" s="103"/>
      <c r="O186" s="978"/>
      <c r="P186" s="122" t="s">
        <v>286</v>
      </c>
      <c r="Q186" s="965" t="str">
        <f>IF(S183=0,"15%","")</f>
        <v>15%</v>
      </c>
      <c r="R186" s="122"/>
      <c r="S186" s="965" t="str">
        <f>IF(S183=0,"",S178/S173)</f>
        <v/>
      </c>
      <c r="T186" s="986"/>
      <c r="U186" s="1374"/>
      <c r="V186" s="311"/>
      <c r="W186" s="972" t="s">
        <v>214</v>
      </c>
      <c r="X186" s="972"/>
      <c r="Y186" s="972"/>
      <c r="Z186" s="972"/>
      <c r="AA186" s="973">
        <f>ROUND(IF(S183=0,(AA172*Q178+AA174*Q174+AA182*Q181)/Q173,(AA172*S178+AA174*S174+AA182*S181)/S173),2)</f>
        <v>1.03</v>
      </c>
      <c r="AB186" s="972" t="s">
        <v>528</v>
      </c>
      <c r="AC186" s="945"/>
      <c r="AD186" s="103"/>
    </row>
    <row r="187" spans="3:30" ht="4.95" customHeight="1">
      <c r="C187" s="103"/>
      <c r="D187" s="103"/>
      <c r="E187" s="527"/>
      <c r="F187" s="956"/>
      <c r="G187" s="957"/>
      <c r="H187" s="957"/>
      <c r="I187" s="957"/>
      <c r="J187" s="957"/>
      <c r="K187" s="931"/>
      <c r="L187" s="312"/>
      <c r="M187" s="103"/>
      <c r="N187" s="103"/>
      <c r="O187" s="978"/>
      <c r="P187" s="122"/>
      <c r="Q187" s="122"/>
      <c r="R187" s="122"/>
      <c r="S187" s="122"/>
      <c r="T187" s="992"/>
      <c r="U187" s="1374"/>
      <c r="V187" s="311"/>
      <c r="W187" s="122"/>
      <c r="X187" s="122"/>
      <c r="Y187" s="122"/>
      <c r="Z187" s="122"/>
      <c r="AA187" s="122"/>
      <c r="AB187" s="122"/>
      <c r="AC187" s="945"/>
      <c r="AD187" s="103"/>
    </row>
    <row r="188" spans="3:30" ht="3" customHeight="1">
      <c r="C188" s="103"/>
      <c r="D188" s="103"/>
      <c r="E188" s="924"/>
      <c r="F188" s="916"/>
      <c r="G188" s="916"/>
      <c r="H188" s="916"/>
      <c r="I188" s="916"/>
      <c r="J188" s="916"/>
      <c r="K188" s="916"/>
      <c r="L188" s="917"/>
      <c r="M188" s="103"/>
      <c r="N188" s="103"/>
      <c r="O188" s="987"/>
      <c r="P188" s="988"/>
      <c r="Q188" s="988"/>
      <c r="R188" s="988"/>
      <c r="S188" s="988"/>
      <c r="T188" s="993"/>
      <c r="U188" s="1374"/>
      <c r="V188" s="939"/>
      <c r="W188" s="940"/>
      <c r="X188" s="940"/>
      <c r="Y188" s="940"/>
      <c r="Z188" s="940"/>
      <c r="AA188" s="940"/>
      <c r="AB188" s="940"/>
      <c r="AC188" s="946"/>
      <c r="AD188" s="103"/>
    </row>
    <row r="189" spans="3:30" ht="15">
      <c r="C189" s="103"/>
      <c r="D189" s="103"/>
      <c r="F189" s="103"/>
      <c r="G189" s="103"/>
      <c r="H189" s="103"/>
      <c r="I189" s="103"/>
      <c r="J189" s="103"/>
      <c r="K189" s="103"/>
      <c r="L189" s="103"/>
      <c r="M189" s="103"/>
      <c r="N189" s="103"/>
      <c r="O189" s="1375"/>
      <c r="P189" s="1375"/>
      <c r="Q189" s="1375"/>
      <c r="R189" s="1375"/>
      <c r="S189" s="1375"/>
      <c r="T189" s="1375"/>
      <c r="U189" s="1375"/>
      <c r="V189" s="1375"/>
      <c r="W189" s="1362" t="s">
        <v>43</v>
      </c>
      <c r="X189" s="1362"/>
      <c r="Y189" s="1362"/>
      <c r="Z189" s="1362"/>
      <c r="AA189" s="1362"/>
      <c r="AB189" s="1362"/>
      <c r="AC189" s="1362"/>
      <c r="AD189" s="103"/>
    </row>
    <row r="190" spans="3:30">
      <c r="C190" s="103"/>
      <c r="D190" s="103"/>
      <c r="E190" s="103" t="s">
        <v>585</v>
      </c>
      <c r="F190" s="103"/>
      <c r="G190" s="103"/>
      <c r="H190" s="103"/>
      <c r="I190" s="103"/>
      <c r="J190" s="103"/>
      <c r="K190" s="103"/>
      <c r="L190" s="103"/>
      <c r="M190" s="103"/>
      <c r="N190" s="103"/>
      <c r="O190" s="1375"/>
      <c r="P190" s="1375"/>
      <c r="Q190" s="1375"/>
      <c r="R190" s="1375"/>
      <c r="S190" s="1375"/>
      <c r="T190" s="1375"/>
      <c r="U190" s="1375"/>
      <c r="V190" s="1375"/>
      <c r="W190" s="327"/>
      <c r="X190" s="327"/>
      <c r="Y190" s="327"/>
      <c r="Z190" s="327"/>
      <c r="AA190" s="327"/>
      <c r="AB190" s="327"/>
      <c r="AC190" s="327"/>
      <c r="AD190" s="103"/>
    </row>
    <row r="191" spans="3:30">
      <c r="C191" s="103"/>
      <c r="D191" s="103"/>
      <c r="E191" s="103"/>
      <c r="F191" s="103"/>
      <c r="G191" s="103"/>
      <c r="H191" s="103"/>
      <c r="I191" s="103"/>
      <c r="J191" s="103"/>
      <c r="K191" s="103"/>
      <c r="L191" s="103"/>
      <c r="M191" s="103"/>
      <c r="N191" s="103"/>
      <c r="O191" s="1375"/>
      <c r="P191" s="1375"/>
      <c r="Q191" s="1375"/>
      <c r="R191" s="1375"/>
      <c r="S191" s="1375"/>
      <c r="T191" s="1375"/>
      <c r="U191" s="1375"/>
      <c r="V191" s="1375"/>
      <c r="W191" s="327"/>
      <c r="X191" s="327"/>
      <c r="Y191" s="327"/>
      <c r="Z191" s="327"/>
      <c r="AA191" s="327"/>
      <c r="AB191" s="327"/>
      <c r="AC191" s="327"/>
      <c r="AD191" s="103"/>
    </row>
    <row r="192" spans="3:30">
      <c r="C192" s="103"/>
      <c r="D192" s="103"/>
      <c r="E192" s="103"/>
      <c r="F192" s="103"/>
      <c r="G192" s="103"/>
      <c r="H192" s="103"/>
      <c r="I192" s="103"/>
      <c r="J192" s="103"/>
      <c r="K192" s="103"/>
      <c r="L192" s="103"/>
      <c r="M192" s="103"/>
      <c r="N192" s="103"/>
      <c r="O192" s="1375"/>
      <c r="P192" s="1375"/>
      <c r="Q192" s="1375"/>
      <c r="R192" s="1375"/>
      <c r="S192" s="1375"/>
      <c r="T192" s="1375"/>
      <c r="U192" s="1375"/>
      <c r="V192" s="1375"/>
      <c r="W192" s="327"/>
      <c r="X192" s="327"/>
      <c r="Y192" s="327"/>
      <c r="Z192" s="327"/>
      <c r="AA192" s="327"/>
      <c r="AB192" s="327"/>
      <c r="AC192" s="327"/>
      <c r="AD192" s="103"/>
    </row>
    <row r="193" spans="3:30">
      <c r="C193" s="103"/>
      <c r="D193" s="103"/>
      <c r="E193" s="103"/>
      <c r="F193" s="103"/>
      <c r="G193" s="103"/>
      <c r="H193" s="103"/>
      <c r="I193" s="103"/>
      <c r="J193" s="103"/>
      <c r="K193" s="103"/>
      <c r="L193" s="103"/>
      <c r="M193" s="103"/>
      <c r="N193" s="103"/>
      <c r="O193" s="1375"/>
      <c r="P193" s="1375"/>
      <c r="Q193" s="1375"/>
      <c r="R193" s="1375"/>
      <c r="S193" s="1375"/>
      <c r="T193" s="1375"/>
      <c r="U193" s="1375"/>
      <c r="V193" s="1375"/>
      <c r="W193" s="327"/>
      <c r="X193" s="327"/>
      <c r="Y193" s="327"/>
      <c r="Z193" s="327"/>
      <c r="AA193" s="327"/>
      <c r="AB193" s="327"/>
      <c r="AC193" s="327"/>
      <c r="AD193" s="103"/>
    </row>
    <row r="194" spans="3:30" ht="10.95" customHeight="1">
      <c r="C194" s="103"/>
      <c r="D194" s="103"/>
      <c r="E194" s="103"/>
      <c r="F194" s="103"/>
      <c r="G194" s="103"/>
      <c r="H194" s="103"/>
      <c r="I194" s="103"/>
      <c r="J194" s="103"/>
      <c r="K194" s="103"/>
      <c r="L194" s="103"/>
      <c r="M194" s="103"/>
      <c r="N194" s="103"/>
      <c r="O194" s="309"/>
      <c r="P194" s="310"/>
      <c r="Q194" s="310"/>
      <c r="R194" s="310"/>
      <c r="S194" s="310"/>
      <c r="T194" s="932"/>
      <c r="U194" s="1374"/>
      <c r="V194" s="309"/>
      <c r="W194" s="310"/>
      <c r="X194" s="310"/>
      <c r="Y194" s="310"/>
      <c r="Z194" s="310"/>
      <c r="AA194" s="310"/>
      <c r="AB194" s="310"/>
      <c r="AC194" s="932"/>
      <c r="AD194" s="103"/>
    </row>
    <row r="195" spans="3:30" ht="13.05" customHeight="1">
      <c r="C195" s="103"/>
      <c r="D195" s="103"/>
      <c r="E195" s="3" t="s">
        <v>346</v>
      </c>
      <c r="F195" s="103"/>
      <c r="G195" s="103"/>
      <c r="H195" s="1373" t="s">
        <v>307</v>
      </c>
      <c r="I195" s="1373"/>
      <c r="J195" s="1373"/>
      <c r="K195" s="1373"/>
      <c r="L195" s="1373"/>
      <c r="M195" s="1373"/>
      <c r="N195" s="103"/>
      <c r="O195" s="311"/>
      <c r="P195" s="967" t="s">
        <v>78</v>
      </c>
      <c r="Q195" s="434" t="s">
        <v>257</v>
      </c>
      <c r="R195" s="966"/>
      <c r="S195" s="434" t="s">
        <v>425</v>
      </c>
      <c r="T195" s="933"/>
      <c r="U195" s="1374"/>
      <c r="V195" s="311"/>
      <c r="W195" s="966" t="s">
        <v>156</v>
      </c>
      <c r="X195" s="1365" t="s">
        <v>50</v>
      </c>
      <c r="Y195" s="1366"/>
      <c r="Z195" s="967" t="s">
        <v>91</v>
      </c>
      <c r="AA195" s="968">
        <v>1.8</v>
      </c>
      <c r="AB195" s="122" t="s">
        <v>528</v>
      </c>
      <c r="AC195" s="945"/>
      <c r="AD195" s="103"/>
    </row>
    <row r="196" spans="3:30" ht="13.05" customHeight="1">
      <c r="C196" s="103"/>
      <c r="D196" s="103"/>
      <c r="E196" s="112" t="s">
        <v>347</v>
      </c>
      <c r="F196" s="103"/>
      <c r="G196" s="103"/>
      <c r="H196" s="1373">
        <v>8</v>
      </c>
      <c r="I196" s="1373"/>
      <c r="J196" s="1373"/>
      <c r="K196" s="1373"/>
      <c r="L196" s="1373"/>
      <c r="M196" s="1373"/>
      <c r="N196" s="103"/>
      <c r="O196" s="311"/>
      <c r="P196" s="122" t="s">
        <v>456</v>
      </c>
      <c r="Q196" s="962">
        <f>IF(S206=0,1.7825,"")</f>
        <v>1.7825</v>
      </c>
      <c r="R196" s="122"/>
      <c r="S196" s="962" t="str">
        <f>IF(S206=0,"",S206*S207)</f>
        <v/>
      </c>
      <c r="T196" s="934"/>
      <c r="U196" s="1374"/>
      <c r="V196" s="311"/>
      <c r="W196" s="122"/>
      <c r="X196" s="122"/>
      <c r="Y196" s="122"/>
      <c r="Z196" s="125"/>
      <c r="AA196" s="969"/>
      <c r="AB196" s="122"/>
      <c r="AC196" s="945"/>
      <c r="AD196" s="103"/>
    </row>
    <row r="197" spans="3:30" ht="13.05" customHeight="1">
      <c r="C197" s="103"/>
      <c r="D197" s="103"/>
      <c r="E197" s="103"/>
      <c r="F197" s="103"/>
      <c r="G197" s="1371" t="s">
        <v>496</v>
      </c>
      <c r="H197" s="1371"/>
      <c r="I197" s="1371"/>
      <c r="J197" s="1371"/>
      <c r="K197" s="103"/>
      <c r="L197" s="103"/>
      <c r="M197" s="103"/>
      <c r="N197" s="103"/>
      <c r="O197" s="311"/>
      <c r="P197" s="122" t="s">
        <v>457</v>
      </c>
      <c r="Q197" s="962">
        <f>IF(S206=0,1.5151,"")</f>
        <v>1.5150999999999999</v>
      </c>
      <c r="R197" s="122"/>
      <c r="S197" s="962" t="str">
        <f>IF(S206=0,"",(S198*S199))</f>
        <v/>
      </c>
      <c r="T197" s="934"/>
      <c r="U197" s="1374"/>
      <c r="V197" s="311"/>
      <c r="W197" s="966" t="s">
        <v>142</v>
      </c>
      <c r="X197" s="1365" t="s">
        <v>85</v>
      </c>
      <c r="Y197" s="1366"/>
      <c r="Z197" s="967" t="s">
        <v>213</v>
      </c>
      <c r="AA197" s="968">
        <v>0.7</v>
      </c>
      <c r="AB197" s="122" t="s">
        <v>528</v>
      </c>
      <c r="AC197" s="945"/>
      <c r="AD197" s="103"/>
    </row>
    <row r="198" spans="3:30" ht="13.05" customHeight="1">
      <c r="C198" s="103"/>
      <c r="D198" s="103"/>
      <c r="E198" s="103"/>
      <c r="F198" s="103"/>
      <c r="G198" s="103"/>
      <c r="H198" s="103"/>
      <c r="I198" s="103"/>
      <c r="J198" s="103"/>
      <c r="K198" s="103"/>
      <c r="L198" s="103"/>
      <c r="M198" s="103"/>
      <c r="N198" s="103"/>
      <c r="O198" s="311"/>
      <c r="P198" s="125" t="s">
        <v>458</v>
      </c>
      <c r="Q198" s="963">
        <f>IF(S206=0,1.5,"")</f>
        <v>1.5</v>
      </c>
      <c r="R198" s="122"/>
      <c r="S198" s="981"/>
      <c r="T198" s="935"/>
      <c r="U198" s="1374"/>
      <c r="V198" s="311"/>
      <c r="W198" s="122"/>
      <c r="X198" s="122"/>
      <c r="Y198" s="122"/>
      <c r="Z198" s="125"/>
      <c r="AA198" s="969"/>
      <c r="AB198" s="122"/>
      <c r="AC198" s="945"/>
      <c r="AD198" s="103"/>
    </row>
    <row r="199" spans="3:30" ht="13.05" customHeight="1">
      <c r="C199" s="103"/>
      <c r="D199" s="103"/>
      <c r="E199" s="103"/>
      <c r="F199" s="103"/>
      <c r="G199" s="1371" t="s">
        <v>519</v>
      </c>
      <c r="H199" s="1371"/>
      <c r="I199" s="1371"/>
      <c r="J199" s="1371"/>
      <c r="K199" s="103"/>
      <c r="L199" s="103"/>
      <c r="M199" s="103"/>
      <c r="N199" s="103"/>
      <c r="O199" s="311"/>
      <c r="P199" s="125" t="s">
        <v>459</v>
      </c>
      <c r="Q199" s="964">
        <f>IF(S206=0,1.01,"")</f>
        <v>1.01</v>
      </c>
      <c r="R199" s="122"/>
      <c r="S199" s="983"/>
      <c r="T199" s="935"/>
      <c r="U199" s="1374"/>
      <c r="V199" s="311"/>
      <c r="W199" s="966" t="s">
        <v>141</v>
      </c>
      <c r="X199" s="1367"/>
      <c r="Y199" s="1368"/>
      <c r="Z199" s="1368"/>
      <c r="AA199" s="1369"/>
      <c r="AB199" s="122"/>
      <c r="AC199" s="945"/>
      <c r="AD199" s="103"/>
    </row>
    <row r="200" spans="3:30" ht="10.95" customHeight="1">
      <c r="C200" s="103"/>
      <c r="D200" s="103"/>
      <c r="E200" s="103"/>
      <c r="F200" s="103"/>
      <c r="G200" s="103"/>
      <c r="H200" s="103"/>
      <c r="I200" s="103"/>
      <c r="J200" s="103"/>
      <c r="K200" s="103"/>
      <c r="L200" s="103"/>
      <c r="M200" s="103"/>
      <c r="N200" s="103"/>
      <c r="O200" s="311"/>
      <c r="P200" s="122"/>
      <c r="Q200" s="964"/>
      <c r="R200" s="122"/>
      <c r="S200" s="964"/>
      <c r="T200" s="936"/>
      <c r="U200" s="1374"/>
      <c r="V200" s="311"/>
      <c r="W200" s="122"/>
      <c r="X200" s="970"/>
      <c r="Y200" s="122"/>
      <c r="Z200" s="122"/>
      <c r="AA200" s="122"/>
      <c r="AB200" s="122"/>
      <c r="AC200" s="945"/>
      <c r="AD200" s="103"/>
    </row>
    <row r="201" spans="3:30" ht="13.05" customHeight="1">
      <c r="C201" s="103"/>
      <c r="D201" s="103"/>
      <c r="E201" s="103"/>
      <c r="F201" s="103"/>
      <c r="G201" s="103"/>
      <c r="H201" s="103"/>
      <c r="I201" s="103"/>
      <c r="J201" s="103"/>
      <c r="K201" s="103"/>
      <c r="L201" s="103"/>
      <c r="M201" s="103"/>
      <c r="N201" s="103"/>
      <c r="O201" s="311"/>
      <c r="P201" s="122" t="s">
        <v>475</v>
      </c>
      <c r="Q201" s="962">
        <f>IF(S206=0,0.2674,"")</f>
        <v>0.26740000000000003</v>
      </c>
      <c r="R201" s="122"/>
      <c r="S201" s="962" t="str">
        <f>IF(S206=0,"",S196-S197)</f>
        <v/>
      </c>
      <c r="T201" s="934"/>
      <c r="U201" s="1374"/>
      <c r="V201" s="311"/>
      <c r="W201" s="122"/>
      <c r="X201" s="122"/>
      <c r="Y201" s="122"/>
      <c r="Z201" s="967" t="s">
        <v>476</v>
      </c>
      <c r="AA201" s="968">
        <v>0.5</v>
      </c>
      <c r="AB201" s="122"/>
      <c r="AC201" s="945"/>
      <c r="AD201" s="103"/>
    </row>
    <row r="202" spans="3:30" ht="3" customHeight="1">
      <c r="C202" s="103"/>
      <c r="D202" s="103"/>
      <c r="E202" s="922"/>
      <c r="F202" s="923"/>
      <c r="G202" s="923"/>
      <c r="H202" s="923"/>
      <c r="I202" s="923"/>
      <c r="J202" s="923"/>
      <c r="K202" s="923"/>
      <c r="L202" s="919"/>
      <c r="M202" s="103"/>
      <c r="N202" s="103"/>
      <c r="O202" s="311"/>
      <c r="P202" s="122"/>
      <c r="Q202" s="964"/>
      <c r="R202" s="122"/>
      <c r="S202" s="964"/>
      <c r="T202" s="936"/>
      <c r="U202" s="1374"/>
      <c r="V202" s="311"/>
      <c r="W202" s="122"/>
      <c r="X202" s="122"/>
      <c r="Y202" s="122"/>
      <c r="Z202" s="122"/>
      <c r="AA202" s="122"/>
      <c r="AB202" s="122"/>
      <c r="AC202" s="945"/>
      <c r="AD202" s="103"/>
    </row>
    <row r="203" spans="3:30" ht="3" customHeight="1">
      <c r="C203" s="103"/>
      <c r="D203" s="103"/>
      <c r="E203" s="527"/>
      <c r="F203" s="954"/>
      <c r="G203" s="955"/>
      <c r="H203" s="955"/>
      <c r="I203" s="955"/>
      <c r="J203" s="955"/>
      <c r="K203" s="928"/>
      <c r="L203" s="312"/>
      <c r="M203" s="103"/>
      <c r="N203" s="103"/>
      <c r="O203" s="311"/>
      <c r="P203" s="122"/>
      <c r="Q203" s="964"/>
      <c r="R203" s="122"/>
      <c r="S203" s="964"/>
      <c r="T203" s="936"/>
      <c r="U203" s="1374"/>
      <c r="V203" s="311"/>
      <c r="W203" s="122"/>
      <c r="X203" s="122"/>
      <c r="Y203" s="122"/>
      <c r="Z203" s="122"/>
      <c r="AA203" s="122"/>
      <c r="AB203" s="122"/>
      <c r="AC203" s="945"/>
      <c r="AD203" s="103"/>
    </row>
    <row r="204" spans="3:30" ht="13.05" customHeight="1">
      <c r="C204" s="103"/>
      <c r="D204" s="103"/>
      <c r="E204" s="527"/>
      <c r="F204" s="872"/>
      <c r="G204" s="909"/>
      <c r="H204" s="909"/>
      <c r="I204" s="909"/>
      <c r="J204" s="909"/>
      <c r="K204" s="929"/>
      <c r="L204" s="312"/>
      <c r="M204" s="103"/>
      <c r="N204" s="103"/>
      <c r="O204" s="311"/>
      <c r="P204" s="122" t="s">
        <v>460</v>
      </c>
      <c r="Q204" s="964">
        <f>IF(S206=0,5.02,"")</f>
        <v>5.0199999999999996</v>
      </c>
      <c r="R204" s="122"/>
      <c r="S204" s="963" t="str">
        <f>IF(S206=0,"",2*S198+2*S199)</f>
        <v/>
      </c>
      <c r="T204" s="934"/>
      <c r="U204" s="1374"/>
      <c r="V204" s="311"/>
      <c r="W204" s="122"/>
      <c r="X204" s="122"/>
      <c r="Y204" s="122"/>
      <c r="Z204" s="122"/>
      <c r="AA204" s="122"/>
      <c r="AB204" s="122"/>
      <c r="AC204" s="945"/>
      <c r="AD204" s="103"/>
    </row>
    <row r="205" spans="3:30" ht="13.05" customHeight="1">
      <c r="C205" s="103"/>
      <c r="D205" s="103"/>
      <c r="E205" s="527"/>
      <c r="F205" s="872"/>
      <c r="G205" s="909"/>
      <c r="H205" s="909"/>
      <c r="I205" s="909"/>
      <c r="J205" s="909"/>
      <c r="K205" s="929"/>
      <c r="L205" s="312"/>
      <c r="M205" s="103"/>
      <c r="N205" s="103"/>
      <c r="O205" s="311"/>
      <c r="P205" s="122"/>
      <c r="Q205" s="964"/>
      <c r="R205" s="122"/>
      <c r="S205" s="964"/>
      <c r="T205" s="936"/>
      <c r="U205" s="1374"/>
      <c r="V205" s="311"/>
      <c r="W205" s="966" t="s">
        <v>478</v>
      </c>
      <c r="X205" s="1365" t="s">
        <v>86</v>
      </c>
      <c r="Y205" s="1366"/>
      <c r="Z205" s="966" t="s">
        <v>477</v>
      </c>
      <c r="AA205" s="971">
        <v>0.06</v>
      </c>
      <c r="AB205" s="122" t="s">
        <v>150</v>
      </c>
      <c r="AC205" s="945"/>
      <c r="AD205" s="103"/>
    </row>
    <row r="206" spans="3:30" ht="13.05" customHeight="1">
      <c r="C206" s="103"/>
      <c r="D206" s="103" t="s">
        <v>199</v>
      </c>
      <c r="E206" s="527"/>
      <c r="F206" s="872"/>
      <c r="G206" s="909"/>
      <c r="H206" s="909"/>
      <c r="I206" s="909"/>
      <c r="J206" s="909"/>
      <c r="K206" s="929"/>
      <c r="L206" s="312"/>
      <c r="M206" s="109" t="s">
        <v>204</v>
      </c>
      <c r="N206" s="109"/>
      <c r="O206" s="311"/>
      <c r="P206" s="122" t="s">
        <v>461</v>
      </c>
      <c r="Q206" s="964">
        <f>IF(S206=0,1.55,"")</f>
        <v>1.55</v>
      </c>
      <c r="R206" s="914" t="str">
        <f>IF(S198&gt;S206," ! ","")</f>
        <v/>
      </c>
      <c r="S206" s="981"/>
      <c r="T206" s="937"/>
      <c r="U206" s="1374"/>
      <c r="V206" s="311"/>
      <c r="W206" s="122"/>
      <c r="X206" s="122"/>
      <c r="Y206" s="122"/>
      <c r="Z206" s="122"/>
      <c r="AA206" s="122"/>
      <c r="AB206" s="122"/>
      <c r="AC206" s="945"/>
      <c r="AD206" s="103"/>
    </row>
    <row r="207" spans="3:30" ht="13.05" customHeight="1">
      <c r="C207" s="103"/>
      <c r="D207" s="103"/>
      <c r="E207" s="527"/>
      <c r="F207" s="872"/>
      <c r="G207" s="909"/>
      <c r="H207" s="909"/>
      <c r="I207" s="909"/>
      <c r="J207" s="909"/>
      <c r="K207" s="929"/>
      <c r="L207" s="312"/>
      <c r="M207" s="103"/>
      <c r="N207" s="103"/>
      <c r="O207" s="311"/>
      <c r="P207" s="122" t="s">
        <v>462</v>
      </c>
      <c r="Q207" s="964">
        <f>IF(S206=0,1.15,"")</f>
        <v>1.1499999999999999</v>
      </c>
      <c r="R207" s="914" t="str">
        <f>IF(S199&gt;S207," ! ","")</f>
        <v/>
      </c>
      <c r="S207" s="983"/>
      <c r="T207" s="937"/>
      <c r="U207" s="1374"/>
      <c r="V207" s="311"/>
      <c r="W207" s="122"/>
      <c r="X207" s="122"/>
      <c r="Y207" s="122"/>
      <c r="Z207" s="122"/>
      <c r="AA207" s="122"/>
      <c r="AB207" s="122"/>
      <c r="AC207" s="945"/>
      <c r="AD207" s="103"/>
    </row>
    <row r="208" spans="3:30" ht="10.95" customHeight="1">
      <c r="C208" s="103"/>
      <c r="D208" s="103"/>
      <c r="E208" s="527"/>
      <c r="F208" s="872"/>
      <c r="G208" s="909"/>
      <c r="H208" s="909"/>
      <c r="I208" s="909"/>
      <c r="J208" s="909"/>
      <c r="K208" s="929"/>
      <c r="L208" s="312"/>
      <c r="M208" s="103"/>
      <c r="N208" s="103"/>
      <c r="O208" s="311"/>
      <c r="P208" s="122"/>
      <c r="Q208" s="964"/>
      <c r="R208" s="122"/>
      <c r="S208" s="964"/>
      <c r="T208" s="936"/>
      <c r="U208" s="1374"/>
      <c r="V208" s="311"/>
      <c r="W208" s="122"/>
      <c r="X208" s="122"/>
      <c r="Y208" s="122"/>
      <c r="Z208" s="122"/>
      <c r="AA208" s="122"/>
      <c r="AB208" s="122"/>
      <c r="AC208" s="945"/>
      <c r="AD208" s="103"/>
    </row>
    <row r="209" spans="3:30" ht="13.05" customHeight="1">
      <c r="C209" s="103"/>
      <c r="D209" s="103"/>
      <c r="E209" s="527"/>
      <c r="F209" s="872"/>
      <c r="G209" s="909"/>
      <c r="H209" s="909"/>
      <c r="I209" s="909"/>
      <c r="J209" s="909"/>
      <c r="K209" s="929"/>
      <c r="L209" s="312"/>
      <c r="M209" s="103"/>
      <c r="N209" s="103"/>
      <c r="O209" s="311"/>
      <c r="P209" s="122" t="s">
        <v>286</v>
      </c>
      <c r="Q209" s="965" t="str">
        <f>IF(S206=0,"15%","")</f>
        <v>15%</v>
      </c>
      <c r="R209" s="122"/>
      <c r="S209" s="965" t="str">
        <f>IF(S206=0,"",S201/S196)</f>
        <v/>
      </c>
      <c r="T209" s="938"/>
      <c r="U209" s="1374"/>
      <c r="V209" s="311"/>
      <c r="W209" s="972" t="s">
        <v>214</v>
      </c>
      <c r="X209" s="972"/>
      <c r="Y209" s="972"/>
      <c r="Z209" s="972"/>
      <c r="AA209" s="973">
        <f>ROUND(IF(S206=0,(AA195*Q201+AA197*Q197+AA205*Q204)/Q196,(AA195*S201+AA197*S197+AA205*S204)/S196),2)</f>
        <v>1.03</v>
      </c>
      <c r="AB209" s="972" t="s">
        <v>528</v>
      </c>
      <c r="AC209" s="945"/>
      <c r="AD209" s="103"/>
    </row>
    <row r="210" spans="3:30" ht="4.95" customHeight="1">
      <c r="C210" s="103"/>
      <c r="D210" s="103"/>
      <c r="E210" s="527"/>
      <c r="F210" s="956"/>
      <c r="G210" s="957"/>
      <c r="H210" s="957"/>
      <c r="I210" s="957"/>
      <c r="J210" s="957"/>
      <c r="K210" s="931"/>
      <c r="L210" s="312"/>
      <c r="M210" s="103"/>
      <c r="N210" s="103"/>
      <c r="O210" s="311"/>
      <c r="P210" s="115"/>
      <c r="Q210" s="115"/>
      <c r="R210" s="115"/>
      <c r="S210" s="115"/>
      <c r="T210" s="945"/>
      <c r="U210" s="1374"/>
      <c r="V210" s="311"/>
      <c r="W210" s="115"/>
      <c r="X210" s="115"/>
      <c r="Y210" s="115"/>
      <c r="Z210" s="115"/>
      <c r="AA210" s="115"/>
      <c r="AB210" s="115"/>
      <c r="AC210" s="945"/>
      <c r="AD210" s="103"/>
    </row>
    <row r="211" spans="3:30" ht="3" customHeight="1">
      <c r="C211" s="103"/>
      <c r="D211" s="103"/>
      <c r="E211" s="924"/>
      <c r="F211" s="916"/>
      <c r="G211" s="916"/>
      <c r="H211" s="916"/>
      <c r="I211" s="916"/>
      <c r="J211" s="916"/>
      <c r="K211" s="916"/>
      <c r="L211" s="917"/>
      <c r="M211" s="103"/>
      <c r="N211" s="103"/>
      <c r="O211" s="939"/>
      <c r="P211" s="940"/>
      <c r="Q211" s="940"/>
      <c r="R211" s="940"/>
      <c r="S211" s="940"/>
      <c r="T211" s="946"/>
      <c r="U211" s="1374"/>
      <c r="V211" s="939"/>
      <c r="W211" s="940"/>
      <c r="X211" s="940"/>
      <c r="Y211" s="940"/>
      <c r="Z211" s="940"/>
      <c r="AA211" s="940"/>
      <c r="AB211" s="940"/>
      <c r="AC211" s="946"/>
      <c r="AD211" s="103"/>
    </row>
    <row r="212" spans="3:30" ht="3" customHeight="1">
      <c r="C212" s="103"/>
      <c r="D212" s="103"/>
      <c r="E212" s="103"/>
      <c r="F212" s="103"/>
      <c r="G212" s="103"/>
      <c r="H212" s="103"/>
      <c r="I212" s="103"/>
      <c r="J212" s="103"/>
      <c r="K212" s="103"/>
      <c r="L212" s="103"/>
      <c r="M212" s="103"/>
      <c r="N212" s="103"/>
      <c r="O212" s="103"/>
      <c r="P212" s="103"/>
      <c r="Q212" s="103"/>
      <c r="R212" s="103"/>
      <c r="S212" s="103"/>
      <c r="T212" s="103"/>
      <c r="U212" s="103"/>
      <c r="V212" s="103"/>
      <c r="W212" s="103"/>
      <c r="X212" s="103"/>
      <c r="Y212" s="103"/>
      <c r="Z212" s="103"/>
      <c r="AA212" s="103"/>
      <c r="AB212" s="103"/>
      <c r="AC212" s="103"/>
      <c r="AD212" s="103"/>
    </row>
    <row r="213" spans="3:30" ht="15">
      <c r="C213" s="103"/>
      <c r="D213" s="103"/>
      <c r="F213" s="103"/>
      <c r="G213" s="103"/>
      <c r="H213" s="103"/>
      <c r="I213" s="103"/>
      <c r="J213" s="103"/>
      <c r="K213" s="103"/>
      <c r="L213" s="103"/>
      <c r="M213" s="103"/>
      <c r="N213" s="103"/>
      <c r="O213" s="327"/>
      <c r="P213" s="327"/>
      <c r="Q213" s="327"/>
      <c r="R213" s="327"/>
      <c r="S213" s="327"/>
      <c r="T213" s="327"/>
      <c r="U213" s="327"/>
      <c r="V213" s="327"/>
      <c r="W213" s="1362" t="s">
        <v>43</v>
      </c>
      <c r="X213" s="1362"/>
      <c r="Y213" s="1362"/>
      <c r="Z213" s="1362"/>
      <c r="AA213" s="1362"/>
      <c r="AB213" s="1362"/>
      <c r="AC213" s="1362"/>
      <c r="AD213" s="103"/>
    </row>
    <row r="214" spans="3:30">
      <c r="C214" s="103"/>
      <c r="D214" s="103"/>
      <c r="E214" s="103" t="s">
        <v>585</v>
      </c>
      <c r="F214" s="103"/>
      <c r="G214" s="103"/>
      <c r="H214" s="103"/>
      <c r="I214" s="103"/>
      <c r="J214" s="103"/>
      <c r="K214" s="103"/>
      <c r="L214" s="103"/>
      <c r="M214" s="103"/>
      <c r="N214" s="103"/>
      <c r="O214" s="327"/>
      <c r="P214" s="327"/>
      <c r="Q214" s="327"/>
      <c r="R214" s="327"/>
      <c r="S214" s="327"/>
      <c r="T214" s="327"/>
      <c r="U214" s="327"/>
      <c r="V214" s="327"/>
      <c r="W214" s="327"/>
      <c r="X214" s="327"/>
      <c r="Y214" s="327"/>
      <c r="Z214" s="327"/>
      <c r="AA214" s="327"/>
      <c r="AB214" s="327"/>
      <c r="AC214" s="327"/>
      <c r="AD214" s="103"/>
    </row>
    <row r="215" spans="3:30">
      <c r="C215" s="103"/>
      <c r="D215" s="103"/>
      <c r="E215" s="103"/>
      <c r="F215" s="103"/>
      <c r="G215" s="103"/>
      <c r="H215" s="103"/>
      <c r="I215" s="103"/>
      <c r="J215" s="103"/>
      <c r="K215" s="103"/>
      <c r="L215" s="103"/>
      <c r="M215" s="103"/>
      <c r="N215" s="103"/>
      <c r="O215" s="327"/>
      <c r="P215" s="327"/>
      <c r="Q215" s="327"/>
      <c r="R215" s="327"/>
      <c r="S215" s="327"/>
      <c r="T215" s="327"/>
      <c r="U215" s="327"/>
      <c r="V215" s="327"/>
      <c r="W215" s="327"/>
      <c r="X215" s="327"/>
      <c r="Y215" s="327"/>
      <c r="Z215" s="327"/>
      <c r="AA215" s="327"/>
      <c r="AB215" s="327"/>
      <c r="AC215" s="327"/>
      <c r="AD215" s="103"/>
    </row>
    <row r="216" spans="3:30">
      <c r="C216" s="103"/>
      <c r="D216" s="103"/>
      <c r="F216" s="103"/>
      <c r="G216" s="103"/>
      <c r="H216" s="103"/>
      <c r="I216" s="103"/>
      <c r="J216" s="103"/>
      <c r="K216" s="103"/>
      <c r="L216" s="103"/>
      <c r="M216" s="103"/>
      <c r="N216" s="103"/>
      <c r="O216" s="327"/>
      <c r="P216" s="327"/>
      <c r="Q216" s="327"/>
      <c r="R216" s="327"/>
      <c r="S216" s="327"/>
      <c r="T216" s="327"/>
      <c r="U216" s="327"/>
      <c r="V216" s="327"/>
      <c r="W216" s="327"/>
      <c r="X216" s="327"/>
      <c r="Y216" s="327"/>
      <c r="Z216" s="327"/>
      <c r="AA216" s="327"/>
      <c r="AB216" s="327"/>
      <c r="AC216" s="327"/>
      <c r="AD216" s="103"/>
    </row>
    <row r="217" spans="3:30">
      <c r="C217" s="315" t="str">
        <f>IF(Nutzung!$G$8="","","Variante:")</f>
        <v/>
      </c>
      <c r="D217" s="103"/>
      <c r="E217" s="103"/>
      <c r="F217" s="103"/>
      <c r="G217" s="141" t="str">
        <f>IF(Nutzung!$G$8="","",Nutzung!$G$8)</f>
        <v/>
      </c>
      <c r="H217" s="103"/>
      <c r="I217" s="103"/>
      <c r="J217" s="103"/>
      <c r="K217" s="103"/>
      <c r="L217" s="103"/>
      <c r="M217" s="103"/>
      <c r="N217" s="103"/>
      <c r="O217" s="327"/>
      <c r="P217" s="327"/>
      <c r="Q217" s="327"/>
      <c r="R217" s="327"/>
      <c r="S217" s="327"/>
      <c r="T217" s="327"/>
      <c r="U217" s="327"/>
      <c r="V217" s="327"/>
      <c r="W217" s="327"/>
      <c r="X217" s="327"/>
      <c r="Y217" s="327"/>
      <c r="Z217" s="327"/>
      <c r="AA217" s="1376">
        <f ca="1">NOW()</f>
        <v>42122.346852083334</v>
      </c>
      <c r="AB217" s="1376"/>
      <c r="AC217" s="1376"/>
      <c r="AD217" s="103"/>
    </row>
    <row r="218" spans="3:30">
      <c r="C218" s="141">
        <f>C1</f>
        <v>0</v>
      </c>
      <c r="D218" s="103"/>
      <c r="E218" s="103"/>
      <c r="F218" s="103"/>
      <c r="G218" s="103"/>
      <c r="H218" s="103"/>
      <c r="I218" s="103"/>
      <c r="J218" s="103"/>
      <c r="K218" s="103"/>
      <c r="L218" s="103"/>
      <c r="M218" s="103"/>
      <c r="N218" s="103"/>
      <c r="O218" s="103"/>
      <c r="P218" s="103"/>
      <c r="Q218" s="103"/>
      <c r="R218" s="103"/>
      <c r="S218" s="141" t="str">
        <f>IF(Nutzung!$E$8="","",Nutzung!$E$8)</f>
        <v/>
      </c>
      <c r="T218" s="103"/>
      <c r="U218" s="103"/>
      <c r="V218" s="103"/>
      <c r="W218" s="103"/>
      <c r="X218" s="103"/>
      <c r="Y218" s="103"/>
      <c r="Z218" s="103"/>
      <c r="AA218" s="103"/>
      <c r="AB218" s="103"/>
      <c r="AC218" s="140" t="s">
        <v>408</v>
      </c>
      <c r="AD218" s="103"/>
    </row>
    <row r="219" spans="3:30">
      <c r="C219" s="103"/>
      <c r="D219" s="103"/>
      <c r="E219" s="103"/>
      <c r="F219" s="103"/>
      <c r="G219" s="103"/>
      <c r="H219" s="103"/>
      <c r="I219" s="103"/>
      <c r="J219" s="103"/>
      <c r="K219" s="103"/>
      <c r="L219" s="103"/>
      <c r="M219" s="103"/>
      <c r="N219" s="103"/>
      <c r="O219" s="103"/>
      <c r="P219" s="103"/>
      <c r="Q219" s="103"/>
      <c r="R219" s="103"/>
      <c r="S219" s="103"/>
      <c r="T219" s="103"/>
      <c r="U219" s="103"/>
      <c r="V219" s="103"/>
      <c r="W219" s="103"/>
      <c r="X219" s="103"/>
      <c r="Y219" s="103"/>
      <c r="Z219" s="103"/>
      <c r="AA219" s="103"/>
      <c r="AB219" s="103"/>
      <c r="AC219" s="103"/>
      <c r="AD219" s="103"/>
    </row>
    <row r="220" spans="3:30">
      <c r="C220" s="103"/>
      <c r="D220" s="103"/>
      <c r="E220" s="103"/>
      <c r="F220" s="103"/>
      <c r="G220" s="103"/>
      <c r="H220" s="103"/>
      <c r="I220" s="103"/>
      <c r="J220" s="103"/>
      <c r="K220" s="103"/>
      <c r="L220" s="103"/>
      <c r="M220" s="103"/>
      <c r="N220" s="103"/>
      <c r="O220" s="103"/>
      <c r="P220" s="103"/>
      <c r="Q220" s="103"/>
      <c r="R220" s="103"/>
      <c r="S220" s="103"/>
      <c r="T220" s="103"/>
      <c r="U220" s="103"/>
      <c r="V220" s="103"/>
      <c r="W220" s="103"/>
      <c r="X220" s="103"/>
      <c r="Y220" s="103"/>
      <c r="Z220" s="103"/>
      <c r="AA220" s="103"/>
      <c r="AB220" s="103"/>
      <c r="AC220" s="103"/>
      <c r="AD220" s="103"/>
    </row>
    <row r="221" spans="3:30" ht="18" customHeight="1">
      <c r="C221" s="103"/>
      <c r="D221" s="1370" t="s">
        <v>583</v>
      </c>
      <c r="E221" s="1370"/>
      <c r="F221" s="1370"/>
      <c r="G221" s="1370"/>
      <c r="H221" s="1370"/>
      <c r="I221" s="1370"/>
      <c r="J221" s="1370"/>
      <c r="K221" s="1370"/>
      <c r="L221" s="1370"/>
      <c r="M221" s="1370"/>
      <c r="N221" s="1370"/>
      <c r="O221" s="1370"/>
      <c r="P221" s="1370"/>
      <c r="Q221" s="1370"/>
      <c r="R221" s="1370"/>
      <c r="S221" s="1370"/>
      <c r="T221" s="1370"/>
      <c r="U221" s="1370"/>
      <c r="V221" s="1370"/>
      <c r="W221" s="1370"/>
      <c r="X221" s="1370"/>
      <c r="Y221" s="1370"/>
      <c r="Z221" s="1370"/>
      <c r="AA221" s="1370"/>
      <c r="AB221" s="1370"/>
      <c r="AC221" s="1370"/>
      <c r="AD221" s="103"/>
    </row>
    <row r="222" spans="3:30">
      <c r="C222" s="103"/>
      <c r="D222" s="105"/>
      <c r="E222" s="103"/>
      <c r="F222" s="103"/>
      <c r="G222" s="103"/>
      <c r="H222" s="103"/>
      <c r="I222" s="103"/>
      <c r="J222" s="103"/>
      <c r="K222" s="103"/>
      <c r="L222" s="103"/>
      <c r="M222" s="103"/>
      <c r="N222" s="103"/>
      <c r="O222" s="103"/>
      <c r="P222" s="103"/>
      <c r="Q222" s="103"/>
      <c r="R222" s="103"/>
      <c r="S222" s="103"/>
      <c r="T222" s="103"/>
      <c r="U222" s="103"/>
      <c r="V222" s="103"/>
      <c r="W222" s="103"/>
      <c r="X222" s="103"/>
      <c r="Y222" s="103"/>
      <c r="Z222" s="103"/>
      <c r="AA222" s="103"/>
      <c r="AB222" s="103"/>
      <c r="AC222" s="103"/>
      <c r="AD222" s="103"/>
    </row>
    <row r="223" spans="3:30">
      <c r="C223" s="103"/>
      <c r="D223" s="1363"/>
      <c r="E223" s="1363"/>
      <c r="F223" s="1363"/>
      <c r="G223" s="1363"/>
      <c r="H223" s="1363"/>
      <c r="I223" s="1363"/>
      <c r="J223" s="1363"/>
      <c r="K223" s="1363"/>
      <c r="L223" s="1363"/>
      <c r="M223" s="1363"/>
      <c r="N223" s="1363"/>
      <c r="O223" s="1363"/>
      <c r="P223" s="1363"/>
      <c r="Q223" s="1363"/>
      <c r="R223" s="1363"/>
      <c r="S223" s="1363"/>
      <c r="T223" s="1363"/>
      <c r="U223" s="1363"/>
      <c r="V223" s="1363"/>
      <c r="W223" s="1363"/>
      <c r="X223" s="1363"/>
      <c r="Y223" s="1363"/>
      <c r="Z223" s="1363"/>
      <c r="AA223" s="1363"/>
      <c r="AB223" s="1363"/>
      <c r="AC223" s="1363"/>
      <c r="AD223" s="103"/>
    </row>
    <row r="224" spans="3:30">
      <c r="C224" s="103"/>
      <c r="D224" s="99"/>
      <c r="E224" s="99"/>
      <c r="F224" s="99"/>
      <c r="G224" s="99"/>
      <c r="H224" s="99"/>
      <c r="I224" s="99"/>
      <c r="J224" s="99"/>
      <c r="K224" s="99"/>
      <c r="L224" s="99"/>
      <c r="M224" s="99"/>
      <c r="N224" s="99"/>
      <c r="O224" s="99"/>
      <c r="P224" s="99"/>
      <c r="Q224" s="99"/>
      <c r="R224" s="99"/>
      <c r="S224" s="99"/>
      <c r="T224" s="99"/>
      <c r="U224" s="99"/>
      <c r="V224" s="99"/>
      <c r="W224" s="99"/>
      <c r="X224" s="99"/>
      <c r="Y224" s="99"/>
      <c r="Z224" s="99"/>
      <c r="AA224" s="99"/>
      <c r="AB224" s="99"/>
      <c r="AC224" s="99"/>
      <c r="AD224" s="103"/>
    </row>
    <row r="225" spans="3:30">
      <c r="C225" s="103"/>
      <c r="D225" s="103"/>
      <c r="E225" s="103"/>
      <c r="F225" s="103"/>
      <c r="G225" s="103"/>
      <c r="H225" s="103"/>
      <c r="I225" s="103"/>
      <c r="J225" s="103"/>
      <c r="K225" s="103"/>
      <c r="L225" s="103"/>
      <c r="M225" s="103"/>
      <c r="N225" s="103"/>
      <c r="O225" s="103"/>
      <c r="P225" s="103"/>
      <c r="Q225" s="104"/>
      <c r="R225" s="103"/>
      <c r="S225" s="104"/>
      <c r="T225" s="104"/>
      <c r="U225" s="103"/>
      <c r="V225" s="103"/>
      <c r="W225" s="103"/>
      <c r="X225" s="103"/>
      <c r="Y225" s="103"/>
      <c r="Z225" s="103"/>
      <c r="AA225" s="103"/>
      <c r="AB225" s="103"/>
      <c r="AC225" s="103"/>
      <c r="AD225" s="103"/>
    </row>
    <row r="226" spans="3:30" ht="10.95" customHeight="1">
      <c r="C226" s="103"/>
      <c r="D226" s="103"/>
      <c r="E226" s="103"/>
      <c r="F226" s="103"/>
      <c r="G226" s="103"/>
      <c r="H226" s="103"/>
      <c r="I226" s="103"/>
      <c r="J226" s="103"/>
      <c r="K226" s="103"/>
      <c r="L226" s="103"/>
      <c r="M226" s="103"/>
      <c r="N226" s="103"/>
      <c r="O226" s="309"/>
      <c r="P226" s="310"/>
      <c r="Q226" s="943"/>
      <c r="R226" s="310"/>
      <c r="S226" s="943"/>
      <c r="T226" s="944"/>
      <c r="U226" s="103"/>
      <c r="V226" s="309"/>
      <c r="W226" s="310"/>
      <c r="X226" s="310"/>
      <c r="Y226" s="310"/>
      <c r="Z226" s="310"/>
      <c r="AA226" s="310"/>
      <c r="AB226" s="310"/>
      <c r="AC226" s="932"/>
      <c r="AD226" s="103"/>
    </row>
    <row r="227" spans="3:30" ht="13.05" customHeight="1">
      <c r="C227" s="103"/>
      <c r="D227" s="103"/>
      <c r="E227" s="3" t="s">
        <v>346</v>
      </c>
      <c r="F227" s="103"/>
      <c r="G227" s="103"/>
      <c r="H227" s="1373" t="s">
        <v>307</v>
      </c>
      <c r="I227" s="1373"/>
      <c r="J227" s="1373"/>
      <c r="K227" s="1373"/>
      <c r="L227" s="1373"/>
      <c r="M227" s="1373"/>
      <c r="N227" s="103"/>
      <c r="O227" s="311"/>
      <c r="P227" s="967" t="s">
        <v>78</v>
      </c>
      <c r="Q227" s="434" t="s">
        <v>257</v>
      </c>
      <c r="R227" s="966"/>
      <c r="S227" s="434" t="s">
        <v>425</v>
      </c>
      <c r="T227" s="933"/>
      <c r="U227" s="104"/>
      <c r="V227" s="311"/>
      <c r="W227" s="966" t="s">
        <v>156</v>
      </c>
      <c r="X227" s="1365" t="s">
        <v>50</v>
      </c>
      <c r="Y227" s="1366"/>
      <c r="Z227" s="967" t="s">
        <v>91</v>
      </c>
      <c r="AA227" s="968">
        <v>1.8</v>
      </c>
      <c r="AB227" s="122" t="s">
        <v>528</v>
      </c>
      <c r="AC227" s="945"/>
      <c r="AD227" s="103"/>
    </row>
    <row r="228" spans="3:30" ht="13.05" customHeight="1">
      <c r="C228" s="103"/>
      <c r="D228" s="103"/>
      <c r="E228" s="112" t="s">
        <v>347</v>
      </c>
      <c r="F228" s="103"/>
      <c r="G228" s="103"/>
      <c r="H228" s="1373">
        <v>9</v>
      </c>
      <c r="I228" s="1373"/>
      <c r="J228" s="1373"/>
      <c r="K228" s="1373"/>
      <c r="L228" s="1373"/>
      <c r="M228" s="1373"/>
      <c r="N228" s="103"/>
      <c r="O228" s="311"/>
      <c r="P228" s="122" t="s">
        <v>456</v>
      </c>
      <c r="Q228" s="962">
        <f>IF(S238=0,1.7825,"")</f>
        <v>1.7825</v>
      </c>
      <c r="R228" s="122"/>
      <c r="S228" s="962" t="str">
        <f>IF(S238=0,"",S238*S239)</f>
        <v/>
      </c>
      <c r="T228" s="934"/>
      <c r="U228" s="106"/>
      <c r="V228" s="311"/>
      <c r="W228" s="122"/>
      <c r="X228" s="122"/>
      <c r="Y228" s="122"/>
      <c r="Z228" s="125"/>
      <c r="AA228" s="969"/>
      <c r="AB228" s="122"/>
      <c r="AC228" s="945"/>
      <c r="AD228" s="103"/>
    </row>
    <row r="229" spans="3:30" ht="13.05" customHeight="1">
      <c r="C229" s="103"/>
      <c r="D229" s="103"/>
      <c r="E229" s="103"/>
      <c r="F229" s="103"/>
      <c r="G229" s="1371" t="s">
        <v>496</v>
      </c>
      <c r="H229" s="1371"/>
      <c r="I229" s="1371"/>
      <c r="J229" s="1371"/>
      <c r="K229" s="103"/>
      <c r="L229" s="103"/>
      <c r="M229" s="103"/>
      <c r="N229" s="103"/>
      <c r="O229" s="311"/>
      <c r="P229" s="122" t="s">
        <v>457</v>
      </c>
      <c r="Q229" s="962">
        <f>IF(S238=0,1.5151,"")</f>
        <v>1.5150999999999999</v>
      </c>
      <c r="R229" s="122"/>
      <c r="S229" s="962" t="str">
        <f>IF(S238=0,"",(S230*S231))</f>
        <v/>
      </c>
      <c r="T229" s="934"/>
      <c r="U229" s="107"/>
      <c r="V229" s="311"/>
      <c r="W229" s="966" t="s">
        <v>142</v>
      </c>
      <c r="X229" s="1365" t="s">
        <v>85</v>
      </c>
      <c r="Y229" s="1366"/>
      <c r="Z229" s="967" t="s">
        <v>213</v>
      </c>
      <c r="AA229" s="968">
        <v>0.7</v>
      </c>
      <c r="AB229" s="122" t="s">
        <v>528</v>
      </c>
      <c r="AC229" s="945"/>
      <c r="AD229" s="103"/>
    </row>
    <row r="230" spans="3:30" ht="13.05" customHeight="1">
      <c r="C230" s="103"/>
      <c r="D230" s="103"/>
      <c r="E230" s="103"/>
      <c r="F230" s="103"/>
      <c r="G230" s="103"/>
      <c r="H230" s="103"/>
      <c r="I230" s="103"/>
      <c r="J230" s="103"/>
      <c r="K230" s="103"/>
      <c r="L230" s="103"/>
      <c r="M230" s="103"/>
      <c r="N230" s="103"/>
      <c r="O230" s="311"/>
      <c r="P230" s="125" t="s">
        <v>458</v>
      </c>
      <c r="Q230" s="963">
        <f>IF(S238=0,1.5,"")</f>
        <v>1.5</v>
      </c>
      <c r="R230" s="122"/>
      <c r="S230" s="981"/>
      <c r="T230" s="935"/>
      <c r="U230" s="108"/>
      <c r="V230" s="311"/>
      <c r="W230" s="122"/>
      <c r="X230" s="122"/>
      <c r="Y230" s="122"/>
      <c r="Z230" s="125"/>
      <c r="AA230" s="969"/>
      <c r="AB230" s="122"/>
      <c r="AC230" s="945"/>
      <c r="AD230" s="103"/>
    </row>
    <row r="231" spans="3:30" ht="13.05" customHeight="1">
      <c r="C231" s="103"/>
      <c r="D231" s="103"/>
      <c r="E231" s="103"/>
      <c r="F231" s="103"/>
      <c r="G231" s="1371" t="s">
        <v>519</v>
      </c>
      <c r="H231" s="1371"/>
      <c r="I231" s="1371"/>
      <c r="J231" s="1371"/>
      <c r="K231" s="103"/>
      <c r="L231" s="103"/>
      <c r="M231" s="103"/>
      <c r="N231" s="103"/>
      <c r="O231" s="311"/>
      <c r="P231" s="125" t="s">
        <v>459</v>
      </c>
      <c r="Q231" s="964">
        <f>IF(S238=0,1.01,"")</f>
        <v>1.01</v>
      </c>
      <c r="R231" s="122"/>
      <c r="S231" s="983"/>
      <c r="T231" s="935"/>
      <c r="U231" s="108"/>
      <c r="V231" s="311"/>
      <c r="W231" s="966" t="s">
        <v>141</v>
      </c>
      <c r="X231" s="1367"/>
      <c r="Y231" s="1368"/>
      <c r="Z231" s="1368"/>
      <c r="AA231" s="1369"/>
      <c r="AB231" s="122"/>
      <c r="AC231" s="945"/>
      <c r="AD231" s="103"/>
    </row>
    <row r="232" spans="3:30" ht="10.95" customHeight="1">
      <c r="C232" s="103"/>
      <c r="D232" s="103"/>
      <c r="E232" s="103"/>
      <c r="F232" s="103"/>
      <c r="G232" s="103"/>
      <c r="H232" s="103"/>
      <c r="I232" s="103"/>
      <c r="J232" s="103"/>
      <c r="K232" s="103"/>
      <c r="L232" s="103"/>
      <c r="M232" s="103"/>
      <c r="N232" s="103"/>
      <c r="O232" s="311"/>
      <c r="P232" s="122"/>
      <c r="Q232" s="964"/>
      <c r="R232" s="122"/>
      <c r="S232" s="964"/>
      <c r="T232" s="936"/>
      <c r="U232" s="103"/>
      <c r="V232" s="311"/>
      <c r="W232" s="122"/>
      <c r="X232" s="970"/>
      <c r="Y232" s="122"/>
      <c r="Z232" s="122"/>
      <c r="AA232" s="122"/>
      <c r="AB232" s="122"/>
      <c r="AC232" s="945"/>
      <c r="AD232" s="103"/>
    </row>
    <row r="233" spans="3:30" ht="13.05" customHeight="1">
      <c r="C233" s="103"/>
      <c r="D233" s="103"/>
      <c r="E233" s="103"/>
      <c r="F233" s="103"/>
      <c r="G233" s="103"/>
      <c r="H233" s="103"/>
      <c r="I233" s="103"/>
      <c r="J233" s="103"/>
      <c r="K233" s="103"/>
      <c r="L233" s="103"/>
      <c r="M233" s="103"/>
      <c r="N233" s="103"/>
      <c r="O233" s="311"/>
      <c r="P233" s="122" t="s">
        <v>475</v>
      </c>
      <c r="Q233" s="962">
        <f>IF(S238=0,0.2674,"")</f>
        <v>0.26740000000000003</v>
      </c>
      <c r="R233" s="122"/>
      <c r="S233" s="962" t="str">
        <f>IF(S238=0,"",S228-S229)</f>
        <v/>
      </c>
      <c r="T233" s="934"/>
      <c r="U233" s="106"/>
      <c r="V233" s="311"/>
      <c r="W233" s="122"/>
      <c r="X233" s="122"/>
      <c r="Y233" s="122"/>
      <c r="Z233" s="967" t="s">
        <v>476</v>
      </c>
      <c r="AA233" s="968">
        <v>0.5</v>
      </c>
      <c r="AB233" s="122"/>
      <c r="AC233" s="945"/>
      <c r="AD233" s="103"/>
    </row>
    <row r="234" spans="3:30" ht="3" customHeight="1">
      <c r="C234" s="103"/>
      <c r="D234" s="103"/>
      <c r="E234" s="922"/>
      <c r="F234" s="923"/>
      <c r="G234" s="923"/>
      <c r="H234" s="923"/>
      <c r="I234" s="923"/>
      <c r="J234" s="923"/>
      <c r="K234" s="923"/>
      <c r="L234" s="919"/>
      <c r="M234" s="103"/>
      <c r="N234" s="103"/>
      <c r="O234" s="311"/>
      <c r="P234" s="122"/>
      <c r="Q234" s="964"/>
      <c r="R234" s="122"/>
      <c r="S234" s="964"/>
      <c r="T234" s="936"/>
      <c r="U234" s="103"/>
      <c r="V234" s="311"/>
      <c r="W234" s="122"/>
      <c r="X234" s="122"/>
      <c r="Y234" s="122"/>
      <c r="Z234" s="122"/>
      <c r="AA234" s="122"/>
      <c r="AB234" s="122"/>
      <c r="AC234" s="945"/>
      <c r="AD234" s="103"/>
    </row>
    <row r="235" spans="3:30" ht="3" customHeight="1">
      <c r="C235" s="103"/>
      <c r="D235" s="103"/>
      <c r="E235" s="527"/>
      <c r="F235" s="954"/>
      <c r="G235" s="955"/>
      <c r="H235" s="955"/>
      <c r="I235" s="955"/>
      <c r="J235" s="955"/>
      <c r="K235" s="928"/>
      <c r="L235" s="312"/>
      <c r="M235" s="103"/>
      <c r="N235" s="103"/>
      <c r="O235" s="311"/>
      <c r="P235" s="122"/>
      <c r="Q235" s="964"/>
      <c r="R235" s="122"/>
      <c r="S235" s="964"/>
      <c r="T235" s="936"/>
      <c r="U235" s="103"/>
      <c r="V235" s="311"/>
      <c r="W235" s="122"/>
      <c r="X235" s="122"/>
      <c r="Y235" s="122"/>
      <c r="Z235" s="122"/>
      <c r="AA235" s="122"/>
      <c r="AB235" s="122"/>
      <c r="AC235" s="945"/>
      <c r="AD235" s="103"/>
    </row>
    <row r="236" spans="3:30" ht="13.05" customHeight="1">
      <c r="C236" s="103"/>
      <c r="D236" s="103"/>
      <c r="E236" s="527"/>
      <c r="F236" s="872"/>
      <c r="G236" s="909"/>
      <c r="H236" s="909"/>
      <c r="I236" s="909"/>
      <c r="J236" s="909"/>
      <c r="K236" s="929"/>
      <c r="L236" s="312"/>
      <c r="M236" s="103"/>
      <c r="N236" s="103"/>
      <c r="O236" s="311"/>
      <c r="P236" s="122" t="s">
        <v>460</v>
      </c>
      <c r="Q236" s="964">
        <f>IF(S238=0,5.02,"")</f>
        <v>5.0199999999999996</v>
      </c>
      <c r="R236" s="122"/>
      <c r="S236" s="963" t="str">
        <f>IF(S238=0,"",2*S230+2*S231)</f>
        <v/>
      </c>
      <c r="T236" s="934"/>
      <c r="U236" s="106"/>
      <c r="V236" s="311"/>
      <c r="W236" s="122"/>
      <c r="X236" s="122"/>
      <c r="Y236" s="122"/>
      <c r="Z236" s="122"/>
      <c r="AA236" s="122"/>
      <c r="AB236" s="122"/>
      <c r="AC236" s="945"/>
      <c r="AD236" s="103"/>
    </row>
    <row r="237" spans="3:30" ht="13.05" customHeight="1">
      <c r="C237" s="103"/>
      <c r="D237" s="103"/>
      <c r="E237" s="527"/>
      <c r="F237" s="872"/>
      <c r="G237" s="909"/>
      <c r="H237" s="909"/>
      <c r="I237" s="909"/>
      <c r="J237" s="909"/>
      <c r="K237" s="929"/>
      <c r="L237" s="312"/>
      <c r="M237" s="103"/>
      <c r="N237" s="103"/>
      <c r="O237" s="311"/>
      <c r="P237" s="122"/>
      <c r="Q237" s="964"/>
      <c r="R237" s="122"/>
      <c r="S237" s="964"/>
      <c r="T237" s="936"/>
      <c r="U237" s="103"/>
      <c r="V237" s="311"/>
      <c r="W237" s="966" t="s">
        <v>478</v>
      </c>
      <c r="X237" s="1365" t="s">
        <v>86</v>
      </c>
      <c r="Y237" s="1366"/>
      <c r="Z237" s="966" t="s">
        <v>477</v>
      </c>
      <c r="AA237" s="971">
        <v>0.06</v>
      </c>
      <c r="AB237" s="122" t="s">
        <v>150</v>
      </c>
      <c r="AC237" s="945"/>
      <c r="AD237" s="103"/>
    </row>
    <row r="238" spans="3:30" ht="13.05" customHeight="1">
      <c r="C238" s="103"/>
      <c r="D238" s="103" t="s">
        <v>199</v>
      </c>
      <c r="E238" s="527"/>
      <c r="F238" s="872"/>
      <c r="G238" s="909"/>
      <c r="H238" s="909"/>
      <c r="I238" s="909"/>
      <c r="J238" s="909"/>
      <c r="K238" s="929"/>
      <c r="L238" s="312"/>
      <c r="M238" s="109" t="s">
        <v>204</v>
      </c>
      <c r="N238" s="109"/>
      <c r="O238" s="311"/>
      <c r="P238" s="122" t="s">
        <v>461</v>
      </c>
      <c r="Q238" s="964">
        <f>IF(S238=0,1.55,"")</f>
        <v>1.55</v>
      </c>
      <c r="R238" s="914" t="str">
        <f>IF(S230&gt;S238," ! ","")</f>
        <v/>
      </c>
      <c r="S238" s="981"/>
      <c r="T238" s="937"/>
      <c r="U238" s="110"/>
      <c r="V238" s="311"/>
      <c r="W238" s="122"/>
      <c r="X238" s="122"/>
      <c r="Y238" s="122"/>
      <c r="Z238" s="122"/>
      <c r="AA238" s="122"/>
      <c r="AB238" s="122"/>
      <c r="AC238" s="945"/>
      <c r="AD238" s="103"/>
    </row>
    <row r="239" spans="3:30" ht="13.05" customHeight="1">
      <c r="C239" s="103"/>
      <c r="D239" s="103"/>
      <c r="E239" s="527"/>
      <c r="F239" s="872"/>
      <c r="G239" s="909"/>
      <c r="H239" s="909"/>
      <c r="I239" s="909"/>
      <c r="J239" s="909"/>
      <c r="K239" s="929"/>
      <c r="L239" s="312"/>
      <c r="M239" s="103"/>
      <c r="N239" s="103"/>
      <c r="O239" s="311"/>
      <c r="P239" s="122" t="s">
        <v>462</v>
      </c>
      <c r="Q239" s="964">
        <f>IF(S238=0,1.15,"")</f>
        <v>1.1499999999999999</v>
      </c>
      <c r="R239" s="914" t="str">
        <f>IF(S231&gt;S239," ! ","")</f>
        <v/>
      </c>
      <c r="S239" s="983"/>
      <c r="T239" s="937"/>
      <c r="U239" s="110"/>
      <c r="V239" s="311"/>
      <c r="W239" s="122"/>
      <c r="X239" s="122"/>
      <c r="Y239" s="122"/>
      <c r="Z239" s="122"/>
      <c r="AA239" s="122"/>
      <c r="AB239" s="122"/>
      <c r="AC239" s="945"/>
      <c r="AD239" s="103"/>
    </row>
    <row r="240" spans="3:30" ht="10.95" customHeight="1">
      <c r="C240" s="103"/>
      <c r="D240" s="103"/>
      <c r="E240" s="527"/>
      <c r="F240" s="872"/>
      <c r="G240" s="909"/>
      <c r="H240" s="909"/>
      <c r="I240" s="909"/>
      <c r="J240" s="909"/>
      <c r="K240" s="929"/>
      <c r="L240" s="312"/>
      <c r="M240" s="103"/>
      <c r="N240" s="103"/>
      <c r="O240" s="311"/>
      <c r="P240" s="122"/>
      <c r="Q240" s="964"/>
      <c r="R240" s="122"/>
      <c r="S240" s="964"/>
      <c r="T240" s="936"/>
      <c r="U240" s="103"/>
      <c r="V240" s="311"/>
      <c r="W240" s="122"/>
      <c r="X240" s="122"/>
      <c r="Y240" s="122"/>
      <c r="Z240" s="122"/>
      <c r="AA240" s="122"/>
      <c r="AB240" s="122"/>
      <c r="AC240" s="945"/>
      <c r="AD240" s="103"/>
    </row>
    <row r="241" spans="3:30" ht="13.05" customHeight="1">
      <c r="C241" s="103"/>
      <c r="D241" s="103"/>
      <c r="E241" s="527"/>
      <c r="F241" s="872"/>
      <c r="G241" s="909"/>
      <c r="H241" s="909"/>
      <c r="I241" s="909"/>
      <c r="J241" s="909"/>
      <c r="K241" s="929"/>
      <c r="L241" s="312"/>
      <c r="M241" s="103"/>
      <c r="N241" s="103"/>
      <c r="O241" s="311"/>
      <c r="P241" s="122" t="s">
        <v>286</v>
      </c>
      <c r="Q241" s="965" t="str">
        <f>IF(S238=0,"15%","")</f>
        <v>15%</v>
      </c>
      <c r="R241" s="122"/>
      <c r="S241" s="965" t="str">
        <f>IF(S238=0,"",S233/S228)</f>
        <v/>
      </c>
      <c r="T241" s="938"/>
      <c r="U241" s="111"/>
      <c r="V241" s="311"/>
      <c r="W241" s="972" t="s">
        <v>214</v>
      </c>
      <c r="X241" s="972"/>
      <c r="Y241" s="972"/>
      <c r="Z241" s="972"/>
      <c r="AA241" s="973">
        <f>ROUND(IF(S238=0,(AA227*Q233+AA229*Q229+AA237*Q236)/Q228,(AA227*S233+AA229*S229+AA237*S236)/S228),2)</f>
        <v>1.03</v>
      </c>
      <c r="AB241" s="972" t="s">
        <v>528</v>
      </c>
      <c r="AC241" s="945"/>
      <c r="AD241" s="103"/>
    </row>
    <row r="242" spans="3:30" ht="4.95" customHeight="1">
      <c r="C242" s="103"/>
      <c r="D242" s="103"/>
      <c r="E242" s="527"/>
      <c r="F242" s="956"/>
      <c r="G242" s="957"/>
      <c r="H242" s="957"/>
      <c r="I242" s="957"/>
      <c r="J242" s="957"/>
      <c r="K242" s="931"/>
      <c r="L242" s="312"/>
      <c r="M242" s="103"/>
      <c r="N242" s="103"/>
      <c r="O242" s="311"/>
      <c r="P242" s="122"/>
      <c r="Q242" s="122"/>
      <c r="R242" s="122"/>
      <c r="S242" s="122"/>
      <c r="T242" s="945"/>
      <c r="U242" s="103"/>
      <c r="V242" s="311"/>
      <c r="W242" s="122"/>
      <c r="X242" s="122"/>
      <c r="Y242" s="122"/>
      <c r="Z242" s="122"/>
      <c r="AA242" s="122"/>
      <c r="AB242" s="122"/>
      <c r="AC242" s="945"/>
      <c r="AD242" s="103"/>
    </row>
    <row r="243" spans="3:30" ht="3" customHeight="1">
      <c r="C243" s="103"/>
      <c r="D243" s="103"/>
      <c r="E243" s="924"/>
      <c r="F243" s="916"/>
      <c r="G243" s="916"/>
      <c r="H243" s="916"/>
      <c r="I243" s="916"/>
      <c r="J243" s="916"/>
      <c r="K243" s="916"/>
      <c r="L243" s="917"/>
      <c r="M243" s="103"/>
      <c r="N243" s="103"/>
      <c r="O243" s="939"/>
      <c r="P243" s="940"/>
      <c r="Q243" s="940"/>
      <c r="R243" s="940"/>
      <c r="S243" s="940"/>
      <c r="T243" s="946"/>
      <c r="U243" s="103"/>
      <c r="V243" s="939"/>
      <c r="W243" s="940"/>
      <c r="X243" s="940"/>
      <c r="Y243" s="940"/>
      <c r="Z243" s="940"/>
      <c r="AA243" s="940"/>
      <c r="AB243" s="940"/>
      <c r="AC243" s="946"/>
      <c r="AD243" s="103"/>
    </row>
    <row r="244" spans="3:30" ht="15">
      <c r="C244" s="103"/>
      <c r="D244" s="103"/>
      <c r="F244" s="103"/>
      <c r="G244" s="103"/>
      <c r="H244" s="103"/>
      <c r="I244" s="103"/>
      <c r="J244" s="103"/>
      <c r="K244" s="103"/>
      <c r="L244" s="103"/>
      <c r="M244" s="103"/>
      <c r="N244" s="103"/>
      <c r="O244" s="1375"/>
      <c r="P244" s="1375"/>
      <c r="Q244" s="1375"/>
      <c r="R244" s="1375"/>
      <c r="S244" s="1375"/>
      <c r="T244" s="1375"/>
      <c r="U244" s="1375"/>
      <c r="V244" s="1375"/>
      <c r="W244" s="1362" t="s">
        <v>43</v>
      </c>
      <c r="X244" s="1362"/>
      <c r="Y244" s="1362"/>
      <c r="Z244" s="1362"/>
      <c r="AA244" s="1362"/>
      <c r="AB244" s="1362"/>
      <c r="AC244" s="1362"/>
      <c r="AD244" s="103"/>
    </row>
    <row r="245" spans="3:30">
      <c r="C245" s="103"/>
      <c r="D245" s="103"/>
      <c r="E245" s="103" t="s">
        <v>585</v>
      </c>
      <c r="F245" s="103"/>
      <c r="G245" s="103"/>
      <c r="H245" s="103"/>
      <c r="I245" s="103"/>
      <c r="J245" s="103"/>
      <c r="K245" s="103"/>
      <c r="L245" s="103"/>
      <c r="M245" s="103"/>
      <c r="N245" s="103"/>
      <c r="O245" s="1375"/>
      <c r="P245" s="1375"/>
      <c r="Q245" s="1375"/>
      <c r="R245" s="1375"/>
      <c r="S245" s="1375"/>
      <c r="T245" s="1375"/>
      <c r="U245" s="1375"/>
      <c r="V245" s="1375"/>
      <c r="W245" s="327"/>
      <c r="X245" s="327"/>
      <c r="Y245" s="327"/>
      <c r="Z245" s="327"/>
      <c r="AA245" s="327"/>
      <c r="AB245" s="327"/>
      <c r="AC245" s="327"/>
      <c r="AD245" s="103"/>
    </row>
    <row r="246" spans="3:30">
      <c r="C246" s="103"/>
      <c r="D246" s="103"/>
      <c r="E246" s="103"/>
      <c r="F246" s="103"/>
      <c r="G246" s="103"/>
      <c r="H246" s="103"/>
      <c r="I246" s="103"/>
      <c r="J246" s="103"/>
      <c r="K246" s="103"/>
      <c r="L246" s="103"/>
      <c r="M246" s="103"/>
      <c r="N246" s="103"/>
      <c r="O246" s="1375"/>
      <c r="P246" s="1375"/>
      <c r="Q246" s="1375"/>
      <c r="R246" s="1375"/>
      <c r="S246" s="1375"/>
      <c r="T246" s="1375"/>
      <c r="U246" s="1375"/>
      <c r="V246" s="1375"/>
      <c r="W246" s="327"/>
      <c r="X246" s="327"/>
      <c r="Y246" s="327"/>
      <c r="Z246" s="327"/>
      <c r="AA246" s="327"/>
      <c r="AB246" s="327"/>
      <c r="AC246" s="327"/>
      <c r="AD246" s="103"/>
    </row>
    <row r="247" spans="3:30">
      <c r="C247" s="103"/>
      <c r="D247" s="103"/>
      <c r="E247" s="103"/>
      <c r="F247" s="103"/>
      <c r="G247" s="103"/>
      <c r="H247" s="103"/>
      <c r="I247" s="103"/>
      <c r="J247" s="103"/>
      <c r="K247" s="103"/>
      <c r="L247" s="103"/>
      <c r="M247" s="103"/>
      <c r="N247" s="103"/>
      <c r="O247" s="1375"/>
      <c r="P247" s="1375"/>
      <c r="Q247" s="1375"/>
      <c r="R247" s="1375"/>
      <c r="S247" s="1375"/>
      <c r="T247" s="1375"/>
      <c r="U247" s="1375"/>
      <c r="V247" s="1375"/>
      <c r="W247" s="327"/>
      <c r="X247" s="327"/>
      <c r="Y247" s="327"/>
      <c r="Z247" s="327"/>
      <c r="AA247" s="327"/>
      <c r="AB247" s="327"/>
      <c r="AC247" s="327"/>
      <c r="AD247" s="103"/>
    </row>
    <row r="248" spans="3:30">
      <c r="C248" s="103"/>
      <c r="D248" s="103"/>
      <c r="E248" s="103"/>
      <c r="F248" s="103"/>
      <c r="G248" s="103"/>
      <c r="H248" s="103"/>
      <c r="I248" s="103"/>
      <c r="J248" s="103"/>
      <c r="K248" s="103"/>
      <c r="L248" s="103"/>
      <c r="M248" s="103"/>
      <c r="N248" s="103"/>
      <c r="O248" s="1375"/>
      <c r="P248" s="1375"/>
      <c r="Q248" s="1375"/>
      <c r="R248" s="1375"/>
      <c r="S248" s="1375"/>
      <c r="T248" s="1375"/>
      <c r="U248" s="1375"/>
      <c r="V248" s="1375"/>
      <c r="W248" s="327"/>
      <c r="X248" s="327"/>
      <c r="Y248" s="327"/>
      <c r="Z248" s="327"/>
      <c r="AA248" s="327"/>
      <c r="AB248" s="327"/>
      <c r="AC248" s="327"/>
      <c r="AD248" s="103"/>
    </row>
    <row r="249" spans="3:30" ht="10.95" customHeight="1">
      <c r="C249" s="103"/>
      <c r="D249" s="103"/>
      <c r="E249" s="103"/>
      <c r="F249" s="103"/>
      <c r="G249" s="103"/>
      <c r="H249" s="103"/>
      <c r="I249" s="103"/>
      <c r="J249" s="103"/>
      <c r="K249" s="103"/>
      <c r="L249" s="103"/>
      <c r="M249" s="103"/>
      <c r="N249" s="103"/>
      <c r="O249" s="309"/>
      <c r="P249" s="310"/>
      <c r="Q249" s="310"/>
      <c r="R249" s="310"/>
      <c r="S249" s="310"/>
      <c r="T249" s="932"/>
      <c r="U249" s="103"/>
      <c r="V249" s="309"/>
      <c r="W249" s="310"/>
      <c r="X249" s="310"/>
      <c r="Y249" s="310"/>
      <c r="Z249" s="310"/>
      <c r="AA249" s="310"/>
      <c r="AB249" s="310"/>
      <c r="AC249" s="932"/>
      <c r="AD249" s="103"/>
    </row>
    <row r="250" spans="3:30" ht="13.05" customHeight="1">
      <c r="C250" s="103"/>
      <c r="D250" s="103"/>
      <c r="E250" s="3" t="s">
        <v>346</v>
      </c>
      <c r="F250" s="103"/>
      <c r="G250" s="103"/>
      <c r="H250" s="1373" t="s">
        <v>307</v>
      </c>
      <c r="I250" s="1373"/>
      <c r="J250" s="1373"/>
      <c r="K250" s="1373"/>
      <c r="L250" s="1373"/>
      <c r="M250" s="1373"/>
      <c r="N250" s="103"/>
      <c r="O250" s="311"/>
      <c r="P250" s="967" t="s">
        <v>78</v>
      </c>
      <c r="Q250" s="434" t="s">
        <v>257</v>
      </c>
      <c r="R250" s="966"/>
      <c r="S250" s="434" t="s">
        <v>425</v>
      </c>
      <c r="T250" s="933"/>
      <c r="U250" s="104"/>
      <c r="V250" s="311"/>
      <c r="W250" s="966" t="s">
        <v>156</v>
      </c>
      <c r="X250" s="1365" t="s">
        <v>50</v>
      </c>
      <c r="Y250" s="1366"/>
      <c r="Z250" s="967" t="s">
        <v>91</v>
      </c>
      <c r="AA250" s="968">
        <v>1.8</v>
      </c>
      <c r="AB250" s="122" t="s">
        <v>528</v>
      </c>
      <c r="AC250" s="945"/>
      <c r="AD250" s="103"/>
    </row>
    <row r="251" spans="3:30" ht="13.05" customHeight="1">
      <c r="C251" s="103"/>
      <c r="D251" s="103"/>
      <c r="E251" s="112" t="s">
        <v>347</v>
      </c>
      <c r="F251" s="103"/>
      <c r="G251" s="103"/>
      <c r="H251" s="109"/>
      <c r="I251" s="1373">
        <v>10</v>
      </c>
      <c r="J251" s="1373"/>
      <c r="K251" s="1373"/>
      <c r="L251" s="1373"/>
      <c r="M251" s="1373"/>
      <c r="N251" s="103"/>
      <c r="O251" s="311"/>
      <c r="P251" s="122" t="s">
        <v>456</v>
      </c>
      <c r="Q251" s="962">
        <f>IF(S261=0,1.7825,"")</f>
        <v>1.7825</v>
      </c>
      <c r="R251" s="122"/>
      <c r="S251" s="962" t="str">
        <f>IF(S261=0,"",S261*S262)</f>
        <v/>
      </c>
      <c r="T251" s="934"/>
      <c r="U251" s="106"/>
      <c r="V251" s="311"/>
      <c r="W251" s="122"/>
      <c r="X251" s="122"/>
      <c r="Y251" s="122"/>
      <c r="Z251" s="125"/>
      <c r="AA251" s="969"/>
      <c r="AB251" s="122"/>
      <c r="AC251" s="945"/>
      <c r="AD251" s="103"/>
    </row>
    <row r="252" spans="3:30" ht="13.05" customHeight="1">
      <c r="C252" s="103"/>
      <c r="D252" s="103"/>
      <c r="E252" s="103"/>
      <c r="F252" s="103"/>
      <c r="G252" s="1371" t="s">
        <v>496</v>
      </c>
      <c r="H252" s="1371"/>
      <c r="I252" s="1371"/>
      <c r="J252" s="1371"/>
      <c r="K252" s="103"/>
      <c r="L252" s="103"/>
      <c r="M252" s="103"/>
      <c r="N252" s="103"/>
      <c r="O252" s="311"/>
      <c r="P252" s="122" t="s">
        <v>457</v>
      </c>
      <c r="Q252" s="962">
        <f>IF(S261=0,1.5151,"")</f>
        <v>1.5150999999999999</v>
      </c>
      <c r="R252" s="122"/>
      <c r="S252" s="962" t="str">
        <f>IF(S261=0,"",(S253*S254))</f>
        <v/>
      </c>
      <c r="T252" s="934"/>
      <c r="U252" s="107"/>
      <c r="V252" s="311"/>
      <c r="W252" s="966" t="s">
        <v>142</v>
      </c>
      <c r="X252" s="1365" t="s">
        <v>85</v>
      </c>
      <c r="Y252" s="1366"/>
      <c r="Z252" s="967" t="s">
        <v>213</v>
      </c>
      <c r="AA252" s="968">
        <v>0.7</v>
      </c>
      <c r="AB252" s="122" t="s">
        <v>528</v>
      </c>
      <c r="AC252" s="945"/>
      <c r="AD252" s="103"/>
    </row>
    <row r="253" spans="3:30" ht="13.05" customHeight="1">
      <c r="C253" s="103"/>
      <c r="D253" s="103"/>
      <c r="E253" s="103"/>
      <c r="F253" s="103"/>
      <c r="G253" s="103"/>
      <c r="H253" s="103"/>
      <c r="I253" s="103"/>
      <c r="J253" s="103"/>
      <c r="K253" s="103"/>
      <c r="L253" s="103"/>
      <c r="M253" s="103"/>
      <c r="N253" s="103"/>
      <c r="O253" s="311"/>
      <c r="P253" s="125" t="s">
        <v>458</v>
      </c>
      <c r="Q253" s="963">
        <f>IF(S261=0,1.5,"")</f>
        <v>1.5</v>
      </c>
      <c r="R253" s="122"/>
      <c r="S253" s="981"/>
      <c r="T253" s="935"/>
      <c r="U253" s="108"/>
      <c r="V253" s="311"/>
      <c r="W253" s="122"/>
      <c r="X253" s="122"/>
      <c r="Y253" s="122"/>
      <c r="Z253" s="125"/>
      <c r="AA253" s="969"/>
      <c r="AB253" s="122"/>
      <c r="AC253" s="945"/>
      <c r="AD253" s="103"/>
    </row>
    <row r="254" spans="3:30" ht="13.05" customHeight="1">
      <c r="C254" s="103"/>
      <c r="D254" s="103"/>
      <c r="E254" s="103"/>
      <c r="F254" s="103"/>
      <c r="G254" s="1371" t="s">
        <v>519</v>
      </c>
      <c r="H254" s="1371"/>
      <c r="I254" s="1371"/>
      <c r="J254" s="1371"/>
      <c r="K254" s="103"/>
      <c r="L254" s="103"/>
      <c r="M254" s="103"/>
      <c r="N254" s="103"/>
      <c r="O254" s="311"/>
      <c r="P254" s="125" t="s">
        <v>459</v>
      </c>
      <c r="Q254" s="964">
        <f>IF(S261=0,1.01,"")</f>
        <v>1.01</v>
      </c>
      <c r="R254" s="122"/>
      <c r="S254" s="983"/>
      <c r="T254" s="935"/>
      <c r="U254" s="108"/>
      <c r="V254" s="311"/>
      <c r="W254" s="966" t="s">
        <v>141</v>
      </c>
      <c r="X254" s="1367"/>
      <c r="Y254" s="1368"/>
      <c r="Z254" s="1368"/>
      <c r="AA254" s="1369"/>
      <c r="AB254" s="122"/>
      <c r="AC254" s="945"/>
      <c r="AD254" s="103"/>
    </row>
    <row r="255" spans="3:30" ht="10.95" customHeight="1">
      <c r="C255" s="103"/>
      <c r="D255" s="103"/>
      <c r="E255" s="103"/>
      <c r="F255" s="103"/>
      <c r="G255" s="103"/>
      <c r="H255" s="103"/>
      <c r="I255" s="103"/>
      <c r="J255" s="103"/>
      <c r="K255" s="103"/>
      <c r="L255" s="103"/>
      <c r="M255" s="103"/>
      <c r="N255" s="103"/>
      <c r="O255" s="311"/>
      <c r="P255" s="122"/>
      <c r="Q255" s="964"/>
      <c r="R255" s="122"/>
      <c r="S255" s="964"/>
      <c r="T255" s="936"/>
      <c r="U255" s="103"/>
      <c r="V255" s="311"/>
      <c r="W255" s="122"/>
      <c r="X255" s="970"/>
      <c r="Y255" s="122"/>
      <c r="Z255" s="122"/>
      <c r="AA255" s="122"/>
      <c r="AB255" s="122"/>
      <c r="AC255" s="945"/>
      <c r="AD255" s="103"/>
    </row>
    <row r="256" spans="3:30" ht="13.05" customHeight="1">
      <c r="C256" s="103"/>
      <c r="D256" s="103"/>
      <c r="E256" s="103"/>
      <c r="F256" s="103"/>
      <c r="G256" s="103"/>
      <c r="H256" s="103"/>
      <c r="I256" s="103"/>
      <c r="J256" s="103"/>
      <c r="K256" s="103"/>
      <c r="L256" s="103"/>
      <c r="M256" s="103"/>
      <c r="N256" s="103"/>
      <c r="O256" s="311"/>
      <c r="P256" s="122" t="s">
        <v>475</v>
      </c>
      <c r="Q256" s="962">
        <f>IF(S261=0,0.2674,"")</f>
        <v>0.26740000000000003</v>
      </c>
      <c r="R256" s="122"/>
      <c r="S256" s="962" t="str">
        <f>IF(S261=0,"",S251-S252)</f>
        <v/>
      </c>
      <c r="T256" s="934"/>
      <c r="U256" s="106"/>
      <c r="V256" s="311"/>
      <c r="W256" s="122"/>
      <c r="X256" s="122"/>
      <c r="Y256" s="122"/>
      <c r="Z256" s="967" t="s">
        <v>476</v>
      </c>
      <c r="AA256" s="968">
        <v>0.5</v>
      </c>
      <c r="AB256" s="122"/>
      <c r="AC256" s="945"/>
      <c r="AD256" s="103"/>
    </row>
    <row r="257" spans="3:30" ht="3" customHeight="1">
      <c r="C257" s="103"/>
      <c r="D257" s="103"/>
      <c r="E257" s="922"/>
      <c r="F257" s="923"/>
      <c r="G257" s="923"/>
      <c r="H257" s="923"/>
      <c r="I257" s="923"/>
      <c r="J257" s="923"/>
      <c r="K257" s="923"/>
      <c r="L257" s="919"/>
      <c r="M257" s="103"/>
      <c r="N257" s="103"/>
      <c r="O257" s="311"/>
      <c r="P257" s="122"/>
      <c r="Q257" s="964"/>
      <c r="R257" s="122"/>
      <c r="S257" s="964"/>
      <c r="T257" s="936"/>
      <c r="U257" s="103"/>
      <c r="V257" s="311"/>
      <c r="W257" s="122"/>
      <c r="X257" s="122"/>
      <c r="Y257" s="122"/>
      <c r="Z257" s="122"/>
      <c r="AA257" s="122"/>
      <c r="AB257" s="122"/>
      <c r="AC257" s="945"/>
      <c r="AD257" s="103"/>
    </row>
    <row r="258" spans="3:30" ht="3" customHeight="1">
      <c r="C258" s="103"/>
      <c r="D258" s="103"/>
      <c r="E258" s="527"/>
      <c r="F258" s="954"/>
      <c r="G258" s="955"/>
      <c r="H258" s="955"/>
      <c r="I258" s="955"/>
      <c r="J258" s="955"/>
      <c r="K258" s="928"/>
      <c r="L258" s="312"/>
      <c r="M258" s="103"/>
      <c r="N258" s="103"/>
      <c r="O258" s="311"/>
      <c r="P258" s="122"/>
      <c r="Q258" s="964"/>
      <c r="R258" s="122"/>
      <c r="S258" s="964"/>
      <c r="T258" s="936"/>
      <c r="U258" s="103"/>
      <c r="V258" s="311"/>
      <c r="W258" s="122"/>
      <c r="X258" s="122"/>
      <c r="Y258" s="122"/>
      <c r="Z258" s="122"/>
      <c r="AA258" s="122"/>
      <c r="AB258" s="122"/>
      <c r="AC258" s="945"/>
      <c r="AD258" s="103"/>
    </row>
    <row r="259" spans="3:30" ht="13.05" customHeight="1">
      <c r="C259" s="103"/>
      <c r="D259" s="103"/>
      <c r="E259" s="527"/>
      <c r="F259" s="872"/>
      <c r="G259" s="909"/>
      <c r="H259" s="909"/>
      <c r="I259" s="909"/>
      <c r="J259" s="909"/>
      <c r="K259" s="929"/>
      <c r="L259" s="312"/>
      <c r="M259" s="103"/>
      <c r="N259" s="103"/>
      <c r="O259" s="311"/>
      <c r="P259" s="122" t="s">
        <v>460</v>
      </c>
      <c r="Q259" s="964">
        <f>IF(S261=0,5.02,"")</f>
        <v>5.0199999999999996</v>
      </c>
      <c r="R259" s="122"/>
      <c r="S259" s="963" t="str">
        <f>IF(S261=0,"",2*S253+2*S254)</f>
        <v/>
      </c>
      <c r="T259" s="934"/>
      <c r="U259" s="106"/>
      <c r="V259" s="311"/>
      <c r="W259" s="122"/>
      <c r="X259" s="122"/>
      <c r="Y259" s="122"/>
      <c r="Z259" s="122"/>
      <c r="AA259" s="122"/>
      <c r="AB259" s="122"/>
      <c r="AC259" s="945"/>
      <c r="AD259" s="103"/>
    </row>
    <row r="260" spans="3:30" ht="13.05" customHeight="1">
      <c r="C260" s="103"/>
      <c r="D260" s="103"/>
      <c r="E260" s="527"/>
      <c r="F260" s="872"/>
      <c r="G260" s="909"/>
      <c r="H260" s="909"/>
      <c r="I260" s="909"/>
      <c r="J260" s="909"/>
      <c r="K260" s="929"/>
      <c r="L260" s="312"/>
      <c r="M260" s="103"/>
      <c r="N260" s="103"/>
      <c r="O260" s="311"/>
      <c r="P260" s="122"/>
      <c r="Q260" s="964"/>
      <c r="R260" s="122"/>
      <c r="S260" s="964"/>
      <c r="T260" s="936"/>
      <c r="U260" s="103"/>
      <c r="V260" s="311"/>
      <c r="W260" s="966" t="s">
        <v>478</v>
      </c>
      <c r="X260" s="1365" t="s">
        <v>86</v>
      </c>
      <c r="Y260" s="1366"/>
      <c r="Z260" s="966" t="s">
        <v>477</v>
      </c>
      <c r="AA260" s="971">
        <v>0.06</v>
      </c>
      <c r="AB260" s="122" t="s">
        <v>150</v>
      </c>
      <c r="AC260" s="945"/>
      <c r="AD260" s="103"/>
    </row>
    <row r="261" spans="3:30" ht="13.05" customHeight="1">
      <c r="C261" s="103"/>
      <c r="D261" s="103" t="s">
        <v>199</v>
      </c>
      <c r="E261" s="527"/>
      <c r="F261" s="872"/>
      <c r="G261" s="909"/>
      <c r="H261" s="909"/>
      <c r="I261" s="909"/>
      <c r="J261" s="909"/>
      <c r="K261" s="929"/>
      <c r="L261" s="312"/>
      <c r="M261" s="109" t="s">
        <v>204</v>
      </c>
      <c r="N261" s="109"/>
      <c r="O261" s="311"/>
      <c r="P261" s="122" t="s">
        <v>461</v>
      </c>
      <c r="Q261" s="964">
        <f>IF(S261=0,1.55,"")</f>
        <v>1.55</v>
      </c>
      <c r="R261" s="914" t="str">
        <f>IF(S253&gt;S261," ! ","")</f>
        <v/>
      </c>
      <c r="S261" s="981"/>
      <c r="T261" s="937"/>
      <c r="U261" s="110"/>
      <c r="V261" s="311"/>
      <c r="W261" s="122"/>
      <c r="X261" s="122"/>
      <c r="Y261" s="122"/>
      <c r="Z261" s="122"/>
      <c r="AA261" s="122"/>
      <c r="AB261" s="122"/>
      <c r="AC261" s="945"/>
      <c r="AD261" s="103"/>
    </row>
    <row r="262" spans="3:30" ht="13.05" customHeight="1">
      <c r="C262" s="103"/>
      <c r="D262" s="103"/>
      <c r="E262" s="527"/>
      <c r="F262" s="872"/>
      <c r="G262" s="909"/>
      <c r="H262" s="909"/>
      <c r="I262" s="909"/>
      <c r="J262" s="909"/>
      <c r="K262" s="929"/>
      <c r="L262" s="312"/>
      <c r="M262" s="103"/>
      <c r="N262" s="103"/>
      <c r="O262" s="311"/>
      <c r="P262" s="122" t="s">
        <v>462</v>
      </c>
      <c r="Q262" s="964">
        <f>IF(S261=0,1.15,"")</f>
        <v>1.1499999999999999</v>
      </c>
      <c r="R262" s="914" t="str">
        <f>IF(S254&gt;S262," ! ","")</f>
        <v/>
      </c>
      <c r="S262" s="983"/>
      <c r="T262" s="937"/>
      <c r="U262" s="110"/>
      <c r="V262" s="311"/>
      <c r="W262" s="122"/>
      <c r="X262" s="122"/>
      <c r="Y262" s="122"/>
      <c r="Z262" s="122"/>
      <c r="AA262" s="122"/>
      <c r="AB262" s="122"/>
      <c r="AC262" s="945"/>
      <c r="AD262" s="103"/>
    </row>
    <row r="263" spans="3:30" ht="10.95" customHeight="1">
      <c r="C263" s="103"/>
      <c r="D263" s="103"/>
      <c r="E263" s="527"/>
      <c r="F263" s="872"/>
      <c r="G263" s="909"/>
      <c r="H263" s="909"/>
      <c r="I263" s="909"/>
      <c r="J263" s="909"/>
      <c r="K263" s="929"/>
      <c r="L263" s="312"/>
      <c r="M263" s="103"/>
      <c r="N263" s="103"/>
      <c r="O263" s="311"/>
      <c r="P263" s="122"/>
      <c r="Q263" s="964"/>
      <c r="R263" s="122"/>
      <c r="S263" s="964"/>
      <c r="T263" s="936"/>
      <c r="U263" s="103"/>
      <c r="V263" s="311"/>
      <c r="W263" s="122"/>
      <c r="X263" s="122"/>
      <c r="Y263" s="122"/>
      <c r="Z263" s="122"/>
      <c r="AA263" s="122"/>
      <c r="AB263" s="122"/>
      <c r="AC263" s="945"/>
      <c r="AD263" s="103"/>
    </row>
    <row r="264" spans="3:30" ht="13.05" customHeight="1">
      <c r="C264" s="103"/>
      <c r="D264" s="103"/>
      <c r="E264" s="527"/>
      <c r="F264" s="872"/>
      <c r="G264" s="909"/>
      <c r="H264" s="909"/>
      <c r="I264" s="909"/>
      <c r="J264" s="909"/>
      <c r="K264" s="929"/>
      <c r="L264" s="312"/>
      <c r="M264" s="103"/>
      <c r="N264" s="103"/>
      <c r="O264" s="311"/>
      <c r="P264" s="122" t="s">
        <v>286</v>
      </c>
      <c r="Q264" s="965" t="str">
        <f>IF(S261=0,"15%","")</f>
        <v>15%</v>
      </c>
      <c r="R264" s="122"/>
      <c r="S264" s="965" t="str">
        <f>IF(S261=0,"",S256/S251)</f>
        <v/>
      </c>
      <c r="T264" s="938"/>
      <c r="U264" s="111"/>
      <c r="V264" s="311"/>
      <c r="W264" s="972" t="s">
        <v>214</v>
      </c>
      <c r="X264" s="972"/>
      <c r="Y264" s="972"/>
      <c r="Z264" s="972"/>
      <c r="AA264" s="973">
        <f>ROUND(IF(S261=0,(AA250*Q256+AA252*Q252+AA260*Q259)/Q251,(AA250*S256+AA252*S252+AA260*S259)/S251),2)</f>
        <v>1.03</v>
      </c>
      <c r="AB264" s="972" t="s">
        <v>528</v>
      </c>
      <c r="AC264" s="945"/>
      <c r="AD264" s="103"/>
    </row>
    <row r="265" spans="3:30" ht="4.95" customHeight="1">
      <c r="C265" s="103"/>
      <c r="D265" s="103"/>
      <c r="E265" s="527"/>
      <c r="F265" s="956"/>
      <c r="G265" s="957"/>
      <c r="H265" s="957"/>
      <c r="I265" s="957"/>
      <c r="J265" s="957"/>
      <c r="K265" s="931"/>
      <c r="L265" s="312"/>
      <c r="M265" s="103"/>
      <c r="N265" s="103"/>
      <c r="O265" s="311"/>
      <c r="P265" s="115"/>
      <c r="Q265" s="115"/>
      <c r="R265" s="115"/>
      <c r="S265" s="115"/>
      <c r="T265" s="945"/>
      <c r="U265" s="103"/>
      <c r="V265" s="311"/>
      <c r="W265" s="115"/>
      <c r="X265" s="115"/>
      <c r="Y265" s="115"/>
      <c r="Z265" s="115"/>
      <c r="AA265" s="115"/>
      <c r="AB265" s="115"/>
      <c r="AC265" s="945"/>
      <c r="AD265" s="103"/>
    </row>
    <row r="266" spans="3:30" ht="3" customHeight="1">
      <c r="C266" s="103"/>
      <c r="D266" s="103"/>
      <c r="E266" s="924"/>
      <c r="F266" s="916"/>
      <c r="G266" s="916"/>
      <c r="H266" s="916"/>
      <c r="I266" s="916"/>
      <c r="J266" s="916"/>
      <c r="K266" s="916"/>
      <c r="L266" s="917"/>
      <c r="M266" s="103"/>
      <c r="N266" s="103"/>
      <c r="O266" s="939"/>
      <c r="P266" s="940"/>
      <c r="Q266" s="940"/>
      <c r="R266" s="940"/>
      <c r="S266" s="940"/>
      <c r="T266" s="946"/>
      <c r="U266" s="103"/>
      <c r="V266" s="939"/>
      <c r="W266" s="940"/>
      <c r="X266" s="940"/>
      <c r="Y266" s="940"/>
      <c r="Z266" s="940"/>
      <c r="AA266" s="940"/>
      <c r="AB266" s="940"/>
      <c r="AC266" s="946"/>
      <c r="AD266" s="103"/>
    </row>
    <row r="267" spans="3:30" ht="15">
      <c r="C267" s="103"/>
      <c r="D267" s="103"/>
      <c r="F267" s="103"/>
      <c r="G267" s="103"/>
      <c r="H267" s="103"/>
      <c r="I267" s="103"/>
      <c r="J267" s="103"/>
      <c r="K267" s="103"/>
      <c r="L267" s="103"/>
      <c r="M267" s="103"/>
      <c r="N267" s="103"/>
      <c r="O267" s="327"/>
      <c r="P267" s="327"/>
      <c r="Q267" s="327"/>
      <c r="R267" s="327"/>
      <c r="S267" s="327"/>
      <c r="T267" s="327"/>
      <c r="U267" s="327"/>
      <c r="V267" s="327"/>
      <c r="W267" s="1362" t="s">
        <v>43</v>
      </c>
      <c r="X267" s="1362"/>
      <c r="Y267" s="1362"/>
      <c r="Z267" s="1362"/>
      <c r="AA267" s="1362"/>
      <c r="AB267" s="1362"/>
      <c r="AC267" s="1362"/>
      <c r="AD267" s="103"/>
    </row>
    <row r="268" spans="3:30">
      <c r="C268" s="103"/>
      <c r="D268" s="103"/>
      <c r="E268" s="103" t="s">
        <v>585</v>
      </c>
      <c r="F268" s="103"/>
      <c r="G268" s="103"/>
      <c r="H268" s="103"/>
      <c r="I268" s="103"/>
      <c r="J268" s="103"/>
      <c r="K268" s="103"/>
      <c r="L268" s="103"/>
      <c r="M268" s="103"/>
      <c r="N268" s="103"/>
      <c r="O268" s="327"/>
      <c r="P268" s="327"/>
      <c r="Q268" s="327"/>
      <c r="R268" s="327"/>
      <c r="S268" s="327"/>
      <c r="T268" s="327"/>
      <c r="U268" s="327"/>
      <c r="V268" s="327"/>
      <c r="W268" s="327"/>
      <c r="X268" s="327"/>
      <c r="Y268" s="327"/>
      <c r="Z268" s="327"/>
      <c r="AA268" s="327"/>
      <c r="AB268" s="327"/>
      <c r="AC268" s="327"/>
      <c r="AD268" s="103"/>
    </row>
    <row r="269" spans="3:30">
      <c r="C269" s="103"/>
      <c r="D269" s="103"/>
      <c r="E269" s="103"/>
      <c r="F269" s="103"/>
      <c r="G269" s="103"/>
      <c r="H269" s="103"/>
      <c r="I269" s="103"/>
      <c r="J269" s="103"/>
      <c r="K269" s="103"/>
      <c r="L269" s="103"/>
      <c r="M269" s="103"/>
      <c r="N269" s="103"/>
      <c r="O269" s="327"/>
      <c r="P269" s="327"/>
      <c r="Q269" s="327"/>
      <c r="R269" s="327"/>
      <c r="S269" s="327"/>
      <c r="T269" s="327"/>
      <c r="U269" s="327"/>
      <c r="V269" s="327"/>
      <c r="W269" s="327"/>
      <c r="X269" s="327"/>
      <c r="Y269" s="327"/>
      <c r="Z269" s="327"/>
      <c r="AA269" s="327"/>
      <c r="AB269" s="327"/>
      <c r="AC269" s="327"/>
      <c r="AD269" s="103"/>
    </row>
    <row r="270" spans="3:30">
      <c r="C270" s="103"/>
      <c r="D270" s="103"/>
      <c r="E270" s="103"/>
      <c r="F270" s="103"/>
      <c r="G270" s="103"/>
      <c r="H270" s="103"/>
      <c r="I270" s="103"/>
      <c r="J270" s="103"/>
      <c r="K270" s="103"/>
      <c r="L270" s="103"/>
      <c r="M270" s="103"/>
      <c r="N270" s="103"/>
      <c r="O270" s="327"/>
      <c r="P270" s="327"/>
      <c r="Q270" s="327"/>
      <c r="R270" s="327"/>
      <c r="S270" s="327"/>
      <c r="T270" s="327"/>
      <c r="U270" s="327"/>
      <c r="V270" s="327"/>
      <c r="W270" s="327"/>
      <c r="X270" s="327"/>
      <c r="Y270" s="327"/>
      <c r="Z270" s="327"/>
      <c r="AA270" s="327"/>
      <c r="AB270" s="327"/>
      <c r="AC270" s="327"/>
      <c r="AD270" s="103"/>
    </row>
    <row r="271" spans="3:30">
      <c r="C271" s="315" t="str">
        <f>IF(Nutzung!$G$8="","","Variante:")</f>
        <v/>
      </c>
      <c r="D271" s="103"/>
      <c r="E271" s="103"/>
      <c r="F271" s="103"/>
      <c r="G271" s="141" t="str">
        <f>IF(Nutzung!$G$8="","",Nutzung!$G$8)</f>
        <v/>
      </c>
      <c r="H271" s="103"/>
      <c r="I271" s="103"/>
      <c r="J271" s="103"/>
      <c r="K271" s="103"/>
      <c r="L271" s="103"/>
      <c r="M271" s="103"/>
      <c r="N271" s="103"/>
      <c r="O271" s="327"/>
      <c r="P271" s="327"/>
      <c r="Q271" s="327"/>
      <c r="R271" s="327"/>
      <c r="S271" s="327"/>
      <c r="T271" s="327"/>
      <c r="U271" s="327"/>
      <c r="V271" s="327"/>
      <c r="W271" s="327"/>
      <c r="X271" s="327"/>
      <c r="Y271" s="327"/>
      <c r="Z271" s="327"/>
      <c r="AA271" s="1376">
        <f ca="1">NOW()</f>
        <v>42122.346852083334</v>
      </c>
      <c r="AB271" s="1376"/>
      <c r="AC271" s="1376"/>
      <c r="AD271" s="103"/>
    </row>
    <row r="272" spans="3:30">
      <c r="C272" s="141">
        <f>C1</f>
        <v>0</v>
      </c>
      <c r="D272" s="103"/>
      <c r="E272" s="103"/>
      <c r="F272" s="103"/>
      <c r="G272" s="103"/>
      <c r="H272" s="103"/>
      <c r="I272" s="103"/>
      <c r="J272" s="103"/>
      <c r="K272" s="103"/>
      <c r="L272" s="103"/>
      <c r="M272" s="103"/>
      <c r="N272" s="103"/>
      <c r="O272" s="103"/>
      <c r="P272" s="103"/>
      <c r="Q272" s="103"/>
      <c r="R272" s="103"/>
      <c r="S272" s="141" t="str">
        <f>IF(Nutzung!$E$8="","",Nutzung!$E$8)</f>
        <v/>
      </c>
      <c r="T272" s="103"/>
      <c r="U272" s="103"/>
      <c r="V272" s="103"/>
      <c r="W272" s="103"/>
      <c r="X272" s="103"/>
      <c r="Y272" s="103"/>
      <c r="Z272" s="103"/>
      <c r="AA272" s="103"/>
      <c r="AB272" s="103"/>
      <c r="AC272" s="140" t="s">
        <v>285</v>
      </c>
      <c r="AD272" s="103"/>
    </row>
    <row r="273" spans="3:30">
      <c r="C273" s="103"/>
      <c r="D273" s="103"/>
      <c r="E273" s="103"/>
      <c r="F273" s="103"/>
      <c r="G273" s="103"/>
      <c r="H273" s="103"/>
      <c r="I273" s="103"/>
      <c r="J273" s="103"/>
      <c r="K273" s="103"/>
      <c r="L273" s="103"/>
      <c r="M273" s="103"/>
      <c r="N273" s="103"/>
      <c r="O273" s="103"/>
      <c r="P273" s="103"/>
      <c r="Q273" s="103"/>
      <c r="R273" s="103"/>
      <c r="S273" s="103"/>
      <c r="T273" s="103"/>
      <c r="U273" s="103"/>
      <c r="V273" s="103"/>
      <c r="W273" s="103"/>
      <c r="X273" s="103"/>
      <c r="Y273" s="103"/>
      <c r="Z273" s="103"/>
      <c r="AA273" s="103"/>
      <c r="AB273" s="103"/>
      <c r="AC273" s="103"/>
      <c r="AD273" s="103"/>
    </row>
    <row r="274" spans="3:30">
      <c r="C274" s="103"/>
      <c r="D274" s="103"/>
      <c r="E274" s="103"/>
      <c r="F274" s="103"/>
      <c r="G274" s="103"/>
      <c r="H274" s="103"/>
      <c r="I274" s="103"/>
      <c r="J274" s="103"/>
      <c r="K274" s="103"/>
      <c r="L274" s="103"/>
      <c r="M274" s="103"/>
      <c r="N274" s="103"/>
      <c r="O274" s="103"/>
      <c r="P274" s="103"/>
      <c r="Q274" s="103"/>
      <c r="R274" s="103"/>
      <c r="S274" s="103"/>
      <c r="T274" s="103"/>
      <c r="U274" s="103"/>
      <c r="V274" s="103"/>
      <c r="W274" s="103"/>
      <c r="X274" s="103"/>
      <c r="Y274" s="103"/>
      <c r="Z274" s="103"/>
      <c r="AA274" s="103"/>
      <c r="AB274" s="103"/>
      <c r="AC274" s="103"/>
      <c r="AD274" s="103"/>
    </row>
    <row r="275" spans="3:30" ht="18" customHeight="1">
      <c r="C275" s="103"/>
      <c r="D275" s="1370" t="s">
        <v>583</v>
      </c>
      <c r="E275" s="1370"/>
      <c r="F275" s="1370"/>
      <c r="G275" s="1370"/>
      <c r="H275" s="1370"/>
      <c r="I275" s="1370"/>
      <c r="J275" s="1370"/>
      <c r="K275" s="1370"/>
      <c r="L275" s="1370"/>
      <c r="M275" s="1370"/>
      <c r="N275" s="1370"/>
      <c r="O275" s="1370"/>
      <c r="P275" s="1370"/>
      <c r="Q275" s="1370"/>
      <c r="R275" s="1370"/>
      <c r="S275" s="1370"/>
      <c r="T275" s="1370"/>
      <c r="U275" s="1370"/>
      <c r="V275" s="1370"/>
      <c r="W275" s="1370"/>
      <c r="X275" s="1370"/>
      <c r="Y275" s="1370"/>
      <c r="Z275" s="1370"/>
      <c r="AA275" s="1370"/>
      <c r="AB275" s="1370"/>
      <c r="AC275" s="1370"/>
      <c r="AD275" s="103"/>
    </row>
    <row r="276" spans="3:30" ht="10.95" customHeight="1">
      <c r="C276" s="103"/>
      <c r="D276" s="105"/>
      <c r="E276" s="103"/>
      <c r="F276" s="103"/>
      <c r="G276" s="103"/>
      <c r="H276" s="103"/>
      <c r="I276" s="103"/>
      <c r="J276" s="103"/>
      <c r="K276" s="103"/>
      <c r="L276" s="103"/>
      <c r="M276" s="103"/>
      <c r="N276" s="103"/>
      <c r="O276" s="103"/>
      <c r="P276" s="103"/>
      <c r="Q276" s="103"/>
      <c r="R276" s="103"/>
      <c r="S276" s="103"/>
      <c r="T276" s="103"/>
      <c r="U276" s="103"/>
      <c r="V276" s="103"/>
      <c r="W276" s="103"/>
      <c r="X276" s="103"/>
      <c r="Y276" s="103"/>
      <c r="Z276" s="103"/>
      <c r="AA276" s="103"/>
      <c r="AB276" s="103"/>
      <c r="AC276" s="103"/>
      <c r="AD276" s="103"/>
    </row>
    <row r="277" spans="3:30" ht="10.95" customHeight="1">
      <c r="C277" s="103"/>
      <c r="D277" s="1363"/>
      <c r="E277" s="1363"/>
      <c r="F277" s="1363"/>
      <c r="G277" s="1363"/>
      <c r="H277" s="1363"/>
      <c r="I277" s="1363"/>
      <c r="J277" s="1363"/>
      <c r="K277" s="1363"/>
      <c r="L277" s="1363"/>
      <c r="M277" s="1363"/>
      <c r="N277" s="1363"/>
      <c r="O277" s="1363"/>
      <c r="P277" s="1363"/>
      <c r="Q277" s="1363"/>
      <c r="R277" s="1363"/>
      <c r="S277" s="1363"/>
      <c r="T277" s="1363"/>
      <c r="U277" s="1363"/>
      <c r="V277" s="1363"/>
      <c r="W277" s="1363"/>
      <c r="X277" s="1363"/>
      <c r="Y277" s="1363"/>
      <c r="Z277" s="1363"/>
      <c r="AA277" s="1363"/>
      <c r="AB277" s="1363"/>
      <c r="AC277" s="1363"/>
      <c r="AD277" s="103"/>
    </row>
    <row r="278" spans="3:30" ht="10.95" customHeight="1">
      <c r="C278" s="103"/>
      <c r="D278" s="99"/>
      <c r="E278" s="99"/>
      <c r="F278" s="99"/>
      <c r="G278" s="99"/>
      <c r="H278" s="99"/>
      <c r="I278" s="99"/>
      <c r="J278" s="99"/>
      <c r="K278" s="99"/>
      <c r="L278" s="99"/>
      <c r="M278" s="99"/>
      <c r="N278" s="99"/>
      <c r="O278" s="99"/>
      <c r="P278" s="99"/>
      <c r="Q278" s="99"/>
      <c r="R278" s="99"/>
      <c r="S278" s="99"/>
      <c r="T278" s="99"/>
      <c r="U278" s="99"/>
      <c r="V278" s="99"/>
      <c r="W278" s="99"/>
      <c r="X278" s="99"/>
      <c r="Y278" s="99"/>
      <c r="Z278" s="99"/>
      <c r="AA278" s="99"/>
      <c r="AB278" s="99"/>
      <c r="AC278" s="99"/>
      <c r="AD278" s="103"/>
    </row>
    <row r="279" spans="3:30" ht="10.95" customHeight="1">
      <c r="C279" s="103"/>
      <c r="D279" s="103"/>
      <c r="E279" s="103"/>
      <c r="F279" s="103"/>
      <c r="G279" s="103"/>
      <c r="H279" s="103"/>
      <c r="I279" s="103"/>
      <c r="J279" s="103"/>
      <c r="K279" s="103"/>
      <c r="L279" s="103"/>
      <c r="M279" s="103"/>
      <c r="N279" s="103"/>
      <c r="O279" s="103"/>
      <c r="P279" s="103"/>
      <c r="Q279" s="104"/>
      <c r="R279" s="103"/>
      <c r="S279" s="104"/>
      <c r="T279" s="104"/>
      <c r="U279" s="103"/>
      <c r="V279" s="103"/>
      <c r="W279" s="103"/>
      <c r="X279" s="103"/>
      <c r="Y279" s="103"/>
      <c r="Z279" s="103"/>
      <c r="AA279" s="103"/>
      <c r="AB279" s="103"/>
      <c r="AC279" s="103"/>
      <c r="AD279" s="103"/>
    </row>
    <row r="280" spans="3:30" ht="10.95" customHeight="1">
      <c r="C280" s="103"/>
      <c r="D280" s="103"/>
      <c r="E280" s="103"/>
      <c r="F280" s="103"/>
      <c r="G280" s="103"/>
      <c r="H280" s="103"/>
      <c r="I280" s="103"/>
      <c r="J280" s="103"/>
      <c r="K280" s="103"/>
      <c r="L280" s="103"/>
      <c r="M280" s="103"/>
      <c r="N280" s="103"/>
      <c r="O280" s="309"/>
      <c r="P280" s="310"/>
      <c r="Q280" s="943"/>
      <c r="R280" s="310"/>
      <c r="S280" s="943"/>
      <c r="T280" s="944"/>
      <c r="U280" s="103"/>
      <c r="V280" s="309"/>
      <c r="W280" s="310"/>
      <c r="X280" s="310"/>
      <c r="Y280" s="310"/>
      <c r="Z280" s="310"/>
      <c r="AA280" s="310"/>
      <c r="AB280" s="310"/>
      <c r="AC280" s="932"/>
      <c r="AD280" s="103"/>
    </row>
    <row r="281" spans="3:30" ht="13.05" customHeight="1">
      <c r="C281" s="103"/>
      <c r="D281" s="103"/>
      <c r="E281" s="3" t="s">
        <v>346</v>
      </c>
      <c r="F281" s="103"/>
      <c r="G281" s="103"/>
      <c r="H281" s="1373" t="s">
        <v>307</v>
      </c>
      <c r="I281" s="1373"/>
      <c r="J281" s="1373"/>
      <c r="K281" s="1373"/>
      <c r="L281" s="1373"/>
      <c r="M281" s="1373"/>
      <c r="N281" s="103"/>
      <c r="O281" s="311"/>
      <c r="P281" s="967" t="s">
        <v>78</v>
      </c>
      <c r="Q281" s="434" t="s">
        <v>257</v>
      </c>
      <c r="R281" s="966"/>
      <c r="S281" s="434" t="s">
        <v>425</v>
      </c>
      <c r="T281" s="933"/>
      <c r="U281" s="104"/>
      <c r="V281" s="311"/>
      <c r="W281" s="966" t="s">
        <v>156</v>
      </c>
      <c r="X281" s="1365" t="s">
        <v>50</v>
      </c>
      <c r="Y281" s="1366"/>
      <c r="Z281" s="967" t="s">
        <v>91</v>
      </c>
      <c r="AA281" s="968">
        <v>1.8</v>
      </c>
      <c r="AB281" s="122" t="s">
        <v>528</v>
      </c>
      <c r="AC281" s="945"/>
      <c r="AD281" s="103"/>
    </row>
    <row r="282" spans="3:30" ht="13.05" customHeight="1">
      <c r="C282" s="103"/>
      <c r="D282" s="103"/>
      <c r="E282" s="112" t="s">
        <v>347</v>
      </c>
      <c r="F282" s="103"/>
      <c r="G282" s="103"/>
      <c r="H282" s="1373">
        <v>11</v>
      </c>
      <c r="I282" s="1373"/>
      <c r="J282" s="1373"/>
      <c r="K282" s="1373"/>
      <c r="L282" s="1373"/>
      <c r="M282" s="1373"/>
      <c r="N282" s="103"/>
      <c r="O282" s="311"/>
      <c r="P282" s="122" t="s">
        <v>456</v>
      </c>
      <c r="Q282" s="962">
        <f>IF(S292=0,1.7825,"")</f>
        <v>1.7825</v>
      </c>
      <c r="R282" s="122"/>
      <c r="S282" s="962" t="str">
        <f>IF(S292=0,"",S292*S293)</f>
        <v/>
      </c>
      <c r="T282" s="934"/>
      <c r="U282" s="106"/>
      <c r="V282" s="311"/>
      <c r="W282" s="122"/>
      <c r="X282" s="122"/>
      <c r="Y282" s="122"/>
      <c r="Z282" s="125"/>
      <c r="AA282" s="969"/>
      <c r="AB282" s="122"/>
      <c r="AC282" s="945"/>
      <c r="AD282" s="103"/>
    </row>
    <row r="283" spans="3:30" ht="13.05" customHeight="1">
      <c r="C283" s="103"/>
      <c r="D283" s="103"/>
      <c r="E283" s="103"/>
      <c r="F283" s="103"/>
      <c r="G283" s="1371" t="s">
        <v>496</v>
      </c>
      <c r="H283" s="1371"/>
      <c r="I283" s="1371"/>
      <c r="J283" s="1371"/>
      <c r="K283" s="103"/>
      <c r="L283" s="103"/>
      <c r="M283" s="103"/>
      <c r="N283" s="103"/>
      <c r="O283" s="311"/>
      <c r="P283" s="122" t="s">
        <v>457</v>
      </c>
      <c r="Q283" s="962">
        <f>IF(S292=0,1.5151,"")</f>
        <v>1.5150999999999999</v>
      </c>
      <c r="R283" s="122"/>
      <c r="S283" s="962" t="str">
        <f>IF(S292=0,"",(S284*S285))</f>
        <v/>
      </c>
      <c r="T283" s="934"/>
      <c r="U283" s="107"/>
      <c r="V283" s="311"/>
      <c r="W283" s="966" t="s">
        <v>142</v>
      </c>
      <c r="X283" s="1365" t="s">
        <v>85</v>
      </c>
      <c r="Y283" s="1366"/>
      <c r="Z283" s="967" t="s">
        <v>213</v>
      </c>
      <c r="AA283" s="968">
        <v>0.7</v>
      </c>
      <c r="AB283" s="122" t="s">
        <v>528</v>
      </c>
      <c r="AC283" s="945"/>
      <c r="AD283" s="103"/>
    </row>
    <row r="284" spans="3:30" ht="13.05" customHeight="1">
      <c r="C284" s="103"/>
      <c r="D284" s="103"/>
      <c r="E284" s="103"/>
      <c r="F284" s="103"/>
      <c r="G284" s="103"/>
      <c r="H284" s="103"/>
      <c r="I284" s="103"/>
      <c r="J284" s="103"/>
      <c r="K284" s="103"/>
      <c r="L284" s="103"/>
      <c r="M284" s="103"/>
      <c r="N284" s="103"/>
      <c r="O284" s="311"/>
      <c r="P284" s="125" t="s">
        <v>458</v>
      </c>
      <c r="Q284" s="963">
        <f>IF(S292=0,1.5,"")</f>
        <v>1.5</v>
      </c>
      <c r="R284" s="122"/>
      <c r="S284" s="981"/>
      <c r="T284" s="935"/>
      <c r="U284" s="108"/>
      <c r="V284" s="311"/>
      <c r="W284" s="122"/>
      <c r="X284" s="122"/>
      <c r="Y284" s="122"/>
      <c r="Z284" s="125"/>
      <c r="AA284" s="969"/>
      <c r="AB284" s="122"/>
      <c r="AC284" s="945"/>
      <c r="AD284" s="103"/>
    </row>
    <row r="285" spans="3:30" ht="13.05" customHeight="1">
      <c r="C285" s="103"/>
      <c r="D285" s="103"/>
      <c r="E285" s="103"/>
      <c r="F285" s="103"/>
      <c r="G285" s="1371" t="s">
        <v>519</v>
      </c>
      <c r="H285" s="1371"/>
      <c r="I285" s="1371"/>
      <c r="J285" s="1371"/>
      <c r="K285" s="103"/>
      <c r="L285" s="103"/>
      <c r="M285" s="103"/>
      <c r="N285" s="103"/>
      <c r="O285" s="311"/>
      <c r="P285" s="125" t="s">
        <v>459</v>
      </c>
      <c r="Q285" s="964">
        <f>IF(S292=0,1.01,"")</f>
        <v>1.01</v>
      </c>
      <c r="R285" s="122"/>
      <c r="S285" s="983"/>
      <c r="T285" s="935"/>
      <c r="U285" s="108"/>
      <c r="V285" s="311"/>
      <c r="W285" s="966" t="s">
        <v>141</v>
      </c>
      <c r="X285" s="1367"/>
      <c r="Y285" s="1368"/>
      <c r="Z285" s="1368"/>
      <c r="AA285" s="1369"/>
      <c r="AB285" s="122"/>
      <c r="AC285" s="945"/>
      <c r="AD285" s="103"/>
    </row>
    <row r="286" spans="3:30" ht="10.95" customHeight="1">
      <c r="C286" s="103"/>
      <c r="D286" s="103"/>
      <c r="E286" s="103"/>
      <c r="F286" s="103"/>
      <c r="G286" s="103"/>
      <c r="H286" s="103"/>
      <c r="I286" s="103"/>
      <c r="J286" s="103"/>
      <c r="K286" s="103"/>
      <c r="L286" s="103"/>
      <c r="M286" s="103"/>
      <c r="N286" s="103"/>
      <c r="O286" s="311"/>
      <c r="P286" s="122"/>
      <c r="Q286" s="964"/>
      <c r="R286" s="122"/>
      <c r="S286" s="964"/>
      <c r="T286" s="936"/>
      <c r="U286" s="103"/>
      <c r="V286" s="311"/>
      <c r="W286" s="122"/>
      <c r="X286" s="970"/>
      <c r="Y286" s="122"/>
      <c r="Z286" s="122"/>
      <c r="AA286" s="122"/>
      <c r="AB286" s="122"/>
      <c r="AC286" s="945"/>
      <c r="AD286" s="103"/>
    </row>
    <row r="287" spans="3:30" ht="13.05" customHeight="1">
      <c r="C287" s="103"/>
      <c r="D287" s="103"/>
      <c r="E287" s="103"/>
      <c r="F287" s="103"/>
      <c r="G287" s="103"/>
      <c r="H287" s="103"/>
      <c r="I287" s="103"/>
      <c r="J287" s="103"/>
      <c r="K287" s="103"/>
      <c r="L287" s="103"/>
      <c r="M287" s="103"/>
      <c r="N287" s="103"/>
      <c r="O287" s="311"/>
      <c r="P287" s="122" t="s">
        <v>475</v>
      </c>
      <c r="Q287" s="962">
        <f>IF(S292=0,0.2674,"")</f>
        <v>0.26740000000000003</v>
      </c>
      <c r="R287" s="122"/>
      <c r="S287" s="962" t="str">
        <f>IF(S292=0,"",S282-S283)</f>
        <v/>
      </c>
      <c r="T287" s="934"/>
      <c r="U287" s="106"/>
      <c r="V287" s="311"/>
      <c r="W287" s="122"/>
      <c r="X287" s="122"/>
      <c r="Y287" s="122"/>
      <c r="Z287" s="967" t="s">
        <v>476</v>
      </c>
      <c r="AA287" s="968">
        <v>0.5</v>
      </c>
      <c r="AB287" s="122"/>
      <c r="AC287" s="945"/>
      <c r="AD287" s="103"/>
    </row>
    <row r="288" spans="3:30" ht="3" customHeight="1">
      <c r="C288" s="103"/>
      <c r="D288" s="103"/>
      <c r="E288" s="922"/>
      <c r="F288" s="923"/>
      <c r="G288" s="923"/>
      <c r="H288" s="923"/>
      <c r="I288" s="923"/>
      <c r="J288" s="923"/>
      <c r="K288" s="923"/>
      <c r="L288" s="919"/>
      <c r="M288" s="103"/>
      <c r="N288" s="103"/>
      <c r="O288" s="311"/>
      <c r="P288" s="122"/>
      <c r="Q288" s="964"/>
      <c r="R288" s="122"/>
      <c r="S288" s="964"/>
      <c r="T288" s="936"/>
      <c r="U288" s="103"/>
      <c r="V288" s="311"/>
      <c r="W288" s="122"/>
      <c r="X288" s="122"/>
      <c r="Y288" s="122"/>
      <c r="Z288" s="122"/>
      <c r="AA288" s="122"/>
      <c r="AB288" s="122"/>
      <c r="AC288" s="945"/>
      <c r="AD288" s="103"/>
    </row>
    <row r="289" spans="3:30" ht="3" customHeight="1">
      <c r="C289" s="103"/>
      <c r="D289" s="103"/>
      <c r="E289" s="527"/>
      <c r="F289" s="954"/>
      <c r="G289" s="955"/>
      <c r="H289" s="955"/>
      <c r="I289" s="955"/>
      <c r="J289" s="955"/>
      <c r="K289" s="928"/>
      <c r="L289" s="312"/>
      <c r="M289" s="103"/>
      <c r="N289" s="103"/>
      <c r="O289" s="311"/>
      <c r="P289" s="122"/>
      <c r="Q289" s="964"/>
      <c r="R289" s="122"/>
      <c r="S289" s="964"/>
      <c r="T289" s="936"/>
      <c r="U289" s="103"/>
      <c r="V289" s="311"/>
      <c r="W289" s="122"/>
      <c r="X289" s="122"/>
      <c r="Y289" s="122"/>
      <c r="Z289" s="122"/>
      <c r="AA289" s="122"/>
      <c r="AB289" s="122"/>
      <c r="AC289" s="945"/>
      <c r="AD289" s="103"/>
    </row>
    <row r="290" spans="3:30" ht="13.05" customHeight="1">
      <c r="C290" s="103"/>
      <c r="D290" s="103"/>
      <c r="E290" s="527"/>
      <c r="F290" s="872"/>
      <c r="G290" s="909"/>
      <c r="H290" s="909"/>
      <c r="I290" s="909"/>
      <c r="J290" s="909"/>
      <c r="K290" s="929"/>
      <c r="L290" s="312"/>
      <c r="M290" s="103"/>
      <c r="N290" s="103"/>
      <c r="O290" s="311"/>
      <c r="P290" s="122" t="s">
        <v>460</v>
      </c>
      <c r="Q290" s="964">
        <f>IF(S292=0,5.02,"")</f>
        <v>5.0199999999999996</v>
      </c>
      <c r="R290" s="122"/>
      <c r="S290" s="963" t="str">
        <f>IF(S292=0,"",2*S284+2*S285)</f>
        <v/>
      </c>
      <c r="T290" s="934"/>
      <c r="U290" s="106"/>
      <c r="V290" s="311"/>
      <c r="W290" s="122"/>
      <c r="X290" s="122"/>
      <c r="Y290" s="122"/>
      <c r="Z290" s="122"/>
      <c r="AA290" s="122"/>
      <c r="AB290" s="122"/>
      <c r="AC290" s="945"/>
      <c r="AD290" s="103"/>
    </row>
    <row r="291" spans="3:30" ht="13.05" customHeight="1">
      <c r="C291" s="103"/>
      <c r="D291" s="103"/>
      <c r="E291" s="527"/>
      <c r="F291" s="872"/>
      <c r="G291" s="909"/>
      <c r="H291" s="909"/>
      <c r="I291" s="909"/>
      <c r="J291" s="909"/>
      <c r="K291" s="929"/>
      <c r="L291" s="312"/>
      <c r="M291" s="103"/>
      <c r="N291" s="103"/>
      <c r="O291" s="311"/>
      <c r="P291" s="122"/>
      <c r="Q291" s="964"/>
      <c r="R291" s="122"/>
      <c r="S291" s="964"/>
      <c r="T291" s="936"/>
      <c r="U291" s="103"/>
      <c r="V291" s="311"/>
      <c r="W291" s="966" t="s">
        <v>478</v>
      </c>
      <c r="X291" s="1365" t="s">
        <v>86</v>
      </c>
      <c r="Y291" s="1366"/>
      <c r="Z291" s="966" t="s">
        <v>477</v>
      </c>
      <c r="AA291" s="971">
        <v>0.06</v>
      </c>
      <c r="AB291" s="122" t="s">
        <v>150</v>
      </c>
      <c r="AC291" s="945"/>
      <c r="AD291" s="103"/>
    </row>
    <row r="292" spans="3:30" ht="13.05" customHeight="1">
      <c r="C292" s="103"/>
      <c r="D292" s="103" t="s">
        <v>199</v>
      </c>
      <c r="E292" s="527"/>
      <c r="F292" s="872"/>
      <c r="G292" s="909"/>
      <c r="H292" s="909"/>
      <c r="I292" s="909"/>
      <c r="J292" s="909"/>
      <c r="K292" s="929"/>
      <c r="L292" s="312"/>
      <c r="M292" s="109" t="s">
        <v>204</v>
      </c>
      <c r="N292" s="109"/>
      <c r="O292" s="311"/>
      <c r="P292" s="122" t="s">
        <v>461</v>
      </c>
      <c r="Q292" s="964">
        <f>IF(S292=0,1.55,"")</f>
        <v>1.55</v>
      </c>
      <c r="R292" s="914" t="str">
        <f>IF(S284&gt;S292," ! ","")</f>
        <v/>
      </c>
      <c r="S292" s="981"/>
      <c r="T292" s="937"/>
      <c r="U292" s="110"/>
      <c r="V292" s="311"/>
      <c r="W292" s="122"/>
      <c r="X292" s="122"/>
      <c r="Y292" s="122"/>
      <c r="Z292" s="122"/>
      <c r="AA292" s="122"/>
      <c r="AB292" s="122"/>
      <c r="AC292" s="945"/>
      <c r="AD292" s="103"/>
    </row>
    <row r="293" spans="3:30" ht="13.05" customHeight="1">
      <c r="C293" s="103"/>
      <c r="D293" s="103"/>
      <c r="E293" s="527"/>
      <c r="F293" s="872"/>
      <c r="G293" s="909"/>
      <c r="H293" s="909"/>
      <c r="I293" s="909"/>
      <c r="J293" s="909"/>
      <c r="K293" s="929"/>
      <c r="L293" s="312"/>
      <c r="M293" s="103"/>
      <c r="N293" s="103"/>
      <c r="O293" s="311"/>
      <c r="P293" s="122" t="s">
        <v>462</v>
      </c>
      <c r="Q293" s="964">
        <f>IF(S292=0,1.15,"")</f>
        <v>1.1499999999999999</v>
      </c>
      <c r="R293" s="914" t="str">
        <f>IF(S285&gt;S293," ! ","")</f>
        <v/>
      </c>
      <c r="S293" s="983"/>
      <c r="T293" s="937"/>
      <c r="U293" s="110"/>
      <c r="V293" s="311"/>
      <c r="W293" s="122"/>
      <c r="X293" s="122"/>
      <c r="Y293" s="122"/>
      <c r="Z293" s="122"/>
      <c r="AA293" s="122"/>
      <c r="AB293" s="122"/>
      <c r="AC293" s="945"/>
      <c r="AD293" s="103"/>
    </row>
    <row r="294" spans="3:30" ht="10.95" customHeight="1">
      <c r="C294" s="103"/>
      <c r="D294" s="103"/>
      <c r="E294" s="527"/>
      <c r="F294" s="872"/>
      <c r="G294" s="909"/>
      <c r="H294" s="909"/>
      <c r="I294" s="909"/>
      <c r="J294" s="909"/>
      <c r="K294" s="929"/>
      <c r="L294" s="312"/>
      <c r="M294" s="103"/>
      <c r="N294" s="103"/>
      <c r="O294" s="311"/>
      <c r="P294" s="122"/>
      <c r="Q294" s="964"/>
      <c r="R294" s="122"/>
      <c r="S294" s="964"/>
      <c r="T294" s="936"/>
      <c r="U294" s="103"/>
      <c r="V294" s="311"/>
      <c r="W294" s="122"/>
      <c r="X294" s="122"/>
      <c r="Y294" s="122"/>
      <c r="Z294" s="122"/>
      <c r="AA294" s="122"/>
      <c r="AB294" s="122"/>
      <c r="AC294" s="945"/>
      <c r="AD294" s="103"/>
    </row>
    <row r="295" spans="3:30" ht="13.05" customHeight="1">
      <c r="C295" s="103"/>
      <c r="D295" s="103"/>
      <c r="E295" s="527"/>
      <c r="F295" s="872"/>
      <c r="G295" s="909"/>
      <c r="H295" s="909"/>
      <c r="I295" s="909"/>
      <c r="J295" s="909"/>
      <c r="K295" s="929"/>
      <c r="L295" s="312"/>
      <c r="M295" s="103"/>
      <c r="N295" s="103"/>
      <c r="O295" s="311"/>
      <c r="P295" s="122" t="s">
        <v>286</v>
      </c>
      <c r="Q295" s="965" t="str">
        <f>IF(S292=0,"15%","")</f>
        <v>15%</v>
      </c>
      <c r="R295" s="122"/>
      <c r="S295" s="965" t="str">
        <f>IF(S292=0,"",S287/S282)</f>
        <v/>
      </c>
      <c r="T295" s="938"/>
      <c r="U295" s="111"/>
      <c r="V295" s="311"/>
      <c r="W295" s="972" t="s">
        <v>214</v>
      </c>
      <c r="X295" s="972"/>
      <c r="Y295" s="972"/>
      <c r="Z295" s="972"/>
      <c r="AA295" s="973">
        <f>ROUND(IF(S292=0,(AA281*Q287+AA283*Q283+AA291*Q290)/Q282,(AA281*S287+AA283*S283+AA291*S290)/S282),2)</f>
        <v>1.03</v>
      </c>
      <c r="AB295" s="972" t="s">
        <v>528</v>
      </c>
      <c r="AC295" s="945"/>
      <c r="AD295" s="103"/>
    </row>
    <row r="296" spans="3:30" ht="4.95" customHeight="1">
      <c r="C296" s="103"/>
      <c r="D296" s="103"/>
      <c r="E296" s="527"/>
      <c r="F296" s="956"/>
      <c r="G296" s="957"/>
      <c r="H296" s="957"/>
      <c r="I296" s="957"/>
      <c r="J296" s="957"/>
      <c r="K296" s="931"/>
      <c r="L296" s="312"/>
      <c r="M296" s="103"/>
      <c r="N296" s="103"/>
      <c r="O296" s="311"/>
      <c r="P296" s="115"/>
      <c r="Q296" s="115"/>
      <c r="R296" s="115"/>
      <c r="S296" s="115"/>
      <c r="T296" s="945"/>
      <c r="U296" s="103"/>
      <c r="V296" s="311"/>
      <c r="W296" s="115"/>
      <c r="X296" s="115"/>
      <c r="Y296" s="115"/>
      <c r="Z296" s="115"/>
      <c r="AA296" s="115"/>
      <c r="AB296" s="115"/>
      <c r="AC296" s="945"/>
      <c r="AD296" s="103"/>
    </row>
    <row r="297" spans="3:30" ht="3" customHeight="1">
      <c r="C297" s="103"/>
      <c r="D297" s="103"/>
      <c r="E297" s="924"/>
      <c r="F297" s="916"/>
      <c r="G297" s="916"/>
      <c r="H297" s="916"/>
      <c r="I297" s="916"/>
      <c r="J297" s="916"/>
      <c r="K297" s="916"/>
      <c r="L297" s="917"/>
      <c r="M297" s="103"/>
      <c r="N297" s="103"/>
      <c r="O297" s="939"/>
      <c r="P297" s="940"/>
      <c r="Q297" s="940"/>
      <c r="R297" s="940"/>
      <c r="S297" s="940"/>
      <c r="T297" s="946"/>
      <c r="U297" s="103"/>
      <c r="V297" s="939"/>
      <c r="W297" s="940"/>
      <c r="X297" s="940"/>
      <c r="Y297" s="940"/>
      <c r="Z297" s="940"/>
      <c r="AA297" s="940"/>
      <c r="AB297" s="940"/>
      <c r="AC297" s="946"/>
      <c r="AD297" s="103"/>
    </row>
    <row r="298" spans="3:30" ht="10.95" customHeight="1">
      <c r="C298" s="103"/>
      <c r="D298" s="103"/>
      <c r="F298" s="103"/>
      <c r="G298" s="103"/>
      <c r="H298" s="103"/>
      <c r="I298" s="103"/>
      <c r="J298" s="103"/>
      <c r="K298" s="103"/>
      <c r="L298" s="103"/>
      <c r="M298" s="103"/>
      <c r="N298" s="103"/>
      <c r="O298" s="1375"/>
      <c r="P298" s="1375"/>
      <c r="Q298" s="1375"/>
      <c r="R298" s="1375"/>
      <c r="S298" s="1375"/>
      <c r="T298" s="1375"/>
      <c r="U298" s="1375"/>
      <c r="V298" s="1375"/>
      <c r="W298" s="1362" t="s">
        <v>43</v>
      </c>
      <c r="X298" s="1362"/>
      <c r="Y298" s="1362"/>
      <c r="Z298" s="1362"/>
      <c r="AA298" s="1362"/>
      <c r="AB298" s="1362"/>
      <c r="AC298" s="1362"/>
      <c r="AD298" s="103"/>
    </row>
    <row r="299" spans="3:30" ht="10.95" customHeight="1">
      <c r="C299" s="103"/>
      <c r="D299" s="103"/>
      <c r="E299" s="103" t="s">
        <v>585</v>
      </c>
      <c r="F299" s="103"/>
      <c r="G299" s="103"/>
      <c r="H299" s="103"/>
      <c r="I299" s="103"/>
      <c r="J299" s="103"/>
      <c r="K299" s="103"/>
      <c r="L299" s="103"/>
      <c r="M299" s="103"/>
      <c r="N299" s="103"/>
      <c r="O299" s="1375"/>
      <c r="P299" s="1375"/>
      <c r="Q299" s="1375"/>
      <c r="R299" s="1375"/>
      <c r="S299" s="1375"/>
      <c r="T299" s="1375"/>
      <c r="U299" s="1375"/>
      <c r="V299" s="1375"/>
      <c r="W299" s="327"/>
      <c r="X299" s="327"/>
      <c r="Y299" s="327"/>
      <c r="Z299" s="327"/>
      <c r="AA299" s="327"/>
      <c r="AB299" s="327"/>
      <c r="AC299" s="327"/>
      <c r="AD299" s="103"/>
    </row>
    <row r="300" spans="3:30" ht="10.95" customHeight="1">
      <c r="C300" s="103"/>
      <c r="D300" s="103"/>
      <c r="E300" s="103"/>
      <c r="F300" s="103"/>
      <c r="G300" s="103"/>
      <c r="H300" s="103"/>
      <c r="I300" s="103"/>
      <c r="J300" s="103"/>
      <c r="K300" s="103"/>
      <c r="L300" s="103"/>
      <c r="M300" s="103"/>
      <c r="N300" s="103"/>
      <c r="O300" s="1375"/>
      <c r="P300" s="1375"/>
      <c r="Q300" s="1375"/>
      <c r="R300" s="1375"/>
      <c r="S300" s="1375"/>
      <c r="T300" s="1375"/>
      <c r="U300" s="1375"/>
      <c r="V300" s="1375"/>
      <c r="W300" s="327"/>
      <c r="X300" s="327"/>
      <c r="Y300" s="327"/>
      <c r="Z300" s="327"/>
      <c r="AA300" s="327"/>
      <c r="AB300" s="327"/>
      <c r="AC300" s="327"/>
      <c r="AD300" s="103"/>
    </row>
    <row r="301" spans="3:30" ht="10.95" customHeight="1">
      <c r="C301" s="103"/>
      <c r="D301" s="103"/>
      <c r="E301" s="103"/>
      <c r="F301" s="103"/>
      <c r="G301" s="103"/>
      <c r="H301" s="103"/>
      <c r="I301" s="103"/>
      <c r="J301" s="103"/>
      <c r="K301" s="103"/>
      <c r="L301" s="103"/>
      <c r="M301" s="103"/>
      <c r="N301" s="103"/>
      <c r="O301" s="1375"/>
      <c r="P301" s="1375"/>
      <c r="Q301" s="1375"/>
      <c r="R301" s="1375"/>
      <c r="S301" s="1375"/>
      <c r="T301" s="1375"/>
      <c r="U301" s="1375"/>
      <c r="V301" s="1375"/>
      <c r="W301" s="327"/>
      <c r="X301" s="327"/>
      <c r="Y301" s="327"/>
      <c r="Z301" s="327"/>
      <c r="AA301" s="327"/>
      <c r="AB301" s="327"/>
      <c r="AC301" s="327"/>
      <c r="AD301" s="103"/>
    </row>
    <row r="302" spans="3:30" ht="10.95" customHeight="1">
      <c r="C302" s="103"/>
      <c r="D302" s="103"/>
      <c r="E302" s="103"/>
      <c r="F302" s="103"/>
      <c r="G302" s="103"/>
      <c r="H302" s="103"/>
      <c r="I302" s="103"/>
      <c r="J302" s="103"/>
      <c r="K302" s="103"/>
      <c r="L302" s="103"/>
      <c r="M302" s="103"/>
      <c r="N302" s="103"/>
      <c r="O302" s="1375"/>
      <c r="P302" s="1375"/>
      <c r="Q302" s="1375"/>
      <c r="R302" s="1375"/>
      <c r="S302" s="1375"/>
      <c r="T302" s="1375"/>
      <c r="U302" s="1375"/>
      <c r="V302" s="1375"/>
      <c r="W302" s="327"/>
      <c r="X302" s="327"/>
      <c r="Y302" s="327"/>
      <c r="Z302" s="327"/>
      <c r="AA302" s="327"/>
      <c r="AB302" s="327"/>
      <c r="AC302" s="327"/>
      <c r="AD302" s="103"/>
    </row>
    <row r="303" spans="3:30" ht="10.95" customHeight="1">
      <c r="C303" s="103"/>
      <c r="D303" s="103"/>
      <c r="E303" s="103"/>
      <c r="F303" s="103"/>
      <c r="G303" s="103"/>
      <c r="H303" s="103"/>
      <c r="I303" s="103"/>
      <c r="J303" s="103"/>
      <c r="K303" s="103"/>
      <c r="L303" s="103"/>
      <c r="M303" s="103"/>
      <c r="N303" s="103"/>
      <c r="O303" s="309"/>
      <c r="P303" s="310"/>
      <c r="Q303" s="310"/>
      <c r="R303" s="310"/>
      <c r="S303" s="310"/>
      <c r="T303" s="932"/>
      <c r="U303" s="103"/>
      <c r="V303" s="309"/>
      <c r="W303" s="310"/>
      <c r="X303" s="310"/>
      <c r="Y303" s="310"/>
      <c r="Z303" s="310"/>
      <c r="AA303" s="310"/>
      <c r="AB303" s="310"/>
      <c r="AC303" s="932"/>
      <c r="AD303" s="103"/>
    </row>
    <row r="304" spans="3:30" ht="13.05" customHeight="1">
      <c r="C304" s="103"/>
      <c r="D304" s="103"/>
      <c r="E304" s="3" t="s">
        <v>346</v>
      </c>
      <c r="F304" s="103"/>
      <c r="G304" s="103"/>
      <c r="H304" s="1373" t="s">
        <v>307</v>
      </c>
      <c r="I304" s="1373"/>
      <c r="J304" s="1373"/>
      <c r="K304" s="1373"/>
      <c r="L304" s="1373"/>
      <c r="M304" s="1373"/>
      <c r="N304" s="103"/>
      <c r="O304" s="311"/>
      <c r="P304" s="967" t="s">
        <v>78</v>
      </c>
      <c r="Q304" s="434" t="s">
        <v>257</v>
      </c>
      <c r="R304" s="966"/>
      <c r="S304" s="434" t="s">
        <v>425</v>
      </c>
      <c r="T304" s="933"/>
      <c r="U304" s="104"/>
      <c r="V304" s="311"/>
      <c r="W304" s="966" t="s">
        <v>156</v>
      </c>
      <c r="X304" s="1365" t="s">
        <v>50</v>
      </c>
      <c r="Y304" s="1366"/>
      <c r="Z304" s="967" t="s">
        <v>91</v>
      </c>
      <c r="AA304" s="968">
        <v>1.8</v>
      </c>
      <c r="AB304" s="122" t="s">
        <v>528</v>
      </c>
      <c r="AC304" s="945"/>
      <c r="AD304" s="103"/>
    </row>
    <row r="305" spans="3:30" ht="13.05" customHeight="1">
      <c r="C305" s="103"/>
      <c r="D305" s="103"/>
      <c r="E305" s="112" t="s">
        <v>347</v>
      </c>
      <c r="F305" s="103"/>
      <c r="G305" s="103"/>
      <c r="H305" s="109"/>
      <c r="I305" s="1373">
        <v>12</v>
      </c>
      <c r="J305" s="1373"/>
      <c r="K305" s="1373"/>
      <c r="L305" s="1373"/>
      <c r="M305" s="1373"/>
      <c r="N305" s="103"/>
      <c r="O305" s="311"/>
      <c r="P305" s="122" t="s">
        <v>456</v>
      </c>
      <c r="Q305" s="962">
        <f>IF(S315=0,1.7825,"")</f>
        <v>1.7825</v>
      </c>
      <c r="R305" s="122"/>
      <c r="S305" s="962" t="str">
        <f>IF(S315=0,"",S315*S316)</f>
        <v/>
      </c>
      <c r="T305" s="934"/>
      <c r="U305" s="106"/>
      <c r="V305" s="311"/>
      <c r="W305" s="122"/>
      <c r="X305" s="122"/>
      <c r="Y305" s="122"/>
      <c r="Z305" s="125"/>
      <c r="AA305" s="969"/>
      <c r="AB305" s="122"/>
      <c r="AC305" s="945"/>
      <c r="AD305" s="103"/>
    </row>
    <row r="306" spans="3:30" ht="13.05" customHeight="1">
      <c r="C306" s="103"/>
      <c r="D306" s="103"/>
      <c r="E306" s="103"/>
      <c r="F306" s="103"/>
      <c r="G306" s="1371" t="s">
        <v>496</v>
      </c>
      <c r="H306" s="1371"/>
      <c r="I306" s="1371"/>
      <c r="J306" s="1371"/>
      <c r="K306" s="103"/>
      <c r="L306" s="103"/>
      <c r="M306" s="103"/>
      <c r="N306" s="103"/>
      <c r="O306" s="311"/>
      <c r="P306" s="122" t="s">
        <v>457</v>
      </c>
      <c r="Q306" s="962">
        <f>IF(S315=0,1.5151,"")</f>
        <v>1.5150999999999999</v>
      </c>
      <c r="R306" s="122"/>
      <c r="S306" s="962" t="str">
        <f>IF(S315=0,"",(S307*S308))</f>
        <v/>
      </c>
      <c r="T306" s="934"/>
      <c r="U306" s="107"/>
      <c r="V306" s="311"/>
      <c r="W306" s="966" t="s">
        <v>142</v>
      </c>
      <c r="X306" s="1365" t="s">
        <v>85</v>
      </c>
      <c r="Y306" s="1366"/>
      <c r="Z306" s="967" t="s">
        <v>213</v>
      </c>
      <c r="AA306" s="968">
        <v>0.7</v>
      </c>
      <c r="AB306" s="122" t="s">
        <v>528</v>
      </c>
      <c r="AC306" s="945"/>
      <c r="AD306" s="103"/>
    </row>
    <row r="307" spans="3:30" ht="13.05" customHeight="1">
      <c r="C307" s="103"/>
      <c r="D307" s="103"/>
      <c r="E307" s="103"/>
      <c r="F307" s="103"/>
      <c r="G307" s="103"/>
      <c r="H307" s="103"/>
      <c r="I307" s="103"/>
      <c r="J307" s="103"/>
      <c r="K307" s="103"/>
      <c r="L307" s="103"/>
      <c r="M307" s="103"/>
      <c r="N307" s="103"/>
      <c r="O307" s="311"/>
      <c r="P307" s="125" t="s">
        <v>458</v>
      </c>
      <c r="Q307" s="963">
        <f>IF(S315=0,1.5,"")</f>
        <v>1.5</v>
      </c>
      <c r="R307" s="122"/>
      <c r="S307" s="981"/>
      <c r="T307" s="935"/>
      <c r="U307" s="108"/>
      <c r="V307" s="311"/>
      <c r="W307" s="122"/>
      <c r="X307" s="122"/>
      <c r="Y307" s="122"/>
      <c r="Z307" s="125"/>
      <c r="AA307" s="969"/>
      <c r="AB307" s="122"/>
      <c r="AC307" s="945"/>
      <c r="AD307" s="103"/>
    </row>
    <row r="308" spans="3:30" ht="13.05" customHeight="1">
      <c r="C308" s="103"/>
      <c r="D308" s="103"/>
      <c r="E308" s="103"/>
      <c r="F308" s="103"/>
      <c r="G308" s="1371" t="s">
        <v>519</v>
      </c>
      <c r="H308" s="1371"/>
      <c r="I308" s="1371"/>
      <c r="J308" s="1371"/>
      <c r="K308" s="103"/>
      <c r="L308" s="103"/>
      <c r="M308" s="103"/>
      <c r="N308" s="103"/>
      <c r="O308" s="311"/>
      <c r="P308" s="125" t="s">
        <v>459</v>
      </c>
      <c r="Q308" s="964">
        <f>IF(S315=0,1.01,"")</f>
        <v>1.01</v>
      </c>
      <c r="R308" s="122"/>
      <c r="S308" s="983"/>
      <c r="T308" s="935"/>
      <c r="U308" s="108"/>
      <c r="V308" s="311"/>
      <c r="W308" s="966" t="s">
        <v>141</v>
      </c>
      <c r="X308" s="1367"/>
      <c r="Y308" s="1368"/>
      <c r="Z308" s="1368"/>
      <c r="AA308" s="1369"/>
      <c r="AB308" s="122"/>
      <c r="AC308" s="945"/>
      <c r="AD308" s="103"/>
    </row>
    <row r="309" spans="3:30" ht="10.95" customHeight="1">
      <c r="C309" s="103"/>
      <c r="D309" s="103"/>
      <c r="E309" s="103"/>
      <c r="F309" s="103"/>
      <c r="G309" s="103"/>
      <c r="H309" s="103"/>
      <c r="I309" s="103"/>
      <c r="J309" s="103"/>
      <c r="K309" s="103"/>
      <c r="L309" s="103"/>
      <c r="M309" s="103"/>
      <c r="N309" s="103"/>
      <c r="O309" s="311"/>
      <c r="P309" s="122"/>
      <c r="Q309" s="964"/>
      <c r="R309" s="122"/>
      <c r="S309" s="964"/>
      <c r="T309" s="936"/>
      <c r="U309" s="103"/>
      <c r="V309" s="311"/>
      <c r="W309" s="122"/>
      <c r="X309" s="970"/>
      <c r="Y309" s="122"/>
      <c r="Z309" s="122"/>
      <c r="AA309" s="122"/>
      <c r="AB309" s="122"/>
      <c r="AC309" s="945"/>
      <c r="AD309" s="103"/>
    </row>
    <row r="310" spans="3:30" ht="13.05" customHeight="1">
      <c r="C310" s="103"/>
      <c r="D310" s="103"/>
      <c r="E310" s="103"/>
      <c r="F310" s="103"/>
      <c r="G310" s="103"/>
      <c r="H310" s="103"/>
      <c r="I310" s="103"/>
      <c r="J310" s="103"/>
      <c r="K310" s="103"/>
      <c r="L310" s="103"/>
      <c r="M310" s="103"/>
      <c r="N310" s="103"/>
      <c r="O310" s="311"/>
      <c r="P310" s="122" t="s">
        <v>475</v>
      </c>
      <c r="Q310" s="962">
        <f>IF(S315=0,0.2674,"")</f>
        <v>0.26740000000000003</v>
      </c>
      <c r="R310" s="122"/>
      <c r="S310" s="962" t="str">
        <f>IF(S315=0,"",S305-S306)</f>
        <v/>
      </c>
      <c r="T310" s="934"/>
      <c r="U310" s="106"/>
      <c r="V310" s="311"/>
      <c r="W310" s="122"/>
      <c r="X310" s="122"/>
      <c r="Y310" s="122"/>
      <c r="Z310" s="967" t="s">
        <v>476</v>
      </c>
      <c r="AA310" s="968">
        <v>0.5</v>
      </c>
      <c r="AB310" s="122"/>
      <c r="AC310" s="945"/>
      <c r="AD310" s="103"/>
    </row>
    <row r="311" spans="3:30" ht="3" customHeight="1">
      <c r="C311" s="103"/>
      <c r="D311" s="103"/>
      <c r="E311" s="922"/>
      <c r="F311" s="923"/>
      <c r="G311" s="923"/>
      <c r="H311" s="923"/>
      <c r="I311" s="923"/>
      <c r="J311" s="923"/>
      <c r="K311" s="923"/>
      <c r="L311" s="919"/>
      <c r="M311" s="103"/>
      <c r="N311" s="103"/>
      <c r="O311" s="311"/>
      <c r="P311" s="122"/>
      <c r="Q311" s="964"/>
      <c r="R311" s="122"/>
      <c r="S311" s="964"/>
      <c r="T311" s="936"/>
      <c r="U311" s="103"/>
      <c r="V311" s="311"/>
      <c r="W311" s="122"/>
      <c r="X311" s="122"/>
      <c r="Y311" s="122"/>
      <c r="Z311" s="122"/>
      <c r="AA311" s="122"/>
      <c r="AB311" s="122"/>
      <c r="AC311" s="945"/>
      <c r="AD311" s="103"/>
    </row>
    <row r="312" spans="3:30" ht="3" customHeight="1">
      <c r="C312" s="103"/>
      <c r="D312" s="103"/>
      <c r="E312" s="527"/>
      <c r="F312" s="954"/>
      <c r="G312" s="955"/>
      <c r="H312" s="955"/>
      <c r="I312" s="955"/>
      <c r="J312" s="955"/>
      <c r="K312" s="928"/>
      <c r="L312" s="312"/>
      <c r="M312" s="103"/>
      <c r="N312" s="103"/>
      <c r="O312" s="311"/>
      <c r="P312" s="122"/>
      <c r="Q312" s="964"/>
      <c r="R312" s="122"/>
      <c r="S312" s="964"/>
      <c r="T312" s="936"/>
      <c r="U312" s="103"/>
      <c r="V312" s="311"/>
      <c r="W312" s="122"/>
      <c r="X312" s="122"/>
      <c r="Y312" s="122"/>
      <c r="Z312" s="122"/>
      <c r="AA312" s="122"/>
      <c r="AB312" s="122"/>
      <c r="AC312" s="945"/>
      <c r="AD312" s="103"/>
    </row>
    <row r="313" spans="3:30" ht="13.05" customHeight="1">
      <c r="C313" s="103"/>
      <c r="D313" s="103"/>
      <c r="E313" s="527"/>
      <c r="F313" s="872"/>
      <c r="G313" s="909"/>
      <c r="H313" s="909"/>
      <c r="I313" s="909"/>
      <c r="J313" s="909"/>
      <c r="K313" s="929"/>
      <c r="L313" s="312"/>
      <c r="M313" s="103"/>
      <c r="N313" s="103"/>
      <c r="O313" s="311"/>
      <c r="P313" s="122" t="s">
        <v>460</v>
      </c>
      <c r="Q313" s="964">
        <f>IF(S315=0,5.02,"")</f>
        <v>5.0199999999999996</v>
      </c>
      <c r="R313" s="122"/>
      <c r="S313" s="963" t="str">
        <f>IF(S315=0,"",2*S307+2*S308)</f>
        <v/>
      </c>
      <c r="T313" s="934"/>
      <c r="U313" s="106"/>
      <c r="V313" s="311"/>
      <c r="W313" s="122"/>
      <c r="X313" s="122"/>
      <c r="Y313" s="122"/>
      <c r="Z313" s="122"/>
      <c r="AA313" s="122"/>
      <c r="AB313" s="122"/>
      <c r="AC313" s="945"/>
      <c r="AD313" s="103"/>
    </row>
    <row r="314" spans="3:30" ht="13.05" customHeight="1">
      <c r="C314" s="103"/>
      <c r="D314" s="103"/>
      <c r="E314" s="527"/>
      <c r="F314" s="872"/>
      <c r="G314" s="909"/>
      <c r="H314" s="909"/>
      <c r="I314" s="909"/>
      <c r="J314" s="909"/>
      <c r="K314" s="929"/>
      <c r="L314" s="312"/>
      <c r="M314" s="103"/>
      <c r="N314" s="103"/>
      <c r="O314" s="311"/>
      <c r="P314" s="122"/>
      <c r="Q314" s="964"/>
      <c r="R314" s="122"/>
      <c r="S314" s="964"/>
      <c r="T314" s="936"/>
      <c r="U314" s="103"/>
      <c r="V314" s="311"/>
      <c r="W314" s="966" t="s">
        <v>478</v>
      </c>
      <c r="X314" s="1365" t="s">
        <v>86</v>
      </c>
      <c r="Y314" s="1366"/>
      <c r="Z314" s="966" t="s">
        <v>477</v>
      </c>
      <c r="AA314" s="971">
        <v>0.06</v>
      </c>
      <c r="AB314" s="122" t="s">
        <v>150</v>
      </c>
      <c r="AC314" s="945"/>
      <c r="AD314" s="103"/>
    </row>
    <row r="315" spans="3:30" ht="13.05" customHeight="1">
      <c r="C315" s="103"/>
      <c r="D315" s="103" t="s">
        <v>199</v>
      </c>
      <c r="E315" s="527"/>
      <c r="F315" s="872"/>
      <c r="G315" s="909"/>
      <c r="H315" s="909"/>
      <c r="I315" s="909"/>
      <c r="J315" s="909"/>
      <c r="K315" s="929"/>
      <c r="L315" s="312"/>
      <c r="M315" s="109" t="s">
        <v>204</v>
      </c>
      <c r="N315" s="109"/>
      <c r="O315" s="311"/>
      <c r="P315" s="122" t="s">
        <v>461</v>
      </c>
      <c r="Q315" s="964">
        <f>IF(S315=0,1.55,"")</f>
        <v>1.55</v>
      </c>
      <c r="R315" s="914" t="str">
        <f>IF(S307&gt;S315," ! ","")</f>
        <v/>
      </c>
      <c r="S315" s="981"/>
      <c r="T315" s="937"/>
      <c r="U315" s="110"/>
      <c r="V315" s="311"/>
      <c r="W315" s="122"/>
      <c r="X315" s="122"/>
      <c r="Y315" s="122"/>
      <c r="Z315" s="122"/>
      <c r="AA315" s="122"/>
      <c r="AB315" s="122"/>
      <c r="AC315" s="945"/>
      <c r="AD315" s="103"/>
    </row>
    <row r="316" spans="3:30" ht="13.05" customHeight="1">
      <c r="C316" s="103"/>
      <c r="D316" s="103"/>
      <c r="E316" s="527"/>
      <c r="F316" s="872"/>
      <c r="G316" s="909"/>
      <c r="H316" s="909"/>
      <c r="I316" s="909"/>
      <c r="J316" s="909"/>
      <c r="K316" s="929"/>
      <c r="L316" s="312"/>
      <c r="M316" s="103"/>
      <c r="N316" s="103"/>
      <c r="O316" s="311"/>
      <c r="P316" s="122" t="s">
        <v>462</v>
      </c>
      <c r="Q316" s="964">
        <f>IF(S315=0,1.15,"")</f>
        <v>1.1499999999999999</v>
      </c>
      <c r="R316" s="914" t="str">
        <f>IF(S308&gt;S316," ! ","")</f>
        <v/>
      </c>
      <c r="S316" s="983"/>
      <c r="T316" s="937"/>
      <c r="U316" s="110"/>
      <c r="V316" s="311"/>
      <c r="W316" s="122"/>
      <c r="X316" s="122"/>
      <c r="Y316" s="122"/>
      <c r="Z316" s="122"/>
      <c r="AA316" s="122"/>
      <c r="AB316" s="122"/>
      <c r="AC316" s="945"/>
      <c r="AD316" s="103"/>
    </row>
    <row r="317" spans="3:30" ht="10.95" customHeight="1">
      <c r="C317" s="103"/>
      <c r="D317" s="103"/>
      <c r="E317" s="527"/>
      <c r="F317" s="872"/>
      <c r="G317" s="909"/>
      <c r="H317" s="909"/>
      <c r="I317" s="909"/>
      <c r="J317" s="909"/>
      <c r="K317" s="929"/>
      <c r="L317" s="312"/>
      <c r="M317" s="103"/>
      <c r="N317" s="103"/>
      <c r="O317" s="311"/>
      <c r="P317" s="122"/>
      <c r="Q317" s="964"/>
      <c r="R317" s="122"/>
      <c r="S317" s="964"/>
      <c r="T317" s="936"/>
      <c r="U317" s="103"/>
      <c r="V317" s="311"/>
      <c r="W317" s="122"/>
      <c r="X317" s="122"/>
      <c r="Y317" s="122"/>
      <c r="Z317" s="122"/>
      <c r="AA317" s="122"/>
      <c r="AB317" s="122"/>
      <c r="AC317" s="945"/>
      <c r="AD317" s="103"/>
    </row>
    <row r="318" spans="3:30" ht="13.05" customHeight="1">
      <c r="C318" s="103"/>
      <c r="D318" s="103"/>
      <c r="E318" s="527"/>
      <c r="F318" s="872"/>
      <c r="G318" s="909"/>
      <c r="H318" s="909"/>
      <c r="I318" s="909"/>
      <c r="J318" s="909"/>
      <c r="K318" s="929"/>
      <c r="L318" s="312"/>
      <c r="M318" s="103"/>
      <c r="N318" s="103"/>
      <c r="O318" s="311"/>
      <c r="P318" s="122" t="s">
        <v>286</v>
      </c>
      <c r="Q318" s="965" t="str">
        <f>IF(S315=0,"15%","")</f>
        <v>15%</v>
      </c>
      <c r="R318" s="122"/>
      <c r="S318" s="965" t="str">
        <f>IF(S315=0,"",S310/S305)</f>
        <v/>
      </c>
      <c r="T318" s="938"/>
      <c r="U318" s="111"/>
      <c r="V318" s="311"/>
      <c r="W318" s="972" t="s">
        <v>214</v>
      </c>
      <c r="X318" s="972"/>
      <c r="Y318" s="972"/>
      <c r="Z318" s="972"/>
      <c r="AA318" s="973">
        <f>ROUND(IF(S315=0,(AA304*Q310+AA306*Q306+AA314*Q313)/Q305,(AA304*S310+AA306*S306+AA314*S313)/S305),2)</f>
        <v>1.03</v>
      </c>
      <c r="AB318" s="972" t="s">
        <v>528</v>
      </c>
      <c r="AC318" s="945"/>
      <c r="AD318" s="103"/>
    </row>
    <row r="319" spans="3:30" ht="4.95" customHeight="1">
      <c r="C319" s="103"/>
      <c r="D319" s="103"/>
      <c r="E319" s="527"/>
      <c r="F319" s="956"/>
      <c r="G319" s="957"/>
      <c r="H319" s="957"/>
      <c r="I319" s="957"/>
      <c r="J319" s="957"/>
      <c r="K319" s="931"/>
      <c r="L319" s="312"/>
      <c r="M319" s="103"/>
      <c r="N319" s="103"/>
      <c r="O319" s="311"/>
      <c r="P319" s="115"/>
      <c r="Q319" s="115"/>
      <c r="R319" s="115"/>
      <c r="S319" s="115"/>
      <c r="T319" s="945"/>
      <c r="U319" s="103"/>
      <c r="V319" s="311"/>
      <c r="W319" s="115"/>
      <c r="X319" s="115"/>
      <c r="Y319" s="115"/>
      <c r="Z319" s="115"/>
      <c r="AA319" s="115"/>
      <c r="AB319" s="115"/>
      <c r="AC319" s="945"/>
      <c r="AD319" s="103"/>
    </row>
    <row r="320" spans="3:30" ht="3" customHeight="1">
      <c r="C320" s="103"/>
      <c r="D320" s="103"/>
      <c r="E320" s="924"/>
      <c r="F320" s="916"/>
      <c r="G320" s="916"/>
      <c r="H320" s="916"/>
      <c r="I320" s="916"/>
      <c r="J320" s="916"/>
      <c r="K320" s="916"/>
      <c r="L320" s="917"/>
      <c r="M320" s="103"/>
      <c r="N320" s="103"/>
      <c r="O320" s="939"/>
      <c r="P320" s="940"/>
      <c r="Q320" s="940"/>
      <c r="R320" s="940"/>
      <c r="S320" s="940"/>
      <c r="T320" s="946"/>
      <c r="U320" s="103"/>
      <c r="V320" s="939"/>
      <c r="W320" s="940"/>
      <c r="X320" s="940"/>
      <c r="Y320" s="940"/>
      <c r="Z320" s="940"/>
      <c r="AA320" s="940"/>
      <c r="AB320" s="940"/>
      <c r="AC320" s="946"/>
      <c r="AD320" s="103"/>
    </row>
    <row r="321" spans="3:30" ht="10.95" customHeight="1">
      <c r="C321" s="103"/>
      <c r="D321" s="103"/>
      <c r="F321" s="103"/>
      <c r="G321" s="103"/>
      <c r="H321" s="103"/>
      <c r="I321" s="103"/>
      <c r="J321" s="103"/>
      <c r="K321" s="103"/>
      <c r="L321" s="103"/>
      <c r="M321" s="103"/>
      <c r="N321" s="103"/>
      <c r="O321" s="327"/>
      <c r="P321" s="327"/>
      <c r="Q321" s="327"/>
      <c r="R321" s="327"/>
      <c r="S321" s="327"/>
      <c r="T321" s="327"/>
      <c r="U321" s="327"/>
      <c r="V321" s="327"/>
      <c r="W321" s="1362" t="s">
        <v>43</v>
      </c>
      <c r="X321" s="1362"/>
      <c r="Y321" s="1362"/>
      <c r="Z321" s="1362"/>
      <c r="AA321" s="1362"/>
      <c r="AB321" s="1362"/>
      <c r="AC321" s="1362"/>
      <c r="AD321" s="103"/>
    </row>
    <row r="322" spans="3:30" ht="10.95" customHeight="1">
      <c r="C322" s="103"/>
      <c r="D322" s="103"/>
      <c r="E322" s="103" t="s">
        <v>585</v>
      </c>
      <c r="F322" s="103"/>
      <c r="G322" s="103"/>
      <c r="H322" s="103"/>
      <c r="I322" s="103"/>
      <c r="J322" s="103"/>
      <c r="K322" s="103"/>
      <c r="L322" s="103"/>
      <c r="M322" s="103"/>
      <c r="N322" s="103"/>
      <c r="O322" s="327"/>
      <c r="P322" s="327"/>
      <c r="Q322" s="327"/>
      <c r="R322" s="327"/>
      <c r="S322" s="327"/>
      <c r="T322" s="327"/>
      <c r="U322" s="327"/>
      <c r="V322" s="327"/>
      <c r="W322" s="327"/>
      <c r="X322" s="327"/>
      <c r="Y322" s="327"/>
      <c r="Z322" s="327"/>
      <c r="AA322" s="327"/>
      <c r="AB322" s="327"/>
      <c r="AC322" s="327"/>
      <c r="AD322" s="103"/>
    </row>
    <row r="323" spans="3:30" ht="10.95" customHeight="1">
      <c r="C323" s="103"/>
      <c r="D323" s="103"/>
      <c r="E323" s="103"/>
      <c r="F323" s="103"/>
      <c r="G323" s="103"/>
      <c r="H323" s="103"/>
      <c r="I323" s="103"/>
      <c r="J323" s="103"/>
      <c r="K323" s="103"/>
      <c r="L323" s="103"/>
      <c r="M323" s="103"/>
      <c r="N323" s="103"/>
      <c r="O323" s="327"/>
      <c r="P323" s="327"/>
      <c r="Q323" s="327"/>
      <c r="R323" s="327"/>
      <c r="S323" s="327"/>
      <c r="T323" s="327"/>
      <c r="U323" s="327"/>
      <c r="V323" s="327"/>
      <c r="W323" s="327"/>
      <c r="X323" s="327"/>
      <c r="Y323" s="327"/>
      <c r="Z323" s="327"/>
      <c r="AA323" s="327"/>
      <c r="AB323" s="327"/>
      <c r="AC323" s="327"/>
      <c r="AD323" s="103"/>
    </row>
    <row r="324" spans="3:30" ht="10.95" customHeight="1">
      <c r="C324" s="103"/>
      <c r="D324" s="103"/>
      <c r="E324" s="103"/>
      <c r="F324" s="103"/>
      <c r="G324" s="103"/>
      <c r="H324" s="103"/>
      <c r="I324" s="103"/>
      <c r="J324" s="103"/>
      <c r="K324" s="103"/>
      <c r="L324" s="103"/>
      <c r="M324" s="103"/>
      <c r="N324" s="103"/>
      <c r="O324" s="327"/>
      <c r="P324" s="327"/>
      <c r="Q324" s="327"/>
      <c r="R324" s="327"/>
      <c r="S324" s="327"/>
      <c r="T324" s="327"/>
      <c r="U324" s="327"/>
      <c r="V324" s="327"/>
      <c r="W324" s="327"/>
      <c r="X324" s="327"/>
      <c r="Y324" s="327"/>
      <c r="Z324" s="327"/>
      <c r="AA324" s="327"/>
      <c r="AB324" s="327"/>
      <c r="AC324" s="327"/>
      <c r="AD324" s="103"/>
    </row>
    <row r="325" spans="3:30">
      <c r="C325" s="315" t="str">
        <f>IF(Nutzung!$G$8="","","Variante:")</f>
        <v/>
      </c>
      <c r="D325" s="103"/>
      <c r="E325" s="103"/>
      <c r="F325" s="103"/>
      <c r="G325" s="141" t="str">
        <f>IF(Nutzung!$G$8="","",Nutzung!$G$8)</f>
        <v/>
      </c>
      <c r="H325" s="103"/>
      <c r="I325" s="103"/>
      <c r="J325" s="103"/>
      <c r="K325" s="103"/>
      <c r="L325" s="103"/>
      <c r="M325" s="103"/>
      <c r="N325" s="103"/>
      <c r="O325" s="327"/>
      <c r="P325" s="327"/>
      <c r="Q325" s="327"/>
      <c r="R325" s="327"/>
      <c r="S325" s="327"/>
      <c r="T325" s="327"/>
      <c r="U325" s="327"/>
      <c r="V325" s="327"/>
      <c r="W325" s="327"/>
      <c r="X325" s="327"/>
      <c r="Y325" s="327"/>
      <c r="Z325" s="327"/>
      <c r="AA325" s="1376">
        <f ca="1">NOW()</f>
        <v>42122.346852083334</v>
      </c>
      <c r="AB325" s="1376"/>
      <c r="AC325" s="1376"/>
      <c r="AD325" s="103"/>
    </row>
    <row r="326" spans="3:30" s="113" customFormat="1"/>
    <row r="327" spans="3:30" s="113" customFormat="1"/>
    <row r="328" spans="3:30" s="113" customFormat="1"/>
    <row r="329" spans="3:30" s="113" customFormat="1"/>
    <row r="330" spans="3:30" s="113" customFormat="1"/>
    <row r="331" spans="3:30" s="113" customFormat="1"/>
    <row r="332" spans="3:30" s="113" customFormat="1"/>
    <row r="333" spans="3:30" s="113" customFormat="1"/>
    <row r="334" spans="3:30" s="113" customFormat="1"/>
    <row r="335" spans="3:30" s="113" customFormat="1"/>
    <row r="336" spans="3:30" s="113" customFormat="1"/>
    <row r="337" s="113" customFormat="1"/>
    <row r="338" s="113" customFormat="1"/>
    <row r="339" s="113" customFormat="1"/>
    <row r="340" s="113" customFormat="1"/>
    <row r="341" s="113" customFormat="1"/>
    <row r="342" s="113" customFormat="1"/>
    <row r="343" s="113" customFormat="1"/>
    <row r="344" s="113" customFormat="1"/>
    <row r="345" s="113" customFormat="1"/>
    <row r="346" s="113" customFormat="1"/>
    <row r="347" s="113" customFormat="1"/>
    <row r="348" s="113" customFormat="1"/>
    <row r="349" s="113" customFormat="1"/>
    <row r="350" s="113" customFormat="1"/>
    <row r="351" s="113" customFormat="1"/>
    <row r="352" s="113" customFormat="1"/>
    <row r="353" s="113" customFormat="1"/>
    <row r="354" s="113" customFormat="1"/>
    <row r="355" s="113" customFormat="1"/>
    <row r="356" s="113" customFormat="1"/>
    <row r="357" s="113" customFormat="1"/>
    <row r="358" s="113" customFormat="1"/>
    <row r="359" s="113" customFormat="1"/>
    <row r="360" s="113" customFormat="1"/>
    <row r="361" s="113" customFormat="1"/>
    <row r="362" s="113" customFormat="1"/>
    <row r="363" s="113" customFormat="1"/>
    <row r="364" s="113" customFormat="1"/>
    <row r="365" s="113" customFormat="1"/>
    <row r="366" s="113" customFormat="1"/>
    <row r="367" s="113" customFormat="1"/>
    <row r="368" s="113" customFormat="1"/>
    <row r="369" s="113" customFormat="1"/>
    <row r="370" s="113" customFormat="1"/>
    <row r="371" s="113" customFormat="1"/>
    <row r="372" s="113" customFormat="1"/>
    <row r="373" s="113" customFormat="1"/>
    <row r="374" s="113" customFormat="1"/>
    <row r="375" s="113" customFormat="1"/>
    <row r="376" s="113" customFormat="1"/>
    <row r="377" s="113" customFormat="1"/>
    <row r="378" s="113" customFormat="1"/>
    <row r="379" s="113" customFormat="1"/>
    <row r="380" s="113" customFormat="1"/>
    <row r="381" s="113" customFormat="1"/>
    <row r="382" s="113" customFormat="1"/>
    <row r="383" s="113" customFormat="1"/>
    <row r="384" s="113" customFormat="1"/>
    <row r="385" s="113" customFormat="1"/>
    <row r="386" s="113" customFormat="1"/>
    <row r="387" s="113" customFormat="1"/>
    <row r="388" s="113" customFormat="1"/>
    <row r="389" s="113" customFormat="1"/>
    <row r="390" s="113" customFormat="1"/>
    <row r="391" s="113" customFormat="1"/>
    <row r="392" s="113" customFormat="1"/>
    <row r="393" s="113" customFormat="1"/>
    <row r="394" s="113" customFormat="1"/>
    <row r="395" s="113" customFormat="1"/>
    <row r="396" s="113" customFormat="1"/>
    <row r="397" s="113" customFormat="1"/>
    <row r="398" s="113" customFormat="1"/>
    <row r="399" s="113" customFormat="1"/>
    <row r="400" s="113" customFormat="1"/>
    <row r="401" s="113" customFormat="1"/>
    <row r="402" s="113" customFormat="1"/>
    <row r="403" s="113" customFormat="1"/>
    <row r="404" s="113" customFormat="1"/>
    <row r="405" s="113" customFormat="1"/>
    <row r="406" s="113" customFormat="1"/>
    <row r="407" s="113" customFormat="1"/>
    <row r="408" s="113" customFormat="1"/>
    <row r="409" s="113" customFormat="1"/>
    <row r="410" s="113" customFormat="1"/>
    <row r="411" s="113" customFormat="1"/>
    <row r="412" s="113" customFormat="1"/>
    <row r="413" s="113" customFormat="1"/>
    <row r="414" s="113" customFormat="1"/>
    <row r="415" s="113" customFormat="1"/>
    <row r="416" s="113" customFormat="1"/>
    <row r="417" s="113" customFormat="1"/>
    <row r="418" s="113" customFormat="1"/>
    <row r="419" s="113" customFormat="1"/>
    <row r="420" s="113" customFormat="1"/>
    <row r="421" s="113" customFormat="1"/>
    <row r="422" s="113" customFormat="1"/>
    <row r="423" s="113" customFormat="1"/>
    <row r="424" s="113" customFormat="1"/>
    <row r="425" s="113" customFormat="1"/>
    <row r="426" s="113" customFormat="1"/>
    <row r="427" s="113" customFormat="1"/>
    <row r="428" s="113" customFormat="1"/>
    <row r="429" s="113" customFormat="1"/>
    <row r="430" s="113" customFormat="1"/>
    <row r="431" s="113" customFormat="1"/>
    <row r="432" s="113" customFormat="1"/>
    <row r="433" s="113" customFormat="1"/>
    <row r="434" s="113" customFormat="1"/>
    <row r="435" s="113" customFormat="1"/>
    <row r="436" s="113" customFormat="1"/>
    <row r="437" s="113" customFormat="1"/>
    <row r="438" s="113" customFormat="1"/>
    <row r="439" s="113" customFormat="1"/>
    <row r="440" s="113" customFormat="1"/>
    <row r="441" s="113" customFormat="1"/>
    <row r="442" s="113" customFormat="1"/>
    <row r="443" s="113" customFormat="1"/>
    <row r="444" s="113" customFormat="1"/>
    <row r="445" s="113" customFormat="1"/>
    <row r="446" s="113" customFormat="1"/>
    <row r="447" s="113" customFormat="1"/>
    <row r="448" s="113" customFormat="1"/>
    <row r="449" s="113" customFormat="1"/>
    <row r="450" s="113" customFormat="1"/>
    <row r="451" s="113" customFormat="1"/>
    <row r="452" s="113" customFormat="1"/>
    <row r="453" s="113" customFormat="1"/>
    <row r="454" s="113" customFormat="1"/>
    <row r="455" s="113" customFormat="1"/>
    <row r="456" s="113" customFormat="1"/>
    <row r="457" s="113" customFormat="1"/>
    <row r="458" s="113" customFormat="1"/>
    <row r="459" s="113" customFormat="1"/>
    <row r="460" s="113" customFormat="1"/>
    <row r="461" s="113" customFormat="1"/>
    <row r="462" s="113" customFormat="1"/>
    <row r="463" s="113" customFormat="1"/>
    <row r="464" s="113" customFormat="1"/>
  </sheetData>
  <sheetProtection password="D950" sheet="1" objects="1" scenarios="1" selectLockedCells="1"/>
  <mergeCells count="150">
    <mergeCell ref="H282:M282"/>
    <mergeCell ref="G283:J283"/>
    <mergeCell ref="W213:AC213"/>
    <mergeCell ref="X89:Y89"/>
    <mergeCell ref="H142:M142"/>
    <mergeCell ref="H173:M173"/>
    <mergeCell ref="H196:M196"/>
    <mergeCell ref="G174:J174"/>
    <mergeCell ref="D166:AC166"/>
    <mergeCell ref="G143:J143"/>
    <mergeCell ref="H172:M172"/>
    <mergeCell ref="W158:AC158"/>
    <mergeCell ref="U117:U134"/>
    <mergeCell ref="G197:J197"/>
    <mergeCell ref="G199:J199"/>
    <mergeCell ref="H195:M195"/>
    <mergeCell ref="D168:AC168"/>
    <mergeCell ref="U171:U188"/>
    <mergeCell ref="G176:J176"/>
    <mergeCell ref="W189:AC189"/>
    <mergeCell ref="X260:Y260"/>
    <mergeCell ref="X237:Y237"/>
    <mergeCell ref="X254:AA254"/>
    <mergeCell ref="H227:M227"/>
    <mergeCell ref="X291:Y291"/>
    <mergeCell ref="X306:Y306"/>
    <mergeCell ref="X308:AA308"/>
    <mergeCell ref="AA325:AC325"/>
    <mergeCell ref="D275:AC275"/>
    <mergeCell ref="G252:J252"/>
    <mergeCell ref="W321:AC321"/>
    <mergeCell ref="O298:V302"/>
    <mergeCell ref="G254:J254"/>
    <mergeCell ref="G285:J285"/>
    <mergeCell ref="D277:AC277"/>
    <mergeCell ref="H281:M281"/>
    <mergeCell ref="W267:AC267"/>
    <mergeCell ref="G308:J308"/>
    <mergeCell ref="H304:M304"/>
    <mergeCell ref="I305:M305"/>
    <mergeCell ref="G306:J306"/>
    <mergeCell ref="X283:Y283"/>
    <mergeCell ref="X285:AA285"/>
    <mergeCell ref="X281:Y281"/>
    <mergeCell ref="AA271:AC271"/>
    <mergeCell ref="X314:Y314"/>
    <mergeCell ref="X304:Y304"/>
    <mergeCell ref="X252:Y252"/>
    <mergeCell ref="W244:AC244"/>
    <mergeCell ref="G229:J229"/>
    <mergeCell ref="H228:M228"/>
    <mergeCell ref="X229:Y229"/>
    <mergeCell ref="X231:AA231"/>
    <mergeCell ref="I251:M251"/>
    <mergeCell ref="O244:V248"/>
    <mergeCell ref="H250:M250"/>
    <mergeCell ref="X250:Y250"/>
    <mergeCell ref="X227:Y227"/>
    <mergeCell ref="D223:AC223"/>
    <mergeCell ref="W135:AC135"/>
    <mergeCell ref="D114:AC114"/>
    <mergeCell ref="H141:M141"/>
    <mergeCell ref="G120:J120"/>
    <mergeCell ref="I119:M119"/>
    <mergeCell ref="H118:M118"/>
    <mergeCell ref="D112:AC112"/>
    <mergeCell ref="AA108:AC108"/>
    <mergeCell ref="AA162:AC162"/>
    <mergeCell ref="O189:V193"/>
    <mergeCell ref="U194:U211"/>
    <mergeCell ref="AA217:AC217"/>
    <mergeCell ref="O135:V139"/>
    <mergeCell ref="U140:U157"/>
    <mergeCell ref="H33:M33"/>
    <mergeCell ref="C33:D33"/>
    <mergeCell ref="X33:Y33"/>
    <mergeCell ref="X64:Y64"/>
    <mergeCell ref="X87:Y87"/>
    <mergeCell ref="X74:Y74"/>
    <mergeCell ref="W50:AC50"/>
    <mergeCell ref="W81:AC81"/>
    <mergeCell ref="AA54:AC54"/>
    <mergeCell ref="C61:AC62"/>
    <mergeCell ref="U32:U49"/>
    <mergeCell ref="X66:Y66"/>
    <mergeCell ref="X68:AA68"/>
    <mergeCell ref="C58:AC58"/>
    <mergeCell ref="X35:Y35"/>
    <mergeCell ref="X43:Y43"/>
    <mergeCell ref="W27:AC27"/>
    <mergeCell ref="U63:U80"/>
    <mergeCell ref="H87:M87"/>
    <mergeCell ref="H65:M65"/>
    <mergeCell ref="G66:J66"/>
    <mergeCell ref="U86:U103"/>
    <mergeCell ref="H64:M64"/>
    <mergeCell ref="O81:V85"/>
    <mergeCell ref="G89:J89"/>
    <mergeCell ref="I88:M88"/>
    <mergeCell ref="K27:N27"/>
    <mergeCell ref="O27:V31"/>
    <mergeCell ref="H34:M34"/>
    <mergeCell ref="G35:J35"/>
    <mergeCell ref="N33:N49"/>
    <mergeCell ref="C59:AC59"/>
    <mergeCell ref="X37:AA37"/>
    <mergeCell ref="C34:D34"/>
    <mergeCell ref="C27:D27"/>
    <mergeCell ref="C32:N32"/>
    <mergeCell ref="C4:AC4"/>
    <mergeCell ref="C9:N9"/>
    <mergeCell ref="C10:D10"/>
    <mergeCell ref="C11:D11"/>
    <mergeCell ref="U9:U26"/>
    <mergeCell ref="G12:J12"/>
    <mergeCell ref="H10:M10"/>
    <mergeCell ref="C6:AC6"/>
    <mergeCell ref="C5:AC5"/>
    <mergeCell ref="C7:AC8"/>
    <mergeCell ref="X10:Y10"/>
    <mergeCell ref="X12:Y12"/>
    <mergeCell ref="X14:AA14"/>
    <mergeCell ref="X20:Y20"/>
    <mergeCell ref="N10:N26"/>
    <mergeCell ref="H11:M11"/>
    <mergeCell ref="C12:D12"/>
    <mergeCell ref="W298:AC298"/>
    <mergeCell ref="C60:AC60"/>
    <mergeCell ref="C50:D50"/>
    <mergeCell ref="X182:Y182"/>
    <mergeCell ref="X197:Y197"/>
    <mergeCell ref="X199:AA199"/>
    <mergeCell ref="X205:Y205"/>
    <mergeCell ref="X91:AA91"/>
    <mergeCell ref="X97:Y97"/>
    <mergeCell ref="X120:Y120"/>
    <mergeCell ref="X122:AA122"/>
    <mergeCell ref="X118:Y118"/>
    <mergeCell ref="W104:AC104"/>
    <mergeCell ref="X141:Y141"/>
    <mergeCell ref="X172:Y172"/>
    <mergeCell ref="X195:Y195"/>
    <mergeCell ref="X128:Y128"/>
    <mergeCell ref="X143:Y143"/>
    <mergeCell ref="X145:AA145"/>
    <mergeCell ref="X151:Y151"/>
    <mergeCell ref="X174:Y174"/>
    <mergeCell ref="X176:AA176"/>
    <mergeCell ref="D221:AC221"/>
    <mergeCell ref="G231:J231"/>
  </mergeCells>
  <phoneticPr fontId="18" type="noConversion"/>
  <dataValidations count="2">
    <dataValidation type="decimal" allowBlank="1" showInputMessage="1" showErrorMessage="1" errorTitle="g-Wert" error="Ihre Eingabe muss zwischen 0 und 1 liegen!" sqref="AA16 AA233 AA256 AA287 AA39 AA70 AA124 AA93 AA147 AA178 AA201 AA310" xr:uid="{00000000-0002-0000-0800-000000000000}">
      <formula1>0</formula1>
      <formula2>1</formula2>
    </dataValidation>
    <dataValidation type="decimal" errorStyle="information" allowBlank="1" showInputMessage="1" showErrorMessage="1" errorTitle="Glasabstandhalter" error="Sind Sie sicher?" sqref="AA20 AA237 AA260 AA291 AA43 AA74 AA128 AA97 AA151 AA182 AA205 AA314" xr:uid="{00000000-0002-0000-0800-000001000000}">
      <formula1>0</formula1>
      <formula2>0.25</formula2>
    </dataValidation>
  </dataValidations>
  <printOptions horizontalCentered="1" verticalCentered="1"/>
  <pageMargins left="0.59" right="0.39370078740157483" top="0.55000000000000004" bottom="0.55000000000000004" header="0.51" footer="0.51"/>
  <pageSetup scale="87" fitToHeight="0" orientation="landscape" horizontalDpi="4294967292" verticalDpi="4294967292"/>
  <rowBreaks count="5" manualBreakCount="5">
    <brk id="53" min="2" max="28" man="1"/>
    <brk id="107" min="2" max="28" man="1"/>
    <brk id="161" min="2" max="28" man="1"/>
    <brk id="216" min="2" max="28" man="1"/>
    <brk id="270" min="2" max="28" man="1"/>
  </rowBreaks>
  <drawing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136</vt:i4>
      </vt:variant>
    </vt:vector>
  </HeadingPairs>
  <TitlesOfParts>
    <vt:vector size="152" baseType="lpstr">
      <vt:lpstr>Nutzung</vt:lpstr>
      <vt:lpstr>EBF</vt:lpstr>
      <vt:lpstr>Bauteile</vt:lpstr>
      <vt:lpstr>Heizlast</vt:lpstr>
      <vt:lpstr>Komfortlüftung</vt:lpstr>
      <vt:lpstr>Drucken</vt:lpstr>
      <vt:lpstr>U-Wert homogen</vt:lpstr>
      <vt:lpstr>U-Wert inhomogen</vt:lpstr>
      <vt:lpstr>U-Wert Fenster</vt:lpstr>
      <vt:lpstr>Lüftung</vt:lpstr>
      <vt:lpstr>Einträge</vt:lpstr>
      <vt:lpstr>Bilanz</vt:lpstr>
      <vt:lpstr>Daten</vt:lpstr>
      <vt:lpstr>Klima</vt:lpstr>
      <vt:lpstr>Reduktionsfaktoren</vt:lpstr>
      <vt:lpstr>Gebäudekategorien</vt:lpstr>
      <vt:lpstr>A</vt:lpstr>
      <vt:lpstr>Auswahl_1</vt:lpstr>
      <vt:lpstr>Auswahl_2</vt:lpstr>
      <vt:lpstr>Auswahl_3</vt:lpstr>
      <vt:lpstr>B</vt:lpstr>
      <vt:lpstr>Bauweise</vt:lpstr>
      <vt:lpstr>C_1</vt:lpstr>
      <vt:lpstr>D</vt:lpstr>
      <vt:lpstr>Bauteile!Druckbereich</vt:lpstr>
      <vt:lpstr>Bilanz!Druckbereich</vt:lpstr>
      <vt:lpstr>Drucken!Druckbereich</vt:lpstr>
      <vt:lpstr>EBF!Druckbereich</vt:lpstr>
      <vt:lpstr>Einträge!Druckbereich</vt:lpstr>
      <vt:lpstr>Komfortlüftung!Druckbereich</vt:lpstr>
      <vt:lpstr>Lüftung!Druckbereich</vt:lpstr>
      <vt:lpstr>Nutzung!Druckbereich</vt:lpstr>
      <vt:lpstr>'U-Wert Fenster'!Druckbereich</vt:lpstr>
      <vt:lpstr>'U-Wert homogen'!Druckbereich</vt:lpstr>
      <vt:lpstr>'U-Wert inhomogen'!Druckbereich</vt:lpstr>
      <vt:lpstr>E</vt:lpstr>
      <vt:lpstr>Einsiedeln</vt:lpstr>
      <vt:lpstr>F</vt:lpstr>
      <vt:lpstr>G</vt:lpstr>
      <vt:lpstr>H</vt:lpstr>
      <vt:lpstr>H_01</vt:lpstr>
      <vt:lpstr>H_02</vt:lpstr>
      <vt:lpstr>H_03</vt:lpstr>
      <vt:lpstr>H_04</vt:lpstr>
      <vt:lpstr>H_05</vt:lpstr>
      <vt:lpstr>H_06</vt:lpstr>
      <vt:lpstr>H_07</vt:lpstr>
      <vt:lpstr>H_08</vt:lpstr>
      <vt:lpstr>H_09</vt:lpstr>
      <vt:lpstr>H_10</vt:lpstr>
      <vt:lpstr>H_11</vt:lpstr>
      <vt:lpstr>H_12</vt:lpstr>
      <vt:lpstr>H_13</vt:lpstr>
      <vt:lpstr>H_14</vt:lpstr>
      <vt:lpstr>H_15</vt:lpstr>
      <vt:lpstr>H_16</vt:lpstr>
      <vt:lpstr>H_17</vt:lpstr>
      <vt:lpstr>H_18</vt:lpstr>
      <vt:lpstr>H_19</vt:lpstr>
      <vt:lpstr>H_20</vt:lpstr>
      <vt:lpstr>H_21</vt:lpstr>
      <vt:lpstr>H_22</vt:lpstr>
      <vt:lpstr>I</vt:lpstr>
      <vt:lpstr>J</vt:lpstr>
      <vt:lpstr>J_20</vt:lpstr>
      <vt:lpstr>K</vt:lpstr>
      <vt:lpstr>Klimadaten</vt:lpstr>
      <vt:lpstr>Klimastation</vt:lpstr>
      <vt:lpstr>L</vt:lpstr>
      <vt:lpstr>M</vt:lpstr>
      <vt:lpstr>N</vt:lpstr>
      <vt:lpstr>Nutzung</vt:lpstr>
      <vt:lpstr>O</vt:lpstr>
      <vt:lpstr>P</vt:lpstr>
      <vt:lpstr>Q</vt:lpstr>
      <vt:lpstr>R_1</vt:lpstr>
      <vt:lpstr>Regelung</vt:lpstr>
      <vt:lpstr>S_01</vt:lpstr>
      <vt:lpstr>S_02</vt:lpstr>
      <vt:lpstr>S_03</vt:lpstr>
      <vt:lpstr>S_04</vt:lpstr>
      <vt:lpstr>S_05</vt:lpstr>
      <vt:lpstr>S_06</vt:lpstr>
      <vt:lpstr>S_07</vt:lpstr>
      <vt:lpstr>S_08</vt:lpstr>
      <vt:lpstr>S_09</vt:lpstr>
      <vt:lpstr>S_10</vt:lpstr>
      <vt:lpstr>S_101</vt:lpstr>
      <vt:lpstr>S_102</vt:lpstr>
      <vt:lpstr>S_103</vt:lpstr>
      <vt:lpstr>S_104</vt:lpstr>
      <vt:lpstr>S_105</vt:lpstr>
      <vt:lpstr>S_106</vt:lpstr>
      <vt:lpstr>S_107</vt:lpstr>
      <vt:lpstr>S_108</vt:lpstr>
      <vt:lpstr>S_109</vt:lpstr>
      <vt:lpstr>S_11</vt:lpstr>
      <vt:lpstr>S_110</vt:lpstr>
      <vt:lpstr>S_111</vt:lpstr>
      <vt:lpstr>S_112</vt:lpstr>
      <vt:lpstr>S_113</vt:lpstr>
      <vt:lpstr>S_114</vt:lpstr>
      <vt:lpstr>S_115</vt:lpstr>
      <vt:lpstr>S_116</vt:lpstr>
      <vt:lpstr>S_117</vt:lpstr>
      <vt:lpstr>S_118</vt:lpstr>
      <vt:lpstr>S_119</vt:lpstr>
      <vt:lpstr>S_12</vt:lpstr>
      <vt:lpstr>S_120</vt:lpstr>
      <vt:lpstr>S_121</vt:lpstr>
      <vt:lpstr>S_122</vt:lpstr>
      <vt:lpstr>S_13</vt:lpstr>
      <vt:lpstr>S_14</vt:lpstr>
      <vt:lpstr>S_15</vt:lpstr>
      <vt:lpstr>S_16</vt:lpstr>
      <vt:lpstr>S_17</vt:lpstr>
      <vt:lpstr>S_18</vt:lpstr>
      <vt:lpstr>S_19</vt:lpstr>
      <vt:lpstr>S_20</vt:lpstr>
      <vt:lpstr>S_21</vt:lpstr>
      <vt:lpstr>S_22</vt:lpstr>
      <vt:lpstr>Sonne</vt:lpstr>
      <vt:lpstr>T</vt:lpstr>
      <vt:lpstr>U</vt:lpstr>
      <vt:lpstr>Ü_01</vt:lpstr>
      <vt:lpstr>Ü_02</vt:lpstr>
      <vt:lpstr>Ü_03</vt:lpstr>
      <vt:lpstr>Ü_04</vt:lpstr>
      <vt:lpstr>Ü_05</vt:lpstr>
      <vt:lpstr>Ü_06</vt:lpstr>
      <vt:lpstr>Ü_07</vt:lpstr>
      <vt:lpstr>Ü_08</vt:lpstr>
      <vt:lpstr>Ü_09</vt:lpstr>
      <vt:lpstr>Ü_10</vt:lpstr>
      <vt:lpstr>Ü_11</vt:lpstr>
      <vt:lpstr>Ü_12</vt:lpstr>
      <vt:lpstr>Ü_13</vt:lpstr>
      <vt:lpstr>Ü_14</vt:lpstr>
      <vt:lpstr>Ü_15</vt:lpstr>
      <vt:lpstr>Ü_16</vt:lpstr>
      <vt:lpstr>Ü_17</vt:lpstr>
      <vt:lpstr>Ü_18</vt:lpstr>
      <vt:lpstr>Ü_19</vt:lpstr>
      <vt:lpstr>Ü_20</vt:lpstr>
      <vt:lpstr>Ü_21</vt:lpstr>
      <vt:lpstr>Ü_22</vt:lpstr>
      <vt:lpstr>V</vt:lpstr>
      <vt:lpstr>V_01</vt:lpstr>
      <vt:lpstr>V_02</vt:lpstr>
      <vt:lpstr>W</vt:lpstr>
      <vt:lpstr>WD_mit</vt:lpstr>
      <vt:lpstr>WD_ohne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Berechnung SIA 380/1:2016 (C1:2019)</dc:title>
  <dc:subject/>
  <dc:creator>Benjamin Wanzenried</dc:creator>
  <cp:keywords/>
  <dc:description>Version 10.1.1 (April 2019)</dc:description>
  <cp:lastModifiedBy>Benjamin Wanzenried</cp:lastModifiedBy>
  <cp:lastPrinted>2017-06-07T11:00:10Z</cp:lastPrinted>
  <dcterms:created xsi:type="dcterms:W3CDTF">2001-12-07T19:08:17Z</dcterms:created>
  <dcterms:modified xsi:type="dcterms:W3CDTF">2019-04-29T06:19:29Z</dcterms:modified>
  <cp:category/>
</cp:coreProperties>
</file>